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defaultThemeVersion="124226"/>
  <mc:AlternateContent xmlns:mc="http://schemas.openxmlformats.org/markup-compatibility/2006">
    <mc:Choice Requires="x15">
      <x15ac:absPath xmlns:x15ac="http://schemas.microsoft.com/office/spreadsheetml/2010/11/ac" url="L:\2020 Business Process Review\2020 Review Season\2020 Master Templates\2020 Master Data Input Worksheets\"/>
    </mc:Choice>
  </mc:AlternateContent>
  <xr:revisionPtr revIDLastSave="0" documentId="13_ncr:1_{EE31D2E7-2649-4023-B3FE-AC159262844D}" xr6:coauthVersionLast="45" xr6:coauthVersionMax="45" xr10:uidLastSave="{00000000-0000-0000-0000-000000000000}"/>
  <bookViews>
    <workbookView xWindow="20370" yWindow="-120" windowWidth="29040" windowHeight="15840" tabRatio="708" xr2:uid="{00000000-000D-0000-FFFF-FFFF00000000}"/>
  </bookViews>
  <sheets>
    <sheet name="Instructions" sheetId="50" r:id="rId1"/>
    <sheet name="Unit Data from Audit Worksheet" sheetId="1" r:id="rId2"/>
    <sheet name="IMPORT" sheetId="28" state="hidden" r:id="rId3"/>
    <sheet name="RSS" sheetId="30" r:id="rId4"/>
    <sheet name="3-Year Analysis" sheetId="37" r:id="rId5"/>
    <sheet name="2020Acct Changes" sheetId="46" state="hidden" r:id="rId6"/>
    <sheet name="Debt Service Funds (H)" sheetId="41" state="hidden" r:id="rId7"/>
    <sheet name="sequel interface rules (H)" sheetId="45" state="hidden" r:id="rId8"/>
    <sheet name="Unit Names(H)" sheetId="29" state="hidden" r:id="rId9"/>
    <sheet name="2019 Data(H)" sheetId="42" state="hidden" r:id="rId10"/>
    <sheet name="Sheet2" sheetId="48" state="hidden" r:id="rId11"/>
    <sheet name="2018 Data(H)" sheetId="36" state="hidden" r:id="rId12"/>
  </sheets>
  <externalReferences>
    <externalReference r:id="rId13"/>
  </externalReferences>
  <definedNames>
    <definedName name="Audit_Dtl">[1]Database!$AC$3:$AP$413</definedName>
    <definedName name="_xlnm.Print_Area" localSheetId="0">Instructions!$B$1:$B$37</definedName>
    <definedName name="_xlnm.Print_Area" localSheetId="1">'Unit Data from Audit Worksheet'!$A$7:$D$234</definedName>
    <definedName name="_xlnm.Print_Titles" localSheetId="1">'Unit Data from Audit Worksheet'!$5:$5</definedName>
    <definedName name="Temp">[1]Database!$BF$3:$EG$3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06" i="28" l="1"/>
  <c r="E207" i="28"/>
  <c r="E208" i="28"/>
  <c r="E209" i="28"/>
  <c r="E205" i="28"/>
  <c r="G254" i="1"/>
  <c r="G255" i="1"/>
  <c r="G256" i="1"/>
  <c r="G257" i="1"/>
  <c r="G245" i="1"/>
  <c r="G243" i="1"/>
  <c r="G244" i="1"/>
  <c r="G239" i="1"/>
  <c r="G240" i="1"/>
  <c r="G241" i="1"/>
  <c r="G242" i="1"/>
  <c r="G238" i="1"/>
  <c r="L206" i="28" l="1"/>
  <c r="Q206" i="28" s="1"/>
  <c r="L207" i="28"/>
  <c r="Q207" i="28" s="1"/>
  <c r="L208" i="28"/>
  <c r="Q208" i="28" s="1"/>
  <c r="L209" i="28"/>
  <c r="Q209" i="28" s="1"/>
  <c r="L205" i="28"/>
  <c r="Q205" i="28" s="1"/>
  <c r="C206" i="28"/>
  <c r="C207" i="28"/>
  <c r="C208" i="28"/>
  <c r="C209" i="28"/>
  <c r="C205" i="28"/>
  <c r="A206" i="28"/>
  <c r="A207" i="28"/>
  <c r="A208" i="28"/>
  <c r="A209" i="28"/>
  <c r="A205" i="28"/>
  <c r="G253" i="1"/>
  <c r="F257" i="1"/>
  <c r="F256" i="1"/>
  <c r="F255" i="1"/>
  <c r="F254" i="1"/>
  <c r="F253" i="1"/>
  <c r="G92" i="1" l="1"/>
  <c r="G19" i="1" l="1"/>
  <c r="G111" i="1" l="1"/>
  <c r="G110" i="1"/>
  <c r="G109" i="1"/>
  <c r="G108" i="1"/>
  <c r="G107" i="1"/>
  <c r="G106" i="1"/>
  <c r="G102" i="1"/>
  <c r="G100" i="1"/>
  <c r="G91" i="1"/>
  <c r="G90" i="1"/>
  <c r="G89" i="1"/>
  <c r="G88" i="1"/>
  <c r="G87" i="1"/>
  <c r="G86" i="1"/>
  <c r="H70" i="28" l="1"/>
  <c r="U210" i="28" l="1"/>
  <c r="G36" i="1"/>
  <c r="J3" i="48" l="1"/>
  <c r="J4" i="48"/>
  <c r="J5" i="48"/>
  <c r="J6" i="48"/>
  <c r="J7" i="48"/>
  <c r="J8" i="48"/>
  <c r="J9" i="48"/>
  <c r="J10" i="48"/>
  <c r="J11" i="48"/>
  <c r="J12" i="48"/>
  <c r="J13" i="48"/>
  <c r="J14" i="48"/>
  <c r="J15" i="48"/>
  <c r="J16" i="48"/>
  <c r="J17" i="48"/>
  <c r="J18" i="48"/>
  <c r="J19" i="48"/>
  <c r="J20" i="48"/>
  <c r="J21" i="48"/>
  <c r="J22" i="48"/>
  <c r="J23" i="48"/>
  <c r="J24" i="48"/>
  <c r="J25" i="48"/>
  <c r="J26" i="48"/>
  <c r="J27" i="48"/>
  <c r="J28" i="48"/>
  <c r="J29" i="48"/>
  <c r="J30" i="48"/>
  <c r="J31" i="48"/>
  <c r="J32" i="48"/>
  <c r="J33" i="48"/>
  <c r="J34" i="48"/>
  <c r="J35" i="48"/>
  <c r="J36" i="48"/>
  <c r="J37" i="48"/>
  <c r="J38" i="48"/>
  <c r="J39" i="48"/>
  <c r="J40" i="48"/>
  <c r="J41" i="48"/>
  <c r="J42" i="48"/>
  <c r="J43" i="48"/>
  <c r="J44" i="48"/>
  <c r="J45" i="48"/>
  <c r="J46" i="48"/>
  <c r="J47" i="48"/>
  <c r="J48" i="48"/>
  <c r="J49" i="48"/>
  <c r="J50" i="48"/>
  <c r="J51" i="48"/>
  <c r="J52" i="48"/>
  <c r="J53" i="48"/>
  <c r="J54" i="48"/>
  <c r="J55" i="48"/>
  <c r="J56" i="48"/>
  <c r="J57" i="48"/>
  <c r="J58" i="48"/>
  <c r="J59" i="48"/>
  <c r="J60" i="48"/>
  <c r="J61" i="48"/>
  <c r="J62" i="48"/>
  <c r="J63" i="48"/>
  <c r="J64" i="48"/>
  <c r="J65" i="48"/>
  <c r="J66" i="48"/>
  <c r="J67" i="48"/>
  <c r="J68" i="48"/>
  <c r="J69" i="48"/>
  <c r="J70" i="48"/>
  <c r="J71" i="48"/>
  <c r="J72" i="48"/>
  <c r="J73" i="48"/>
  <c r="J74" i="48"/>
  <c r="J75" i="48"/>
  <c r="J76" i="48"/>
  <c r="J77" i="48"/>
  <c r="J78" i="48"/>
  <c r="J79" i="48"/>
  <c r="J80" i="48"/>
  <c r="J81" i="48"/>
  <c r="J82" i="48"/>
  <c r="J83" i="48"/>
  <c r="J84" i="48"/>
  <c r="J85" i="48"/>
  <c r="J86" i="48"/>
  <c r="J87" i="48"/>
  <c r="J88" i="48"/>
  <c r="J89" i="48"/>
  <c r="J90" i="48"/>
  <c r="J91" i="48"/>
  <c r="J92" i="48"/>
  <c r="J93" i="48"/>
  <c r="J94" i="48"/>
  <c r="J95" i="48"/>
  <c r="J96" i="48"/>
  <c r="J97" i="48"/>
  <c r="J98" i="48"/>
  <c r="J99" i="48"/>
  <c r="J100" i="48"/>
  <c r="J101" i="48"/>
  <c r="J102" i="48"/>
  <c r="J103" i="48"/>
  <c r="J104" i="48"/>
  <c r="J105" i="48"/>
  <c r="J106" i="48"/>
  <c r="J107" i="48"/>
  <c r="J108" i="48"/>
  <c r="J109" i="48"/>
  <c r="J110" i="48"/>
  <c r="J111" i="48"/>
  <c r="J112" i="48"/>
  <c r="J113" i="48"/>
  <c r="J114" i="48"/>
  <c r="J115" i="48"/>
  <c r="J116" i="48"/>
  <c r="J117" i="48"/>
  <c r="J118" i="48"/>
  <c r="J119" i="48"/>
  <c r="J120" i="48"/>
  <c r="J121" i="48"/>
  <c r="J122" i="48"/>
  <c r="J123" i="48"/>
  <c r="J124" i="48"/>
  <c r="J125" i="48"/>
  <c r="J126" i="48"/>
  <c r="J127" i="48"/>
  <c r="J128" i="48"/>
  <c r="J129" i="48"/>
  <c r="J130" i="48"/>
  <c r="J131" i="48"/>
  <c r="J132" i="48"/>
  <c r="J133" i="48"/>
  <c r="J134" i="48"/>
  <c r="J135" i="48"/>
  <c r="J136" i="48"/>
  <c r="J137" i="48"/>
  <c r="J138" i="48"/>
  <c r="J139" i="48"/>
  <c r="J140" i="48"/>
  <c r="J141" i="48"/>
  <c r="J142" i="48"/>
  <c r="J143" i="48"/>
  <c r="J144" i="48"/>
  <c r="J145" i="48"/>
  <c r="J146" i="48"/>
  <c r="J147" i="48"/>
  <c r="J148" i="48"/>
  <c r="J149" i="48"/>
  <c r="J150" i="48"/>
  <c r="J151" i="48"/>
  <c r="J152" i="48"/>
  <c r="J153" i="48"/>
  <c r="J154" i="48"/>
  <c r="J155" i="48"/>
  <c r="J156" i="48"/>
  <c r="J157" i="48"/>
  <c r="J158" i="48"/>
  <c r="J159" i="48"/>
  <c r="J160" i="48"/>
  <c r="J161" i="48"/>
  <c r="J162" i="48"/>
  <c r="J163" i="48"/>
  <c r="J164" i="48"/>
  <c r="J165" i="48"/>
  <c r="J166" i="48"/>
  <c r="J167" i="48"/>
  <c r="J168" i="48"/>
  <c r="J169" i="48"/>
  <c r="J170" i="48"/>
  <c r="J171" i="48"/>
  <c r="J172" i="48"/>
  <c r="J173" i="48"/>
  <c r="J174" i="48"/>
  <c r="J175" i="48"/>
  <c r="J176" i="48"/>
  <c r="J177" i="48"/>
  <c r="J178" i="48"/>
  <c r="J179" i="48"/>
  <c r="J180" i="48"/>
  <c r="J181" i="48"/>
  <c r="J2" i="48"/>
  <c r="E182" i="48"/>
  <c r="J182" i="48" s="1"/>
  <c r="B182" i="48"/>
  <c r="F3" i="48"/>
  <c r="F4" i="48"/>
  <c r="F5" i="48"/>
  <c r="F6" i="48"/>
  <c r="F7" i="48"/>
  <c r="F8" i="48"/>
  <c r="F9" i="48"/>
  <c r="F10" i="48"/>
  <c r="F11" i="48"/>
  <c r="F12" i="48"/>
  <c r="F13" i="48"/>
  <c r="F14" i="48"/>
  <c r="F15" i="48"/>
  <c r="F16" i="48"/>
  <c r="F17" i="48"/>
  <c r="F18" i="48"/>
  <c r="F19" i="48"/>
  <c r="F20" i="48"/>
  <c r="F21" i="48"/>
  <c r="F22" i="48"/>
  <c r="F23" i="48"/>
  <c r="F24" i="48"/>
  <c r="F25" i="48"/>
  <c r="F26" i="48"/>
  <c r="F27" i="48"/>
  <c r="F28" i="48"/>
  <c r="F29" i="48"/>
  <c r="F30" i="48"/>
  <c r="F31" i="48"/>
  <c r="F32" i="48"/>
  <c r="F33" i="48"/>
  <c r="F34" i="48"/>
  <c r="F35" i="48"/>
  <c r="F36" i="48"/>
  <c r="F37" i="48"/>
  <c r="F38" i="48"/>
  <c r="F39" i="48"/>
  <c r="F40" i="48"/>
  <c r="F41" i="48"/>
  <c r="F42" i="48"/>
  <c r="F43" i="48"/>
  <c r="F44" i="48"/>
  <c r="F45" i="48"/>
  <c r="F46" i="48"/>
  <c r="F47" i="48"/>
  <c r="F48" i="48"/>
  <c r="F49" i="48"/>
  <c r="F50" i="48"/>
  <c r="F51" i="48"/>
  <c r="F52" i="48"/>
  <c r="F53" i="48"/>
  <c r="F54" i="48"/>
  <c r="F55" i="48"/>
  <c r="F56" i="48"/>
  <c r="F57" i="48"/>
  <c r="F58" i="48"/>
  <c r="F59" i="48"/>
  <c r="F60" i="48"/>
  <c r="F61" i="48"/>
  <c r="F62" i="48"/>
  <c r="F63" i="48"/>
  <c r="F64" i="48"/>
  <c r="F65" i="48"/>
  <c r="F66" i="48"/>
  <c r="F67" i="48"/>
  <c r="F68" i="48"/>
  <c r="F69" i="48"/>
  <c r="F70" i="48"/>
  <c r="F71" i="48"/>
  <c r="F72" i="48"/>
  <c r="F73" i="48"/>
  <c r="F74" i="48"/>
  <c r="F75" i="48"/>
  <c r="F76" i="48"/>
  <c r="F77" i="48"/>
  <c r="F78" i="48"/>
  <c r="F79" i="48"/>
  <c r="F80" i="48"/>
  <c r="F81" i="48"/>
  <c r="F82" i="48"/>
  <c r="F83" i="48"/>
  <c r="F84" i="48"/>
  <c r="F85" i="48"/>
  <c r="F86" i="48"/>
  <c r="F87" i="48"/>
  <c r="F88" i="48"/>
  <c r="F89" i="48"/>
  <c r="F90" i="48"/>
  <c r="F91" i="48"/>
  <c r="F92" i="48"/>
  <c r="F93" i="48"/>
  <c r="F94" i="48"/>
  <c r="F95" i="48"/>
  <c r="F96" i="48"/>
  <c r="F97" i="48"/>
  <c r="F98" i="48"/>
  <c r="F99" i="48"/>
  <c r="F100" i="48"/>
  <c r="F101" i="48"/>
  <c r="F102" i="48"/>
  <c r="F103" i="48"/>
  <c r="F104" i="48"/>
  <c r="F105" i="48"/>
  <c r="F106" i="48"/>
  <c r="F107" i="48"/>
  <c r="F108" i="48"/>
  <c r="F109" i="48"/>
  <c r="F110" i="48"/>
  <c r="F111" i="48"/>
  <c r="F112" i="48"/>
  <c r="F113" i="48"/>
  <c r="F114" i="48"/>
  <c r="F115" i="48"/>
  <c r="F116" i="48"/>
  <c r="F117" i="48"/>
  <c r="F118" i="48"/>
  <c r="F119" i="48"/>
  <c r="F120" i="48"/>
  <c r="F121" i="48"/>
  <c r="F122" i="48"/>
  <c r="F123" i="48"/>
  <c r="F124" i="48"/>
  <c r="F125" i="48"/>
  <c r="F126" i="48"/>
  <c r="F127" i="48"/>
  <c r="F128" i="48"/>
  <c r="F129" i="48"/>
  <c r="F130" i="48"/>
  <c r="F131" i="48"/>
  <c r="F132" i="48"/>
  <c r="F133" i="48"/>
  <c r="F134" i="48"/>
  <c r="F135" i="48"/>
  <c r="F136" i="48"/>
  <c r="F137" i="48"/>
  <c r="F138" i="48"/>
  <c r="F139" i="48"/>
  <c r="F140" i="48"/>
  <c r="F141" i="48"/>
  <c r="F142" i="48"/>
  <c r="F143" i="48"/>
  <c r="F144" i="48"/>
  <c r="F145" i="48"/>
  <c r="F146" i="48"/>
  <c r="F147" i="48"/>
  <c r="F148" i="48"/>
  <c r="F149" i="48"/>
  <c r="F150" i="48"/>
  <c r="F151" i="48"/>
  <c r="F152" i="48"/>
  <c r="F153" i="48"/>
  <c r="F154" i="48"/>
  <c r="F155" i="48"/>
  <c r="F156" i="48"/>
  <c r="F157" i="48"/>
  <c r="F158" i="48"/>
  <c r="F159" i="48"/>
  <c r="F160" i="48"/>
  <c r="F161" i="48"/>
  <c r="F162" i="48"/>
  <c r="F163" i="48"/>
  <c r="F164" i="48"/>
  <c r="F165" i="48"/>
  <c r="F166" i="48"/>
  <c r="F167" i="48"/>
  <c r="F168" i="48"/>
  <c r="F169" i="48"/>
  <c r="F170" i="48"/>
  <c r="F171" i="48"/>
  <c r="F172" i="48"/>
  <c r="F173" i="48"/>
  <c r="F174" i="48"/>
  <c r="F175" i="48"/>
  <c r="F176" i="48"/>
  <c r="F177" i="48"/>
  <c r="F178" i="48"/>
  <c r="F179" i="48"/>
  <c r="F180" i="48"/>
  <c r="F181" i="48"/>
  <c r="F2" i="48"/>
  <c r="G224" i="42" l="1"/>
  <c r="H224" i="42"/>
  <c r="I224" i="42"/>
  <c r="J224" i="42"/>
  <c r="K224" i="42"/>
  <c r="L224" i="42"/>
  <c r="M224" i="42"/>
  <c r="N224" i="42"/>
  <c r="O224" i="42"/>
  <c r="P224" i="42"/>
  <c r="Q224" i="42"/>
  <c r="R224" i="42"/>
  <c r="S224" i="42"/>
  <c r="T224" i="42"/>
  <c r="U224" i="42"/>
  <c r="V224" i="42"/>
  <c r="W224" i="42"/>
  <c r="X224" i="42"/>
  <c r="Y224" i="42"/>
  <c r="Z224" i="42"/>
  <c r="AA224" i="42"/>
  <c r="AB224" i="42"/>
  <c r="AC224" i="42"/>
  <c r="AD224" i="42"/>
  <c r="AE224" i="42"/>
  <c r="AF224" i="42"/>
  <c r="AG224" i="42"/>
  <c r="AH224" i="42"/>
  <c r="AI224" i="42"/>
  <c r="AJ224" i="42"/>
  <c r="AK224" i="42"/>
  <c r="AL224" i="42"/>
  <c r="AM224" i="42"/>
  <c r="AN224" i="42"/>
  <c r="AO224" i="42"/>
  <c r="AP224" i="42"/>
  <c r="AQ224" i="42"/>
  <c r="AR224" i="42"/>
  <c r="AS224" i="42"/>
  <c r="AT224" i="42"/>
  <c r="AU224" i="42"/>
  <c r="AV224" i="42"/>
  <c r="AW224" i="42"/>
  <c r="AX224" i="42"/>
  <c r="AY224" i="42"/>
  <c r="AZ224" i="42"/>
  <c r="BA224" i="42"/>
  <c r="BB224" i="42"/>
  <c r="F224" i="42"/>
  <c r="G219" i="36" l="1"/>
  <c r="H219" i="36"/>
  <c r="I219" i="36"/>
  <c r="J219" i="36"/>
  <c r="K219" i="36"/>
  <c r="L219" i="36"/>
  <c r="M219" i="36"/>
  <c r="N219" i="36"/>
  <c r="O219" i="36"/>
  <c r="P219" i="36"/>
  <c r="Q219" i="36"/>
  <c r="R219" i="36"/>
  <c r="S219" i="36"/>
  <c r="T219" i="36"/>
  <c r="U219" i="36"/>
  <c r="V219" i="36"/>
  <c r="W219" i="36"/>
  <c r="X219" i="36"/>
  <c r="Y219" i="36"/>
  <c r="Z219" i="36"/>
  <c r="AA219" i="36"/>
  <c r="AB219" i="36"/>
  <c r="AC219" i="36"/>
  <c r="AD219" i="36"/>
  <c r="AE219" i="36"/>
  <c r="AF219" i="36"/>
  <c r="AG219" i="36"/>
  <c r="AH219" i="36"/>
  <c r="AI219" i="36"/>
  <c r="AJ219" i="36"/>
  <c r="AK219" i="36"/>
  <c r="AL219" i="36"/>
  <c r="AM219" i="36"/>
  <c r="AN219" i="36"/>
  <c r="AO219" i="36"/>
  <c r="AP219" i="36"/>
  <c r="AQ219" i="36"/>
  <c r="AR219" i="36"/>
  <c r="AS219" i="36"/>
  <c r="AT219" i="36"/>
  <c r="AU219" i="36"/>
  <c r="AV219" i="36"/>
  <c r="AW219" i="36"/>
  <c r="AX219" i="36"/>
  <c r="AY219" i="36"/>
  <c r="AZ219" i="36"/>
  <c r="BA219" i="36"/>
  <c r="BB219" i="36"/>
  <c r="F219" i="36"/>
  <c r="R214" i="42"/>
  <c r="G219" i="42"/>
  <c r="H219" i="42"/>
  <c r="I219" i="42"/>
  <c r="J219" i="42"/>
  <c r="K219" i="42"/>
  <c r="L219" i="42"/>
  <c r="M219" i="42"/>
  <c r="N219" i="42"/>
  <c r="O219" i="42"/>
  <c r="P219" i="42"/>
  <c r="Q219" i="42"/>
  <c r="R219" i="42"/>
  <c r="S219" i="42"/>
  <c r="T219" i="42"/>
  <c r="U219" i="42"/>
  <c r="V219" i="42"/>
  <c r="W219" i="42"/>
  <c r="X219" i="42"/>
  <c r="Y219" i="42"/>
  <c r="Z219" i="42"/>
  <c r="AA219" i="42"/>
  <c r="AB219" i="42"/>
  <c r="AC219" i="42"/>
  <c r="AD219" i="42"/>
  <c r="AE219" i="42"/>
  <c r="AF219" i="42"/>
  <c r="AG219" i="42"/>
  <c r="AH219" i="42"/>
  <c r="AI219" i="42"/>
  <c r="AJ219" i="42"/>
  <c r="AK219" i="42"/>
  <c r="AL219" i="42"/>
  <c r="AM219" i="42"/>
  <c r="AN219" i="42"/>
  <c r="AO219" i="42"/>
  <c r="AP219" i="42"/>
  <c r="AQ219" i="42"/>
  <c r="AR219" i="42"/>
  <c r="AS219" i="42"/>
  <c r="AT219" i="42"/>
  <c r="AU219" i="42"/>
  <c r="AV219" i="42"/>
  <c r="AW219" i="42"/>
  <c r="AX219" i="42"/>
  <c r="AY219" i="42"/>
  <c r="AZ219" i="42"/>
  <c r="BA219" i="42"/>
  <c r="BB219" i="42"/>
  <c r="G220" i="42"/>
  <c r="H220" i="42"/>
  <c r="I220" i="42"/>
  <c r="J220" i="42"/>
  <c r="K220" i="42"/>
  <c r="L220" i="42"/>
  <c r="M220" i="42"/>
  <c r="N220" i="42"/>
  <c r="O220" i="42"/>
  <c r="P220" i="42"/>
  <c r="Q220" i="42"/>
  <c r="R220" i="42"/>
  <c r="S220" i="42"/>
  <c r="T220" i="42"/>
  <c r="U220" i="42"/>
  <c r="V220" i="42"/>
  <c r="W220" i="42"/>
  <c r="X220" i="42"/>
  <c r="Y220" i="42"/>
  <c r="Z220" i="42"/>
  <c r="AA220" i="42"/>
  <c r="AB220" i="42"/>
  <c r="AC220" i="42"/>
  <c r="AD220" i="42"/>
  <c r="AE220" i="42"/>
  <c r="AF220" i="42"/>
  <c r="AG220" i="42"/>
  <c r="AH220" i="42"/>
  <c r="AI220" i="42"/>
  <c r="AJ220" i="42"/>
  <c r="AK220" i="42"/>
  <c r="AL220" i="42"/>
  <c r="AM220" i="42"/>
  <c r="AN220" i="42"/>
  <c r="AO220" i="42"/>
  <c r="AP220" i="42"/>
  <c r="AQ220" i="42"/>
  <c r="AR220" i="42"/>
  <c r="AS220" i="42"/>
  <c r="AT220" i="42"/>
  <c r="AU220" i="42"/>
  <c r="AV220" i="42"/>
  <c r="AW220" i="42"/>
  <c r="AX220" i="42"/>
  <c r="AY220" i="42"/>
  <c r="AZ220" i="42"/>
  <c r="BA220" i="42"/>
  <c r="BB220" i="42"/>
  <c r="F220" i="42"/>
  <c r="F219" i="42"/>
  <c r="BB218" i="36"/>
  <c r="BA218" i="36"/>
  <c r="AZ218" i="36"/>
  <c r="AY218" i="36"/>
  <c r="AX218" i="36"/>
  <c r="AW218" i="36"/>
  <c r="AV218" i="36"/>
  <c r="AU218" i="36"/>
  <c r="AT218" i="36"/>
  <c r="AS218" i="36"/>
  <c r="AR218" i="36"/>
  <c r="AQ218" i="36"/>
  <c r="AP218" i="36"/>
  <c r="AO218" i="36"/>
  <c r="AN218" i="36"/>
  <c r="AM218" i="36"/>
  <c r="AL218" i="36"/>
  <c r="AK218" i="36"/>
  <c r="AJ218" i="36"/>
  <c r="AI218" i="36"/>
  <c r="AH218" i="36"/>
  <c r="AG218" i="36"/>
  <c r="AF218" i="36"/>
  <c r="AE218" i="36"/>
  <c r="AD218" i="36"/>
  <c r="AC218" i="36"/>
  <c r="AB218" i="36"/>
  <c r="AA218" i="36"/>
  <c r="Z218" i="36"/>
  <c r="Y218" i="36"/>
  <c r="X218" i="36"/>
  <c r="W218" i="36"/>
  <c r="V218" i="36"/>
  <c r="U218" i="36"/>
  <c r="T218" i="36"/>
  <c r="S218" i="36"/>
  <c r="R218" i="36"/>
  <c r="Q218" i="36"/>
  <c r="P218" i="36"/>
  <c r="O218" i="36"/>
  <c r="N218" i="36"/>
  <c r="M218" i="36"/>
  <c r="L218" i="36"/>
  <c r="K218" i="36"/>
  <c r="J218" i="36"/>
  <c r="I218" i="36"/>
  <c r="H218" i="36"/>
  <c r="G218" i="36"/>
  <c r="F218" i="36"/>
  <c r="BB217" i="36"/>
  <c r="BA217" i="36"/>
  <c r="AZ217" i="36"/>
  <c r="AY217" i="36"/>
  <c r="AX217" i="36"/>
  <c r="AW217" i="36"/>
  <c r="AV217" i="36"/>
  <c r="AU217" i="36"/>
  <c r="AT217" i="36"/>
  <c r="AS217" i="36"/>
  <c r="AR217" i="36"/>
  <c r="AQ217" i="36"/>
  <c r="AP217" i="36"/>
  <c r="AO217" i="36"/>
  <c r="AN217" i="36"/>
  <c r="AM217" i="36"/>
  <c r="AL217" i="36"/>
  <c r="AK217" i="36"/>
  <c r="AJ217" i="36"/>
  <c r="AI217" i="36"/>
  <c r="AH217" i="36"/>
  <c r="AG217" i="36"/>
  <c r="AF217" i="36"/>
  <c r="AE217" i="36"/>
  <c r="AD217" i="36"/>
  <c r="AC217" i="36"/>
  <c r="AB217" i="36"/>
  <c r="AA217" i="36"/>
  <c r="Z217" i="36"/>
  <c r="Y217" i="36"/>
  <c r="X217" i="36"/>
  <c r="W217" i="36"/>
  <c r="V217" i="36"/>
  <c r="U217" i="36"/>
  <c r="T217" i="36"/>
  <c r="S217" i="36"/>
  <c r="R217" i="36"/>
  <c r="Q217" i="36"/>
  <c r="P217" i="36"/>
  <c r="O217" i="36"/>
  <c r="N217" i="36"/>
  <c r="M217" i="36"/>
  <c r="L217" i="36"/>
  <c r="K217" i="36"/>
  <c r="J217" i="36"/>
  <c r="I217" i="36"/>
  <c r="H217" i="36"/>
  <c r="G217" i="36"/>
  <c r="F217" i="36"/>
  <c r="BB216" i="36"/>
  <c r="BA216" i="36"/>
  <c r="AZ216" i="36"/>
  <c r="AY216" i="36"/>
  <c r="AX216" i="36"/>
  <c r="AW216" i="36"/>
  <c r="AV216" i="36"/>
  <c r="AU216" i="36"/>
  <c r="AT216" i="36"/>
  <c r="AS216" i="36"/>
  <c r="AR216" i="36"/>
  <c r="AQ216" i="36"/>
  <c r="AP216" i="36"/>
  <c r="AO216" i="36"/>
  <c r="AN216" i="36"/>
  <c r="AM216" i="36"/>
  <c r="AL216" i="36"/>
  <c r="AK216" i="36"/>
  <c r="AJ216" i="36"/>
  <c r="AI216" i="36"/>
  <c r="AH216" i="36"/>
  <c r="AG216" i="36"/>
  <c r="AF216" i="36"/>
  <c r="AE216" i="36"/>
  <c r="AD216" i="36"/>
  <c r="AC216" i="36"/>
  <c r="AB216" i="36"/>
  <c r="AA216" i="36"/>
  <c r="Z216" i="36"/>
  <c r="Y216" i="36"/>
  <c r="X216" i="36"/>
  <c r="W216" i="36"/>
  <c r="V216" i="36"/>
  <c r="U216" i="36"/>
  <c r="T216" i="36"/>
  <c r="S216" i="36"/>
  <c r="R216" i="36"/>
  <c r="Q216" i="36"/>
  <c r="P216" i="36"/>
  <c r="O216" i="36"/>
  <c r="N216" i="36"/>
  <c r="M216" i="36"/>
  <c r="L216" i="36"/>
  <c r="K216" i="36"/>
  <c r="J216" i="36"/>
  <c r="I216" i="36"/>
  <c r="H216" i="36"/>
  <c r="G216" i="36"/>
  <c r="F216" i="36"/>
  <c r="BB215" i="36"/>
  <c r="BA215" i="36"/>
  <c r="AZ215" i="36"/>
  <c r="AY215" i="36"/>
  <c r="AX215" i="36"/>
  <c r="AW215" i="36"/>
  <c r="AV215" i="36"/>
  <c r="AU215" i="36"/>
  <c r="AT215" i="36"/>
  <c r="AS215" i="36"/>
  <c r="AR215" i="36"/>
  <c r="AQ215" i="36"/>
  <c r="AP215" i="36"/>
  <c r="AO215" i="36"/>
  <c r="AN215" i="36"/>
  <c r="AM215" i="36"/>
  <c r="AL215" i="36"/>
  <c r="AK215" i="36"/>
  <c r="AJ215" i="36"/>
  <c r="AI215" i="36"/>
  <c r="AH215" i="36"/>
  <c r="AG215" i="36"/>
  <c r="AF215" i="36"/>
  <c r="AE215" i="36"/>
  <c r="AD215" i="36"/>
  <c r="AC215" i="36"/>
  <c r="AB215" i="36"/>
  <c r="AA215" i="36"/>
  <c r="Z215" i="36"/>
  <c r="Y215" i="36"/>
  <c r="X215" i="36"/>
  <c r="W215" i="36"/>
  <c r="V215" i="36"/>
  <c r="U215" i="36"/>
  <c r="T215" i="36"/>
  <c r="S215" i="36"/>
  <c r="R215" i="36"/>
  <c r="Q215" i="36"/>
  <c r="P215" i="36"/>
  <c r="O215" i="36"/>
  <c r="N215" i="36"/>
  <c r="M215" i="36"/>
  <c r="L215" i="36"/>
  <c r="K215" i="36"/>
  <c r="J215" i="36"/>
  <c r="I215" i="36"/>
  <c r="H215" i="36"/>
  <c r="G215" i="36"/>
  <c r="F215" i="36"/>
  <c r="BB214" i="36"/>
  <c r="BA214" i="36"/>
  <c r="AZ214" i="36"/>
  <c r="AY214" i="36"/>
  <c r="AX214" i="36"/>
  <c r="AW214" i="36"/>
  <c r="AV214" i="36"/>
  <c r="AU214" i="36"/>
  <c r="AT214" i="36"/>
  <c r="AS214" i="36"/>
  <c r="AR214" i="36"/>
  <c r="AQ214" i="36"/>
  <c r="AP214" i="36"/>
  <c r="AO214" i="36"/>
  <c r="AN214" i="36"/>
  <c r="AM214" i="36"/>
  <c r="AL214" i="36"/>
  <c r="AK214" i="36"/>
  <c r="AJ214" i="36"/>
  <c r="AI214" i="36"/>
  <c r="AH214" i="36"/>
  <c r="AG214" i="36"/>
  <c r="AF214" i="36"/>
  <c r="AE214" i="36"/>
  <c r="AD214" i="36"/>
  <c r="AC214" i="36"/>
  <c r="AB214" i="36"/>
  <c r="AA214" i="36"/>
  <c r="Z214" i="36"/>
  <c r="Y214" i="36"/>
  <c r="X214" i="36"/>
  <c r="W214" i="36"/>
  <c r="V214" i="36"/>
  <c r="U214" i="36"/>
  <c r="T214" i="36"/>
  <c r="S214" i="36"/>
  <c r="R214" i="36"/>
  <c r="Q214" i="36"/>
  <c r="P214" i="36"/>
  <c r="O214" i="36"/>
  <c r="N214" i="36"/>
  <c r="M214" i="36"/>
  <c r="L214" i="36"/>
  <c r="K214" i="36"/>
  <c r="J214" i="36"/>
  <c r="I214" i="36"/>
  <c r="H214" i="36"/>
  <c r="G214" i="36"/>
  <c r="F214" i="36"/>
  <c r="AO213" i="36"/>
  <c r="BB212" i="36"/>
  <c r="BA212" i="36"/>
  <c r="AZ212" i="36"/>
  <c r="AY212" i="36"/>
  <c r="AX212" i="36"/>
  <c r="AW212" i="36"/>
  <c r="AV212" i="36"/>
  <c r="AU212" i="36"/>
  <c r="AT212" i="36"/>
  <c r="AS212" i="36"/>
  <c r="AR212" i="36"/>
  <c r="AQ212" i="36"/>
  <c r="AP212" i="36"/>
  <c r="AO212" i="36"/>
  <c r="AN212" i="36"/>
  <c r="AM212" i="36"/>
  <c r="AL212" i="36"/>
  <c r="AK212" i="36"/>
  <c r="AJ212" i="36"/>
  <c r="AI212" i="36"/>
  <c r="AH212" i="36"/>
  <c r="AG212" i="36"/>
  <c r="AF212" i="36"/>
  <c r="AE212" i="36"/>
  <c r="AD212" i="36"/>
  <c r="AC212" i="36"/>
  <c r="AB212" i="36"/>
  <c r="AA212" i="36"/>
  <c r="Z212" i="36"/>
  <c r="Y212" i="36"/>
  <c r="X212" i="36"/>
  <c r="W212" i="36"/>
  <c r="V212" i="36"/>
  <c r="U212" i="36"/>
  <c r="T212" i="36"/>
  <c r="S212" i="36"/>
  <c r="R212" i="36"/>
  <c r="Q212" i="36"/>
  <c r="P212" i="36"/>
  <c r="O212" i="36"/>
  <c r="N212" i="36"/>
  <c r="M212" i="36"/>
  <c r="L212" i="36"/>
  <c r="K212" i="36"/>
  <c r="J212" i="36"/>
  <c r="I212" i="36"/>
  <c r="H212" i="36"/>
  <c r="G212" i="36"/>
  <c r="F212" i="36"/>
  <c r="BB211" i="36"/>
  <c r="BA211" i="36"/>
  <c r="BA213" i="36" s="1"/>
  <c r="AZ211" i="36"/>
  <c r="AZ213" i="36" s="1"/>
  <c r="AY211" i="36"/>
  <c r="AX211" i="36"/>
  <c r="AX213" i="36" s="1"/>
  <c r="AW211" i="36"/>
  <c r="AW213" i="36" s="1"/>
  <c r="AV211" i="36"/>
  <c r="AV213" i="36" s="1"/>
  <c r="AU211" i="36"/>
  <c r="AU213" i="36" s="1"/>
  <c r="AT211" i="36"/>
  <c r="AS211" i="36"/>
  <c r="AS213" i="36" s="1"/>
  <c r="AR211" i="36"/>
  <c r="AR213" i="36" s="1"/>
  <c r="AQ211" i="36"/>
  <c r="AP211" i="36"/>
  <c r="AP213" i="36" s="1"/>
  <c r="AO211" i="36"/>
  <c r="AN211" i="36"/>
  <c r="AN213" i="36" s="1"/>
  <c r="AM211" i="36"/>
  <c r="AM213" i="36" s="1"/>
  <c r="AL211" i="36"/>
  <c r="AK211" i="36"/>
  <c r="AK213" i="36" s="1"/>
  <c r="AJ211" i="36"/>
  <c r="AJ213" i="36" s="1"/>
  <c r="AI211" i="36"/>
  <c r="AH211" i="36"/>
  <c r="AH213" i="36" s="1"/>
  <c r="AG211" i="36"/>
  <c r="AG213" i="36" s="1"/>
  <c r="AF211" i="36"/>
  <c r="AF213" i="36" s="1"/>
  <c r="AE211" i="36"/>
  <c r="AE213" i="36" s="1"/>
  <c r="AD211" i="36"/>
  <c r="AC211" i="36"/>
  <c r="AC213" i="36" s="1"/>
  <c r="AB211" i="36"/>
  <c r="AB213" i="36" s="1"/>
  <c r="AA211" i="36"/>
  <c r="Z211" i="36"/>
  <c r="Z213" i="36" s="1"/>
  <c r="Y211" i="36"/>
  <c r="Y213" i="36" s="1"/>
  <c r="X211" i="36"/>
  <c r="X213" i="36" s="1"/>
  <c r="W211" i="36"/>
  <c r="W213" i="36" s="1"/>
  <c r="V211" i="36"/>
  <c r="U211" i="36"/>
  <c r="U213" i="36" s="1"/>
  <c r="T211" i="36"/>
  <c r="T213" i="36" s="1"/>
  <c r="S211" i="36"/>
  <c r="R211" i="36"/>
  <c r="R213" i="36" s="1"/>
  <c r="Q211" i="36"/>
  <c r="Q213" i="36" s="1"/>
  <c r="P211" i="36"/>
  <c r="P213" i="36" s="1"/>
  <c r="O211" i="36"/>
  <c r="O213" i="36" s="1"/>
  <c r="N211" i="36"/>
  <c r="M211" i="36"/>
  <c r="M213" i="36" s="1"/>
  <c r="L211" i="36"/>
  <c r="L213" i="36" s="1"/>
  <c r="K211" i="36"/>
  <c r="J211" i="36"/>
  <c r="J213" i="36" s="1"/>
  <c r="I211" i="36"/>
  <c r="I213" i="36" s="1"/>
  <c r="H211" i="36"/>
  <c r="H213" i="36" s="1"/>
  <c r="G211" i="36"/>
  <c r="G213" i="36" s="1"/>
  <c r="F211" i="36"/>
  <c r="G214" i="42"/>
  <c r="H214" i="42"/>
  <c r="I214" i="42"/>
  <c r="J214" i="42"/>
  <c r="K214" i="42"/>
  <c r="L214" i="42"/>
  <c r="M214" i="42"/>
  <c r="N214" i="42"/>
  <c r="O214" i="42"/>
  <c r="P214" i="42"/>
  <c r="Q214" i="42"/>
  <c r="S214" i="42"/>
  <c r="T214" i="42"/>
  <c r="U214" i="42"/>
  <c r="V214" i="42"/>
  <c r="W214" i="42"/>
  <c r="X214" i="42"/>
  <c r="Y214" i="42"/>
  <c r="Z214" i="42"/>
  <c r="AA214" i="42"/>
  <c r="AB214" i="42"/>
  <c r="AC214" i="42"/>
  <c r="AD214" i="42"/>
  <c r="AE214" i="42"/>
  <c r="AF214" i="42"/>
  <c r="AG214" i="42"/>
  <c r="AH214" i="42"/>
  <c r="AI214" i="42"/>
  <c r="AJ214" i="42"/>
  <c r="AK214" i="42"/>
  <c r="AL214" i="42"/>
  <c r="AM214" i="42"/>
  <c r="AN214" i="42"/>
  <c r="AO214" i="42"/>
  <c r="AP214" i="42"/>
  <c r="AQ214" i="42"/>
  <c r="AR214" i="42"/>
  <c r="AS214" i="42"/>
  <c r="AT214" i="42"/>
  <c r="AU214" i="42"/>
  <c r="AV214" i="42"/>
  <c r="AW214" i="42"/>
  <c r="AX214" i="42"/>
  <c r="AY214" i="42"/>
  <c r="AZ214" i="42"/>
  <c r="BA214" i="42"/>
  <c r="BB214" i="42"/>
  <c r="G215" i="42"/>
  <c r="H215" i="42"/>
  <c r="I215" i="42"/>
  <c r="J215" i="42"/>
  <c r="K215" i="42"/>
  <c r="L215" i="42"/>
  <c r="M215" i="42"/>
  <c r="N215" i="42"/>
  <c r="O215" i="42"/>
  <c r="P215" i="42"/>
  <c r="Q215" i="42"/>
  <c r="R215" i="42"/>
  <c r="S215" i="42"/>
  <c r="T215" i="42"/>
  <c r="U215" i="42"/>
  <c r="V215" i="42"/>
  <c r="W215" i="42"/>
  <c r="X215" i="42"/>
  <c r="Y215" i="42"/>
  <c r="Z215" i="42"/>
  <c r="AA215" i="42"/>
  <c r="AB215" i="42"/>
  <c r="AC215" i="42"/>
  <c r="AD215" i="42"/>
  <c r="AE215" i="42"/>
  <c r="AF215" i="42"/>
  <c r="AG215" i="42"/>
  <c r="AH215" i="42"/>
  <c r="AI215" i="42"/>
  <c r="AJ215" i="42"/>
  <c r="AK215" i="42"/>
  <c r="AL215" i="42"/>
  <c r="AM215" i="42"/>
  <c r="AN215" i="42"/>
  <c r="AO215" i="42"/>
  <c r="AP215" i="42"/>
  <c r="AQ215" i="42"/>
  <c r="AR215" i="42"/>
  <c r="AS215" i="42"/>
  <c r="AT215" i="42"/>
  <c r="AU215" i="42"/>
  <c r="AV215" i="42"/>
  <c r="AW215" i="42"/>
  <c r="AX215" i="42"/>
  <c r="AY215" i="42"/>
  <c r="AZ215" i="42"/>
  <c r="BA215" i="42"/>
  <c r="BB215" i="42"/>
  <c r="G216" i="42"/>
  <c r="H216" i="42"/>
  <c r="I216" i="42"/>
  <c r="J216" i="42"/>
  <c r="K216" i="42"/>
  <c r="L216" i="42"/>
  <c r="M216" i="42"/>
  <c r="N216" i="42"/>
  <c r="O216" i="42"/>
  <c r="P216" i="42"/>
  <c r="Q216" i="42"/>
  <c r="R216" i="42"/>
  <c r="S216" i="42"/>
  <c r="T216" i="42"/>
  <c r="U216" i="42"/>
  <c r="V216" i="42"/>
  <c r="W216" i="42"/>
  <c r="X216" i="42"/>
  <c r="Y216" i="42"/>
  <c r="Z216" i="42"/>
  <c r="AA216" i="42"/>
  <c r="AB216" i="42"/>
  <c r="AC216" i="42"/>
  <c r="AD216" i="42"/>
  <c r="AE216" i="42"/>
  <c r="AF216" i="42"/>
  <c r="AG216" i="42"/>
  <c r="AH216" i="42"/>
  <c r="AI216" i="42"/>
  <c r="AJ216" i="42"/>
  <c r="AK216" i="42"/>
  <c r="AL216" i="42"/>
  <c r="AM216" i="42"/>
  <c r="AN216" i="42"/>
  <c r="AO216" i="42"/>
  <c r="AP216" i="42"/>
  <c r="AQ216" i="42"/>
  <c r="AR216" i="42"/>
  <c r="AS216" i="42"/>
  <c r="AT216" i="42"/>
  <c r="AU216" i="42"/>
  <c r="AV216" i="42"/>
  <c r="AW216" i="42"/>
  <c r="AX216" i="42"/>
  <c r="AY216" i="42"/>
  <c r="AZ216" i="42"/>
  <c r="BA216" i="42"/>
  <c r="BB216" i="42"/>
  <c r="G217" i="42"/>
  <c r="H217" i="42"/>
  <c r="I217" i="42"/>
  <c r="J217" i="42"/>
  <c r="K217" i="42"/>
  <c r="L217" i="42"/>
  <c r="M217" i="42"/>
  <c r="N217" i="42"/>
  <c r="O217" i="42"/>
  <c r="P217" i="42"/>
  <c r="Q217" i="42"/>
  <c r="R217" i="42"/>
  <c r="S217" i="42"/>
  <c r="T217" i="42"/>
  <c r="U217" i="42"/>
  <c r="V217" i="42"/>
  <c r="W217" i="42"/>
  <c r="X217" i="42"/>
  <c r="Y217" i="42"/>
  <c r="Z217" i="42"/>
  <c r="AA217" i="42"/>
  <c r="AB217" i="42"/>
  <c r="AC217" i="42"/>
  <c r="AD217" i="42"/>
  <c r="AE217" i="42"/>
  <c r="AF217" i="42"/>
  <c r="AG217" i="42"/>
  <c r="AH217" i="42"/>
  <c r="AI217" i="42"/>
  <c r="AJ217" i="42"/>
  <c r="AK217" i="42"/>
  <c r="AL217" i="42"/>
  <c r="AM217" i="42"/>
  <c r="AN217" i="42"/>
  <c r="AO217" i="42"/>
  <c r="AP217" i="42"/>
  <c r="AQ217" i="42"/>
  <c r="AR217" i="42"/>
  <c r="AS217" i="42"/>
  <c r="AT217" i="42"/>
  <c r="AU217" i="42"/>
  <c r="AV217" i="42"/>
  <c r="AW217" i="42"/>
  <c r="AX217" i="42"/>
  <c r="AY217" i="42"/>
  <c r="AZ217" i="42"/>
  <c r="BA217" i="42"/>
  <c r="BB217" i="42"/>
  <c r="G218" i="42"/>
  <c r="H218" i="42"/>
  <c r="I218" i="42"/>
  <c r="J218" i="42"/>
  <c r="K218" i="42"/>
  <c r="L218" i="42"/>
  <c r="M218" i="42"/>
  <c r="N218" i="42"/>
  <c r="O218" i="42"/>
  <c r="P218" i="42"/>
  <c r="Q218" i="42"/>
  <c r="R218" i="42"/>
  <c r="S218" i="42"/>
  <c r="T218" i="42"/>
  <c r="U218" i="42"/>
  <c r="V218" i="42"/>
  <c r="W218" i="42"/>
  <c r="X218" i="42"/>
  <c r="Y218" i="42"/>
  <c r="Z218" i="42"/>
  <c r="AA218" i="42"/>
  <c r="AB218" i="42"/>
  <c r="AC218" i="42"/>
  <c r="AD218" i="42"/>
  <c r="AE218" i="42"/>
  <c r="AF218" i="42"/>
  <c r="AG218" i="42"/>
  <c r="AH218" i="42"/>
  <c r="AI218" i="42"/>
  <c r="AJ218" i="42"/>
  <c r="AK218" i="42"/>
  <c r="AL218" i="42"/>
  <c r="AM218" i="42"/>
  <c r="AN218" i="42"/>
  <c r="AO218" i="42"/>
  <c r="AP218" i="42"/>
  <c r="AQ218" i="42"/>
  <c r="AR218" i="42"/>
  <c r="AS218" i="42"/>
  <c r="AT218" i="42"/>
  <c r="AU218" i="42"/>
  <c r="AV218" i="42"/>
  <c r="AW218" i="42"/>
  <c r="AX218" i="42"/>
  <c r="AY218" i="42"/>
  <c r="AZ218" i="42"/>
  <c r="BA218" i="42"/>
  <c r="BB218" i="42"/>
  <c r="F218" i="42"/>
  <c r="F217" i="42"/>
  <c r="F216" i="42"/>
  <c r="F215" i="42"/>
  <c r="F214" i="42"/>
  <c r="G211" i="42"/>
  <c r="H211" i="42"/>
  <c r="I211" i="42"/>
  <c r="J211" i="42"/>
  <c r="K211" i="42"/>
  <c r="L211" i="42"/>
  <c r="M211" i="42"/>
  <c r="N211" i="42"/>
  <c r="O211" i="42"/>
  <c r="P211" i="42"/>
  <c r="Q211" i="42"/>
  <c r="R211" i="42"/>
  <c r="S211" i="42"/>
  <c r="T211" i="42"/>
  <c r="T213" i="42" s="1"/>
  <c r="U211" i="42"/>
  <c r="V211" i="42"/>
  <c r="V213" i="42" s="1"/>
  <c r="W211" i="42"/>
  <c r="X211" i="42"/>
  <c r="Y211" i="42"/>
  <c r="Y213" i="42" s="1"/>
  <c r="Z211" i="42"/>
  <c r="AA211" i="42"/>
  <c r="AB211" i="42"/>
  <c r="AB213" i="42" s="1"/>
  <c r="AC211" i="42"/>
  <c r="AD211" i="42"/>
  <c r="AD213" i="42" s="1"/>
  <c r="AE211" i="42"/>
  <c r="AF211" i="42"/>
  <c r="AG211" i="42"/>
  <c r="AG213" i="42" s="1"/>
  <c r="AH211" i="42"/>
  <c r="AI211" i="42"/>
  <c r="AJ211" i="42"/>
  <c r="AJ213" i="42" s="1"/>
  <c r="AK211" i="42"/>
  <c r="AL211" i="42"/>
  <c r="AL213" i="42" s="1"/>
  <c r="AM211" i="42"/>
  <c r="AN211" i="42"/>
  <c r="AO211" i="42"/>
  <c r="AO213" i="42" s="1"/>
  <c r="AP211" i="42"/>
  <c r="AQ211" i="42"/>
  <c r="AR211" i="42"/>
  <c r="AR213" i="42" s="1"/>
  <c r="AS211" i="42"/>
  <c r="AT211" i="42"/>
  <c r="AT213" i="42" s="1"/>
  <c r="AU211" i="42"/>
  <c r="AV211" i="42"/>
  <c r="AW211" i="42"/>
  <c r="AW213" i="42" s="1"/>
  <c r="AX211" i="42"/>
  <c r="AY211" i="42"/>
  <c r="AZ211" i="42"/>
  <c r="AZ213" i="42" s="1"/>
  <c r="BA211" i="42"/>
  <c r="BB211" i="42"/>
  <c r="BB213" i="42" s="1"/>
  <c r="G212" i="42"/>
  <c r="H212" i="42"/>
  <c r="I212" i="42"/>
  <c r="J212" i="42"/>
  <c r="K212" i="42"/>
  <c r="L212" i="42"/>
  <c r="M212" i="42"/>
  <c r="N212" i="42"/>
  <c r="O212" i="42"/>
  <c r="P212" i="42"/>
  <c r="Q212" i="42"/>
  <c r="R212" i="42"/>
  <c r="S212" i="42"/>
  <c r="T212" i="42"/>
  <c r="U212" i="42"/>
  <c r="V212" i="42"/>
  <c r="W212" i="42"/>
  <c r="X212" i="42"/>
  <c r="Y212" i="42"/>
  <c r="Z212" i="42"/>
  <c r="AA212" i="42"/>
  <c r="AB212" i="42"/>
  <c r="AC212" i="42"/>
  <c r="AD212" i="42"/>
  <c r="AE212" i="42"/>
  <c r="AF212" i="42"/>
  <c r="AG212" i="42"/>
  <c r="AH212" i="42"/>
  <c r="AI212" i="42"/>
  <c r="AJ212" i="42"/>
  <c r="AK212" i="42"/>
  <c r="AL212" i="42"/>
  <c r="AM212" i="42"/>
  <c r="AN212" i="42"/>
  <c r="AO212" i="42"/>
  <c r="AP212" i="42"/>
  <c r="AQ212" i="42"/>
  <c r="AR212" i="42"/>
  <c r="AS212" i="42"/>
  <c r="AT212" i="42"/>
  <c r="AU212" i="42"/>
  <c r="AV212" i="42"/>
  <c r="AW212" i="42"/>
  <c r="AX212" i="42"/>
  <c r="AY212" i="42"/>
  <c r="AZ212" i="42"/>
  <c r="BA212" i="42"/>
  <c r="BB212" i="42"/>
  <c r="G213" i="42"/>
  <c r="H213" i="42"/>
  <c r="I213" i="42"/>
  <c r="J213" i="42"/>
  <c r="K213" i="42"/>
  <c r="L213" i="42"/>
  <c r="M213" i="42"/>
  <c r="N213" i="42"/>
  <c r="O213" i="42"/>
  <c r="P213" i="42"/>
  <c r="R213" i="42"/>
  <c r="S213" i="42"/>
  <c r="U213" i="42"/>
  <c r="W213" i="42"/>
  <c r="X213" i="42"/>
  <c r="Z213" i="42"/>
  <c r="AA213" i="42"/>
  <c r="AC213" i="42"/>
  <c r="AE213" i="42"/>
  <c r="AF213" i="42"/>
  <c r="AH213" i="42"/>
  <c r="AI213" i="42"/>
  <c r="AK213" i="42"/>
  <c r="AM213" i="42"/>
  <c r="AN213" i="42"/>
  <c r="AP213" i="42"/>
  <c r="AQ213" i="42"/>
  <c r="AS213" i="42"/>
  <c r="AU213" i="42"/>
  <c r="AV213" i="42"/>
  <c r="AX213" i="42"/>
  <c r="AY213" i="42"/>
  <c r="BA213" i="42"/>
  <c r="F213" i="42"/>
  <c r="F212" i="42"/>
  <c r="F211" i="42"/>
  <c r="F213" i="36" l="1"/>
  <c r="N213" i="36"/>
  <c r="V213" i="36"/>
  <c r="AD213" i="36"/>
  <c r="AL213" i="36"/>
  <c r="AT213" i="36"/>
  <c r="BB213" i="36"/>
  <c r="Q213" i="42"/>
  <c r="K213" i="36"/>
  <c r="S213" i="36"/>
  <c r="AA213" i="36"/>
  <c r="AI213" i="36"/>
  <c r="AQ213" i="36"/>
  <c r="AY213" i="36"/>
  <c r="E119" i="1"/>
  <c r="E233" i="1"/>
  <c r="E232" i="1"/>
  <c r="E231" i="1"/>
  <c r="E230" i="1"/>
  <c r="E229" i="1"/>
  <c r="E228" i="1"/>
  <c r="E227" i="1"/>
  <c r="E226" i="1"/>
  <c r="E223" i="1"/>
  <c r="E221" i="1"/>
  <c r="E219" i="1"/>
  <c r="E217" i="1"/>
  <c r="E216" i="1"/>
  <c r="E210" i="1"/>
  <c r="E207" i="1"/>
  <c r="E206" i="1"/>
  <c r="E205" i="1"/>
  <c r="E204" i="1"/>
  <c r="E201" i="1"/>
  <c r="E199" i="1"/>
  <c r="E198" i="1"/>
  <c r="E197" i="1"/>
  <c r="E196" i="1"/>
  <c r="E194" i="1"/>
  <c r="E193" i="1"/>
  <c r="E192" i="1"/>
  <c r="E187" i="1"/>
  <c r="E186" i="1"/>
  <c r="E185" i="1"/>
  <c r="E184" i="1"/>
  <c r="E181" i="1"/>
  <c r="E180" i="1"/>
  <c r="E179" i="1"/>
  <c r="E178" i="1"/>
  <c r="E175" i="1"/>
  <c r="E174" i="1"/>
  <c r="E173" i="1"/>
  <c r="E172" i="1"/>
  <c r="E168" i="1"/>
  <c r="E167" i="1"/>
  <c r="E163" i="1"/>
  <c r="E162" i="1"/>
  <c r="E158" i="1"/>
  <c r="E156" i="1"/>
  <c r="E154" i="1"/>
  <c r="E153" i="1"/>
  <c r="E152" i="1"/>
  <c r="E150" i="1"/>
  <c r="E149" i="1"/>
  <c r="E148" i="1"/>
  <c r="E143" i="1"/>
  <c r="E142" i="1"/>
  <c r="E141" i="1"/>
  <c r="E140" i="1"/>
  <c r="E139" i="1"/>
  <c r="E138" i="1"/>
  <c r="E137" i="1"/>
  <c r="E136" i="1"/>
  <c r="E135" i="1"/>
  <c r="E134" i="1"/>
  <c r="E133" i="1"/>
  <c r="E132" i="1"/>
  <c r="E131" i="1"/>
  <c r="E127" i="1"/>
  <c r="E126" i="1"/>
  <c r="E125" i="1"/>
  <c r="E124" i="1"/>
  <c r="E123" i="1"/>
  <c r="E122" i="1"/>
  <c r="E121" i="1"/>
  <c r="E120" i="1"/>
  <c r="E118" i="1"/>
  <c r="E117" i="1"/>
  <c r="E116" i="1"/>
  <c r="E113" i="1"/>
  <c r="G143" i="1" s="1"/>
  <c r="E112" i="1"/>
  <c r="E111" i="1"/>
  <c r="E104" i="1"/>
  <c r="E103" i="1"/>
  <c r="E102" i="1"/>
  <c r="E99" i="1"/>
  <c r="E98" i="1"/>
  <c r="E97" i="1"/>
  <c r="E96" i="1"/>
  <c r="E94" i="1"/>
  <c r="G127" i="1" s="1"/>
  <c r="E93" i="1"/>
  <c r="E92" i="1"/>
  <c r="E91" i="1"/>
  <c r="E84" i="1"/>
  <c r="E83" i="1"/>
  <c r="E80" i="1"/>
  <c r="E79" i="1"/>
  <c r="E78" i="1"/>
  <c r="E77" i="1"/>
  <c r="E76" i="1"/>
  <c r="E71" i="1"/>
  <c r="E69" i="1"/>
  <c r="E68" i="1"/>
  <c r="E67" i="1"/>
  <c r="E66" i="1"/>
  <c r="E65" i="1"/>
  <c r="E64" i="1"/>
  <c r="E63" i="1"/>
  <c r="E62" i="1"/>
  <c r="E61" i="1"/>
  <c r="E60" i="1"/>
  <c r="E59" i="1"/>
  <c r="E57" i="1"/>
  <c r="E56" i="1"/>
  <c r="O50" i="28" s="1"/>
  <c r="E53" i="1"/>
  <c r="E52" i="1"/>
  <c r="E51" i="1"/>
  <c r="E50" i="1"/>
  <c r="E49" i="1"/>
  <c r="E48" i="1"/>
  <c r="E47" i="1"/>
  <c r="E46" i="1"/>
  <c r="E45" i="1"/>
  <c r="E44" i="1"/>
  <c r="E42" i="1"/>
  <c r="E41" i="1"/>
  <c r="E39" i="1"/>
  <c r="E38" i="1"/>
  <c r="E37" i="1"/>
  <c r="E36" i="1"/>
  <c r="E35" i="1"/>
  <c r="E34" i="1"/>
  <c r="E33" i="1"/>
  <c r="E32" i="1"/>
  <c r="E31" i="1"/>
  <c r="E30" i="1"/>
  <c r="E29" i="1"/>
  <c r="E28" i="1"/>
  <c r="E26" i="1"/>
  <c r="E25" i="1"/>
  <c r="E7" i="1"/>
  <c r="E23" i="1"/>
  <c r="E22" i="1"/>
  <c r="E21" i="1"/>
  <c r="E20" i="1"/>
  <c r="E19" i="1"/>
  <c r="E11" i="1"/>
  <c r="E10" i="1"/>
  <c r="E9" i="1"/>
  <c r="E8" i="1"/>
  <c r="N179" i="28" l="1"/>
  <c r="U75" i="28"/>
  <c r="U76" i="28"/>
  <c r="U77" i="28"/>
  <c r="U78" i="28"/>
  <c r="U79" i="28"/>
  <c r="U80" i="28"/>
  <c r="U167" i="28"/>
  <c r="U196" i="28"/>
  <c r="U4" i="28"/>
  <c r="E175" i="28"/>
  <c r="H4" i="30" l="1"/>
  <c r="F4" i="30"/>
  <c r="B4" i="30"/>
  <c r="F214" i="28"/>
  <c r="E214" i="28"/>
  <c r="C214" i="28"/>
  <c r="B214" i="28"/>
  <c r="A214" i="28"/>
  <c r="E204" i="28"/>
  <c r="C204" i="28"/>
  <c r="A204" i="28"/>
  <c r="U204" i="28" s="1"/>
  <c r="E203" i="28"/>
  <c r="C203" i="28"/>
  <c r="A203" i="28"/>
  <c r="U203" i="28" s="1"/>
  <c r="E202" i="28"/>
  <c r="C202" i="28"/>
  <c r="A202" i="28"/>
  <c r="U202" i="28" s="1"/>
  <c r="E201" i="28"/>
  <c r="C201" i="28"/>
  <c r="A201" i="28"/>
  <c r="U201" i="28" s="1"/>
  <c r="E200" i="28"/>
  <c r="C200" i="28"/>
  <c r="A200" i="28"/>
  <c r="U200" i="28" s="1"/>
  <c r="E199" i="28"/>
  <c r="C199" i="28"/>
  <c r="A199" i="28"/>
  <c r="U199" i="28" s="1"/>
  <c r="E198" i="28"/>
  <c r="C198" i="28"/>
  <c r="A198" i="28"/>
  <c r="U198" i="28" s="1"/>
  <c r="E197" i="28"/>
  <c r="L197" i="28" s="1"/>
  <c r="Q197" i="28" s="1"/>
  <c r="C197" i="28"/>
  <c r="A197" i="28"/>
  <c r="U197" i="28" s="1"/>
  <c r="H185" i="28"/>
  <c r="E185" i="28"/>
  <c r="C185" i="28"/>
  <c r="A185" i="28"/>
  <c r="U186" i="28" s="1"/>
  <c r="H184" i="28"/>
  <c r="E184" i="28"/>
  <c r="C184" i="28"/>
  <c r="B184" i="28"/>
  <c r="A184" i="28"/>
  <c r="U185" i="28" s="1"/>
  <c r="H183" i="28"/>
  <c r="E183" i="28"/>
  <c r="C183" i="28"/>
  <c r="B183" i="28"/>
  <c r="A183" i="28"/>
  <c r="U184" i="28" s="1"/>
  <c r="E182" i="28"/>
  <c r="C182" i="28"/>
  <c r="B182" i="28"/>
  <c r="A182" i="28"/>
  <c r="U183" i="28" s="1"/>
  <c r="E181" i="28"/>
  <c r="C181" i="28"/>
  <c r="B181" i="28"/>
  <c r="A181" i="28"/>
  <c r="U182" i="28" s="1"/>
  <c r="E180" i="28"/>
  <c r="C180" i="28"/>
  <c r="B180" i="28"/>
  <c r="A180" i="28"/>
  <c r="U181" i="28" s="1"/>
  <c r="E179" i="28"/>
  <c r="C179" i="28"/>
  <c r="B179" i="28"/>
  <c r="A179" i="28"/>
  <c r="U180" i="28" s="1"/>
  <c r="E178" i="28"/>
  <c r="C178" i="28"/>
  <c r="B178" i="28"/>
  <c r="A178" i="28"/>
  <c r="U179" i="28" s="1"/>
  <c r="E177" i="28"/>
  <c r="C177" i="28"/>
  <c r="B177" i="28"/>
  <c r="A177" i="28"/>
  <c r="U178" i="28" s="1"/>
  <c r="E176" i="28"/>
  <c r="L176" i="28" s="1"/>
  <c r="F176" i="28" s="1"/>
  <c r="C176" i="28"/>
  <c r="B176" i="28"/>
  <c r="A176" i="28"/>
  <c r="U177" i="28" s="1"/>
  <c r="H175" i="28"/>
  <c r="C175" i="28"/>
  <c r="B175" i="28"/>
  <c r="A175" i="28"/>
  <c r="U176" i="28" s="1"/>
  <c r="H174" i="28"/>
  <c r="E174" i="28"/>
  <c r="L174" i="28" s="1"/>
  <c r="V175" i="28" s="1"/>
  <c r="C174" i="28"/>
  <c r="B174" i="28"/>
  <c r="A174" i="28"/>
  <c r="U175" i="28" s="1"/>
  <c r="H173" i="28"/>
  <c r="E173" i="28"/>
  <c r="C173" i="28"/>
  <c r="B173" i="28"/>
  <c r="A173" i="28"/>
  <c r="U174" i="28" s="1"/>
  <c r="H172" i="28"/>
  <c r="E172" i="28"/>
  <c r="C172" i="28"/>
  <c r="B172" i="28"/>
  <c r="A172" i="28"/>
  <c r="U173" i="28" s="1"/>
  <c r="H171" i="28"/>
  <c r="E171" i="28"/>
  <c r="C171" i="28"/>
  <c r="B171" i="28"/>
  <c r="A171" i="28"/>
  <c r="U172" i="28" s="1"/>
  <c r="E170" i="28"/>
  <c r="C170" i="28"/>
  <c r="B170" i="28"/>
  <c r="A170" i="28"/>
  <c r="U171" i="28" s="1"/>
  <c r="H169" i="28"/>
  <c r="E169" i="28"/>
  <c r="C169" i="28"/>
  <c r="B169" i="28"/>
  <c r="A169" i="28"/>
  <c r="U170" i="28" s="1"/>
  <c r="H168" i="28"/>
  <c r="E168" i="28"/>
  <c r="C168" i="28"/>
  <c r="B168" i="28"/>
  <c r="A168" i="28"/>
  <c r="U169" i="28" s="1"/>
  <c r="H167" i="28"/>
  <c r="E167" i="28"/>
  <c r="C167" i="28"/>
  <c r="B167" i="28"/>
  <c r="A167" i="28"/>
  <c r="U168" i="28" s="1"/>
  <c r="E166" i="28"/>
  <c r="C166" i="28"/>
  <c r="E165" i="28"/>
  <c r="C165" i="28"/>
  <c r="B165" i="28"/>
  <c r="A165" i="28"/>
  <c r="U166" i="28" s="1"/>
  <c r="H164" i="28"/>
  <c r="E164" i="28"/>
  <c r="C164" i="28"/>
  <c r="B164" i="28"/>
  <c r="A164" i="28"/>
  <c r="U165" i="28" s="1"/>
  <c r="H163" i="28"/>
  <c r="E163" i="28"/>
  <c r="C163" i="28"/>
  <c r="B163" i="28"/>
  <c r="A163" i="28"/>
  <c r="U164" i="28" s="1"/>
  <c r="H162" i="28"/>
  <c r="E162" i="28"/>
  <c r="C162" i="28"/>
  <c r="B162" i="28"/>
  <c r="A162" i="28"/>
  <c r="U163" i="28" s="1"/>
  <c r="E161" i="28"/>
  <c r="C161" i="28"/>
  <c r="B161" i="28"/>
  <c r="A161" i="28"/>
  <c r="U162" i="28" s="1"/>
  <c r="E160" i="28"/>
  <c r="C160" i="28"/>
  <c r="B160" i="28"/>
  <c r="A160" i="28"/>
  <c r="U161" i="28" s="1"/>
  <c r="H159" i="28"/>
  <c r="E159" i="28"/>
  <c r="C159" i="28"/>
  <c r="B159" i="28"/>
  <c r="A159" i="28"/>
  <c r="U160" i="28" s="1"/>
  <c r="H158" i="28"/>
  <c r="E158" i="28"/>
  <c r="C158" i="28"/>
  <c r="B158" i="28"/>
  <c r="A158" i="28"/>
  <c r="U159" i="28" s="1"/>
  <c r="H157" i="28"/>
  <c r="E157" i="28"/>
  <c r="C157" i="28"/>
  <c r="B157" i="28"/>
  <c r="A157" i="28"/>
  <c r="U158" i="28" s="1"/>
  <c r="H156" i="28"/>
  <c r="E156" i="28"/>
  <c r="C156" i="28"/>
  <c r="B156" i="28"/>
  <c r="A156" i="28"/>
  <c r="U157" i="28" s="1"/>
  <c r="H155" i="28"/>
  <c r="E155" i="28"/>
  <c r="C155" i="28"/>
  <c r="B155" i="28"/>
  <c r="A155" i="28"/>
  <c r="U156" i="28" s="1"/>
  <c r="H154" i="28"/>
  <c r="E154" i="28"/>
  <c r="C154" i="28"/>
  <c r="B154" i="28"/>
  <c r="A154" i="28"/>
  <c r="U155" i="28" s="1"/>
  <c r="H153" i="28"/>
  <c r="E153" i="28"/>
  <c r="C153" i="28"/>
  <c r="B153" i="28"/>
  <c r="A153" i="28"/>
  <c r="U154" i="28" s="1"/>
  <c r="H152" i="28"/>
  <c r="E152" i="28"/>
  <c r="C152" i="28"/>
  <c r="B152" i="28"/>
  <c r="A152" i="28"/>
  <c r="U153" i="28" s="1"/>
  <c r="H151" i="28"/>
  <c r="E151" i="28"/>
  <c r="C151" i="28"/>
  <c r="B151" i="28"/>
  <c r="A151" i="28"/>
  <c r="U152" i="28" s="1"/>
  <c r="H150" i="28"/>
  <c r="E150" i="28"/>
  <c r="C150" i="28"/>
  <c r="B150" i="28"/>
  <c r="A150" i="28"/>
  <c r="U151" i="28" s="1"/>
  <c r="H149" i="28"/>
  <c r="E149" i="28"/>
  <c r="C149" i="28"/>
  <c r="B149" i="28"/>
  <c r="A149" i="28"/>
  <c r="U150" i="28" s="1"/>
  <c r="H148" i="28"/>
  <c r="E148" i="28"/>
  <c r="C148" i="28"/>
  <c r="B148" i="28"/>
  <c r="A148" i="28"/>
  <c r="U149" i="28" s="1"/>
  <c r="H147" i="28"/>
  <c r="E147" i="28"/>
  <c r="C147" i="28"/>
  <c r="B147" i="28"/>
  <c r="A147" i="28"/>
  <c r="U148" i="28" s="1"/>
  <c r="H146" i="28"/>
  <c r="E146" i="28"/>
  <c r="C146" i="28"/>
  <c r="B146" i="28"/>
  <c r="A146" i="28"/>
  <c r="U147" i="28" s="1"/>
  <c r="H145" i="28"/>
  <c r="E145" i="28"/>
  <c r="C145" i="28"/>
  <c r="B145" i="28"/>
  <c r="A145" i="28"/>
  <c r="U146" i="28" s="1"/>
  <c r="H144" i="28"/>
  <c r="E144" i="28"/>
  <c r="C144" i="28"/>
  <c r="B144" i="28"/>
  <c r="A144" i="28"/>
  <c r="U145" i="28" s="1"/>
  <c r="H143" i="28"/>
  <c r="E143" i="28"/>
  <c r="C143" i="28"/>
  <c r="B143" i="28"/>
  <c r="A143" i="28"/>
  <c r="U144" i="28" s="1"/>
  <c r="H142" i="28"/>
  <c r="E142" i="28"/>
  <c r="C142" i="28"/>
  <c r="B142" i="28"/>
  <c r="A142" i="28"/>
  <c r="U143" i="28" s="1"/>
  <c r="H141" i="28"/>
  <c r="E141" i="28"/>
  <c r="C141" i="28"/>
  <c r="B141" i="28"/>
  <c r="A141" i="28"/>
  <c r="U142" i="28" s="1"/>
  <c r="H140" i="28"/>
  <c r="C140" i="28"/>
  <c r="B140" i="28"/>
  <c r="A140" i="28"/>
  <c r="U141" i="28" s="1"/>
  <c r="H139" i="28"/>
  <c r="C139" i="28"/>
  <c r="B139" i="28"/>
  <c r="A139" i="28"/>
  <c r="U140" i="28" s="1"/>
  <c r="H138" i="28"/>
  <c r="E138" i="28"/>
  <c r="C138" i="28"/>
  <c r="B138" i="28"/>
  <c r="A138" i="28"/>
  <c r="U139" i="28" s="1"/>
  <c r="H137" i="28"/>
  <c r="E137" i="28"/>
  <c r="C137" i="28"/>
  <c r="B137" i="28"/>
  <c r="A137" i="28"/>
  <c r="U138" i="28" s="1"/>
  <c r="H136" i="28"/>
  <c r="E136" i="28"/>
  <c r="C136" i="28"/>
  <c r="B136" i="28"/>
  <c r="A136" i="28"/>
  <c r="U137" i="28" s="1"/>
  <c r="H135" i="28"/>
  <c r="E135" i="28"/>
  <c r="C135" i="28"/>
  <c r="B135" i="28"/>
  <c r="A135" i="28"/>
  <c r="U136" i="28" s="1"/>
  <c r="H134" i="28"/>
  <c r="E134" i="28"/>
  <c r="C134" i="28"/>
  <c r="B134" i="28"/>
  <c r="A134" i="28"/>
  <c r="U135" i="28" s="1"/>
  <c r="H133" i="28"/>
  <c r="E133" i="28"/>
  <c r="C133" i="28"/>
  <c r="B133" i="28"/>
  <c r="A133" i="28"/>
  <c r="U134" i="28" s="1"/>
  <c r="H132" i="28"/>
  <c r="E132" i="28"/>
  <c r="C132" i="28"/>
  <c r="B132" i="28"/>
  <c r="A132" i="28"/>
  <c r="U133" i="28" s="1"/>
  <c r="H131" i="28"/>
  <c r="E131" i="28"/>
  <c r="C131" i="28"/>
  <c r="B131" i="28"/>
  <c r="A131" i="28"/>
  <c r="U132" i="28" s="1"/>
  <c r="H130" i="28"/>
  <c r="E130" i="28"/>
  <c r="C130" i="28"/>
  <c r="B130" i="28"/>
  <c r="A130" i="28"/>
  <c r="U131" i="28" s="1"/>
  <c r="H129" i="28"/>
  <c r="E129" i="28"/>
  <c r="C129" i="28"/>
  <c r="B129" i="28"/>
  <c r="A129" i="28"/>
  <c r="U130" i="28" s="1"/>
  <c r="H128" i="28"/>
  <c r="E128" i="28"/>
  <c r="C128" i="28"/>
  <c r="B128" i="28"/>
  <c r="A128" i="28"/>
  <c r="U129" i="28" s="1"/>
  <c r="H127" i="28"/>
  <c r="E127" i="28"/>
  <c r="C127" i="28"/>
  <c r="B127" i="28"/>
  <c r="A127" i="28"/>
  <c r="U128" i="28" s="1"/>
  <c r="H126" i="28"/>
  <c r="E126" i="28"/>
  <c r="C126" i="28"/>
  <c r="B126" i="28"/>
  <c r="A126" i="28"/>
  <c r="U127" i="28" s="1"/>
  <c r="H125" i="28"/>
  <c r="E125" i="28"/>
  <c r="C125" i="28"/>
  <c r="B125" i="28"/>
  <c r="A125" i="28"/>
  <c r="U126" i="28" s="1"/>
  <c r="H124" i="28"/>
  <c r="E124" i="28"/>
  <c r="C124" i="28"/>
  <c r="B124" i="28"/>
  <c r="A124" i="28"/>
  <c r="U125" i="28" s="1"/>
  <c r="H123" i="28"/>
  <c r="E123" i="28"/>
  <c r="C123" i="28"/>
  <c r="B123" i="28"/>
  <c r="A123" i="28"/>
  <c r="U124" i="28" s="1"/>
  <c r="H122" i="28"/>
  <c r="E122" i="28"/>
  <c r="C122" i="28"/>
  <c r="B122" i="28"/>
  <c r="A122" i="28"/>
  <c r="U123" i="28" s="1"/>
  <c r="H121" i="28"/>
  <c r="E121" i="28"/>
  <c r="C121" i="28"/>
  <c r="B121" i="28"/>
  <c r="A121" i="28"/>
  <c r="U122" i="28" s="1"/>
  <c r="H120" i="28"/>
  <c r="E120" i="28"/>
  <c r="C120" i="28"/>
  <c r="B120" i="28"/>
  <c r="A120" i="28"/>
  <c r="U121" i="28" s="1"/>
  <c r="H119" i="28"/>
  <c r="E119" i="28"/>
  <c r="C119" i="28"/>
  <c r="B119" i="28"/>
  <c r="A119" i="28"/>
  <c r="U120" i="28" s="1"/>
  <c r="H118" i="28"/>
  <c r="E118" i="28"/>
  <c r="C118" i="28"/>
  <c r="B118" i="28"/>
  <c r="A118" i="28"/>
  <c r="U119" i="28" s="1"/>
  <c r="H117" i="28"/>
  <c r="E117" i="28"/>
  <c r="C117" i="28"/>
  <c r="B117" i="28"/>
  <c r="A117" i="28"/>
  <c r="U118" i="28" s="1"/>
  <c r="H116" i="28"/>
  <c r="E116" i="28"/>
  <c r="C116" i="28"/>
  <c r="B116" i="28"/>
  <c r="A116" i="28"/>
  <c r="U117" i="28" s="1"/>
  <c r="H115" i="28"/>
  <c r="E115" i="28"/>
  <c r="C115" i="28"/>
  <c r="B115" i="28"/>
  <c r="A115" i="28"/>
  <c r="U116" i="28" s="1"/>
  <c r="H114" i="28"/>
  <c r="E114" i="28"/>
  <c r="C114" i="28"/>
  <c r="B114" i="28"/>
  <c r="A114" i="28"/>
  <c r="U115" i="28" s="1"/>
  <c r="H113" i="28"/>
  <c r="E113" i="28"/>
  <c r="C113" i="28"/>
  <c r="B113" i="28"/>
  <c r="A113" i="28"/>
  <c r="U114" i="28" s="1"/>
  <c r="H112" i="28"/>
  <c r="E112" i="28"/>
  <c r="C112" i="28"/>
  <c r="B112" i="28"/>
  <c r="A112" i="28"/>
  <c r="U113" i="28" s="1"/>
  <c r="H111" i="28"/>
  <c r="E111" i="28"/>
  <c r="C111" i="28"/>
  <c r="B111" i="28"/>
  <c r="A111" i="28"/>
  <c r="U112" i="28" s="1"/>
  <c r="H110" i="28"/>
  <c r="E110" i="28"/>
  <c r="C110" i="28"/>
  <c r="B110" i="28"/>
  <c r="A110" i="28"/>
  <c r="U111" i="28" s="1"/>
  <c r="H109" i="28"/>
  <c r="E109" i="28"/>
  <c r="C109" i="28"/>
  <c r="B109" i="28"/>
  <c r="A109" i="28"/>
  <c r="U110" i="28" s="1"/>
  <c r="H108" i="28"/>
  <c r="E108" i="28"/>
  <c r="C108" i="28"/>
  <c r="B108" i="28"/>
  <c r="A108" i="28"/>
  <c r="U109" i="28" s="1"/>
  <c r="H107" i="28"/>
  <c r="E107" i="28"/>
  <c r="C107" i="28"/>
  <c r="B107" i="28"/>
  <c r="A107" i="28"/>
  <c r="U108" i="28" s="1"/>
  <c r="H106" i="28"/>
  <c r="E106" i="28"/>
  <c r="C106" i="28"/>
  <c r="B106" i="28"/>
  <c r="A106" i="28"/>
  <c r="U107" i="28" s="1"/>
  <c r="H105" i="28"/>
  <c r="E105" i="28"/>
  <c r="C105" i="28"/>
  <c r="B105" i="28"/>
  <c r="A105" i="28"/>
  <c r="U106" i="28" s="1"/>
  <c r="H104" i="28"/>
  <c r="E104" i="28"/>
  <c r="C104" i="28"/>
  <c r="B104" i="28"/>
  <c r="A104" i="28"/>
  <c r="U105" i="28" s="1"/>
  <c r="H103" i="28"/>
  <c r="E103" i="28"/>
  <c r="C103" i="28"/>
  <c r="B103" i="28"/>
  <c r="A103" i="28"/>
  <c r="U104" i="28" s="1"/>
  <c r="H102" i="28"/>
  <c r="E102" i="28"/>
  <c r="C102" i="28"/>
  <c r="B102" i="28"/>
  <c r="A102" i="28"/>
  <c r="U103" i="28" s="1"/>
  <c r="H101" i="28"/>
  <c r="E101" i="28"/>
  <c r="C101" i="28"/>
  <c r="B101" i="28"/>
  <c r="A101" i="28"/>
  <c r="U102" i="28" s="1"/>
  <c r="H100" i="28"/>
  <c r="E100" i="28"/>
  <c r="C100" i="28"/>
  <c r="B100" i="28"/>
  <c r="A100" i="28"/>
  <c r="U101" i="28" s="1"/>
  <c r="H99" i="28"/>
  <c r="E99" i="28"/>
  <c r="C99" i="28"/>
  <c r="B99" i="28"/>
  <c r="A99" i="28"/>
  <c r="U100" i="28" s="1"/>
  <c r="H98" i="28"/>
  <c r="E98" i="28"/>
  <c r="C98" i="28"/>
  <c r="B98" i="28"/>
  <c r="A98" i="28"/>
  <c r="U99" i="28" s="1"/>
  <c r="H97" i="28"/>
  <c r="E97" i="28"/>
  <c r="C97" i="28"/>
  <c r="B97" i="28"/>
  <c r="A97" i="28"/>
  <c r="U98" i="28" s="1"/>
  <c r="H96" i="28"/>
  <c r="E96" i="28"/>
  <c r="C96" i="28"/>
  <c r="B96" i="28"/>
  <c r="A96" i="28"/>
  <c r="U97" i="28" s="1"/>
  <c r="H95" i="28"/>
  <c r="E95" i="28"/>
  <c r="C95" i="28"/>
  <c r="B95" i="28"/>
  <c r="A95" i="28"/>
  <c r="U96" i="28" s="1"/>
  <c r="H94" i="28"/>
  <c r="E94" i="28"/>
  <c r="C94" i="28"/>
  <c r="B94" i="28"/>
  <c r="A94" i="28"/>
  <c r="U95" i="28" s="1"/>
  <c r="H93" i="28"/>
  <c r="C93" i="28"/>
  <c r="B93" i="28"/>
  <c r="A93" i="28"/>
  <c r="U94" i="28" s="1"/>
  <c r="H92" i="28"/>
  <c r="E92" i="28"/>
  <c r="C92" i="28"/>
  <c r="B92" i="28"/>
  <c r="A92" i="28"/>
  <c r="U93" i="28" s="1"/>
  <c r="H91" i="28"/>
  <c r="E91" i="28"/>
  <c r="C91" i="28"/>
  <c r="B91" i="28"/>
  <c r="A91" i="28"/>
  <c r="U92" i="28" s="1"/>
  <c r="H90" i="28"/>
  <c r="E90" i="28"/>
  <c r="C90" i="28"/>
  <c r="B90" i="28"/>
  <c r="A90" i="28"/>
  <c r="U91" i="28" s="1"/>
  <c r="E89" i="28"/>
  <c r="C89" i="28"/>
  <c r="B89" i="28"/>
  <c r="A89" i="28"/>
  <c r="U90" i="28" s="1"/>
  <c r="H88" i="28"/>
  <c r="E88" i="28"/>
  <c r="C88" i="28"/>
  <c r="B88" i="28"/>
  <c r="A88" i="28"/>
  <c r="U89" i="28" s="1"/>
  <c r="H87" i="28"/>
  <c r="E87" i="28"/>
  <c r="C87" i="28"/>
  <c r="B87" i="28"/>
  <c r="A87" i="28"/>
  <c r="U88" i="28" s="1"/>
  <c r="E86" i="28"/>
  <c r="C86" i="28"/>
  <c r="B86" i="28"/>
  <c r="A86" i="28"/>
  <c r="U87" i="28" s="1"/>
  <c r="H85" i="28"/>
  <c r="E85" i="28"/>
  <c r="C85" i="28"/>
  <c r="B85" i="28"/>
  <c r="A85" i="28"/>
  <c r="U86" i="28" s="1"/>
  <c r="H84" i="28"/>
  <c r="E84" i="28"/>
  <c r="C84" i="28"/>
  <c r="B84" i="28"/>
  <c r="A84" i="28"/>
  <c r="U85" i="28" s="1"/>
  <c r="H83" i="28"/>
  <c r="E83" i="28"/>
  <c r="C83" i="28"/>
  <c r="B83" i="28"/>
  <c r="A83" i="28"/>
  <c r="U84" i="28" s="1"/>
  <c r="H82" i="28"/>
  <c r="E82" i="28"/>
  <c r="C82" i="28"/>
  <c r="B82" i="28"/>
  <c r="A82" i="28"/>
  <c r="U83" i="28" s="1"/>
  <c r="H81" i="28"/>
  <c r="E81" i="28"/>
  <c r="C81" i="28"/>
  <c r="B81" i="28"/>
  <c r="A81" i="28"/>
  <c r="U82" i="28" s="1"/>
  <c r="H80" i="28"/>
  <c r="E80" i="28"/>
  <c r="C80" i="28"/>
  <c r="B80" i="28"/>
  <c r="A80" i="28"/>
  <c r="U81" i="28" s="1"/>
  <c r="E79" i="28"/>
  <c r="C79" i="28"/>
  <c r="B79" i="28"/>
  <c r="E78" i="28"/>
  <c r="C78" i="28"/>
  <c r="B78" i="28"/>
  <c r="E77" i="28"/>
  <c r="C77" i="28"/>
  <c r="B77" i="28"/>
  <c r="E76" i="28"/>
  <c r="C76" i="28"/>
  <c r="B76" i="28"/>
  <c r="E75" i="28"/>
  <c r="C75" i="28"/>
  <c r="B75" i="28"/>
  <c r="C74" i="28"/>
  <c r="B74" i="28"/>
  <c r="E73" i="28"/>
  <c r="C73" i="28"/>
  <c r="B73" i="28"/>
  <c r="A73" i="28"/>
  <c r="U74" i="28" s="1"/>
  <c r="H72" i="28"/>
  <c r="E72" i="28"/>
  <c r="C72" i="28"/>
  <c r="B72" i="28"/>
  <c r="A72" i="28"/>
  <c r="U73" i="28" s="1"/>
  <c r="E71" i="28"/>
  <c r="C71" i="28"/>
  <c r="B71" i="28"/>
  <c r="A71" i="28"/>
  <c r="U72" i="28" s="1"/>
  <c r="E70" i="28"/>
  <c r="C70" i="28"/>
  <c r="B70" i="28"/>
  <c r="A70" i="28"/>
  <c r="U71" i="28" s="1"/>
  <c r="H69" i="28"/>
  <c r="E69" i="28"/>
  <c r="C69" i="28"/>
  <c r="B69" i="28"/>
  <c r="A69" i="28"/>
  <c r="U70" i="28" s="1"/>
  <c r="E68" i="28"/>
  <c r="C68" i="28"/>
  <c r="B68" i="28"/>
  <c r="A68" i="28"/>
  <c r="U69" i="28" s="1"/>
  <c r="H67" i="28"/>
  <c r="E67" i="28"/>
  <c r="C67" i="28"/>
  <c r="B67" i="28"/>
  <c r="A67" i="28"/>
  <c r="U68" i="28" s="1"/>
  <c r="H66" i="28"/>
  <c r="E66" i="28"/>
  <c r="C66" i="28"/>
  <c r="B66" i="28"/>
  <c r="A66" i="28"/>
  <c r="U67" i="28" s="1"/>
  <c r="H65" i="28"/>
  <c r="E65" i="28"/>
  <c r="C65" i="28"/>
  <c r="A65" i="28"/>
  <c r="U66" i="28" s="1"/>
  <c r="H64" i="28"/>
  <c r="E64" i="28"/>
  <c r="C64" i="28"/>
  <c r="B64" i="28"/>
  <c r="A64" i="28"/>
  <c r="U65" i="28" s="1"/>
  <c r="H63" i="28"/>
  <c r="E63" i="28"/>
  <c r="C63" i="28"/>
  <c r="B63" i="28"/>
  <c r="A63" i="28"/>
  <c r="U64" i="28" s="1"/>
  <c r="H62" i="28"/>
  <c r="E62" i="28"/>
  <c r="C62" i="28"/>
  <c r="B62" i="28"/>
  <c r="A62" i="28"/>
  <c r="U63" i="28" s="1"/>
  <c r="H61" i="28"/>
  <c r="E61" i="28"/>
  <c r="C61" i="28"/>
  <c r="B61" i="28"/>
  <c r="A61" i="28"/>
  <c r="U62" i="28" s="1"/>
  <c r="H60" i="28"/>
  <c r="E60" i="28"/>
  <c r="C60" i="28"/>
  <c r="B60" i="28"/>
  <c r="A60" i="28"/>
  <c r="U61" i="28" s="1"/>
  <c r="H59" i="28"/>
  <c r="E59" i="28"/>
  <c r="C59" i="28"/>
  <c r="B59" i="28"/>
  <c r="A59" i="28"/>
  <c r="U60" i="28" s="1"/>
  <c r="H58" i="28"/>
  <c r="E58" i="28"/>
  <c r="C58" i="28"/>
  <c r="B58" i="28"/>
  <c r="A58" i="28"/>
  <c r="U59" i="28" s="1"/>
  <c r="H57" i="28"/>
  <c r="E57" i="28"/>
  <c r="C57" i="28"/>
  <c r="B57" i="28"/>
  <c r="A57" i="28"/>
  <c r="U58" i="28" s="1"/>
  <c r="H56" i="28"/>
  <c r="E56" i="28"/>
  <c r="C56" i="28"/>
  <c r="B56" i="28"/>
  <c r="A56" i="28"/>
  <c r="U57" i="28" s="1"/>
  <c r="H55" i="28"/>
  <c r="E55" i="28"/>
  <c r="C55" i="28"/>
  <c r="B55" i="28"/>
  <c r="A55" i="28"/>
  <c r="U56" i="28" s="1"/>
  <c r="H54" i="28"/>
  <c r="E54" i="28"/>
  <c r="C54" i="28"/>
  <c r="B54" i="28"/>
  <c r="A54" i="28"/>
  <c r="U55" i="28" s="1"/>
  <c r="H53" i="28"/>
  <c r="E53" i="28"/>
  <c r="C53" i="28"/>
  <c r="B53" i="28"/>
  <c r="A53" i="28"/>
  <c r="U54" i="28" s="1"/>
  <c r="H52" i="28"/>
  <c r="E52" i="28"/>
  <c r="C52" i="28"/>
  <c r="B52" i="28"/>
  <c r="A52" i="28"/>
  <c r="U53" i="28" s="1"/>
  <c r="H51" i="28"/>
  <c r="E51" i="28"/>
  <c r="C51" i="28"/>
  <c r="B51" i="28"/>
  <c r="A51" i="28"/>
  <c r="U52" i="28" s="1"/>
  <c r="H50" i="28"/>
  <c r="E50" i="28"/>
  <c r="C50" i="28"/>
  <c r="B50" i="28"/>
  <c r="A50" i="28"/>
  <c r="U51" i="28" s="1"/>
  <c r="H49" i="28"/>
  <c r="E49" i="28"/>
  <c r="C49" i="28"/>
  <c r="B49" i="28"/>
  <c r="A49" i="28"/>
  <c r="U50" i="28" s="1"/>
  <c r="H48" i="28"/>
  <c r="E48" i="28"/>
  <c r="C48" i="28"/>
  <c r="B48" i="28"/>
  <c r="A48" i="28"/>
  <c r="H47" i="28"/>
  <c r="E47" i="28"/>
  <c r="C47" i="28"/>
  <c r="B47" i="28"/>
  <c r="A47" i="28"/>
  <c r="U47" i="28" s="1"/>
  <c r="H46" i="28"/>
  <c r="E46" i="28"/>
  <c r="C46" i="28"/>
  <c r="B46" i="28"/>
  <c r="A46" i="28"/>
  <c r="U46" i="28" s="1"/>
  <c r="H45" i="28"/>
  <c r="E45" i="28"/>
  <c r="C45" i="28"/>
  <c r="B45" i="28"/>
  <c r="A45" i="28"/>
  <c r="U45" i="28" s="1"/>
  <c r="H44" i="28"/>
  <c r="E44" i="28"/>
  <c r="C44" i="28"/>
  <c r="B44" i="28"/>
  <c r="A44" i="28"/>
  <c r="U44" i="28" s="1"/>
  <c r="H43" i="28"/>
  <c r="E43" i="28"/>
  <c r="C43" i="28"/>
  <c r="B43" i="28"/>
  <c r="A43" i="28"/>
  <c r="U43" i="28" s="1"/>
  <c r="H42" i="28"/>
  <c r="E42" i="28"/>
  <c r="C42" i="28"/>
  <c r="B42" i="28"/>
  <c r="A42" i="28"/>
  <c r="U42" i="28" s="1"/>
  <c r="H41" i="28"/>
  <c r="E41" i="28"/>
  <c r="C41" i="28"/>
  <c r="B41" i="28"/>
  <c r="A41" i="28"/>
  <c r="U41" i="28" s="1"/>
  <c r="E40" i="28"/>
  <c r="C40" i="28"/>
  <c r="B40" i="28"/>
  <c r="A40" i="28"/>
  <c r="U40" i="28" s="1"/>
  <c r="H39" i="28"/>
  <c r="E39" i="28"/>
  <c r="C39" i="28"/>
  <c r="B39" i="28"/>
  <c r="A39" i="28"/>
  <c r="U39" i="28" s="1"/>
  <c r="H38" i="28"/>
  <c r="E38" i="28"/>
  <c r="C38" i="28"/>
  <c r="B38" i="28"/>
  <c r="A38" i="28"/>
  <c r="U38" i="28" s="1"/>
  <c r="H37" i="28"/>
  <c r="E37" i="28"/>
  <c r="C37" i="28"/>
  <c r="B37" i="28"/>
  <c r="A37" i="28"/>
  <c r="U37" i="28" s="1"/>
  <c r="H36" i="28"/>
  <c r="E36" i="28"/>
  <c r="C36" i="28"/>
  <c r="B36" i="28"/>
  <c r="A36" i="28"/>
  <c r="U36" i="28" s="1"/>
  <c r="H35" i="28"/>
  <c r="E35" i="28"/>
  <c r="C35" i="28"/>
  <c r="B35" i="28"/>
  <c r="A35" i="28"/>
  <c r="U35" i="28" s="1"/>
  <c r="H34" i="28"/>
  <c r="E34" i="28"/>
  <c r="C34" i="28"/>
  <c r="B34" i="28"/>
  <c r="A34" i="28"/>
  <c r="U34" i="28" s="1"/>
  <c r="H33" i="28"/>
  <c r="E33" i="28"/>
  <c r="C33" i="28"/>
  <c r="B33" i="28"/>
  <c r="A33" i="28"/>
  <c r="U33" i="28" s="1"/>
  <c r="H32" i="28"/>
  <c r="E32" i="28"/>
  <c r="C32" i="28"/>
  <c r="B32" i="28"/>
  <c r="A32" i="28"/>
  <c r="U32" i="28" s="1"/>
  <c r="H31" i="28"/>
  <c r="E31" i="28"/>
  <c r="C31" i="28"/>
  <c r="B31" i="28"/>
  <c r="A31" i="28"/>
  <c r="U31" i="28" s="1"/>
  <c r="H30" i="28"/>
  <c r="E30" i="28"/>
  <c r="C30" i="28"/>
  <c r="B30" i="28"/>
  <c r="A30" i="28"/>
  <c r="U30" i="28" s="1"/>
  <c r="H29" i="28"/>
  <c r="E29" i="28"/>
  <c r="C29" i="28"/>
  <c r="B29" i="28"/>
  <c r="A29" i="28"/>
  <c r="U29" i="28" s="1"/>
  <c r="H28" i="28"/>
  <c r="E28" i="28"/>
  <c r="C28" i="28"/>
  <c r="B28" i="28"/>
  <c r="A28" i="28"/>
  <c r="U28" i="28" s="1"/>
  <c r="H27" i="28"/>
  <c r="E27" i="28"/>
  <c r="C27" i="28"/>
  <c r="B27" i="28"/>
  <c r="A27" i="28"/>
  <c r="U27" i="28" s="1"/>
  <c r="H26" i="28"/>
  <c r="E26" i="28"/>
  <c r="C26" i="28"/>
  <c r="B26" i="28"/>
  <c r="A26" i="28"/>
  <c r="U26" i="28" s="1"/>
  <c r="H25" i="28"/>
  <c r="E25" i="28"/>
  <c r="C25" i="28"/>
  <c r="B25" i="28"/>
  <c r="A25" i="28"/>
  <c r="U25" i="28" s="1"/>
  <c r="H24" i="28"/>
  <c r="E24" i="28"/>
  <c r="C24" i="28"/>
  <c r="B24" i="28"/>
  <c r="A24" i="28"/>
  <c r="U24" i="28" s="1"/>
  <c r="H23" i="28"/>
  <c r="E23" i="28"/>
  <c r="C23" i="28"/>
  <c r="B23" i="28"/>
  <c r="A23" i="28"/>
  <c r="U23" i="28" s="1"/>
  <c r="H22" i="28"/>
  <c r="E22" i="28"/>
  <c r="C22" i="28"/>
  <c r="B22" i="28"/>
  <c r="A22" i="28"/>
  <c r="U22" i="28" s="1"/>
  <c r="H21" i="28"/>
  <c r="E21" i="28"/>
  <c r="C21" i="28"/>
  <c r="B21" i="28"/>
  <c r="A21" i="28"/>
  <c r="U21" i="28" s="1"/>
  <c r="H20" i="28"/>
  <c r="E20" i="28"/>
  <c r="C20" i="28"/>
  <c r="B20" i="28"/>
  <c r="A20" i="28"/>
  <c r="U20" i="28" s="1"/>
  <c r="H19" i="28"/>
  <c r="E19" i="28"/>
  <c r="C19" i="28"/>
  <c r="B19" i="28"/>
  <c r="A19" i="28"/>
  <c r="U19" i="28" s="1"/>
  <c r="H18" i="28"/>
  <c r="E18" i="28"/>
  <c r="C18" i="28"/>
  <c r="B18" i="28"/>
  <c r="A18" i="28"/>
  <c r="U18" i="28" s="1"/>
  <c r="H17" i="28"/>
  <c r="E17" i="28"/>
  <c r="C17" i="28"/>
  <c r="B17" i="28"/>
  <c r="A17" i="28"/>
  <c r="U17" i="28" s="1"/>
  <c r="E16" i="28"/>
  <c r="C16" i="28"/>
  <c r="B16" i="28"/>
  <c r="A16" i="28"/>
  <c r="U16" i="28" s="1"/>
  <c r="E15" i="28"/>
  <c r="C15" i="28"/>
  <c r="B15" i="28"/>
  <c r="A15" i="28"/>
  <c r="U15" i="28" s="1"/>
  <c r="E14" i="28"/>
  <c r="C14" i="28"/>
  <c r="B14" i="28"/>
  <c r="A14" i="28"/>
  <c r="U14" i="28" s="1"/>
  <c r="E13" i="28"/>
  <c r="C13" i="28"/>
  <c r="B13" i="28"/>
  <c r="A13" i="28"/>
  <c r="U13" i="28" s="1"/>
  <c r="E12" i="28"/>
  <c r="C12" i="28"/>
  <c r="B12" i="28"/>
  <c r="A12" i="28"/>
  <c r="U12" i="28" s="1"/>
  <c r="E11" i="28"/>
  <c r="C11" i="28"/>
  <c r="B11" i="28"/>
  <c r="A11" i="28"/>
  <c r="U11" i="28" s="1"/>
  <c r="H10" i="28"/>
  <c r="C10" i="28"/>
  <c r="B10" i="28"/>
  <c r="A10" i="28"/>
  <c r="U10" i="28" s="1"/>
  <c r="H9" i="28"/>
  <c r="E9" i="28"/>
  <c r="C9" i="28"/>
  <c r="B9" i="28"/>
  <c r="A9" i="28"/>
  <c r="U9" i="28" s="1"/>
  <c r="H8" i="28"/>
  <c r="E8" i="28"/>
  <c r="C8" i="28"/>
  <c r="B8" i="28"/>
  <c r="A8" i="28"/>
  <c r="U8" i="28" s="1"/>
  <c r="H7" i="28"/>
  <c r="G7" i="28"/>
  <c r="E7" i="28"/>
  <c r="C7" i="28"/>
  <c r="B7" i="28"/>
  <c r="A7" i="28"/>
  <c r="U7" i="28" s="1"/>
  <c r="H6" i="28"/>
  <c r="E6" i="28"/>
  <c r="C6" i="28"/>
  <c r="B6" i="28"/>
  <c r="A6" i="28"/>
  <c r="U6" i="28" s="1"/>
  <c r="H5" i="28"/>
  <c r="E5" i="28"/>
  <c r="C5" i="28"/>
  <c r="B5" i="28"/>
  <c r="A5" i="28"/>
  <c r="U5" i="28" s="1"/>
  <c r="K4" i="28"/>
  <c r="E2" i="28"/>
  <c r="C2" i="28"/>
  <c r="A1" i="37"/>
  <c r="G236" i="1"/>
  <c r="H232" i="1"/>
  <c r="G232" i="1" s="1"/>
  <c r="H231" i="1"/>
  <c r="G231" i="1" s="1"/>
  <c r="H230" i="1"/>
  <c r="G230" i="1" s="1"/>
  <c r="G229" i="1"/>
  <c r="G228" i="1"/>
  <c r="G227" i="1"/>
  <c r="G226" i="1"/>
  <c r="G219" i="1"/>
  <c r="G217" i="1"/>
  <c r="G216" i="1"/>
  <c r="H213" i="1"/>
  <c r="G213" i="1" s="1"/>
  <c r="H212" i="1"/>
  <c r="G212" i="1"/>
  <c r="H211" i="1"/>
  <c r="G211" i="1"/>
  <c r="G210" i="1"/>
  <c r="H207" i="1"/>
  <c r="G207" i="1" s="1"/>
  <c r="H206" i="1"/>
  <c r="G206" i="1"/>
  <c r="H205" i="1"/>
  <c r="G205" i="1"/>
  <c r="G204" i="1"/>
  <c r="G202" i="1"/>
  <c r="L199" i="1"/>
  <c r="G199" i="1"/>
  <c r="G198" i="1"/>
  <c r="G197" i="1"/>
  <c r="G196" i="1"/>
  <c r="G194" i="1"/>
  <c r="F188" i="1"/>
  <c r="G187" i="1"/>
  <c r="G186" i="1"/>
  <c r="G185" i="1"/>
  <c r="G184" i="1"/>
  <c r="F182" i="1"/>
  <c r="G181" i="1"/>
  <c r="G180" i="1"/>
  <c r="G179" i="1"/>
  <c r="G178" i="1"/>
  <c r="F176" i="1"/>
  <c r="E140" i="28"/>
  <c r="E139" i="28"/>
  <c r="G163" i="1"/>
  <c r="G158" i="1"/>
  <c r="G156" i="1"/>
  <c r="G154" i="1"/>
  <c r="G153" i="1"/>
  <c r="G150" i="1"/>
  <c r="G149" i="1"/>
  <c r="H142" i="1"/>
  <c r="G142" i="1" s="1"/>
  <c r="G141" i="1"/>
  <c r="G140" i="1"/>
  <c r="G139" i="1"/>
  <c r="G138" i="1"/>
  <c r="G137" i="1"/>
  <c r="G136" i="1"/>
  <c r="G135" i="1"/>
  <c r="G134" i="1"/>
  <c r="G133" i="1"/>
  <c r="G132" i="1"/>
  <c r="H126" i="1"/>
  <c r="G126" i="1" s="1"/>
  <c r="G125" i="1"/>
  <c r="G124" i="1"/>
  <c r="G123" i="1"/>
  <c r="G122" i="1"/>
  <c r="G120" i="1"/>
  <c r="G119" i="1"/>
  <c r="G118" i="1"/>
  <c r="G117" i="1"/>
  <c r="H113" i="1"/>
  <c r="G113" i="1" s="1"/>
  <c r="G99" i="1"/>
  <c r="G97" i="1"/>
  <c r="G96" i="1"/>
  <c r="H94" i="1"/>
  <c r="G94" i="1"/>
  <c r="H127" i="1"/>
  <c r="E74" i="28"/>
  <c r="G83" i="1"/>
  <c r="G81" i="1"/>
  <c r="G66" i="28"/>
  <c r="G72" i="1"/>
  <c r="H69" i="1"/>
  <c r="G69" i="1" s="1"/>
  <c r="G67" i="1"/>
  <c r="G64" i="1"/>
  <c r="G62" i="1"/>
  <c r="G61" i="1"/>
  <c r="H56" i="1"/>
  <c r="G56" i="1"/>
  <c r="H71" i="1"/>
  <c r="G55" i="1"/>
  <c r="G54" i="1"/>
  <c r="G53" i="1"/>
  <c r="G52" i="1"/>
  <c r="G51" i="1"/>
  <c r="G50" i="1"/>
  <c r="G49" i="1"/>
  <c r="G48" i="1"/>
  <c r="G47" i="1"/>
  <c r="G46" i="1"/>
  <c r="G45" i="1"/>
  <c r="G44" i="1"/>
  <c r="G42" i="1"/>
  <c r="G39" i="1"/>
  <c r="O34" i="28"/>
  <c r="H37" i="1"/>
  <c r="G37" i="1" s="1"/>
  <c r="O33" i="28"/>
  <c r="G35" i="1"/>
  <c r="G34" i="1"/>
  <c r="G33" i="1"/>
  <c r="G32" i="1"/>
  <c r="G31" i="1"/>
  <c r="G30" i="1"/>
  <c r="G29" i="1"/>
  <c r="G28" i="1"/>
  <c r="G26" i="1"/>
  <c r="G25" i="1"/>
  <c r="H23" i="1"/>
  <c r="G23" i="1" s="1"/>
  <c r="O21" i="28"/>
  <c r="O20" i="28"/>
  <c r="G20" i="1"/>
  <c r="G18" i="1"/>
  <c r="G11" i="1"/>
  <c r="G10" i="1"/>
  <c r="G9" i="1"/>
  <c r="G8" i="1"/>
  <c r="G7" i="1"/>
  <c r="D3" i="1"/>
  <c r="U48" i="28" l="1"/>
  <c r="U49" i="28"/>
  <c r="L188" i="28"/>
  <c r="L187" i="28"/>
  <c r="L186" i="28"/>
  <c r="V196" i="28" s="1"/>
  <c r="L210" i="28"/>
  <c r="O101" i="28"/>
  <c r="L74" i="28"/>
  <c r="L139" i="28"/>
  <c r="V140" i="28" s="1"/>
  <c r="L12" i="28"/>
  <c r="V12" i="28" s="1"/>
  <c r="L14" i="28"/>
  <c r="V14" i="28" s="1"/>
  <c r="L16" i="28"/>
  <c r="V16" i="28" s="1"/>
  <c r="L21" i="28"/>
  <c r="V21" i="28" s="1"/>
  <c r="L37" i="28"/>
  <c r="F37" i="28" s="1"/>
  <c r="L42" i="28"/>
  <c r="F42" i="28" s="1"/>
  <c r="L49" i="28"/>
  <c r="F49" i="28" s="1"/>
  <c r="L66" i="28"/>
  <c r="F66" i="28" s="1"/>
  <c r="L71" i="28"/>
  <c r="V72" i="28" s="1"/>
  <c r="L82" i="28"/>
  <c r="V83" i="28" s="1"/>
  <c r="L87" i="28"/>
  <c r="F87" i="28" s="1"/>
  <c r="L92" i="28"/>
  <c r="F92" i="28" s="1"/>
  <c r="L97" i="28"/>
  <c r="F97" i="28" s="1"/>
  <c r="L108" i="28"/>
  <c r="V109" i="28" s="1"/>
  <c r="L124" i="28"/>
  <c r="F124" i="28" s="1"/>
  <c r="L132" i="28"/>
  <c r="E21" i="37" s="1"/>
  <c r="L154" i="28"/>
  <c r="V155" i="28" s="1"/>
  <c r="L168" i="28"/>
  <c r="F168" i="28" s="1"/>
  <c r="L199" i="28"/>
  <c r="L18" i="28"/>
  <c r="F18" i="28" s="1"/>
  <c r="L26" i="28"/>
  <c r="V26" i="28" s="1"/>
  <c r="L47" i="28"/>
  <c r="V47" i="28" s="1"/>
  <c r="L76" i="28"/>
  <c r="V77" i="28" s="1"/>
  <c r="L94" i="28"/>
  <c r="F94" i="28" s="1"/>
  <c r="L113" i="28"/>
  <c r="V114" i="28" s="1"/>
  <c r="L143" i="28"/>
  <c r="V144" i="28" s="1"/>
  <c r="L151" i="28"/>
  <c r="V152" i="28" s="1"/>
  <c r="L159" i="28"/>
  <c r="F159" i="28" s="1"/>
  <c r="L177" i="28"/>
  <c r="V178" i="28" s="1"/>
  <c r="L179" i="28"/>
  <c r="F179" i="28" s="1"/>
  <c r="L202" i="28"/>
  <c r="Q202" i="28" s="1"/>
  <c r="L140" i="28"/>
  <c r="V141" i="28" s="1"/>
  <c r="L31" i="28"/>
  <c r="F31" i="28" s="1"/>
  <c r="L39" i="28"/>
  <c r="V39" i="28" s="1"/>
  <c r="L44" i="28"/>
  <c r="V44" i="28" s="1"/>
  <c r="L79" i="28"/>
  <c r="V80" i="28" s="1"/>
  <c r="L84" i="28"/>
  <c r="L89" i="28"/>
  <c r="F89" i="28" s="1"/>
  <c r="L99" i="28"/>
  <c r="F99" i="28" s="1"/>
  <c r="L110" i="28"/>
  <c r="V111" i="28" s="1"/>
  <c r="L126" i="28"/>
  <c r="F126" i="28" s="1"/>
  <c r="L138" i="28"/>
  <c r="V139" i="28" s="1"/>
  <c r="L161" i="28"/>
  <c r="V162" i="28" s="1"/>
  <c r="L181" i="28"/>
  <c r="L183" i="28"/>
  <c r="V184" i="28" s="1"/>
  <c r="L9" i="28"/>
  <c r="V9" i="28" s="1"/>
  <c r="L20" i="28"/>
  <c r="V20" i="28" s="1"/>
  <c r="L28" i="28"/>
  <c r="F28" i="28" s="1"/>
  <c r="L36" i="28"/>
  <c r="V36" i="28" s="1"/>
  <c r="L48" i="28"/>
  <c r="F48" i="28" s="1"/>
  <c r="L56" i="28"/>
  <c r="L64" i="28"/>
  <c r="V65" i="28" s="1"/>
  <c r="L91" i="28"/>
  <c r="F91" i="28" s="1"/>
  <c r="L96" i="28"/>
  <c r="F96" i="28" s="1"/>
  <c r="L123" i="28"/>
  <c r="F123" i="28" s="1"/>
  <c r="L131" i="28"/>
  <c r="F131" i="28" s="1"/>
  <c r="L167" i="28"/>
  <c r="V168" i="28" s="1"/>
  <c r="L200" i="28"/>
  <c r="L11" i="28"/>
  <c r="V11" i="28" s="1"/>
  <c r="L13" i="28"/>
  <c r="V13" i="28" s="1"/>
  <c r="L15" i="28"/>
  <c r="V15" i="28" s="1"/>
  <c r="L33" i="28"/>
  <c r="V33" i="28" s="1"/>
  <c r="L46" i="28"/>
  <c r="F20" i="30" s="1"/>
  <c r="L72" i="28"/>
  <c r="L77" i="28"/>
  <c r="V78" i="28" s="1"/>
  <c r="L101" i="28"/>
  <c r="V102" i="28" s="1"/>
  <c r="L104" i="28"/>
  <c r="F104" i="28" s="1"/>
  <c r="L112" i="28"/>
  <c r="V113" i="28" s="1"/>
  <c r="L120" i="28"/>
  <c r="L128" i="28"/>
  <c r="V129" i="28" s="1"/>
  <c r="L142" i="28"/>
  <c r="V143" i="28" s="1"/>
  <c r="V177" i="28"/>
  <c r="L203" i="28"/>
  <c r="Q203" i="28" s="1"/>
  <c r="L22" i="28"/>
  <c r="F22" i="28" s="1"/>
  <c r="L30" i="28"/>
  <c r="F30" i="28" s="1"/>
  <c r="L38" i="28"/>
  <c r="L43" i="28"/>
  <c r="F9" i="30" s="1"/>
  <c r="H9" i="30" s="1"/>
  <c r="L50" i="28"/>
  <c r="L83" i="28"/>
  <c r="V84" i="28" s="1"/>
  <c r="L88" i="28"/>
  <c r="F88" i="28" s="1"/>
  <c r="L98" i="28"/>
  <c r="F98" i="28" s="1"/>
  <c r="L109" i="28"/>
  <c r="F109" i="28" s="1"/>
  <c r="L137" i="28"/>
  <c r="V138" i="28" s="1"/>
  <c r="L147" i="28"/>
  <c r="V148" i="28" s="1"/>
  <c r="L155" i="28"/>
  <c r="V156" i="28" s="1"/>
  <c r="L165" i="28"/>
  <c r="V166" i="28" s="1"/>
  <c r="L169" i="28"/>
  <c r="F169" i="28" s="1"/>
  <c r="L180" i="28"/>
  <c r="L198" i="28"/>
  <c r="L19" i="28"/>
  <c r="V19" i="28" s="1"/>
  <c r="L27" i="28"/>
  <c r="F27" i="28" s="1"/>
  <c r="L63" i="28"/>
  <c r="V64" i="28" s="1"/>
  <c r="L75" i="28"/>
  <c r="V76" i="28" s="1"/>
  <c r="L80" i="28"/>
  <c r="F80" i="28" s="1"/>
  <c r="L90" i="28"/>
  <c r="F90" i="28" s="1"/>
  <c r="L95" i="28"/>
  <c r="F95" i="28" s="1"/>
  <c r="L122" i="28"/>
  <c r="V123" i="28" s="1"/>
  <c r="L130" i="28"/>
  <c r="F130" i="28" s="1"/>
  <c r="L160" i="28"/>
  <c r="V161" i="28" s="1"/>
  <c r="L182" i="28"/>
  <c r="L185" i="28"/>
  <c r="V186" i="28" s="1"/>
  <c r="L201" i="28"/>
  <c r="L24" i="28"/>
  <c r="V24" i="28" s="1"/>
  <c r="L40" i="28"/>
  <c r="V40" i="28" s="1"/>
  <c r="L45" i="28"/>
  <c r="F45" i="28" s="1"/>
  <c r="L52" i="28"/>
  <c r="V53" i="28" s="1"/>
  <c r="L60" i="28"/>
  <c r="F60" i="28" s="1"/>
  <c r="L78" i="28"/>
  <c r="V79" i="28" s="1"/>
  <c r="L85" i="28"/>
  <c r="F85" i="28" s="1"/>
  <c r="L100" i="28"/>
  <c r="V101" i="28" s="1"/>
  <c r="L111" i="28"/>
  <c r="F111" i="28" s="1"/>
  <c r="L119" i="28"/>
  <c r="L135" i="28"/>
  <c r="F135" i="28" s="1"/>
  <c r="L141" i="28"/>
  <c r="V142" i="28" s="1"/>
  <c r="L157" i="28"/>
  <c r="F157" i="28" s="1"/>
  <c r="L166" i="28"/>
  <c r="F166" i="28" s="1"/>
  <c r="L204" i="28"/>
  <c r="Q204" i="28" s="1"/>
  <c r="E93" i="28"/>
  <c r="L125" i="28"/>
  <c r="V126" i="28" s="1"/>
  <c r="G85" i="1"/>
  <c r="E169" i="1"/>
  <c r="E10" i="28"/>
  <c r="G12" i="1"/>
  <c r="H38" i="1"/>
  <c r="G38" i="1" s="1"/>
  <c r="L51" i="28"/>
  <c r="G13" i="1"/>
  <c r="G14" i="1"/>
  <c r="G105" i="1"/>
  <c r="G15" i="1"/>
  <c r="L5" i="28"/>
  <c r="V5" i="28" s="1"/>
  <c r="G16" i="1"/>
  <c r="G17" i="1"/>
  <c r="O83" i="28"/>
  <c r="E176" i="1"/>
  <c r="O19" i="28"/>
  <c r="E182" i="1"/>
  <c r="L4" i="28"/>
  <c r="A2" i="37"/>
  <c r="L7" i="28"/>
  <c r="V7" i="28" s="1"/>
  <c r="L8" i="28"/>
  <c r="F8" i="28" s="1"/>
  <c r="L121" i="28"/>
  <c r="F121" i="28" s="1"/>
  <c r="L133" i="28"/>
  <c r="F133" i="28" s="1"/>
  <c r="L61" i="28"/>
  <c r="V62" i="28" s="1"/>
  <c r="L70" i="28"/>
  <c r="L150" i="28"/>
  <c r="V151" i="28" s="1"/>
  <c r="L41" i="28"/>
  <c r="L69" i="28"/>
  <c r="V70" i="28" s="1"/>
  <c r="L17" i="28"/>
  <c r="V17" i="28" s="1"/>
  <c r="F9" i="28"/>
  <c r="L86" i="28"/>
  <c r="L127" i="28"/>
  <c r="V128" i="28" s="1"/>
  <c r="L134" i="28"/>
  <c r="V135" i="28" s="1"/>
  <c r="E188" i="1"/>
  <c r="H143" i="1"/>
  <c r="L171" i="28"/>
  <c r="F171" i="28" s="1"/>
  <c r="L172" i="28"/>
  <c r="F172" i="28" s="1"/>
  <c r="F169" i="1"/>
  <c r="F189" i="1" s="1"/>
  <c r="L23" i="28"/>
  <c r="F23" i="28" s="1"/>
  <c r="L6" i="28"/>
  <c r="F6" i="28" s="1"/>
  <c r="L32" i="28"/>
  <c r="V32" i="28" s="1"/>
  <c r="L34" i="28"/>
  <c r="V34" i="28" s="1"/>
  <c r="L53" i="28"/>
  <c r="L57" i="28"/>
  <c r="L67" i="28"/>
  <c r="L68" i="28"/>
  <c r="V69" i="28" s="1"/>
  <c r="L73" i="28"/>
  <c r="V74" i="28" s="1"/>
  <c r="L102" i="28"/>
  <c r="L105" i="28"/>
  <c r="L114" i="28"/>
  <c r="L117" i="28"/>
  <c r="L129" i="28"/>
  <c r="E12" i="37" s="1"/>
  <c r="L146" i="28"/>
  <c r="V147" i="28" s="1"/>
  <c r="L106" i="28"/>
  <c r="L115" i="28"/>
  <c r="L54" i="28"/>
  <c r="F54" i="28" s="1"/>
  <c r="L58" i="28"/>
  <c r="V59" i="28" s="1"/>
  <c r="L62" i="28"/>
  <c r="L81" i="28"/>
  <c r="V82" i="28" s="1"/>
  <c r="L118" i="28"/>
  <c r="F118" i="28" s="1"/>
  <c r="L25" i="28"/>
  <c r="F25" i="28" s="1"/>
  <c r="L29" i="28"/>
  <c r="F29" i="28" s="1"/>
  <c r="L65" i="28"/>
  <c r="V66" i="28" s="1"/>
  <c r="L103" i="28"/>
  <c r="L107" i="28"/>
  <c r="V108" i="28" s="1"/>
  <c r="L163" i="28"/>
  <c r="F163" i="28" s="1"/>
  <c r="L35" i="28"/>
  <c r="F35" i="28" s="1"/>
  <c r="L55" i="28"/>
  <c r="L59" i="28"/>
  <c r="F59" i="28" s="1"/>
  <c r="L116" i="28"/>
  <c r="L136" i="28"/>
  <c r="V137" i="28" s="1"/>
  <c r="L175" i="28"/>
  <c r="V176" i="28" s="1"/>
  <c r="L149" i="28"/>
  <c r="V150" i="28" s="1"/>
  <c r="L156" i="28"/>
  <c r="F156" i="28" s="1"/>
  <c r="L162" i="28"/>
  <c r="F162" i="28" s="1"/>
  <c r="L178" i="28"/>
  <c r="F178" i="28" s="1"/>
  <c r="L184" i="28"/>
  <c r="V185" i="28" s="1"/>
  <c r="L144" i="28"/>
  <c r="V145" i="28" s="1"/>
  <c r="L152" i="28"/>
  <c r="V153" i="28" s="1"/>
  <c r="L170" i="28"/>
  <c r="V171" i="28" s="1"/>
  <c r="L173" i="28"/>
  <c r="V174" i="28" s="1"/>
  <c r="L145" i="28"/>
  <c r="V146" i="28" s="1"/>
  <c r="L153" i="28"/>
  <c r="V154" i="28" s="1"/>
  <c r="L158" i="28"/>
  <c r="F158" i="28" s="1"/>
  <c r="L164" i="28"/>
  <c r="V165" i="28" s="1"/>
  <c r="G71" i="1"/>
  <c r="L148" i="28"/>
  <c r="V149" i="28" s="1"/>
  <c r="V50" i="28" l="1"/>
  <c r="V49" i="28"/>
  <c r="F113" i="28"/>
  <c r="V48" i="28"/>
  <c r="V75" i="28"/>
  <c r="F81" i="28"/>
  <c r="G127" i="28"/>
  <c r="Q127" i="28" s="1"/>
  <c r="D38" i="37"/>
  <c r="D18" i="37"/>
  <c r="C35" i="37"/>
  <c r="C13" i="37"/>
  <c r="C9" i="37"/>
  <c r="D36" i="37"/>
  <c r="D17" i="37"/>
  <c r="C32" i="37"/>
  <c r="C12" i="37"/>
  <c r="C30" i="37"/>
  <c r="C17" i="37"/>
  <c r="D35" i="37"/>
  <c r="D13" i="37"/>
  <c r="D32" i="37"/>
  <c r="D12" i="37"/>
  <c r="C29" i="37"/>
  <c r="C8" i="37"/>
  <c r="C21" i="37"/>
  <c r="D22" i="37"/>
  <c r="D30" i="37"/>
  <c r="D9" i="37"/>
  <c r="C22" i="37"/>
  <c r="D8" i="37"/>
  <c r="C18" i="37"/>
  <c r="C36" i="37"/>
  <c r="D29" i="37"/>
  <c r="C38" i="37"/>
  <c r="D21" i="37"/>
  <c r="V4" i="28"/>
  <c r="U212" i="28"/>
  <c r="F84" i="28"/>
  <c r="Q88" i="28"/>
  <c r="V117" i="28"/>
  <c r="Q117" i="28"/>
  <c r="G117" i="28" s="1"/>
  <c r="V103" i="28"/>
  <c r="Q103" i="28"/>
  <c r="G103" i="28" s="1"/>
  <c r="V58" i="28"/>
  <c r="V121" i="28"/>
  <c r="E36" i="37"/>
  <c r="V118" i="28"/>
  <c r="E35" i="37"/>
  <c r="V106" i="28"/>
  <c r="E30" i="37"/>
  <c r="V104" i="28"/>
  <c r="E29" i="37"/>
  <c r="V68" i="28"/>
  <c r="E32" i="37"/>
  <c r="V56" i="28"/>
  <c r="V54" i="28"/>
  <c r="V38" i="28"/>
  <c r="V71" i="28"/>
  <c r="E8" i="37"/>
  <c r="V73" i="28"/>
  <c r="F72" i="28"/>
  <c r="Q198" i="28"/>
  <c r="Q200" i="28"/>
  <c r="Q199" i="28"/>
  <c r="Q201" i="28"/>
  <c r="F11" i="30"/>
  <c r="H11" i="30" s="1"/>
  <c r="F47" i="28"/>
  <c r="F17" i="30"/>
  <c r="F120" i="28"/>
  <c r="F46" i="28"/>
  <c r="F26" i="28"/>
  <c r="F24" i="28"/>
  <c r="V182" i="28"/>
  <c r="V181" i="28"/>
  <c r="V183" i="28"/>
  <c r="V18" i="28"/>
  <c r="V81" i="28"/>
  <c r="V158" i="28"/>
  <c r="F38" i="28"/>
  <c r="F7" i="30"/>
  <c r="H7" i="30" s="1"/>
  <c r="F56" i="28"/>
  <c r="V67" i="28"/>
  <c r="F70" i="28"/>
  <c r="V35" i="28"/>
  <c r="V43" i="28"/>
  <c r="V90" i="28"/>
  <c r="V169" i="28"/>
  <c r="V88" i="28"/>
  <c r="F8" i="30"/>
  <c r="F39" i="28"/>
  <c r="E17" i="37"/>
  <c r="V89" i="28"/>
  <c r="F43" i="28"/>
  <c r="V136" i="28"/>
  <c r="Q41" i="28"/>
  <c r="G41" i="28" s="1"/>
  <c r="V42" i="28"/>
  <c r="D1" i="28"/>
  <c r="E13" i="37"/>
  <c r="E14" i="37" s="1"/>
  <c r="G101" i="28"/>
  <c r="Q101" i="28" s="1"/>
  <c r="V46" i="28"/>
  <c r="H182" i="28"/>
  <c r="Q182" i="28" s="1"/>
  <c r="G182" i="28" s="1"/>
  <c r="F14" i="30"/>
  <c r="V172" i="28"/>
  <c r="V91" i="28"/>
  <c r="V132" i="28"/>
  <c r="V98" i="28"/>
  <c r="V92" i="28"/>
  <c r="G113" i="28"/>
  <c r="Q113" i="28" s="1"/>
  <c r="V99" i="28"/>
  <c r="V164" i="28"/>
  <c r="V28" i="28"/>
  <c r="V107" i="28"/>
  <c r="V31" i="28"/>
  <c r="V120" i="28"/>
  <c r="V61" i="28"/>
  <c r="V163" i="28"/>
  <c r="V124" i="28"/>
  <c r="V85" i="28"/>
  <c r="V160" i="28"/>
  <c r="V23" i="28"/>
  <c r="F119" i="28"/>
  <c r="V112" i="28"/>
  <c r="V131" i="28"/>
  <c r="V27" i="28"/>
  <c r="V179" i="28"/>
  <c r="V22" i="28"/>
  <c r="V51" i="28"/>
  <c r="V97" i="28"/>
  <c r="V119" i="28"/>
  <c r="V60" i="28"/>
  <c r="V93" i="28"/>
  <c r="V25" i="28"/>
  <c r="F177" i="28"/>
  <c r="V8" i="28"/>
  <c r="V170" i="28"/>
  <c r="V105" i="28"/>
  <c r="V57" i="28"/>
  <c r="V157" i="28"/>
  <c r="V180" i="28"/>
  <c r="V95" i="28"/>
  <c r="V173" i="28"/>
  <c r="V133" i="28"/>
  <c r="V37" i="28"/>
  <c r="F101" i="28"/>
  <c r="L93" i="28"/>
  <c r="V167" i="28"/>
  <c r="V86" i="28"/>
  <c r="V45" i="28"/>
  <c r="V134" i="28"/>
  <c r="V100" i="28"/>
  <c r="V130" i="28"/>
  <c r="V125" i="28"/>
  <c r="V29" i="28"/>
  <c r="V122" i="28"/>
  <c r="H170" i="28"/>
  <c r="Q170" i="28" s="1"/>
  <c r="V159" i="28"/>
  <c r="V87" i="28"/>
  <c r="V41" i="28"/>
  <c r="V52" i="28"/>
  <c r="F44" i="28"/>
  <c r="V96" i="28"/>
  <c r="V110" i="28"/>
  <c r="V30" i="28"/>
  <c r="V6" i="28"/>
  <c r="V127" i="28"/>
  <c r="V63" i="28"/>
  <c r="V55" i="28"/>
  <c r="L10" i="28"/>
  <c r="F5" i="28"/>
  <c r="F128" i="28"/>
  <c r="F41" i="28"/>
  <c r="G34" i="28"/>
  <c r="Q34" i="28" s="1"/>
  <c r="G50" i="28"/>
  <c r="Q50" i="28" s="1"/>
  <c r="F51" i="28"/>
  <c r="Q70" i="28"/>
  <c r="G70" i="28" s="1"/>
  <c r="F50" i="28"/>
  <c r="F21" i="28"/>
  <c r="E189" i="1"/>
  <c r="Q72" i="28"/>
  <c r="G72" i="28" s="1"/>
  <c r="H181" i="28"/>
  <c r="G21" i="28"/>
  <c r="G128" i="28"/>
  <c r="Q128" i="28" s="1"/>
  <c r="E22" i="37"/>
  <c r="E23" i="37" s="1"/>
  <c r="F134" i="28"/>
  <c r="F136" i="28"/>
  <c r="Q81" i="28"/>
  <c r="G81" i="28" s="1"/>
  <c r="F83" i="28"/>
  <c r="G83" i="28"/>
  <c r="Q83" i="28" s="1"/>
  <c r="F103" i="28"/>
  <c r="F67" i="28"/>
  <c r="F34" i="28"/>
  <c r="F117" i="28"/>
  <c r="F116" i="28"/>
  <c r="E38" i="37"/>
  <c r="F29" i="30"/>
  <c r="F58" i="28"/>
  <c r="F57" i="28"/>
  <c r="F28" i="30"/>
  <c r="H28" i="30" s="1"/>
  <c r="F63" i="28"/>
  <c r="F33" i="28"/>
  <c r="F7" i="28"/>
  <c r="G112" i="28"/>
  <c r="Q112" i="28" s="1"/>
  <c r="F112" i="28"/>
  <c r="F62" i="28"/>
  <c r="G62" i="28"/>
  <c r="Q62" i="28" s="1"/>
  <c r="G63" i="28"/>
  <c r="Q63" i="28" s="1"/>
  <c r="G33" i="28"/>
  <c r="Q33" i="28" s="1"/>
  <c r="F55" i="28"/>
  <c r="F26" i="30"/>
  <c r="H26" i="30" s="1"/>
  <c r="F127" i="28"/>
  <c r="E9" i="37"/>
  <c r="H165" i="28"/>
  <c r="Q165" i="28" s="1"/>
  <c r="F164" i="28"/>
  <c r="H180" i="28"/>
  <c r="Q180" i="28" s="1"/>
  <c r="G180" i="28" s="1"/>
  <c r="F173" i="28"/>
  <c r="F10" i="30"/>
  <c r="F167" i="28"/>
  <c r="V10" i="28" l="1"/>
  <c r="F17" i="28"/>
  <c r="Q21" i="28"/>
  <c r="E31" i="37"/>
  <c r="D31" i="37"/>
  <c r="D37" i="37"/>
  <c r="C10" i="37"/>
  <c r="D10" i="37"/>
  <c r="Q181" i="28"/>
  <c r="G181" i="28" s="1"/>
  <c r="L214" i="28" s="1"/>
  <c r="E37" i="37"/>
  <c r="F182" i="28"/>
  <c r="F10" i="28"/>
  <c r="E18" i="37"/>
  <c r="E19" i="37" s="1"/>
  <c r="V94" i="28"/>
  <c r="F170" i="28"/>
  <c r="E10" i="37"/>
  <c r="D19" i="37"/>
  <c r="C23" i="37"/>
  <c r="C14" i="37"/>
  <c r="C31" i="37"/>
  <c r="D23" i="37"/>
  <c r="C19" i="37"/>
  <c r="D14" i="37"/>
  <c r="C37" i="37"/>
  <c r="F181" i="28"/>
  <c r="F30" i="30"/>
  <c r="H29" i="30"/>
  <c r="H30" i="30" s="1"/>
  <c r="F165" i="28"/>
  <c r="F12" i="30"/>
  <c r="H10" i="30"/>
  <c r="H12" i="30" s="1"/>
  <c r="F180" i="28"/>
  <c r="J214" i="28" l="1"/>
  <c r="H32" i="30"/>
  <c r="F15" i="30"/>
  <c r="F18" i="30" s="1"/>
  <c r="F32" i="30"/>
  <c r="C22" i="30" l="1"/>
  <c r="F21" i="30"/>
  <c r="C21" i="30"/>
</calcChain>
</file>

<file path=xl/sharedStrings.xml><?xml version="1.0" encoding="utf-8"?>
<sst xmlns="http://schemas.openxmlformats.org/spreadsheetml/2006/main" count="2322" uniqueCount="1060">
  <si>
    <t xml:space="preserve">Unit Number:      </t>
  </si>
  <si>
    <t>Description of Requested Amount from Audited Financial Statements</t>
  </si>
  <si>
    <t>Capital Assets for Governmental Activities</t>
  </si>
  <si>
    <t>Buildings</t>
  </si>
  <si>
    <t>Plant / distributions systems / water lines</t>
  </si>
  <si>
    <t>Infrastructure(other infrastructure)</t>
  </si>
  <si>
    <t xml:space="preserve">Electric Fund </t>
  </si>
  <si>
    <r>
      <t xml:space="preserve">Total Assets </t>
    </r>
    <r>
      <rPr>
        <b/>
        <sz val="11"/>
        <color indexed="8"/>
        <rFont val="Calibri"/>
        <family val="2"/>
      </rPr>
      <t>being depreciated</t>
    </r>
    <r>
      <rPr>
        <sz val="11"/>
        <color theme="1"/>
        <rFont val="Calibri"/>
        <family val="2"/>
        <scheme val="minor"/>
      </rPr>
      <t xml:space="preserve"> for Governmental Activities:</t>
    </r>
  </si>
  <si>
    <t>Construction in progress</t>
  </si>
  <si>
    <t>Capital Assets for Electric Fund</t>
  </si>
  <si>
    <t>Gross value:</t>
  </si>
  <si>
    <t>Notes to the Financial Statements -Summary Changes in Long-Term Liability</t>
  </si>
  <si>
    <t>Error Messages</t>
  </si>
  <si>
    <t xml:space="preserve">     not necessarily the statistical section.</t>
  </si>
  <si>
    <t>Notes</t>
  </si>
  <si>
    <t>Buildings annual depreciation</t>
  </si>
  <si>
    <t>Building accumulated depreciation</t>
  </si>
  <si>
    <t>Plant / distributions systems / water lines annual depreciation</t>
  </si>
  <si>
    <t>Plant / distributions systems / water lines accumulated depreciation</t>
  </si>
  <si>
    <t>Infrastructure(other infrastructure) annual depreciation</t>
  </si>
  <si>
    <t>Infrastructure(other infrastructure) accumulated depreciation</t>
  </si>
  <si>
    <t>Total Assets Gross value of assets being depreciated for Electric Fund</t>
  </si>
  <si>
    <t>Total accumulated depreciation for Electric Fund assets</t>
  </si>
  <si>
    <t>receiving operating revenues or paying operating expenditures. Eliminate internal balances within this activity group.</t>
  </si>
  <si>
    <t xml:space="preserve">receiving operating revenues or paying operating expenditures. </t>
  </si>
  <si>
    <t xml:space="preserve">and wastewater funds into one activity for purposes of this worksheet.  Exclude stormwater funds.  Only fill out this section if </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</si>
  <si>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</si>
  <si>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</si>
  <si>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-Transfer Note</t>
  </si>
  <si>
    <t>Notes to the Financial Statements -Fund Balance Note</t>
  </si>
  <si>
    <t>Notes to the Financial Statements - Capital Asset Information</t>
  </si>
  <si>
    <r>
      <t xml:space="preserve">Assets </t>
    </r>
    <r>
      <rPr>
        <b/>
        <sz val="11"/>
        <color indexed="8"/>
        <rFont val="Calibri"/>
        <family val="2"/>
      </rPr>
      <t>not being depreciated</t>
    </r>
    <r>
      <rPr>
        <sz val="11"/>
        <color theme="1"/>
        <rFont val="Calibri"/>
        <family val="2"/>
        <scheme val="minor"/>
      </rPr>
      <t xml:space="preserve"> for Water and Sewer Activities:</t>
    </r>
  </si>
  <si>
    <r>
      <t xml:space="preserve">Assets </t>
    </r>
    <r>
      <rPr>
        <b/>
        <sz val="11"/>
        <color indexed="8"/>
        <rFont val="Calibri"/>
        <family val="2"/>
      </rPr>
      <t>being depreciated</t>
    </r>
    <r>
      <rPr>
        <sz val="11"/>
        <color theme="1"/>
        <rFont val="Calibri"/>
        <family val="2"/>
        <scheme val="minor"/>
      </rPr>
      <t xml:space="preserve"> for Water and Sewer Activities:</t>
    </r>
  </si>
  <si>
    <r>
      <t xml:space="preserve">Total Gross Value Assets </t>
    </r>
    <r>
      <rPr>
        <b/>
        <sz val="11"/>
        <color indexed="8"/>
        <rFont val="Calibri"/>
        <family val="2"/>
      </rPr>
      <t>being depreciated</t>
    </r>
    <r>
      <rPr>
        <sz val="11"/>
        <color theme="1"/>
        <rFont val="Calibri"/>
        <family val="2"/>
        <scheme val="minor"/>
      </rPr>
      <t xml:space="preserve"> for Water and Sewer Activities</t>
    </r>
  </si>
  <si>
    <t>Upload Amounts</t>
  </si>
  <si>
    <t xml:space="preserve"> </t>
  </si>
  <si>
    <t>Accumulated depreciation:</t>
  </si>
  <si>
    <t>Total Accumulated depreciation</t>
  </si>
  <si>
    <t>Total Annual depreciation</t>
  </si>
  <si>
    <t>Total Net Water and Sewer Capital Assets</t>
  </si>
  <si>
    <t xml:space="preserve">Fiscal Year </t>
  </si>
  <si>
    <t>Water Sewer Dashboard</t>
  </si>
  <si>
    <t>NC County and Municipal Financial Information</t>
  </si>
  <si>
    <t>All other depreciable capital assets</t>
  </si>
  <si>
    <t>All other depreciable capital assets annual depreciation</t>
  </si>
  <si>
    <t>All other depreciable capital assets accumulated depreciation</t>
  </si>
  <si>
    <t xml:space="preserve">                                                            FINISHED</t>
  </si>
  <si>
    <t>Description</t>
  </si>
  <si>
    <t>Account #</t>
  </si>
  <si>
    <t>Fiscal Year Reviewer Corrections</t>
  </si>
  <si>
    <t>Fiscal Year Unit Input</t>
  </si>
  <si>
    <r>
      <t xml:space="preserve">Instructions:  See Previous Excel tab - </t>
    </r>
    <r>
      <rPr>
        <sz val="14"/>
        <color indexed="8"/>
        <rFont val="Century Schoolbook"/>
        <family val="1"/>
      </rPr>
      <t>Please enter current year audited data in column F</t>
    </r>
  </si>
  <si>
    <t xml:space="preserve">                    FINISHED</t>
  </si>
  <si>
    <t>IMPORT</t>
  </si>
  <si>
    <t>Annual depreciation expense:</t>
  </si>
  <si>
    <t>Boiling Springs</t>
  </si>
  <si>
    <t>Bolivia</t>
  </si>
  <si>
    <t>Bolton</t>
  </si>
  <si>
    <t>Boone</t>
  </si>
  <si>
    <t>Boonville</t>
  </si>
  <si>
    <t>Bostic</t>
  </si>
  <si>
    <t>Brevard</t>
  </si>
  <si>
    <t>Bridgeton</t>
  </si>
  <si>
    <t>Broadway</t>
  </si>
  <si>
    <t>Brookford</t>
  </si>
  <si>
    <t>Brunswick</t>
  </si>
  <si>
    <t>Bryson City</t>
  </si>
  <si>
    <t>Bunn</t>
  </si>
  <si>
    <t>Burgaw</t>
  </si>
  <si>
    <t>Burlington</t>
  </si>
  <si>
    <t>Burnsville</t>
  </si>
  <si>
    <t>Butner</t>
  </si>
  <si>
    <t>Errors</t>
  </si>
  <si>
    <t>Other Financial Information</t>
  </si>
  <si>
    <t>Yes</t>
  </si>
  <si>
    <t>No</t>
  </si>
  <si>
    <t>Property Tax Increase for Year Audited</t>
  </si>
  <si>
    <t>Property Tax Increase for budget year after fiscal year being reported</t>
  </si>
  <si>
    <t>Cash &amp; Tax Memo</t>
  </si>
  <si>
    <t>Dashboard</t>
  </si>
  <si>
    <t>Water Sewer Memo</t>
  </si>
  <si>
    <t>Electric Memo</t>
  </si>
  <si>
    <t>Review Summary</t>
  </si>
  <si>
    <t>Error Detection</t>
  </si>
  <si>
    <t>Water Sewer Memo,
Dashboard,
Water Sewer Dashboard</t>
  </si>
  <si>
    <t>Water Sewer Memo, Water Sewer Dashboard</t>
  </si>
  <si>
    <t>Electric Memo,
Dashboard</t>
  </si>
  <si>
    <t>Water Sewer Memo, Water Sewer Dashboard, Dashboard</t>
  </si>
  <si>
    <t>Electrical Memo</t>
  </si>
  <si>
    <t>Dashboard,
Electric Memo</t>
  </si>
  <si>
    <t>Cash &amp; Tax Memo,
Dashboard</t>
  </si>
  <si>
    <t>Dashboard,
Water Sewer Memo</t>
  </si>
  <si>
    <t>Review Summary - FBA</t>
  </si>
  <si>
    <t>General Info used to evaluate health of unit</t>
  </si>
  <si>
    <t>Fiduciary Funds</t>
  </si>
  <si>
    <t>Calculation</t>
  </si>
  <si>
    <t>Total</t>
  </si>
  <si>
    <t>Without Including Restricted Cash</t>
  </si>
  <si>
    <t>Fund Balance Available for Appropriation - G.S. §159-8(a)</t>
  </si>
  <si>
    <t>Unrestricted Cash and Investments ………………………………..…………………..</t>
  </si>
  <si>
    <t>Restricted cash and investments (This would normally include Powell Bill, Bond Proceeds, consolidated funds such as capital reserve funds or tax revaluation funds)</t>
  </si>
  <si>
    <t>Encumbrances at June 30 (listed in the notes)……………………………...…………………………</t>
  </si>
  <si>
    <t>Unavailable or Unearned Revenues Arising from Cash Receipts ……………………………</t>
  </si>
  <si>
    <t>ü</t>
  </si>
  <si>
    <t>Fund Balance Available for Appropriation ……………………………………………………….</t>
  </si>
  <si>
    <t>Total Fund Balance (From Audited Financial Statements) ……………………………………..………………….</t>
  </si>
  <si>
    <t>Total Restricted by State Statue………………………………………….…………………………………………..</t>
  </si>
  <si>
    <t>Restricted by State Statute Presented on Financial Statements</t>
  </si>
  <si>
    <t>Less</t>
  </si>
  <si>
    <t>Non Spendable -  Inventory, Prepaids, or Other ……………………………………………...…………………..</t>
  </si>
  <si>
    <t>Restricted - Stabilization by State Statute (LGC calculation) …………………….………………..</t>
  </si>
  <si>
    <t>Restricted - Stabilization by State Statute (From Audited Financial Statements) ……………………….…………….…………………………</t>
  </si>
  <si>
    <t>Analysis</t>
  </si>
  <si>
    <t>Without Including</t>
  </si>
  <si>
    <t xml:space="preserve"> Total </t>
  </si>
  <si>
    <t>Expenditures - General Fund</t>
  </si>
  <si>
    <t>Total Expenditures - General Fund ………………………………..………………………………..</t>
  </si>
  <si>
    <t>Adjustments</t>
  </si>
  <si>
    <t xml:space="preserve">    Transfers Out …………………………...…………………………………...…….</t>
  </si>
  <si>
    <t xml:space="preserve">    Issuance of Capital Leases &amp; Installment Purchases ……………...………….</t>
  </si>
  <si>
    <t>Total Expenditures (As Adjusted) ………………………………...…………………….</t>
  </si>
  <si>
    <t xml:space="preserve">    Fund Balance Available  as % of Expenditures …………………………..........</t>
  </si>
  <si>
    <t xml:space="preserve"> Restricted Cash</t>
  </si>
  <si>
    <t>WS - Change in Net Position</t>
  </si>
  <si>
    <t>Electric - Change in Net Position</t>
  </si>
  <si>
    <t>WS - Total Net Position</t>
  </si>
  <si>
    <t>Gov - Net Investment in Capital Assets</t>
  </si>
  <si>
    <t>Gov - Restricted Net Position</t>
  </si>
  <si>
    <t>Gov - Unrestricted Net Position</t>
  </si>
  <si>
    <t>Electric - Unrestricted Net Position</t>
  </si>
  <si>
    <t>Electric - Total Net Position</t>
  </si>
  <si>
    <t>Gov - Any Adj. to Beginning Net Position</t>
  </si>
  <si>
    <t>WS - Any Adj. to Beginning Net Position</t>
  </si>
  <si>
    <t>Electric - Any Adj. to Beginning Net Position</t>
  </si>
  <si>
    <t>How Data is used</t>
  </si>
  <si>
    <t>Statutory Calculation of Fund Balance Available for Appropriation At June 30 for the General Fund
Restricted - Stabilization by State Statute</t>
  </si>
  <si>
    <t>WS - Total Assets and deferred outflows</t>
  </si>
  <si>
    <t>Electric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</si>
  <si>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</si>
  <si>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</si>
  <si>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</si>
  <si>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</si>
  <si>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</si>
  <si>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</si>
  <si>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</si>
  <si>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WS - Total Liabilities and deferred inflows</t>
  </si>
  <si>
    <t>Electric - Select Current Liabilities</t>
  </si>
  <si>
    <t>Electric - Unearned Revenues included in Select Current Liabilities</t>
  </si>
  <si>
    <t>Electric - Total Liabilities and deferred inflows</t>
  </si>
  <si>
    <t>New Questions  -  Please read and answer if applicable</t>
  </si>
  <si>
    <t>Government Wide Statements - Net Position Statement - Governmental Activities Column</t>
  </si>
  <si>
    <t>Statement</t>
  </si>
  <si>
    <t>Net Position-Governmental Activities</t>
  </si>
  <si>
    <r>
      <t xml:space="preserve"> </t>
    </r>
    <r>
      <rPr>
        <u/>
        <sz val="11"/>
        <color indexed="8"/>
        <rFont val="Calibri"/>
        <family val="2"/>
      </rPr>
      <t>All restricted Cash and investments</t>
    </r>
  </si>
  <si>
    <t>Total Assets and deferred outflows</t>
  </si>
  <si>
    <t>Total Liabilities and total deferred inflows</t>
  </si>
  <si>
    <t xml:space="preserve"> Total Net investment in capital assets</t>
  </si>
  <si>
    <t xml:space="preserve"> Total Net Position, Restricted</t>
  </si>
  <si>
    <t>Government Wide Statements-Net Position-Business Activities Column</t>
  </si>
  <si>
    <r>
      <rPr>
        <u/>
        <sz val="11"/>
        <color indexed="8"/>
        <rFont val="Calibri"/>
        <family val="2"/>
      </rPr>
      <t>All unrestricted Cash and investments.</t>
    </r>
    <r>
      <rPr>
        <sz val="11"/>
        <color theme="1"/>
        <rFont val="Calibri"/>
        <family val="2"/>
        <scheme val="minor"/>
      </rPr>
      <t xml:space="preserve"> 
</t>
    </r>
    <r>
      <rPr>
        <b/>
        <sz val="11"/>
        <color indexed="8"/>
        <rFont val="Calibri"/>
        <family val="2"/>
      </rPr>
      <t>Exclude</t>
    </r>
    <r>
      <rPr>
        <sz val="11"/>
        <color theme="1"/>
        <rFont val="Calibri"/>
        <family val="2"/>
        <scheme val="minor"/>
      </rPr>
      <t xml:space="preserve"> restricted cash and cash held by a third party. </t>
    </r>
  </si>
  <si>
    <t>All restricted Cash and investments</t>
  </si>
  <si>
    <t>Net Position-Business Activities</t>
  </si>
  <si>
    <t>Government Wide Statements - Statement of Activities  - Governmental Activities Column</t>
  </si>
  <si>
    <t xml:space="preserve">Total Interest expense on Long-Term Debt </t>
  </si>
  <si>
    <t>Total Expenses</t>
  </si>
  <si>
    <t xml:space="preserve">Charges for services </t>
  </si>
  <si>
    <t>Operating grants and contributions</t>
  </si>
  <si>
    <t>Capital grants and contributions</t>
  </si>
  <si>
    <t>Total Transfers in</t>
  </si>
  <si>
    <t>Total Transfers out</t>
  </si>
  <si>
    <t>Statement of Activities - Governmental</t>
  </si>
  <si>
    <r>
      <t>Total Transfers in</t>
    </r>
    <r>
      <rPr>
        <sz val="11"/>
        <color theme="1"/>
        <rFont val="Calibri"/>
        <family val="2"/>
        <scheme val="minor"/>
      </rPr>
      <t xml:space="preserve">    </t>
    </r>
    <r>
      <rPr>
        <sz val="11"/>
        <color indexed="60"/>
        <rFont val="Calibri"/>
        <family val="2"/>
      </rPr>
      <t>(Preference is that transfers-in  are not netted against transfers-out)</t>
    </r>
  </si>
  <si>
    <r>
      <t>Total Transfers out</t>
    </r>
    <r>
      <rPr>
        <sz val="11"/>
        <color theme="1"/>
        <rFont val="Calibri"/>
        <family val="2"/>
        <scheme val="minor"/>
      </rPr>
      <t xml:space="preserve">    </t>
    </r>
    <r>
      <rPr>
        <sz val="11"/>
        <color indexed="60"/>
        <rFont val="Calibri"/>
        <family val="2"/>
      </rPr>
      <t>(Preference is that transfers-in  are not netted against transfers-out)</t>
    </r>
  </si>
  <si>
    <t>Fund Statements - General Fund Balance Sheet</t>
  </si>
  <si>
    <t>All restricted cash and investments</t>
  </si>
  <si>
    <t xml:space="preserve">Fund balance, Restricted for Stabilization by State Statute </t>
  </si>
  <si>
    <t>Fund balance, Nonspendable-  inventory/prepaids/etc.</t>
  </si>
  <si>
    <t>General Fund-Balance Sheet</t>
  </si>
  <si>
    <r>
      <rPr>
        <u/>
        <sz val="11"/>
        <color indexed="8"/>
        <rFont val="Calibri"/>
        <family val="2"/>
      </rPr>
      <t>Total Intergovernmental revenue</t>
    </r>
    <r>
      <rPr>
        <sz val="11"/>
        <color theme="1"/>
        <rFont val="Calibri"/>
        <family val="2"/>
        <scheme val="minor"/>
      </rPr>
      <t xml:space="preserve"> 
</t>
    </r>
    <r>
      <rPr>
        <b/>
        <sz val="11"/>
        <color indexed="8"/>
        <rFont val="Calibri"/>
        <family val="2"/>
      </rPr>
      <t>Include</t>
    </r>
    <r>
      <rPr>
        <sz val="11"/>
        <color indexed="8"/>
        <rFont val="Calibri"/>
        <family val="2"/>
      </rPr>
      <t xml:space="preserve"> restricted and unrestricted revenues</t>
    </r>
  </si>
  <si>
    <t>Total revenues</t>
  </si>
  <si>
    <r>
      <rPr>
        <u/>
        <sz val="11"/>
        <rFont val="Calibri"/>
        <family val="2"/>
      </rPr>
      <t>Total Proceeds from all long-term debt issuances</t>
    </r>
    <r>
      <rPr>
        <sz val="11"/>
        <rFont val="Calibri"/>
        <family val="2"/>
      </rPr>
      <t xml:space="preserve"> 
</t>
    </r>
    <r>
      <rPr>
        <b/>
        <sz val="11"/>
        <rFont val="Calibri"/>
        <family val="2"/>
      </rPr>
      <t xml:space="preserve">Exclude </t>
    </r>
    <r>
      <rPr>
        <sz val="11"/>
        <rFont val="Calibri"/>
        <family val="2"/>
      </rPr>
      <t>proceeds from refundings</t>
    </r>
  </si>
  <si>
    <r>
      <rPr>
        <u/>
        <sz val="11"/>
        <color indexed="8"/>
        <rFont val="Calibri"/>
        <family val="2"/>
      </rPr>
      <t>Change in fund balance</t>
    </r>
    <r>
      <rPr>
        <sz val="11"/>
        <color theme="1"/>
        <rFont val="Calibri"/>
        <family val="2"/>
        <scheme val="minor"/>
      </rPr>
      <t xml:space="preserve"> - </t>
    </r>
    <r>
      <rPr>
        <sz val="11"/>
        <color indexed="60"/>
        <rFont val="Calibri"/>
        <family val="2"/>
      </rPr>
      <t>(Increase in Fund balance is recorded as a positive and a decrease in fund balance is recorded as a negative)</t>
    </r>
  </si>
  <si>
    <t xml:space="preserve">    General Fund Only - Statement of Revenue, Expenditures and Changes in Fund Balance </t>
  </si>
  <si>
    <t>General Fund-Rev, Exp. Change in Fund Balance</t>
  </si>
  <si>
    <r>
      <rPr>
        <u/>
        <sz val="11"/>
        <color indexed="8"/>
        <rFont val="Calibri"/>
        <family val="2"/>
      </rPr>
      <t>General fund deferred inflows derived from cash receipts</t>
    </r>
    <r>
      <rPr>
        <sz val="11"/>
        <color indexed="8"/>
        <rFont val="Calibri"/>
        <family val="2"/>
      </rPr>
      <t xml:space="preserve">. 
</t>
    </r>
    <r>
      <rPr>
        <sz val="11"/>
        <color indexed="60"/>
        <rFont val="Calibri"/>
        <family val="2"/>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</si>
  <si>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rPr>
      <t>Total Deferred inflows not derived from cash receipts.</t>
    </r>
    <r>
      <rPr>
        <sz val="11"/>
        <color indexed="8"/>
        <rFont val="Calibri"/>
        <family val="2"/>
      </rPr>
      <t xml:space="preserve">  </t>
    </r>
    <r>
      <rPr>
        <sz val="11"/>
        <color indexed="60"/>
        <rFont val="Calibri"/>
        <family val="2"/>
      </rPr>
      <t>Deferred inflows on the face of the statements can include cash and non-cash.  You may have to refer to the note disclosure where the cash and non-cash is broken out.</t>
    </r>
  </si>
  <si>
    <r>
      <rPr>
        <u/>
        <sz val="11"/>
        <rFont val="Calibri"/>
        <family val="2"/>
      </rPr>
      <t>Total expenditures</t>
    </r>
    <r>
      <rPr>
        <sz val="11"/>
        <rFont val="Calibri"/>
        <family val="2"/>
      </rPr>
      <t xml:space="preserve">  
</t>
    </r>
    <r>
      <rPr>
        <b/>
        <sz val="11"/>
        <rFont val="Calibri"/>
        <family val="2"/>
      </rPr>
      <t>Exclude</t>
    </r>
    <r>
      <rPr>
        <sz val="11"/>
        <rFont val="Calibri"/>
        <family val="2"/>
      </rPr>
      <t xml:space="preserve"> expenditures in the "other financing sources (uses)" section.
</t>
    </r>
  </si>
  <si>
    <r>
      <rPr>
        <b/>
        <sz val="11"/>
        <color indexed="8"/>
        <rFont val="Century Schoolbook"/>
        <family val="1"/>
      </rPr>
      <t>Statement of Net Position - Water and Sewer Operations</t>
    </r>
    <r>
      <rPr>
        <sz val="11"/>
        <color indexed="8"/>
        <rFont val="Century Schoolbook"/>
        <family val="1"/>
      </rPr>
      <t xml:space="preserve"> - If unit maintains separate funds please combine all water, sewer,</t>
    </r>
  </si>
  <si>
    <r>
      <rPr>
        <u/>
        <sz val="11"/>
        <color indexed="8"/>
        <rFont val="Calibri"/>
        <family val="2"/>
      </rPr>
      <t>Unrestricted Cash and investments</t>
    </r>
    <r>
      <rPr>
        <sz val="11"/>
        <color theme="1"/>
        <rFont val="Calibri"/>
        <family val="2"/>
        <scheme val="minor"/>
      </rPr>
      <t xml:space="preserve"> 
</t>
    </r>
    <r>
      <rPr>
        <b/>
        <sz val="11"/>
        <color indexed="8"/>
        <rFont val="Calibri"/>
        <family val="2"/>
      </rPr>
      <t>Exclude</t>
    </r>
    <r>
      <rPr>
        <sz val="11"/>
        <color theme="1"/>
        <rFont val="Calibri"/>
        <family val="2"/>
        <scheme val="minor"/>
      </rPr>
      <t xml:space="preserve"> restricted cash and/or restricted investments.</t>
    </r>
  </si>
  <si>
    <r>
      <rPr>
        <u/>
        <sz val="11"/>
        <color indexed="8"/>
        <rFont val="Calibri"/>
        <family val="2"/>
      </rPr>
      <t>Customer accounts receivable</t>
    </r>
    <r>
      <rPr>
        <sz val="11"/>
        <color theme="1"/>
        <rFont val="Calibri"/>
        <family val="2"/>
        <scheme val="minor"/>
      </rPr>
      <t xml:space="preserve"> (net of allowance accounts). 
</t>
    </r>
    <r>
      <rPr>
        <b/>
        <sz val="11"/>
        <color indexed="8"/>
        <rFont val="Calibri"/>
        <family val="2"/>
      </rPr>
      <t>Include</t>
    </r>
    <r>
      <rPr>
        <sz val="11"/>
        <color theme="1"/>
        <rFont val="Calibri"/>
        <family val="2"/>
        <scheme val="minor"/>
      </rPr>
      <t xml:space="preserve"> both billed and unbilled amounts.</t>
    </r>
  </si>
  <si>
    <t>Total Liabilities and deferred inflows</t>
  </si>
  <si>
    <t>Total Net position</t>
  </si>
  <si>
    <t xml:space="preserve">Statement of Net Position - Electric Fund </t>
  </si>
  <si>
    <r>
      <rPr>
        <u/>
        <sz val="11"/>
        <color indexed="8"/>
        <rFont val="Calibri"/>
        <family val="2"/>
      </rPr>
      <t>All Unrestricted Cash and Investments</t>
    </r>
    <r>
      <rPr>
        <sz val="11"/>
        <color theme="1"/>
        <rFont val="Calibri"/>
        <family val="2"/>
        <scheme val="minor"/>
      </rPr>
      <t xml:space="preserve">.  
</t>
    </r>
    <r>
      <rPr>
        <b/>
        <sz val="11"/>
        <color indexed="8"/>
        <rFont val="Calibri"/>
        <family val="2"/>
      </rPr>
      <t>Exclude</t>
    </r>
    <r>
      <rPr>
        <sz val="11"/>
        <color theme="1"/>
        <rFont val="Calibri"/>
        <family val="2"/>
        <scheme val="minor"/>
      </rPr>
      <t xml:space="preserve"> any restricted cash and investments.</t>
    </r>
  </si>
  <si>
    <r>
      <rPr>
        <u/>
        <sz val="11"/>
        <color indexed="8"/>
        <rFont val="Calibri"/>
        <family val="2"/>
      </rPr>
      <t>Customer accounts receivable</t>
    </r>
    <r>
      <rPr>
        <sz val="11"/>
        <color theme="1"/>
        <rFont val="Calibri"/>
        <family val="2"/>
        <scheme val="minor"/>
      </rPr>
      <t xml:space="preserve"> (net of allowance accounts)
</t>
    </r>
    <r>
      <rPr>
        <b/>
        <sz val="11"/>
        <color indexed="8"/>
        <rFont val="Calibri"/>
        <family val="2"/>
      </rPr>
      <t>Include</t>
    </r>
    <r>
      <rPr>
        <sz val="11"/>
        <color theme="1"/>
        <rFont val="Calibri"/>
        <family val="2"/>
        <scheme val="minor"/>
      </rPr>
      <t xml:space="preserve"> billed and unbilled amounts </t>
    </r>
  </si>
  <si>
    <t>Amount of inventories and prepaids</t>
  </si>
  <si>
    <t>Total liabilities and total deferred inflows</t>
  </si>
  <si>
    <r>
      <rPr>
        <u/>
        <sz val="11"/>
        <color indexed="8"/>
        <rFont val="Calibri"/>
        <family val="2"/>
      </rPr>
      <t>Total net position, unrestricted</t>
    </r>
    <r>
      <rPr>
        <sz val="11"/>
        <color theme="1"/>
        <rFont val="Calibri"/>
        <family val="2"/>
        <scheme val="minor"/>
      </rPr>
      <t xml:space="preserve"> - </t>
    </r>
    <r>
      <rPr>
        <sz val="11"/>
        <color indexed="60"/>
        <rFont val="Calibri"/>
        <family val="2"/>
      </rPr>
      <t>Amount of negative unrestricted net position should be entered as a negative amount and the amount of positive unrestricted net position should be entered as a positive amount.</t>
    </r>
  </si>
  <si>
    <t>Total net position</t>
  </si>
  <si>
    <r>
      <rPr>
        <b/>
        <sz val="9"/>
        <color indexed="8"/>
        <rFont val="Century Schoolbook"/>
        <family val="1"/>
      </rPr>
      <t>Water Sewer</t>
    </r>
    <r>
      <rPr>
        <sz val="9"/>
        <color indexed="8"/>
        <rFont val="Century Schoolbook"/>
        <family val="1"/>
      </rPr>
      <t xml:space="preserve"> Revenue, Expenses &amp; Changes in Fund Net Position</t>
    </r>
  </si>
  <si>
    <r>
      <rPr>
        <b/>
        <sz val="9"/>
        <color indexed="8"/>
        <rFont val="Century Schoolbook"/>
        <family val="1"/>
      </rPr>
      <t>Electric Fund</t>
    </r>
    <r>
      <rPr>
        <sz val="9"/>
        <color indexed="8"/>
        <rFont val="Century Schoolbook"/>
        <family val="1"/>
      </rPr>
      <t xml:space="preserve"> Net Position Statement</t>
    </r>
  </si>
  <si>
    <r>
      <rPr>
        <b/>
        <sz val="9"/>
        <color indexed="8"/>
        <rFont val="Century Schoolbook"/>
        <family val="1"/>
      </rPr>
      <t>Water Sewe</t>
    </r>
    <r>
      <rPr>
        <sz val="9"/>
        <color indexed="8"/>
        <rFont val="Century Schoolbook"/>
        <family val="1"/>
      </rPr>
      <t>r Net Position Statement</t>
    </r>
  </si>
  <si>
    <t>Total Operating revenues</t>
  </si>
  <si>
    <t>Depreciation and amortization expense</t>
  </si>
  <si>
    <t>Total Operating expenses</t>
  </si>
  <si>
    <t>Interest expense</t>
  </si>
  <si>
    <r>
      <rPr>
        <u/>
        <sz val="11"/>
        <color indexed="8"/>
        <rFont val="Calibri"/>
        <family val="2"/>
      </rPr>
      <t xml:space="preserve">Total all non-operating </t>
    </r>
    <r>
      <rPr>
        <u/>
        <sz val="11"/>
        <color indexed="8"/>
        <rFont val="Calibri"/>
        <family val="2"/>
      </rPr>
      <t>revenues</t>
    </r>
    <r>
      <rPr>
        <sz val="11"/>
        <color indexed="10"/>
        <rFont val="Calibri"/>
        <family val="2"/>
      </rPr>
      <t xml:space="preserve">  
</t>
    </r>
    <r>
      <rPr>
        <b/>
        <sz val="11"/>
        <color indexed="8"/>
        <rFont val="Calibri"/>
        <family val="2"/>
      </rPr>
      <t>Exclude</t>
    </r>
    <r>
      <rPr>
        <sz val="11"/>
        <color indexed="8"/>
        <rFont val="Calibri"/>
        <family val="2"/>
      </rPr>
      <t xml:space="preserve"> Capital contributions.</t>
    </r>
  </si>
  <si>
    <r>
      <rPr>
        <u/>
        <sz val="11"/>
        <color indexed="8"/>
        <rFont val="Calibri"/>
        <family val="2"/>
      </rPr>
      <t>Capital contributions</t>
    </r>
    <r>
      <rPr>
        <sz val="11"/>
        <color theme="1"/>
        <rFont val="Calibri"/>
        <family val="2"/>
        <scheme val="minor"/>
      </rPr>
      <t>.</t>
    </r>
    <r>
      <rPr>
        <sz val="11"/>
        <color indexed="60"/>
        <rFont val="Calibri"/>
        <family val="2"/>
      </rPr>
      <t xml:space="preserve"> Only include positive capital contributions.  </t>
    </r>
    <r>
      <rPr>
        <sz val="11"/>
        <color indexed="60"/>
        <rFont val="Calibri"/>
        <family val="2"/>
      </rPr>
      <t>Negative capital contributions should be included with 'Total all non-operating expenses.'</t>
    </r>
  </si>
  <si>
    <r>
      <rPr>
        <u/>
        <sz val="11"/>
        <color indexed="8"/>
        <rFont val="Calibri"/>
        <family val="2"/>
      </rPr>
      <t>Change in net position</t>
    </r>
    <r>
      <rPr>
        <sz val="11"/>
        <color theme="1"/>
        <rFont val="Calibri"/>
        <family val="2"/>
        <scheme val="minor"/>
      </rPr>
      <t xml:space="preserve"> - </t>
    </r>
    <r>
      <rPr>
        <sz val="11"/>
        <color indexed="60"/>
        <rFont val="Calibri"/>
        <family val="2"/>
      </rPr>
      <t>Increase in net position is recorded as a positive and a (Decrease) in net position is recorded as a negative.</t>
    </r>
  </si>
  <si>
    <r>
      <rPr>
        <u/>
        <sz val="11"/>
        <color indexed="8"/>
        <rFont val="Calibri"/>
        <family val="2"/>
      </rPr>
      <t>Did unit raise Water Sewer rates during the audited fiscal period</t>
    </r>
    <r>
      <rPr>
        <sz val="11"/>
        <color theme="1"/>
        <rFont val="Calibri"/>
        <family val="2"/>
        <scheme val="minor"/>
      </rPr>
      <t>? -</t>
    </r>
    <r>
      <rPr>
        <sz val="11"/>
        <color indexed="60"/>
        <rFont val="Calibri"/>
        <family val="2"/>
      </rPr>
      <t xml:space="preserve"> answer Yes or No</t>
    </r>
  </si>
  <si>
    <r>
      <rPr>
        <u/>
        <sz val="11"/>
        <color indexed="8"/>
        <rFont val="Calibri"/>
        <family val="2"/>
      </rPr>
      <t>Did unit raise Water Sewer rates during the budget year following the audited fiscal year</t>
    </r>
    <r>
      <rPr>
        <sz val="11"/>
        <color theme="1"/>
        <rFont val="Calibri"/>
        <family val="2"/>
        <scheme val="minor"/>
      </rPr>
      <t xml:space="preserve">? - </t>
    </r>
    <r>
      <rPr>
        <sz val="11"/>
        <color indexed="60"/>
        <rFont val="Calibri"/>
        <family val="2"/>
      </rPr>
      <t>answer Yes or No</t>
    </r>
  </si>
  <si>
    <r>
      <rPr>
        <u/>
        <sz val="11"/>
        <color indexed="8"/>
        <rFont val="Calibri"/>
        <family val="2"/>
      </rPr>
      <t>Increases or (decreases) to beginning water sewer net position due to rounding, prior period adjustments and restatements</t>
    </r>
    <r>
      <rPr>
        <sz val="11"/>
        <color theme="1"/>
        <rFont val="Calibri"/>
        <family val="2"/>
        <scheme val="minor"/>
      </rPr>
      <t xml:space="preserve">.  </t>
    </r>
    <r>
      <rPr>
        <sz val="11"/>
        <color indexed="60"/>
        <rFont val="Calibri"/>
        <family val="2"/>
      </rPr>
      <t>Increase amounts to beginning net position should be entered as a positive amount and (decreases) should be entered as a negative amount.</t>
    </r>
  </si>
  <si>
    <r>
      <rPr>
        <b/>
        <sz val="9"/>
        <color indexed="8"/>
        <rFont val="Century Schoolbook"/>
        <family val="1"/>
      </rPr>
      <t>Electric Fund</t>
    </r>
    <r>
      <rPr>
        <sz val="9"/>
        <color indexed="8"/>
        <rFont val="Century Schoolbook"/>
        <family val="1"/>
      </rPr>
      <t xml:space="preserve"> Revenue, Expenses &amp; Changes in Fund Net Position</t>
    </r>
  </si>
  <si>
    <t>Charges for services</t>
  </si>
  <si>
    <t>Electrical power purchases</t>
  </si>
  <si>
    <r>
      <rPr>
        <u/>
        <sz val="11"/>
        <color indexed="8"/>
        <rFont val="Calibri"/>
        <family val="2"/>
      </rPr>
      <t>Capi</t>
    </r>
    <r>
      <rPr>
        <u/>
        <sz val="11"/>
        <rFont val="Calibri"/>
        <family val="2"/>
      </rPr>
      <t>tal Contributions</t>
    </r>
    <r>
      <rPr>
        <sz val="11"/>
        <rFont val="Calibri"/>
        <family val="2"/>
      </rPr>
      <t xml:space="preserve">.  
</t>
    </r>
    <r>
      <rPr>
        <b/>
        <sz val="11"/>
        <rFont val="Calibri"/>
        <family val="2"/>
      </rPr>
      <t xml:space="preserve">Include </t>
    </r>
    <r>
      <rPr>
        <sz val="11"/>
        <rFont val="Calibri"/>
        <family val="2"/>
      </rPr>
      <t>only positive capital Contributions.</t>
    </r>
    <r>
      <rPr>
        <b/>
        <sz val="11"/>
        <rFont val="Calibri"/>
        <family val="2"/>
      </rPr>
      <t xml:space="preserve">  </t>
    </r>
    <r>
      <rPr>
        <sz val="11"/>
        <color indexed="60"/>
        <rFont val="Calibri"/>
        <family val="2"/>
      </rPr>
      <t>Negative capital contributions should be included with 'Total all non-operating expenses.'</t>
    </r>
  </si>
  <si>
    <r>
      <rPr>
        <u/>
        <sz val="11"/>
        <color indexed="8"/>
        <rFont val="Calibri"/>
        <family val="2"/>
      </rPr>
      <t>Change in net position</t>
    </r>
    <r>
      <rPr>
        <sz val="11"/>
        <color theme="1"/>
        <rFont val="Calibri"/>
        <family val="2"/>
        <scheme val="minor"/>
      </rPr>
      <t xml:space="preserve"> - </t>
    </r>
    <r>
      <rPr>
        <sz val="11"/>
        <color indexed="60"/>
        <rFont val="Calibri"/>
        <family val="2"/>
      </rPr>
      <t>Increase in net position is recorded as a positive and a (decrease) in net position is recorded as a negative.</t>
    </r>
  </si>
  <si>
    <r>
      <rPr>
        <u/>
        <sz val="11"/>
        <color indexed="8"/>
        <rFont val="Calibri"/>
        <family val="2"/>
      </rPr>
      <t>Total Transfers In</t>
    </r>
    <r>
      <rPr>
        <sz val="11"/>
        <color theme="1"/>
        <rFont val="Calibri"/>
        <family val="2"/>
        <scheme val="minor"/>
      </rPr>
      <t xml:space="preserve"> (From all Funds)</t>
    </r>
  </si>
  <si>
    <r>
      <rPr>
        <u/>
        <sz val="11"/>
        <color indexed="8"/>
        <rFont val="Calibri"/>
        <family val="2"/>
      </rPr>
      <t>Total Transfers Out</t>
    </r>
    <r>
      <rPr>
        <sz val="11"/>
        <color theme="1"/>
        <rFont val="Calibri"/>
        <family val="2"/>
        <scheme val="minor"/>
      </rPr>
      <t xml:space="preserve"> (To all funds)</t>
    </r>
  </si>
  <si>
    <r>
      <rPr>
        <u/>
        <sz val="11"/>
        <color indexed="8"/>
        <rFont val="Calibri"/>
        <family val="2"/>
      </rPr>
      <t>Increases or (decreases) to beginning electric net position due to rounding, prior period adjustments and restatements</t>
    </r>
    <r>
      <rPr>
        <sz val="11"/>
        <color indexed="60"/>
        <rFont val="Calibri"/>
        <family val="2"/>
      </rPr>
      <t>.  Increase amounts to beginning net position should be entered as a positive amount and (decreases) should be entered as a negative amount.</t>
    </r>
  </si>
  <si>
    <r>
      <rPr>
        <b/>
        <sz val="11"/>
        <color indexed="8"/>
        <rFont val="Century Schoolbook"/>
        <family val="1"/>
      </rPr>
      <t>Water and Sewer Operations</t>
    </r>
    <r>
      <rPr>
        <sz val="11"/>
        <color indexed="8"/>
        <rFont val="Century Schoolbook"/>
        <family val="1"/>
      </rPr>
      <t xml:space="preserve"> - If unit maintains separate funds please combine all water, sewer,</t>
    </r>
  </si>
  <si>
    <r>
      <t xml:space="preserve">and wastewater funds into one activity for purposes of this worksheet.  </t>
    </r>
    <r>
      <rPr>
        <b/>
        <sz val="11"/>
        <color indexed="8"/>
        <rFont val="Century Schoolbook"/>
        <family val="1"/>
      </rPr>
      <t>Exclude stormwater funds</t>
    </r>
    <r>
      <rPr>
        <sz val="11"/>
        <color indexed="8"/>
        <rFont val="Century Schoolbook"/>
        <family val="1"/>
      </rPr>
      <t xml:space="preserve">.  Only fill out this section if </t>
    </r>
  </si>
  <si>
    <r>
      <t xml:space="preserve">Water Sewer </t>
    </r>
    <r>
      <rPr>
        <sz val="9"/>
        <color indexed="8"/>
        <rFont val="Century Schoolbook"/>
        <family val="1"/>
      </rPr>
      <t>Cash Flow Statement</t>
    </r>
  </si>
  <si>
    <r>
      <rPr>
        <u/>
        <sz val="11"/>
        <color indexed="8"/>
        <rFont val="Calibri"/>
        <family val="2"/>
      </rPr>
      <t>Total Capital outlay</t>
    </r>
    <r>
      <rPr>
        <sz val="11"/>
        <color theme="1"/>
        <rFont val="Calibri"/>
        <family val="2"/>
        <scheme val="minor"/>
      </rPr>
      <t xml:space="preserve">. 
</t>
    </r>
    <r>
      <rPr>
        <b/>
        <sz val="11"/>
        <color indexed="8"/>
        <rFont val="Calibri"/>
        <family val="2"/>
      </rPr>
      <t>Include</t>
    </r>
    <r>
      <rPr>
        <sz val="11"/>
        <color theme="1"/>
        <rFont val="Calibri"/>
        <family val="2"/>
        <scheme val="minor"/>
      </rPr>
      <t xml:space="preserve"> acquisition and construction of capital assets.</t>
    </r>
  </si>
  <si>
    <r>
      <rPr>
        <u/>
        <sz val="11"/>
        <color indexed="8"/>
        <rFont val="Calibri"/>
        <family val="2"/>
      </rPr>
      <t>Principal paid on long-term debt</t>
    </r>
    <r>
      <rPr>
        <sz val="11"/>
        <color theme="1"/>
        <rFont val="Calibri"/>
        <family val="2"/>
        <scheme val="minor"/>
      </rPr>
      <t xml:space="preserve">.  </t>
    </r>
    <r>
      <rPr>
        <sz val="11"/>
        <color indexed="60"/>
        <rFont val="Calibri"/>
        <family val="2"/>
      </rPr>
      <t>Amount should be reduced by principal payments for debt refunding.</t>
    </r>
  </si>
  <si>
    <r>
      <t xml:space="preserve">Electric Fund </t>
    </r>
    <r>
      <rPr>
        <sz val="9"/>
        <color indexed="8"/>
        <rFont val="Century Schoolbook"/>
        <family val="1"/>
      </rPr>
      <t>Cash Flow Statement</t>
    </r>
  </si>
  <si>
    <r>
      <rPr>
        <u/>
        <sz val="11"/>
        <color indexed="8"/>
        <rFont val="Calibri"/>
        <family val="2"/>
      </rPr>
      <t>Total Capital outlay.</t>
    </r>
    <r>
      <rPr>
        <sz val="11"/>
        <color theme="1"/>
        <rFont val="Calibri"/>
        <family val="2"/>
        <scheme val="minor"/>
      </rPr>
      <t xml:space="preserve">  
</t>
    </r>
    <r>
      <rPr>
        <b/>
        <sz val="11"/>
        <color indexed="8"/>
        <rFont val="Calibri"/>
        <family val="2"/>
      </rPr>
      <t>Include</t>
    </r>
    <r>
      <rPr>
        <sz val="11"/>
        <color theme="1"/>
        <rFont val="Calibri"/>
        <family val="2"/>
        <scheme val="minor"/>
      </rPr>
      <t xml:space="preserve"> acquisition and construction of capital assets.</t>
    </r>
  </si>
  <si>
    <r>
      <rPr>
        <u/>
        <sz val="11"/>
        <color indexed="8"/>
        <rFont val="Calibri"/>
        <family val="2"/>
      </rPr>
      <t>Cash and investments</t>
    </r>
    <r>
      <rPr>
        <sz val="11"/>
        <color theme="1"/>
        <rFont val="Calibri"/>
        <family val="2"/>
        <scheme val="minor"/>
      </rPr>
      <t xml:space="preserve">.  
</t>
    </r>
    <r>
      <rPr>
        <b/>
        <sz val="11"/>
        <color indexed="8"/>
        <rFont val="Calibri"/>
        <family val="2"/>
      </rPr>
      <t>Include:</t>
    </r>
    <r>
      <rPr>
        <sz val="11"/>
        <color theme="1"/>
        <rFont val="Calibri"/>
        <family val="2"/>
        <scheme val="minor"/>
      </rPr>
      <t xml:space="preserve">  unrestricted and restricted.  
                 cash and investments held by a third party</t>
    </r>
  </si>
  <si>
    <t>Fiduciary Statements</t>
  </si>
  <si>
    <t>Cash and Investment Note</t>
  </si>
  <si>
    <r>
      <rPr>
        <u/>
        <sz val="11"/>
        <color indexed="8"/>
        <rFont val="Calibri"/>
        <family val="2"/>
      </rPr>
      <t xml:space="preserve">Decreases made (principal paid) on Long-Term Debt in current fiscal year.  Reduce for </t>
    </r>
    <r>
      <rPr>
        <b/>
        <u/>
        <sz val="11"/>
        <color indexed="8"/>
        <rFont val="Calibri"/>
        <family val="2"/>
      </rPr>
      <t>debt refunding</t>
    </r>
    <r>
      <rPr>
        <u/>
        <sz val="11"/>
        <color indexed="8"/>
        <rFont val="Calibri"/>
        <family val="2"/>
      </rPr>
      <t>.</t>
    </r>
  </si>
  <si>
    <t>OPEB Note</t>
  </si>
  <si>
    <r>
      <rPr>
        <u/>
        <sz val="11"/>
        <color indexed="8"/>
        <rFont val="Calibri"/>
        <family val="2"/>
      </rPr>
      <t>Amount of Transfers from the General Fund to the Electric Fund</t>
    </r>
    <r>
      <rPr>
        <sz val="11"/>
        <color theme="1"/>
        <rFont val="Calibri"/>
        <family val="2"/>
        <scheme val="minor"/>
      </rPr>
      <t xml:space="preserve">  </t>
    </r>
    <r>
      <rPr>
        <sz val="11"/>
        <color indexed="60"/>
        <rFont val="Calibri"/>
        <family val="2"/>
      </rPr>
      <t>(Enter as positive)</t>
    </r>
  </si>
  <si>
    <t>Transfer Note</t>
  </si>
  <si>
    <r>
      <rPr>
        <u/>
        <sz val="11"/>
        <color indexed="8"/>
        <rFont val="Calibri"/>
        <family val="2"/>
      </rPr>
      <t>General Fund -  Total Encumbrances.</t>
    </r>
    <r>
      <rPr>
        <sz val="11"/>
        <color theme="1"/>
        <rFont val="Calibri"/>
        <family val="2"/>
        <scheme val="minor"/>
      </rPr>
      <t xml:space="preserve">  </t>
    </r>
    <r>
      <rPr>
        <sz val="11"/>
        <color indexed="60"/>
        <rFont val="Calibri"/>
        <family val="2"/>
      </rPr>
      <t>You will probably have to refer to the note disclosure where the amount of encumbrances is listed.</t>
    </r>
  </si>
  <si>
    <t>Fund Balance Note</t>
  </si>
  <si>
    <t>Amount of the Water Sewer Fund Balance appropriated in next year's budget?</t>
  </si>
  <si>
    <r>
      <rPr>
        <b/>
        <sz val="9"/>
        <color indexed="8"/>
        <rFont val="Century Schoolbook"/>
        <family val="1"/>
      </rPr>
      <t>General Fund</t>
    </r>
    <r>
      <rPr>
        <sz val="9"/>
        <color indexed="8"/>
        <rFont val="Century Schoolbook"/>
        <family val="1"/>
      </rPr>
      <t xml:space="preserve"> - Budget Actual Statement</t>
    </r>
  </si>
  <si>
    <r>
      <rPr>
        <b/>
        <sz val="9"/>
        <color indexed="8"/>
        <rFont val="Century Schoolbook"/>
        <family val="1"/>
      </rPr>
      <t>Water Sewer</t>
    </r>
    <r>
      <rPr>
        <sz val="9"/>
        <color indexed="8"/>
        <rFont val="Century Schoolbook"/>
        <family val="1"/>
      </rPr>
      <t xml:space="preserve"> - Budget Actual Statement</t>
    </r>
  </si>
  <si>
    <r>
      <t xml:space="preserve">Analysis of Current Tax Levy Schedule - Unit-Wide - </t>
    </r>
    <r>
      <rPr>
        <b/>
        <sz val="11"/>
        <color indexed="60"/>
        <rFont val="Century Schoolbook"/>
        <family val="1"/>
      </rPr>
      <t xml:space="preserve">Pull percentages from this LGC-required schedule, </t>
    </r>
  </si>
  <si>
    <t>Analysis of Current Tax Levy Schedule</t>
  </si>
  <si>
    <r>
      <rPr>
        <u/>
        <sz val="11"/>
        <color indexed="8"/>
        <rFont val="Calibri"/>
        <family val="2"/>
      </rPr>
      <t>Gross value.</t>
    </r>
    <r>
      <rPr>
        <sz val="11"/>
        <color theme="1"/>
        <rFont val="Calibri"/>
        <family val="2"/>
        <scheme val="minor"/>
      </rPr>
      <t xml:space="preserve"> </t>
    </r>
    <r>
      <rPr>
        <b/>
        <sz val="11"/>
        <color indexed="8"/>
        <rFont val="Calibri"/>
        <family val="2"/>
      </rPr>
      <t xml:space="preserve"> 
Exclude</t>
    </r>
    <r>
      <rPr>
        <sz val="11"/>
        <color theme="1"/>
        <rFont val="Calibri"/>
        <family val="2"/>
        <scheme val="minor"/>
      </rPr>
      <t xml:space="preserve"> non-depreciable.</t>
    </r>
  </si>
  <si>
    <t>Accumulated depreciation</t>
  </si>
  <si>
    <t>Gov.-Capital Assets Schedule in the Notes</t>
  </si>
  <si>
    <r>
      <rPr>
        <u/>
        <sz val="11"/>
        <color indexed="8"/>
        <rFont val="Calibri"/>
        <family val="2"/>
      </rPr>
      <t>Land and all other non depreciable capital assets</t>
    </r>
    <r>
      <rPr>
        <sz val="11"/>
        <color theme="1"/>
        <rFont val="Calibri"/>
        <family val="2"/>
        <scheme val="minor"/>
      </rPr>
      <t xml:space="preserve"> 
</t>
    </r>
    <r>
      <rPr>
        <b/>
        <sz val="11"/>
        <color indexed="8"/>
        <rFont val="Calibri"/>
        <family val="2"/>
      </rPr>
      <t>Exclude</t>
    </r>
    <r>
      <rPr>
        <sz val="11"/>
        <color theme="1"/>
        <rFont val="Calibri"/>
        <family val="2"/>
        <scheme val="minor"/>
      </rPr>
      <t xml:space="preserve"> construction in progress</t>
    </r>
  </si>
  <si>
    <r>
      <t>Total Assets not being depreciated for</t>
    </r>
    <r>
      <rPr>
        <b/>
        <u/>
        <sz val="11"/>
        <color indexed="8"/>
        <rFont val="Calibri"/>
        <family val="2"/>
      </rPr>
      <t xml:space="preserve"> Water and Sewer</t>
    </r>
    <r>
      <rPr>
        <u/>
        <sz val="11"/>
        <color indexed="8"/>
        <rFont val="Calibri"/>
        <family val="2"/>
      </rPr>
      <t xml:space="preserve"> Activities</t>
    </r>
  </si>
  <si>
    <r>
      <t xml:space="preserve">Total Assets Gross value </t>
    </r>
    <r>
      <rPr>
        <b/>
        <u/>
        <sz val="11"/>
        <color indexed="8"/>
        <rFont val="Calibri"/>
        <family val="2"/>
      </rPr>
      <t>not being depreciated</t>
    </r>
    <r>
      <rPr>
        <u/>
        <sz val="11"/>
        <color indexed="8"/>
        <rFont val="Calibri"/>
        <family val="2"/>
      </rPr>
      <t xml:space="preserve"> for Electric Fund</t>
    </r>
  </si>
  <si>
    <t>WS-Capital Assets Schedule in the Notes</t>
  </si>
  <si>
    <t>WS Capital Assets Schedule-Gross Value</t>
  </si>
  <si>
    <t>WS Capital Assets Schedule-Annual Depreciation</t>
  </si>
  <si>
    <t>WS Capital Assets Schedule-Accumulated Depreciation</t>
  </si>
  <si>
    <t>Electric Assets</t>
  </si>
  <si>
    <t>Electric Accumulated Depreciation</t>
  </si>
  <si>
    <t>Budget Actual Statement for Water Sewer Fund-Modified Accrual Basis</t>
  </si>
  <si>
    <r>
      <rPr>
        <u/>
        <sz val="11"/>
        <rFont val="Calibri"/>
        <family val="2"/>
      </rPr>
      <t>Please enter the Net Current year's levy -- Motor vehicles</t>
    </r>
    <r>
      <rPr>
        <sz val="11"/>
        <rFont val="Calibri"/>
        <family val="2"/>
      </rPr>
      <t xml:space="preserve"> (only) </t>
    </r>
    <r>
      <rPr>
        <sz val="11"/>
        <color indexed="60"/>
        <rFont val="Calibri"/>
        <family val="2"/>
      </rPr>
      <t xml:space="preserve">(after adjusting for discoveries and abatements)
</t>
    </r>
    <r>
      <rPr>
        <b/>
        <sz val="11"/>
        <color indexed="8"/>
        <rFont val="Calibri"/>
        <family val="2"/>
      </rPr>
      <t xml:space="preserve">Exclude </t>
    </r>
    <r>
      <rPr>
        <sz val="11"/>
        <color indexed="8"/>
        <rFont val="Calibri"/>
        <family val="2"/>
      </rPr>
      <t>supplemental taxes</t>
    </r>
  </si>
  <si>
    <r>
      <t xml:space="preserve">Uncollected Taxes - Curr Year's Levy Exclude Motor Vehicles
</t>
    </r>
    <r>
      <rPr>
        <b/>
        <sz val="11"/>
        <rFont val="Calibri"/>
        <family val="2"/>
      </rPr>
      <t>Exclude</t>
    </r>
    <r>
      <rPr>
        <sz val="11"/>
        <rFont val="Calibri"/>
        <family val="2"/>
      </rPr>
      <t xml:space="preserve"> supplemental taxes</t>
    </r>
  </si>
  <si>
    <r>
      <t xml:space="preserve">Uncollected Taxes - Curr Year's Levy Motor Vehicles
</t>
    </r>
    <r>
      <rPr>
        <b/>
        <sz val="11"/>
        <rFont val="Calibri"/>
        <family val="2"/>
      </rPr>
      <t>Exclude</t>
    </r>
    <r>
      <rPr>
        <sz val="11"/>
        <rFont val="Calibri"/>
        <family val="2"/>
      </rPr>
      <t xml:space="preserve"> supplemental taxes</t>
    </r>
  </si>
  <si>
    <r>
      <rPr>
        <u/>
        <sz val="11"/>
        <color indexed="8"/>
        <rFont val="Calibri"/>
        <family val="2"/>
      </rPr>
      <t>Property Tax Increase for Year Audited</t>
    </r>
    <r>
      <rPr>
        <sz val="11"/>
        <color theme="1"/>
        <rFont val="Calibri"/>
        <family val="2"/>
        <scheme val="minor"/>
      </rPr>
      <t xml:space="preserve">- </t>
    </r>
    <r>
      <rPr>
        <sz val="11"/>
        <color indexed="60"/>
        <rFont val="Calibri"/>
        <family val="2"/>
      </rPr>
      <t xml:space="preserve">enter amount of  increase in cents per $100 - leave blank if no increase 
</t>
    </r>
    <r>
      <rPr>
        <b/>
        <sz val="11"/>
        <color indexed="8"/>
        <rFont val="Calibri"/>
        <family val="2"/>
      </rPr>
      <t>Exclude</t>
    </r>
    <r>
      <rPr>
        <sz val="11"/>
        <color indexed="8"/>
        <rFont val="Calibri"/>
        <family val="2"/>
      </rPr>
      <t xml:space="preserve"> supplemental taxes</t>
    </r>
  </si>
  <si>
    <r>
      <rPr>
        <u/>
        <sz val="11"/>
        <color indexed="8"/>
        <rFont val="Calibri"/>
        <family val="2"/>
      </rPr>
      <t>Property Tax Increase for budget year after fiscal year being reported</t>
    </r>
    <r>
      <rPr>
        <sz val="11"/>
        <color theme="1"/>
        <rFont val="Calibri"/>
        <family val="2"/>
        <scheme val="minor"/>
      </rPr>
      <t xml:space="preserve"> - </t>
    </r>
    <r>
      <rPr>
        <sz val="11"/>
        <color indexed="60"/>
        <rFont val="Calibri"/>
        <family val="2"/>
      </rPr>
      <t xml:space="preserve">enter amount of increase in cents per $100- leave blank if no increase
</t>
    </r>
    <r>
      <rPr>
        <b/>
        <sz val="11"/>
        <color indexed="8"/>
        <rFont val="Calibri"/>
        <family val="2"/>
      </rPr>
      <t>Exclude</t>
    </r>
    <r>
      <rPr>
        <sz val="11"/>
        <color indexed="8"/>
        <rFont val="Calibri"/>
        <family val="2"/>
      </rPr>
      <t xml:space="preserve"> supplemental taxes</t>
    </r>
  </si>
  <si>
    <r>
      <t xml:space="preserve">Capital Assets for Water and Sewer Activity </t>
    </r>
    <r>
      <rPr>
        <sz val="9"/>
        <color indexed="60"/>
        <rFont val="Calibri"/>
        <family val="2"/>
      </rPr>
      <t>(If unit maintains separate funds please combine all water, sewer and wastewater funds into one activity for purposes of this worksheet)</t>
    </r>
    <r>
      <rPr>
        <b/>
        <sz val="9"/>
        <color indexed="8"/>
        <rFont val="Calibri"/>
        <family val="2"/>
      </rPr>
      <t xml:space="preserve">
Exclude </t>
    </r>
    <r>
      <rPr>
        <sz val="9"/>
        <color indexed="8"/>
        <rFont val="Calibri"/>
        <family val="2"/>
      </rPr>
      <t>Stormwater funds</t>
    </r>
  </si>
  <si>
    <t>Liabilities……………………………………………………………….………………………….</t>
  </si>
  <si>
    <r>
      <rPr>
        <u/>
        <sz val="11"/>
        <color indexed="8"/>
        <rFont val="Calibri"/>
        <family val="2"/>
      </rPr>
      <t>Total Special and Extraordinary items</t>
    </r>
    <r>
      <rPr>
        <sz val="11"/>
        <color theme="1"/>
        <rFont val="Calibri"/>
        <family val="2"/>
        <scheme val="minor"/>
      </rPr>
      <t xml:space="preserve">.   </t>
    </r>
    <r>
      <rPr>
        <sz val="11"/>
        <color indexed="60"/>
        <rFont val="Calibri"/>
        <family val="2"/>
      </rPr>
      <t xml:space="preserve"> (Amounts that increase net position are recorded as positive and amounts that decrease net position are recorded as negative)</t>
    </r>
  </si>
  <si>
    <r>
      <rPr>
        <u/>
        <sz val="11"/>
        <color indexed="8"/>
        <rFont val="Calibri"/>
        <family val="2"/>
      </rPr>
      <t>Total Change in net position</t>
    </r>
    <r>
      <rPr>
        <sz val="11"/>
        <color theme="1"/>
        <rFont val="Calibri"/>
        <family val="2"/>
        <scheme val="minor"/>
      </rPr>
      <t xml:space="preserve"> - </t>
    </r>
    <r>
      <rPr>
        <sz val="11"/>
        <color indexed="60"/>
        <rFont val="Calibri"/>
        <family val="2"/>
      </rPr>
      <t>(Increase in net position is recorded as a positive and a decrease in net position is recorded as a negative)</t>
    </r>
  </si>
  <si>
    <t>Statement of Revenues, Expenses, and Changes in Fund Net Position</t>
  </si>
  <si>
    <t>Gov - Restricted Cash &amp; Investments</t>
  </si>
  <si>
    <t>GA-Total Unrestricted Cash &amp; Investments</t>
  </si>
  <si>
    <t>Bus - Unrestricted Cash &amp; Investments</t>
  </si>
  <si>
    <t>Bus - Restricted Cash &amp; Investments</t>
  </si>
  <si>
    <t>Gov - Interest Exp on LT Debt</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</si>
  <si>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</si>
  <si>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</si>
  <si>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</si>
  <si>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</si>
  <si>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</si>
  <si>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</si>
  <si>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</si>
  <si>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</si>
  <si>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</si>
  <si>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</si>
  <si>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</si>
  <si>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</si>
  <si>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</si>
  <si>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</si>
  <si>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Powell Bill in FB</t>
  </si>
  <si>
    <t>Gen Fund - Total Fund Balance per report</t>
  </si>
  <si>
    <t>Gen Fund - Intergov Rev</t>
  </si>
  <si>
    <t>Gen Fund - Total Revenue</t>
  </si>
  <si>
    <t>Gen Fund - Debt Annual P &amp; I</t>
  </si>
  <si>
    <t xml:space="preserve">Gen Fund - Total Expenditures </t>
  </si>
  <si>
    <t>Gen Fund - Transfers In</t>
  </si>
  <si>
    <t>Gen Fund - Transfers Out</t>
  </si>
  <si>
    <t xml:space="preserve">Gen Fund - Proceeds from LTD </t>
  </si>
  <si>
    <t>Gen Fund - Other items</t>
  </si>
  <si>
    <t>Gen Fund - Positive debt refund</t>
  </si>
  <si>
    <t>Gen fund - Negative debt refund</t>
  </si>
  <si>
    <t>Gen Fund - Change in Fund Balance</t>
  </si>
  <si>
    <t>Gen Fund - Any Adj. to Beginning Net Assets</t>
  </si>
  <si>
    <t>Gov - Debt P &amp; I</t>
  </si>
  <si>
    <t>WS - Unrestricted Cash &amp; Investments</t>
  </si>
  <si>
    <t>WS - Customer AR Net</t>
  </si>
  <si>
    <t>WS - Inventories &amp; Prepaids in Curr Assets</t>
  </si>
  <si>
    <t>WS - Unearned revenue</t>
  </si>
  <si>
    <t>WS - Unrestricted Net Position</t>
  </si>
  <si>
    <t>Electric - Unrestricted Cash &amp; Investments</t>
  </si>
  <si>
    <t>Electric - Customer AR Net</t>
  </si>
  <si>
    <t>Electric - Inventories &amp; Prepaids in Curr Assets</t>
  </si>
  <si>
    <t>WS - Charges for Services</t>
  </si>
  <si>
    <t>WS - Total Operating Revenue</t>
  </si>
  <si>
    <t>WS - Depreciation &amp; Amortization Exp.</t>
  </si>
  <si>
    <t>WS - Total Operating Expenses</t>
  </si>
  <si>
    <t>WS - Interest Expense</t>
  </si>
  <si>
    <t>WS - Total Non-Operating Revenues</t>
  </si>
  <si>
    <t>WS - Total Non-Operating Expenses</t>
  </si>
  <si>
    <t>WS - Capital Contributions</t>
  </si>
  <si>
    <t>WS - Total Transfer In</t>
  </si>
  <si>
    <t>WS - Total Transfer Out</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</si>
  <si>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</si>
  <si>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</si>
  <si>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</si>
  <si>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</si>
  <si>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</si>
  <si>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</si>
  <si>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</si>
  <si>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</si>
  <si>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</si>
  <si>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</si>
  <si>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WS - Cash Flow from Operating Activities</t>
  </si>
  <si>
    <t>WS - Principal Paid - Cash Flow</t>
  </si>
  <si>
    <t>WS - Capital Outlay - Cashflow</t>
  </si>
  <si>
    <t>Electric - Cash Flow from Operating Activities</t>
  </si>
  <si>
    <t>Electric - Capital Outlay - Cash Flow</t>
  </si>
  <si>
    <t>Electric - Principal Paid - Cash Flow</t>
  </si>
  <si>
    <t>Fiduciary - Cash and Investments</t>
  </si>
  <si>
    <t>Cash and Investment - Bond Proceeds - all Funds</t>
  </si>
  <si>
    <t>Gov - Debt Liability</t>
  </si>
  <si>
    <t>Gov - Principal Paid</t>
  </si>
  <si>
    <t>Electric - Debt Liability</t>
  </si>
  <si>
    <t>OPEB- ARC</t>
  </si>
  <si>
    <t>Retiree Premiums pd by unit</t>
  </si>
  <si>
    <t>OPEB- Obligation</t>
  </si>
  <si>
    <t>OPEB- Actuarial Value of Assets</t>
  </si>
  <si>
    <t>OPEB- UAAL</t>
  </si>
  <si>
    <t>OPEB- UAAL % of Payroll</t>
  </si>
  <si>
    <t>Transfer from General to Debt Fund</t>
  </si>
  <si>
    <t>Transfer from General Fund to Electric</t>
  </si>
  <si>
    <t>Transfer from Electric to General Fund</t>
  </si>
  <si>
    <t>Gen Fund - Encumbrances</t>
  </si>
  <si>
    <t>Amt of the WS Fund Balance approp. in next year's budget</t>
  </si>
  <si>
    <t>Amt of the GF Fund Bal. approp. in next year's budget</t>
  </si>
  <si>
    <t>Tax Collection Rate - Unit Wide</t>
  </si>
  <si>
    <t>Tax collection Rate - Excluding Vehicles</t>
  </si>
  <si>
    <t>Tax Collection Rate - Vehicles</t>
  </si>
  <si>
    <t>Current year's levy -- Excluding motor vehicles</t>
  </si>
  <si>
    <t>Current year's levy -- Motor vehicles (only)</t>
  </si>
  <si>
    <t>Uncollected Taxes - Curr Year's Levy Exclude Motor Vehicles</t>
  </si>
  <si>
    <t>Uncollected Taxes - Curr Year's Levy Motor Vehicles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</si>
  <si>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</si>
  <si>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</si>
  <si>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</si>
  <si>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</si>
  <si>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</si>
  <si>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</si>
  <si>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</si>
  <si>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</si>
  <si>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</si>
  <si>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</si>
  <si>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</si>
  <si>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</si>
  <si>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</si>
  <si>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</si>
  <si>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</si>
  <si>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</si>
  <si>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</si>
  <si>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</si>
  <si>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Were WS rates raised in next year's budget</t>
  </si>
  <si>
    <t>Were WS rates raised during the audited fiscal period</t>
  </si>
  <si>
    <t>Prior Year Amts.</t>
  </si>
  <si>
    <t>CCH 4</t>
  </si>
  <si>
    <t>CCH 5</t>
  </si>
  <si>
    <t>CCH 6</t>
  </si>
  <si>
    <t>CCH 7</t>
  </si>
  <si>
    <t>CCH 9</t>
  </si>
  <si>
    <t>CCH 11</t>
  </si>
  <si>
    <t>CCH 16</t>
  </si>
  <si>
    <t>CCH 17</t>
  </si>
  <si>
    <t>CCH 20</t>
  </si>
  <si>
    <t>CCH 22</t>
  </si>
  <si>
    <t>CCH 23</t>
  </si>
  <si>
    <t>CCH 44</t>
  </si>
  <si>
    <t>CCH 45</t>
  </si>
  <si>
    <t>CCH 47</t>
  </si>
  <si>
    <t>CCH 48</t>
  </si>
  <si>
    <t>CCH 49</t>
  </si>
  <si>
    <t>CCH 50</t>
  </si>
  <si>
    <t>CCH 51</t>
  </si>
  <si>
    <t>CCH 52</t>
  </si>
  <si>
    <t>CCH 53</t>
  </si>
  <si>
    <t>CCH 55</t>
  </si>
  <si>
    <t>CCH 61</t>
  </si>
  <si>
    <t>CCH 80</t>
  </si>
  <si>
    <t>CCH 81</t>
  </si>
  <si>
    <t>CCH 82</t>
  </si>
  <si>
    <t>CCH 83</t>
  </si>
  <si>
    <t>CCH 84</t>
  </si>
  <si>
    <t>CCH 85</t>
  </si>
  <si>
    <t>CCH 88</t>
  </si>
  <si>
    <t>CCH 89</t>
  </si>
  <si>
    <t>CCH 90</t>
  </si>
  <si>
    <t>CCH 91</t>
  </si>
  <si>
    <t>CCH 93</t>
  </si>
  <si>
    <t>CCH 94</t>
  </si>
  <si>
    <t>CCH 97</t>
  </si>
  <si>
    <t>CCH 98</t>
  </si>
  <si>
    <t>CCH 99</t>
  </si>
  <si>
    <t>CCH 100</t>
  </si>
  <si>
    <t>CCH 101</t>
  </si>
  <si>
    <t>CCH 102</t>
  </si>
  <si>
    <t>CCH 103</t>
  </si>
  <si>
    <t>CCH 171</t>
  </si>
  <si>
    <t>CCH 191</t>
  </si>
  <si>
    <t>CCH 192</t>
  </si>
  <si>
    <t>CCH 252</t>
  </si>
  <si>
    <t>CCH 253</t>
  </si>
  <si>
    <t>CCH 254</t>
  </si>
  <si>
    <t>CCH 255</t>
  </si>
  <si>
    <t>CCH 320</t>
  </si>
  <si>
    <t>CCH 321</t>
  </si>
  <si>
    <t>CCH 322</t>
  </si>
  <si>
    <t>CCH 323</t>
  </si>
  <si>
    <t>CCH 324</t>
  </si>
  <si>
    <t>CCH 325</t>
  </si>
  <si>
    <t>CCH 327</t>
  </si>
  <si>
    <t>CCH 328</t>
  </si>
  <si>
    <t>CCH 330</t>
  </si>
  <si>
    <t>CCH 331</t>
  </si>
  <si>
    <t>CCH 332</t>
  </si>
  <si>
    <t>CCH 333</t>
  </si>
  <si>
    <t>CCH 334</t>
  </si>
  <si>
    <t>CCH 335</t>
  </si>
  <si>
    <t>CCH 336</t>
  </si>
  <si>
    <t>CCH 337</t>
  </si>
  <si>
    <t>CCH 338</t>
  </si>
  <si>
    <t>CCH 339</t>
  </si>
  <si>
    <t>CCH 341</t>
  </si>
  <si>
    <t>CCH 343</t>
  </si>
  <si>
    <t>CCH 344</t>
  </si>
  <si>
    <t>CCH 349</t>
  </si>
  <si>
    <t>CCH 350</t>
  </si>
  <si>
    <t>CCH 351</t>
  </si>
  <si>
    <t>CCH 352</t>
  </si>
  <si>
    <t>CCH 353</t>
  </si>
  <si>
    <t>CCH 354</t>
  </si>
  <si>
    <t>CCH 357</t>
  </si>
  <si>
    <t>CCH 359</t>
  </si>
  <si>
    <t>CCH 360</t>
  </si>
  <si>
    <t>CCH 361</t>
  </si>
  <si>
    <t>CCH 362</t>
  </si>
  <si>
    <t>CCH 363</t>
  </si>
  <si>
    <t>CCH 364</t>
  </si>
  <si>
    <t>CCH 365</t>
  </si>
  <si>
    <t>CCH 366</t>
  </si>
  <si>
    <t>CCH 368</t>
  </si>
  <si>
    <t>CCH 369</t>
  </si>
  <si>
    <t>CCH 370</t>
  </si>
  <si>
    <t>CCH 371</t>
  </si>
  <si>
    <t>CCH 373</t>
  </si>
  <si>
    <t>CCH 375</t>
  </si>
  <si>
    <t>CCH 376</t>
  </si>
  <si>
    <t>CCH 377</t>
  </si>
  <si>
    <t>CCH 378</t>
  </si>
  <si>
    <t>CCH 379</t>
  </si>
  <si>
    <t>CCH 380</t>
  </si>
  <si>
    <t>CCH 381</t>
  </si>
  <si>
    <t>CCH 382</t>
  </si>
  <si>
    <t>CCH 383</t>
  </si>
  <si>
    <t>CCH 384</t>
  </si>
  <si>
    <t>CCH 385</t>
  </si>
  <si>
    <t>CCH 386</t>
  </si>
  <si>
    <t>CCH 387</t>
  </si>
  <si>
    <t>CCH 388</t>
  </si>
  <si>
    <t>CCH 389</t>
  </si>
  <si>
    <t>CCH 391</t>
  </si>
  <si>
    <t>CCH 500</t>
  </si>
  <si>
    <t>CCH 502</t>
  </si>
  <si>
    <t>CCH 503</t>
  </si>
  <si>
    <t>CCH 504</t>
  </si>
  <si>
    <t>CCH 505</t>
  </si>
  <si>
    <t>CCH 506</t>
  </si>
  <si>
    <t>CCH 507</t>
  </si>
  <si>
    <t>CCH 508</t>
  </si>
  <si>
    <t>CCH 509</t>
  </si>
  <si>
    <t>CCH 510</t>
  </si>
  <si>
    <t>CCH 511</t>
  </si>
  <si>
    <t>CCH 512</t>
  </si>
  <si>
    <t>CCH 513</t>
  </si>
  <si>
    <t>CCH 514</t>
  </si>
  <si>
    <t>CCH 515</t>
  </si>
  <si>
    <t>CCH 516</t>
  </si>
  <si>
    <t>CCH 517</t>
  </si>
  <si>
    <t>CCH 518</t>
  </si>
  <si>
    <t>CCH 519</t>
  </si>
  <si>
    <t>CCH 520</t>
  </si>
  <si>
    <t>CCH 521</t>
  </si>
  <si>
    <t>CCH 522</t>
  </si>
  <si>
    <t>CCH 523</t>
  </si>
  <si>
    <t>CCH 524</t>
  </si>
  <si>
    <t>CCH 525</t>
  </si>
  <si>
    <t>CCH 526</t>
  </si>
  <si>
    <t>CCH 527</t>
  </si>
  <si>
    <t>CCH 528</t>
  </si>
  <si>
    <t>CCH 529</t>
  </si>
  <si>
    <t>CCH 530</t>
  </si>
  <si>
    <t>CCH 531</t>
  </si>
  <si>
    <t>CCH 532</t>
  </si>
  <si>
    <t>CCH 533</t>
  </si>
  <si>
    <t>CCH 535</t>
  </si>
  <si>
    <t>CCH 536</t>
  </si>
  <si>
    <t>CCH 995</t>
  </si>
  <si>
    <t>Units with Water Sewer Operations have. 01</t>
  </si>
  <si>
    <t>CCH 996</t>
  </si>
  <si>
    <t>CCH 998</t>
  </si>
  <si>
    <t>CCH 999</t>
  </si>
  <si>
    <t>Select Your Unit's Name from the drop down box in cell D2</t>
  </si>
  <si>
    <r>
      <t xml:space="preserve">Long-Term Liability Note - </t>
    </r>
    <r>
      <rPr>
        <b/>
        <sz val="11"/>
        <color indexed="8"/>
        <rFont val="Century Schoolbook"/>
        <family val="1"/>
      </rPr>
      <t>Water Sewer Activities</t>
    </r>
  </si>
  <si>
    <r>
      <t>Long-Term Liability Note -</t>
    </r>
    <r>
      <rPr>
        <b/>
        <sz val="9"/>
        <color indexed="8"/>
        <rFont val="Century Schoolbook"/>
        <family val="1"/>
      </rPr>
      <t xml:space="preserve"> </t>
    </r>
    <r>
      <rPr>
        <b/>
        <sz val="11"/>
        <color indexed="8"/>
        <rFont val="Century Schoolbook"/>
        <family val="1"/>
      </rPr>
      <t>Electric Activities</t>
    </r>
  </si>
  <si>
    <t>Dashboard,
Water Sewer Dashboard</t>
  </si>
  <si>
    <t>Water Sewer Memo,
Water Sewer Dashboard</t>
  </si>
  <si>
    <r>
      <rPr>
        <u/>
        <sz val="11"/>
        <color indexed="8"/>
        <rFont val="Calibri"/>
        <family val="2"/>
      </rPr>
      <t xml:space="preserve"> All unrestricted Cash and investments.</t>
    </r>
    <r>
      <rPr>
        <sz val="11"/>
        <color theme="1"/>
        <rFont val="Calibri"/>
        <family val="2"/>
        <scheme val="minor"/>
      </rPr>
      <t xml:space="preserve">  
</t>
    </r>
    <r>
      <rPr>
        <b/>
        <sz val="11"/>
        <color indexed="8"/>
        <rFont val="Calibri"/>
        <family val="2"/>
      </rPr>
      <t>Exclude:</t>
    </r>
    <r>
      <rPr>
        <sz val="11"/>
        <color theme="1"/>
        <rFont val="Calibri"/>
        <family val="2"/>
        <scheme val="minor"/>
      </rPr>
      <t xml:space="preserve"> restricted cash 
                   cash held by a third party. </t>
    </r>
  </si>
  <si>
    <r>
      <t xml:space="preserve">All unrestricted cash and investments.  
</t>
    </r>
    <r>
      <rPr>
        <b/>
        <sz val="11"/>
        <color indexed="8"/>
        <rFont val="Calibri"/>
        <family val="2"/>
      </rPr>
      <t>Exclude</t>
    </r>
    <r>
      <rPr>
        <sz val="11"/>
        <color indexed="8"/>
        <rFont val="Calibri"/>
        <family val="2"/>
      </rPr>
      <t xml:space="preserve"> restricted cash and cash held by a third party. </t>
    </r>
  </si>
  <si>
    <r>
      <t xml:space="preserve">Total Transfers in   </t>
    </r>
    <r>
      <rPr>
        <sz val="11"/>
        <color indexed="60"/>
        <rFont val="Calibri"/>
        <family val="2"/>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</si>
  <si>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rPr>
      <t>(Preference is that transfers-in  are not netted against transfers-out)</t>
    </r>
  </si>
  <si>
    <r>
      <rPr>
        <u/>
        <sz val="11"/>
        <color indexed="8"/>
        <rFont val="Calibri"/>
        <family val="2"/>
      </rPr>
      <t xml:space="preserve">Total all the non-operating </t>
    </r>
    <r>
      <rPr>
        <u/>
        <sz val="11"/>
        <color indexed="8"/>
        <rFont val="Calibri"/>
        <family val="2"/>
      </rPr>
      <t>revenues</t>
    </r>
    <r>
      <rPr>
        <u/>
        <sz val="11"/>
        <color indexed="8"/>
        <rFont val="Calibri"/>
        <family val="2"/>
      </rPr>
      <t xml:space="preserve"> </t>
    </r>
    <r>
      <rPr>
        <u/>
        <sz val="11"/>
        <color indexed="8"/>
        <rFont val="Calibri"/>
        <family val="2"/>
      </rPr>
      <t xml:space="preserve"> </t>
    </r>
    <r>
      <rPr>
        <sz val="11"/>
        <color indexed="8"/>
        <rFont val="Calibri"/>
        <family val="2"/>
      </rPr>
      <t xml:space="preserve">
</t>
    </r>
    <r>
      <rPr>
        <b/>
        <sz val="11"/>
        <color indexed="8"/>
        <rFont val="Calibri"/>
        <family val="2"/>
      </rPr>
      <t>Exclude</t>
    </r>
    <r>
      <rPr>
        <sz val="11"/>
        <color indexed="8"/>
        <rFont val="Calibri"/>
        <family val="2"/>
      </rPr>
      <t xml:space="preserve"> Capital Contributions.</t>
    </r>
  </si>
  <si>
    <r>
      <rPr>
        <u/>
        <sz val="11"/>
        <color indexed="8"/>
        <rFont val="Calibri"/>
        <family val="2"/>
      </rPr>
      <t>Total current and non-current portion of Debt</t>
    </r>
    <r>
      <rPr>
        <sz val="11"/>
        <color theme="1"/>
        <rFont val="Calibri"/>
        <family val="2"/>
        <scheme val="minor"/>
      </rPr>
      <t xml:space="preserve">. 
</t>
    </r>
    <r>
      <rPr>
        <b/>
        <sz val="11"/>
        <color indexed="8"/>
        <rFont val="Calibri"/>
        <family val="2"/>
      </rPr>
      <t xml:space="preserve">Include:  </t>
    </r>
    <r>
      <rPr>
        <sz val="11"/>
        <color indexed="8"/>
        <rFont val="Calibri"/>
        <family val="2"/>
      </rPr>
      <t>Bonds, b</t>
    </r>
    <r>
      <rPr>
        <sz val="11"/>
        <color theme="1"/>
        <rFont val="Calibri"/>
        <family val="2"/>
        <scheme val="minor"/>
      </rPr>
      <t>ond anticipation notes, 
                 Capital leases,
                 Premiums and discounts,
                 Installment purchases.</t>
    </r>
    <r>
      <rPr>
        <b/>
        <sz val="11"/>
        <color indexed="8"/>
        <rFont val="Calibri"/>
        <family val="2"/>
      </rPr>
      <t xml:space="preserve"> 
Exclude:</t>
    </r>
    <r>
      <rPr>
        <sz val="11"/>
        <color theme="1"/>
        <rFont val="Calibri"/>
        <family val="2"/>
        <scheme val="minor"/>
      </rPr>
      <t xml:space="preserve"> Compensated absences, 
                 Pensions, 
                 Other post-employment benefits (OPEB), 
                 Debt </t>
    </r>
    <r>
      <rPr>
        <u/>
        <sz val="11"/>
        <color indexed="8"/>
        <rFont val="Calibri"/>
        <family val="2"/>
      </rPr>
      <t>within</t>
    </r>
    <r>
      <rPr>
        <sz val="11"/>
        <color theme="1"/>
        <rFont val="Calibri"/>
        <family val="2"/>
        <scheme val="minor"/>
      </rPr>
      <t xml:space="preserve"> the primary government, 
                 Amounts due to participants from internal 
                       service funds, 
                 Landfill closure/postclosure liability, 
                 Any other debt not directly related to
                       long-term contracts.</t>
    </r>
  </si>
  <si>
    <r>
      <rPr>
        <u/>
        <sz val="11"/>
        <color indexed="8"/>
        <rFont val="Calibri"/>
        <family val="2"/>
      </rPr>
      <t>Total current and non-current portion of Debt</t>
    </r>
    <r>
      <rPr>
        <sz val="11"/>
        <color theme="1"/>
        <rFont val="Calibri"/>
        <family val="2"/>
        <scheme val="minor"/>
      </rPr>
      <t xml:space="preserve">. 
</t>
    </r>
    <r>
      <rPr>
        <b/>
        <sz val="11"/>
        <color indexed="8"/>
        <rFont val="Calibri"/>
        <family val="2"/>
      </rPr>
      <t xml:space="preserve">Include:  </t>
    </r>
    <r>
      <rPr>
        <sz val="11"/>
        <color indexed="8"/>
        <rFont val="Calibri"/>
        <family val="2"/>
      </rPr>
      <t>Bonds, b</t>
    </r>
    <r>
      <rPr>
        <sz val="11"/>
        <color theme="1"/>
        <rFont val="Calibri"/>
        <family val="2"/>
        <scheme val="minor"/>
      </rPr>
      <t>ond anticipation notes, 
                 Capital leases,
                 Premiums and discounts,
                 Installment purchases.</t>
    </r>
    <r>
      <rPr>
        <b/>
        <sz val="11"/>
        <color indexed="8"/>
        <rFont val="Calibri"/>
        <family val="2"/>
      </rPr>
      <t xml:space="preserve"> 
Exclude:</t>
    </r>
    <r>
      <rPr>
        <sz val="11"/>
        <color theme="1"/>
        <rFont val="Calibri"/>
        <family val="2"/>
        <scheme val="minor"/>
      </rPr>
      <t xml:space="preserve"> Compensated absences, 
                 Pensions, 
                 Other post-employment benefits (OPEB), 
                 Debt </t>
    </r>
    <r>
      <rPr>
        <u/>
        <sz val="11"/>
        <color indexed="8"/>
        <rFont val="Calibri"/>
        <family val="2"/>
      </rPr>
      <t>within</t>
    </r>
    <r>
      <rPr>
        <sz val="11"/>
        <color theme="1"/>
        <rFont val="Calibri"/>
        <family val="2"/>
        <scheme val="minor"/>
      </rPr>
      <t xml:space="preserve"> the primary government, 
                 Amounts due to participants from internal 
                         service funds, 
                 Landfill closure/postclosure liability, 
                 Any other debt not directly related to 
                        long-term contracts.</t>
    </r>
  </si>
  <si>
    <r>
      <rPr>
        <u/>
        <sz val="11"/>
        <color indexed="8"/>
        <rFont val="Calibri"/>
        <family val="2"/>
      </rPr>
      <t>Total current and non-current portion of Debt</t>
    </r>
    <r>
      <rPr>
        <sz val="11"/>
        <color theme="1"/>
        <rFont val="Calibri"/>
        <family val="2"/>
        <scheme val="minor"/>
      </rPr>
      <t xml:space="preserve">. 
</t>
    </r>
    <r>
      <rPr>
        <b/>
        <sz val="11"/>
        <color indexed="8"/>
        <rFont val="Calibri"/>
        <family val="2"/>
      </rPr>
      <t xml:space="preserve">Include:  </t>
    </r>
    <r>
      <rPr>
        <sz val="11"/>
        <color indexed="8"/>
        <rFont val="Calibri"/>
        <family val="2"/>
      </rPr>
      <t>Bonds, b</t>
    </r>
    <r>
      <rPr>
        <sz val="11"/>
        <color theme="1"/>
        <rFont val="Calibri"/>
        <family val="2"/>
        <scheme val="minor"/>
      </rPr>
      <t>ond anticipation notes, 
                 Capital leases,
                 Premiums and discounts,
                 Installment purchases.</t>
    </r>
    <r>
      <rPr>
        <b/>
        <sz val="11"/>
        <color indexed="8"/>
        <rFont val="Calibri"/>
        <family val="2"/>
      </rPr>
      <t xml:space="preserve"> 
Exclude:</t>
    </r>
    <r>
      <rPr>
        <sz val="11"/>
        <color theme="1"/>
        <rFont val="Calibri"/>
        <family val="2"/>
        <scheme val="minor"/>
      </rPr>
      <t xml:space="preserve"> Compensated absences, 
                 Pensions, 
                 Other post-employment benefits (OPEB), 
                 Debt </t>
    </r>
    <r>
      <rPr>
        <u/>
        <sz val="11"/>
        <color indexed="8"/>
        <rFont val="Calibri"/>
        <family val="2"/>
      </rPr>
      <t>within</t>
    </r>
    <r>
      <rPr>
        <sz val="11"/>
        <color theme="1"/>
        <rFont val="Calibri"/>
        <family val="2"/>
        <scheme val="minor"/>
      </rPr>
      <t xml:space="preserve"> the primary government, 
                 Amounts due to participants from internal 
                      service funds, 
                 Landfill closure/postclosure liability, 
                 Any other debt not directly related to 
                     long-term contracts.</t>
    </r>
  </si>
  <si>
    <t>Notes to the Financial Statements - Law Enforcement Officers' Special Separation Allowance Note</t>
  </si>
  <si>
    <t>LEO Note</t>
  </si>
  <si>
    <r>
      <rPr>
        <u/>
        <sz val="11"/>
        <color indexed="8"/>
        <rFont val="Calibri"/>
        <family val="2"/>
      </rPr>
      <t>Debt service expenditures</t>
    </r>
    <r>
      <rPr>
        <sz val="11"/>
        <color theme="1"/>
        <rFont val="Calibri"/>
        <family val="2"/>
        <scheme val="minor"/>
      </rPr>
      <t xml:space="preserve">. 
</t>
    </r>
    <r>
      <rPr>
        <b/>
        <sz val="11"/>
        <color indexed="8"/>
        <rFont val="Calibri"/>
        <family val="2"/>
      </rPr>
      <t>Include</t>
    </r>
    <r>
      <rPr>
        <sz val="11"/>
        <color theme="1"/>
        <rFont val="Calibri"/>
        <family val="2"/>
        <scheme val="minor"/>
      </rPr>
      <t xml:space="preserve"> principal, interest paid, and bond/debt issuance costs on long-term debt</t>
    </r>
  </si>
  <si>
    <t>Notes to the Financial Statements -Cash and Investments - Bond/Debt Proceeds</t>
  </si>
  <si>
    <r>
      <rPr>
        <u/>
        <sz val="11"/>
        <color indexed="8"/>
        <rFont val="Calibri"/>
        <family val="2"/>
      </rPr>
      <t xml:space="preserve">Total General revenues
</t>
    </r>
    <r>
      <rPr>
        <b/>
        <u/>
        <sz val="11"/>
        <color indexed="8"/>
        <rFont val="Calibri"/>
        <family val="2"/>
      </rPr>
      <t>E</t>
    </r>
    <r>
      <rPr>
        <b/>
        <sz val="11"/>
        <color indexed="8"/>
        <rFont val="Calibri"/>
        <family val="2"/>
      </rPr>
      <t>xclude:</t>
    </r>
    <r>
      <rPr>
        <sz val="11"/>
        <color indexed="8"/>
        <rFont val="Calibri"/>
        <family val="2"/>
      </rPr>
      <t xml:space="preserve"> transfers-in or out,
                 special items,
                 extraordinary amounts</t>
    </r>
  </si>
  <si>
    <r>
      <rPr>
        <u/>
        <sz val="11"/>
        <color indexed="8"/>
        <rFont val="Calibri"/>
        <family val="2"/>
      </rPr>
      <t>Any adjustment to beginning net position including rounding, prior period adjustments and restatements</t>
    </r>
    <r>
      <rPr>
        <sz val="11"/>
        <color theme="1"/>
        <rFont val="Calibri"/>
        <family val="2"/>
        <scheme val="minor"/>
      </rPr>
      <t xml:space="preserve">.  </t>
    </r>
    <r>
      <rPr>
        <sz val="11"/>
        <color indexed="60"/>
        <rFont val="Calibri"/>
        <family val="2"/>
      </rPr>
      <t xml:space="preserve"> (Increases to net position are positive; decreases to net position are negative)</t>
    </r>
  </si>
  <si>
    <r>
      <rPr>
        <u/>
        <sz val="11"/>
        <color indexed="8"/>
        <rFont val="Calibri"/>
        <family val="2"/>
      </rPr>
      <t>Total Liabilities payable from restricted assets</t>
    </r>
    <r>
      <rPr>
        <sz val="11"/>
        <color theme="1"/>
        <rFont val="Calibri"/>
        <family val="2"/>
        <scheme val="minor"/>
      </rPr>
      <t xml:space="preserve"> </t>
    </r>
    <r>
      <rPr>
        <sz val="11"/>
        <color indexed="60"/>
        <rFont val="Calibri"/>
        <family val="2"/>
      </rPr>
      <t>(only complete if this is listed in your financial statements for the general fund and the auditor has listed the cash to be used to pay the liabilities as restricted)</t>
    </r>
  </si>
  <si>
    <r>
      <rPr>
        <u/>
        <sz val="11"/>
        <color indexed="8"/>
        <rFont val="Calibri"/>
        <family val="2"/>
      </rPr>
      <t>Total Fund balance</t>
    </r>
    <r>
      <rPr>
        <sz val="11"/>
        <color theme="1"/>
        <rFont val="Calibri"/>
        <family val="2"/>
        <scheme val="minor"/>
      </rPr>
      <t xml:space="preserve"> </t>
    </r>
    <r>
      <rPr>
        <sz val="11"/>
        <color indexed="60"/>
        <rFont val="Calibri"/>
        <family val="2"/>
      </rPr>
      <t>(enter fund deficits as negative)</t>
    </r>
  </si>
  <si>
    <t>Amount of Inventories and Prepaid expenses in current assets</t>
  </si>
  <si>
    <r>
      <rPr>
        <u/>
        <sz val="11"/>
        <color indexed="8"/>
        <rFont val="Calibri"/>
        <family val="2"/>
      </rPr>
      <t>Total Net position, Unrestricted</t>
    </r>
    <r>
      <rPr>
        <sz val="11"/>
        <color theme="1"/>
        <rFont val="Calibri"/>
        <family val="2"/>
        <scheme val="minor"/>
      </rPr>
      <t xml:space="preserve"> - </t>
    </r>
    <r>
      <rPr>
        <sz val="11"/>
        <color indexed="60"/>
        <rFont val="Calibri"/>
        <family val="2"/>
      </rPr>
      <t>enter negative unrestricted net position as a negative</t>
    </r>
  </si>
  <si>
    <r>
      <rPr>
        <u/>
        <sz val="11"/>
        <color indexed="8"/>
        <rFont val="Calibri"/>
        <family val="2"/>
      </rPr>
      <t>Total all non-operating expenses</t>
    </r>
    <r>
      <rPr>
        <sz val="11"/>
        <color theme="1"/>
        <rFont val="Calibri"/>
        <family val="2"/>
        <scheme val="minor"/>
      </rPr>
      <t xml:space="preserve">. </t>
    </r>
    <r>
      <rPr>
        <sz val="11"/>
        <color indexed="60"/>
        <rFont val="Calibri"/>
        <family val="2"/>
      </rPr>
      <t xml:space="preserve"> 
</t>
    </r>
    <r>
      <rPr>
        <b/>
        <sz val="11"/>
        <color indexed="8"/>
        <rFont val="Calibri"/>
        <family val="2"/>
      </rPr>
      <t>Include</t>
    </r>
    <r>
      <rPr>
        <sz val="11"/>
        <color indexed="8"/>
        <rFont val="Calibri"/>
        <family val="2"/>
      </rPr>
      <t xml:space="preserve"> any </t>
    </r>
    <r>
      <rPr>
        <b/>
        <sz val="11"/>
        <color indexed="8"/>
        <rFont val="Calibri"/>
        <family val="2"/>
      </rPr>
      <t>negative</t>
    </r>
    <r>
      <rPr>
        <sz val="11"/>
        <color indexed="8"/>
        <rFont val="Calibri"/>
        <family val="2"/>
      </rPr>
      <t xml:space="preserve"> special, extraordinary, or capital contribution.</t>
    </r>
  </si>
  <si>
    <r>
      <rPr>
        <u/>
        <sz val="11"/>
        <color indexed="8"/>
        <rFont val="Calibri"/>
        <family val="2"/>
      </rPr>
      <t>Total all non-operating expenses</t>
    </r>
    <r>
      <rPr>
        <sz val="11"/>
        <color theme="1"/>
        <rFont val="Calibri"/>
        <family val="2"/>
        <scheme val="minor"/>
      </rPr>
      <t xml:space="preserve">. </t>
    </r>
    <r>
      <rPr>
        <sz val="11"/>
        <color indexed="60"/>
        <rFont val="Calibri"/>
        <family val="2"/>
      </rPr>
      <t xml:space="preserve"> 
</t>
    </r>
    <r>
      <rPr>
        <b/>
        <sz val="11"/>
        <color indexed="8"/>
        <rFont val="Calibri"/>
        <family val="2"/>
      </rPr>
      <t>Include</t>
    </r>
    <r>
      <rPr>
        <sz val="11"/>
        <color indexed="8"/>
        <rFont val="Calibri"/>
        <family val="2"/>
      </rPr>
      <t xml:space="preserve"> </t>
    </r>
    <r>
      <rPr>
        <b/>
        <sz val="11"/>
        <color indexed="8"/>
        <rFont val="Calibri"/>
        <family val="2"/>
      </rPr>
      <t>negative</t>
    </r>
    <r>
      <rPr>
        <sz val="11"/>
        <color indexed="8"/>
        <rFont val="Calibri"/>
        <family val="2"/>
      </rPr>
      <t xml:space="preserve"> special, extraordinary, or capital contribution.</t>
    </r>
  </si>
  <si>
    <r>
      <rPr>
        <u/>
        <sz val="11"/>
        <color indexed="8"/>
        <rFont val="Calibri"/>
        <family val="2"/>
      </rPr>
      <t xml:space="preserve">Total Cash flow from </t>
    </r>
    <r>
      <rPr>
        <b/>
        <u/>
        <sz val="11"/>
        <color indexed="8"/>
        <rFont val="Calibri"/>
        <family val="2"/>
      </rPr>
      <t>operating</t>
    </r>
    <r>
      <rPr>
        <u/>
        <sz val="11"/>
        <color indexed="8"/>
        <rFont val="Calibri"/>
        <family val="2"/>
      </rPr>
      <t xml:space="preserve"> activities</t>
    </r>
    <r>
      <rPr>
        <sz val="11"/>
        <color theme="1"/>
        <rFont val="Calibri"/>
        <family val="2"/>
        <scheme val="minor"/>
      </rPr>
      <t xml:space="preserve">  - </t>
    </r>
    <r>
      <rPr>
        <sz val="11"/>
        <color indexed="60"/>
        <rFont val="Calibri"/>
        <family val="2"/>
      </rPr>
      <t>(Enter negative cash flows as negative)</t>
    </r>
  </si>
  <si>
    <r>
      <rPr>
        <u/>
        <sz val="11"/>
        <color indexed="8"/>
        <rFont val="Calibri"/>
        <family val="2"/>
      </rPr>
      <t xml:space="preserve">Cash flow from </t>
    </r>
    <r>
      <rPr>
        <b/>
        <u/>
        <sz val="11"/>
        <color indexed="8"/>
        <rFont val="Calibri"/>
        <family val="2"/>
      </rPr>
      <t>operating</t>
    </r>
    <r>
      <rPr>
        <u/>
        <sz val="11"/>
        <color indexed="8"/>
        <rFont val="Calibri"/>
        <family val="2"/>
      </rPr>
      <t xml:space="preserve"> activities</t>
    </r>
    <r>
      <rPr>
        <sz val="11"/>
        <color theme="1"/>
        <rFont val="Calibri"/>
        <family val="2"/>
        <scheme val="minor"/>
      </rPr>
      <t xml:space="preserve"> - </t>
    </r>
    <r>
      <rPr>
        <sz val="11"/>
        <color indexed="60"/>
        <rFont val="Calibri"/>
        <family val="2"/>
      </rPr>
      <t>(enter negative cash flows as negative)</t>
    </r>
  </si>
  <si>
    <t>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t>
  </si>
  <si>
    <t>Debt Refunding - Net refunding proceeds against debt payoff and if negative place results on this line.</t>
  </si>
  <si>
    <t xml:space="preserve">All other items on this statement that were not included in total revenues, total expenditures, transfers in or out, or proceeds from long-term debt above.  </t>
  </si>
  <si>
    <t>Debt Refunding - Net refunding proceeds against debt payoff and if positive place results on this line.</t>
  </si>
  <si>
    <t>Electric - Total Transfers Out(to all funds)</t>
  </si>
  <si>
    <t>If your unit is not on the Drop Down list in cell D2 please select the blank space at the top of the drop down list in cell D2 and enter your units name here and complete the worksheet</t>
  </si>
  <si>
    <t xml:space="preserve">OPEB 
1-implicit rate only  
2-no benefit 
3-benfit 
4- state health plan  </t>
  </si>
  <si>
    <r>
      <rPr>
        <u/>
        <sz val="11"/>
        <color indexed="8"/>
        <rFont val="Calibri"/>
        <family val="2"/>
      </rPr>
      <t>Amount of Transfers from the Electric Fund to the General Fund</t>
    </r>
    <r>
      <rPr>
        <sz val="11"/>
        <color theme="1"/>
        <rFont val="Calibri"/>
        <family val="2"/>
        <scheme val="minor"/>
      </rPr>
      <t xml:space="preserve">  </t>
    </r>
    <r>
      <rPr>
        <sz val="11"/>
        <color indexed="60"/>
        <rFont val="Calibri"/>
        <family val="2"/>
      </rPr>
      <t xml:space="preserve">(Enter as positive)
</t>
    </r>
    <r>
      <rPr>
        <b/>
        <sz val="11"/>
        <rFont val="Calibri"/>
        <family val="2"/>
      </rPr>
      <t>Include</t>
    </r>
    <r>
      <rPr>
        <sz val="11"/>
        <rFont val="Calibri"/>
        <family val="2"/>
      </rPr>
      <t>:  Payment in Lieu of Taxes (PILOT)</t>
    </r>
  </si>
  <si>
    <t>Pension Notes</t>
  </si>
  <si>
    <r>
      <rPr>
        <u/>
        <sz val="11"/>
        <color indexed="8"/>
        <rFont val="Calibri"/>
        <family val="2"/>
      </rPr>
      <t>Charges for services</t>
    </r>
    <r>
      <rPr>
        <sz val="11"/>
        <color theme="1"/>
        <rFont val="Calibri"/>
        <family val="2"/>
        <scheme val="minor"/>
      </rPr>
      <t xml:space="preserve">. 
</t>
    </r>
    <r>
      <rPr>
        <b/>
        <sz val="11"/>
        <color indexed="8"/>
        <rFont val="Calibri"/>
        <family val="2"/>
      </rPr>
      <t>Exclude</t>
    </r>
    <r>
      <rPr>
        <sz val="11"/>
        <color theme="1"/>
        <rFont val="Calibri"/>
        <family val="2"/>
        <scheme val="minor"/>
      </rPr>
      <t xml:space="preserve"> tap, capacity fees and other misc. income .</t>
    </r>
  </si>
  <si>
    <t>Note this number is adjusted for any negative internal balances</t>
  </si>
  <si>
    <t>Formula Results</t>
  </si>
  <si>
    <r>
      <t xml:space="preserve">Tax collection rate- Total Levy UNIT-WIDE
</t>
    </r>
    <r>
      <rPr>
        <b/>
        <sz val="11"/>
        <color indexed="8"/>
        <rFont val="Calibri"/>
        <family val="2"/>
      </rPr>
      <t>Exclude</t>
    </r>
    <r>
      <rPr>
        <sz val="11"/>
        <color theme="1"/>
        <rFont val="Calibri"/>
        <family val="2"/>
        <scheme val="minor"/>
      </rPr>
      <t xml:space="preserve"> supplemental taxes
(</t>
    </r>
    <r>
      <rPr>
        <sz val="11"/>
        <color indexed="60"/>
        <rFont val="Calibri"/>
        <family val="2"/>
      </rPr>
      <t>Enter as a percentage with two decimal places)</t>
    </r>
  </si>
  <si>
    <r>
      <rPr>
        <u/>
        <sz val="11"/>
        <rFont val="Calibri"/>
        <family val="2"/>
      </rPr>
      <t>Tax collection rate - Excluding Registered motor vehicles</t>
    </r>
    <r>
      <rPr>
        <u/>
        <sz val="11"/>
        <color indexed="60"/>
        <rFont val="Calibri"/>
        <family val="2"/>
      </rPr>
      <t xml:space="preserve">
</t>
    </r>
    <r>
      <rPr>
        <b/>
        <sz val="11"/>
        <rFont val="Calibri"/>
        <family val="2"/>
      </rPr>
      <t>Exclude</t>
    </r>
    <r>
      <rPr>
        <sz val="11"/>
        <rFont val="Calibri"/>
        <family val="2"/>
      </rPr>
      <t xml:space="preserve"> supplemental taxes</t>
    </r>
    <r>
      <rPr>
        <sz val="11"/>
        <color indexed="60"/>
        <rFont val="Calibri"/>
        <family val="2"/>
      </rPr>
      <t xml:space="preserve">
(Enter as a percentage with two decimal places)</t>
    </r>
  </si>
  <si>
    <r>
      <t xml:space="preserve">Tax collection rate - Registered motor vehicles
</t>
    </r>
    <r>
      <rPr>
        <b/>
        <sz val="11"/>
        <color indexed="8"/>
        <rFont val="Calibri"/>
        <family val="2"/>
      </rPr>
      <t>Exclude</t>
    </r>
    <r>
      <rPr>
        <sz val="11"/>
        <color theme="1"/>
        <rFont val="Calibri"/>
        <family val="2"/>
        <scheme val="minor"/>
      </rPr>
      <t xml:space="preserve"> supplemental taxes
</t>
    </r>
    <r>
      <rPr>
        <sz val="11"/>
        <color indexed="60"/>
        <rFont val="Calibri"/>
        <family val="2"/>
      </rPr>
      <t>(Enter as a percentage with two decimal places)</t>
    </r>
  </si>
  <si>
    <t>If unit does not answer you do not have to pursue</t>
  </si>
  <si>
    <t>GW-positive internal balance</t>
  </si>
  <si>
    <t>GW-negative internal balance</t>
  </si>
  <si>
    <t>Gov Acc Dep - Capital Assets</t>
  </si>
  <si>
    <t xml:space="preserve">WS Cap Asset - Land &amp; other Non-Construction </t>
  </si>
  <si>
    <t>WS Cap Asset - Construction in Progress</t>
  </si>
  <si>
    <t>Electric Cap Asset - Gross Value of Depreciable Capital Assets</t>
  </si>
  <si>
    <t>Electric Acc Dep - Capital Assets</t>
  </si>
  <si>
    <t>WS-EF- Total LT Debt (ST &amp;LT; normal exclusions)</t>
  </si>
  <si>
    <t>WS-revenues and other financing sources over expenditures and other uses-excl. transfers, capital Cont.</t>
  </si>
  <si>
    <t>If unit did not answer you do not need to pursue.</t>
  </si>
  <si>
    <t>Error Amounts</t>
  </si>
  <si>
    <t>Error Count</t>
  </si>
  <si>
    <t xml:space="preserve">Review Summary </t>
  </si>
  <si>
    <t>Review Summary; Electric Memo</t>
  </si>
  <si>
    <r>
      <rPr>
        <u/>
        <sz val="11"/>
        <color indexed="8"/>
        <rFont val="Calibri"/>
        <family val="2"/>
      </rPr>
      <t>Cash and Investment</t>
    </r>
    <r>
      <rPr>
        <sz val="11"/>
        <color indexed="8"/>
        <rFont val="Calibri"/>
        <family val="2"/>
      </rPr>
      <t xml:space="preserve"> - </t>
    </r>
    <r>
      <rPr>
        <sz val="11"/>
        <color indexed="60"/>
        <rFont val="Calibri"/>
        <family val="2"/>
      </rPr>
      <t>Please list the book value of any unspent debt proceeds (bonds, installment, etc.) in any funds as of June 30.  This information may be on the face of your statements or in the notes</t>
    </r>
  </si>
  <si>
    <t>Advance To: Interfund loan receivable-portion of repayment plan longer than 12 months</t>
  </si>
  <si>
    <r>
      <rPr>
        <u/>
        <sz val="11"/>
        <rFont val="Calibri"/>
        <family val="2"/>
      </rPr>
      <t>Water Sewer - Advance To:</t>
    </r>
    <r>
      <rPr>
        <sz val="11"/>
        <rFont val="Calibri"/>
        <family val="2"/>
      </rPr>
      <t xml:space="preserve">
Interfund loan receivable-portion of repayment plan longer than 12 months</t>
    </r>
  </si>
  <si>
    <r>
      <rPr>
        <u/>
        <sz val="11"/>
        <rFont val="Calibri"/>
        <family val="2"/>
      </rPr>
      <t xml:space="preserve">Water Sewer - Advance From: 
</t>
    </r>
    <r>
      <rPr>
        <sz val="11"/>
        <rFont val="Calibri"/>
        <family val="2"/>
      </rPr>
      <t>Interfund loan Payable-portion of repayment plan longer than 12 months</t>
    </r>
  </si>
  <si>
    <r>
      <rPr>
        <u/>
        <sz val="11"/>
        <rFont val="Calibri"/>
        <family val="2"/>
      </rPr>
      <t>Electric Fund - Advance From:</t>
    </r>
    <r>
      <rPr>
        <sz val="11"/>
        <rFont val="Calibri"/>
        <family val="2"/>
      </rPr>
      <t xml:space="preserve">
Interfund loans payable-portion of repayment plan longer than 12 months</t>
    </r>
  </si>
  <si>
    <t>GF-Advance To - Asset</t>
  </si>
  <si>
    <t>WS -  Advance To - Asset</t>
  </si>
  <si>
    <t>WS - Advance From - Liability</t>
  </si>
  <si>
    <t>EF - Advance To - Asset</t>
  </si>
  <si>
    <t>EF - Advance from - Liability</t>
  </si>
  <si>
    <t>Gen Fund - Total Expenditures</t>
  </si>
  <si>
    <t>Gen Fund - Proceeds from LTD</t>
  </si>
  <si>
    <t>Single Audit Only - total amount of federal awards and grants expended as found on SEFSA</t>
  </si>
  <si>
    <t>Single Audit Only - Total amount of federal awards and grants that were audited as major as found on SEFSA</t>
  </si>
  <si>
    <t>Single Audit Only - total amount of state awards and grants expended as found on SEFSA</t>
  </si>
  <si>
    <t>Single Audit Only - Total amount of state awards and grants that were audited as major as found on SEFSA</t>
  </si>
  <si>
    <t>Fiscal Review</t>
  </si>
  <si>
    <t>Operations</t>
  </si>
  <si>
    <t>Government Wide Statements - Statement of Activities  - Business Type Activities Column</t>
  </si>
  <si>
    <t>Reporting</t>
  </si>
  <si>
    <t>Statement of Activities - Business Activities</t>
  </si>
  <si>
    <t>Total Expenses - Exclude Transfers</t>
  </si>
  <si>
    <r>
      <rPr>
        <u/>
        <sz val="11"/>
        <color indexed="8"/>
        <rFont val="Calibri"/>
        <family val="2"/>
      </rPr>
      <t xml:space="preserve">Total Change in net position Business Type </t>
    </r>
    <r>
      <rPr>
        <sz val="11"/>
        <color theme="1"/>
        <rFont val="Calibri"/>
        <family val="2"/>
        <scheme val="minor"/>
      </rPr>
      <t xml:space="preserve">
</t>
    </r>
    <r>
      <rPr>
        <sz val="11"/>
        <color indexed="60"/>
        <rFont val="Calibri"/>
        <family val="2"/>
      </rPr>
      <t>(Increase in net position is recorded as a positive and a decrease in net position is recorded as a negative)</t>
    </r>
  </si>
  <si>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</si>
  <si>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</si>
  <si>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</si>
  <si>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Indicate if your water/sewer system:
50 - Became Operational
51 - Ceased Operations
52 - No Change</t>
  </si>
  <si>
    <t>50 - Became Operational</t>
  </si>
  <si>
    <t>51 - Ceased Operations</t>
  </si>
  <si>
    <t>52 - No Change</t>
  </si>
  <si>
    <t>Status of Water Sewer</t>
  </si>
  <si>
    <t>Gen Fund - Current Liabilities</t>
  </si>
  <si>
    <t>WS - Total Current Assets</t>
  </si>
  <si>
    <t>WS - Select Current Liabilities</t>
  </si>
  <si>
    <t>Electric - Total Current Assets</t>
  </si>
  <si>
    <t>WS Cap Asset - Land &amp; other Non-Construction</t>
  </si>
  <si>
    <t>Gov - Select Current Liabilities</t>
  </si>
  <si>
    <t>"OPEB 
1-implicit rate only 
2-no benefit 
3-benfit 
4- state health plan  "</t>
  </si>
  <si>
    <t>CCH 575</t>
  </si>
  <si>
    <t>CCH 576</t>
  </si>
  <si>
    <t>Yes  or "1" indicates unit has defined benefit other than the ones adm. By the state</t>
  </si>
  <si>
    <t>CCH 577</t>
  </si>
  <si>
    <t>WS-Advance From - Liability</t>
  </si>
  <si>
    <t>CCH 578</t>
  </si>
  <si>
    <t>WS-Advance To - Asset</t>
  </si>
  <si>
    <t>CCH 579</t>
  </si>
  <si>
    <t>EF-Advance From - Liability</t>
  </si>
  <si>
    <t>CCH 586</t>
  </si>
  <si>
    <t>Statement of Activities                               (all governmental and business funds)</t>
  </si>
  <si>
    <r>
      <t xml:space="preserve">Amount of interest income and investment income recognized as revenue in your audit report for all governmental and proprietary funds.  </t>
    </r>
    <r>
      <rPr>
        <sz val="11"/>
        <color indexed="60"/>
        <rFont val="Calibri"/>
        <family val="2"/>
      </rPr>
      <t xml:space="preserve">In the past we have asked you to adjust this number, but this year we would like the number as it appears on your Statement of Activities </t>
    </r>
    <r>
      <rPr>
        <u/>
        <sz val="11"/>
        <color indexed="60"/>
        <rFont val="Calibri"/>
        <family val="2"/>
      </rPr>
      <t>without</t>
    </r>
    <r>
      <rPr>
        <sz val="11"/>
        <color indexed="60"/>
        <rFont val="Calibri"/>
        <family val="2"/>
      </rPr>
      <t xml:space="preserve"> adjustment.</t>
    </r>
  </si>
  <si>
    <r>
      <t xml:space="preserve">Record any </t>
    </r>
    <r>
      <rPr>
        <b/>
        <u/>
        <sz val="11"/>
        <color indexed="8"/>
        <rFont val="Calibri"/>
        <family val="2"/>
      </rPr>
      <t>positive</t>
    </r>
    <r>
      <rPr>
        <u/>
        <sz val="11"/>
        <color indexed="8"/>
        <rFont val="Calibri"/>
        <family val="2"/>
      </rPr>
      <t xml:space="preserve"> Internal balances on the net position statements that appear in the Asset Section of the Net Position Statement
</t>
    </r>
  </si>
  <si>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</si>
  <si>
    <t>Only for Review Summary</t>
  </si>
  <si>
    <t>https://www.nctreasurer.com/slg/lfm/financial-analysis/Pages/Analysis-by-Population.aspx</t>
  </si>
  <si>
    <r>
      <t>Record any</t>
    </r>
    <r>
      <rPr>
        <b/>
        <u/>
        <sz val="11"/>
        <color indexed="8"/>
        <rFont val="Calibri"/>
        <family val="2"/>
      </rPr>
      <t xml:space="preserve"> negative</t>
    </r>
    <r>
      <rPr>
        <u/>
        <sz val="11"/>
        <color indexed="8"/>
        <rFont val="Calibri"/>
        <family val="2"/>
      </rPr>
      <t xml:space="preserve"> Internal balances on the net position statements that appear in the Asset Section of the Net Position Statement.
</t>
    </r>
    <r>
      <rPr>
        <b/>
        <sz val="11"/>
        <color indexed="60"/>
        <rFont val="Calibri"/>
        <family val="2"/>
      </rPr>
      <t xml:space="preserve">
Enter as a positive</t>
    </r>
    <r>
      <rPr>
        <u/>
        <sz val="11"/>
        <color indexed="8"/>
        <rFont val="Calibri"/>
        <family val="2"/>
      </rPr>
      <t xml:space="preserve">
</t>
    </r>
  </si>
  <si>
    <r>
      <t xml:space="preserve">Long-Term Liability Note - </t>
    </r>
    <r>
      <rPr>
        <b/>
        <sz val="10"/>
        <color indexed="8"/>
        <rFont val="Century Schoolbook"/>
        <family val="1"/>
      </rPr>
      <t>Governmental Activities</t>
    </r>
  </si>
  <si>
    <t>Interest income from statement of activities</t>
  </si>
  <si>
    <t>Long-Term Liability Note - Governmental Activities</t>
  </si>
  <si>
    <r>
      <rPr>
        <u/>
        <sz val="11"/>
        <color indexed="8"/>
        <rFont val="Calibri"/>
        <family val="2"/>
      </rPr>
      <t>Any adjustment to beginning fund balance including rounding, prior period adjustments and restatements.</t>
    </r>
    <r>
      <rPr>
        <sz val="11"/>
        <color theme="1"/>
        <rFont val="Calibri"/>
        <family val="2"/>
        <scheme val="minor"/>
      </rPr>
      <t xml:space="preserve">  </t>
    </r>
    <r>
      <rPr>
        <sz val="11"/>
        <color indexed="60"/>
        <rFont val="Calibri"/>
        <family val="2"/>
      </rPr>
      <t xml:space="preserve"> (Amounts that increase fund balance are recorded as positive and amounts that decrease fund balance are recorded as negative)</t>
    </r>
  </si>
  <si>
    <t>Amount the unit paid out in benefits under LEO special separation allowance to retired law enforcement officers this fiscal year if you report under GASB 68 or GASB 73.</t>
  </si>
  <si>
    <t>The total LEO pension liability if you report under GASB 68 or GASB 73.</t>
  </si>
  <si>
    <t>598</t>
  </si>
  <si>
    <t>Total LEO pension liability under GASB 68 or 73</t>
  </si>
  <si>
    <t>Unit paid to Officers under LEO under 68 or 73</t>
  </si>
  <si>
    <t>LEO Plan fiduciary net position</t>
  </si>
  <si>
    <t>https://efc.sog.unc.edu/reslib/item/north-carolina-water-and-wastewater-rates-dashboard#</t>
  </si>
  <si>
    <r>
      <t>Total Net Position, Unrestricted -</t>
    </r>
    <r>
      <rPr>
        <u/>
        <sz val="11"/>
        <color indexed="60"/>
        <rFont val="Calibri"/>
        <family val="2"/>
      </rPr>
      <t xml:space="preserve"> enter negative unrestricted net position as a negative)</t>
    </r>
  </si>
  <si>
    <t>If you have LEO pension assets and are reporting under GASB 68 please enter "Plan Fiduciary Net Position" which can be found on your RSI schedules and the Notes.</t>
  </si>
  <si>
    <t>Health benefits - total OPEB liability</t>
  </si>
  <si>
    <t>Health benefits- OPEB plan fiduciary net position</t>
  </si>
  <si>
    <t>Vision benefits - total OPEB liability</t>
  </si>
  <si>
    <t>Vision benefits - OPEB plan fiduciary net position</t>
  </si>
  <si>
    <t>Dental benefits - OPEB plan fiduciary net position</t>
  </si>
  <si>
    <t>Other benefits - total OPEB liability</t>
  </si>
  <si>
    <t>Other benefits - OPEB plan fiduciary net position</t>
  </si>
  <si>
    <t xml:space="preserve">For Internal Control Uses Only:
1) NO IC Issues
2) Immaterial IC Issues
3) Unit Visit needed, no UL
4) Unit Letter for IC
5) Consider placing/remaining on Unit Assistance List
6) Consider taking off Unit Assistance List
7) Communication to DPI
</t>
  </si>
  <si>
    <t>Unit was issued:
1) No UL
2) No UL but visit is needed
3) UL with response
4) UL no response required
5) SUL requiring written response
6) Communication to DPI</t>
  </si>
  <si>
    <t>OPEB
 Note or RSI</t>
  </si>
  <si>
    <t>Financial opinion - enter "1" for clean Opinion or "2" for other than clean opinion</t>
  </si>
  <si>
    <t>Dental benefits - total OPEB liability</t>
  </si>
  <si>
    <t>Notes or formulas</t>
  </si>
  <si>
    <t>OPEB
RSI</t>
  </si>
  <si>
    <t>LEO
RSI</t>
  </si>
  <si>
    <t>Do you expect to issue debt requiring LGC approval within 12 months from the date that the audit is submitted - select "1" for year and "2" for no</t>
  </si>
  <si>
    <t>Do you expect to issue debt requiring LGC approval within 12 months from the date that the audit is submitted - select "1" for yes and "2" for no</t>
  </si>
  <si>
    <t>Debt Issued within next 12 months</t>
  </si>
  <si>
    <t>LEOSSA – What is the plan’s fiduciary net position as a percentage of the total pension liability?  Please enter as percentage value; for example, 83.5% should be entered as 83.5.  If assets have not been set aside in a trust, please enter 0.0</t>
  </si>
  <si>
    <t>FS., OPEB  note or RSI</t>
  </si>
  <si>
    <t>Compliance opinion - enter "1" for clean Opinion or "2" for other than clean opinion</t>
  </si>
  <si>
    <t>FS., Pension note or RSI</t>
  </si>
  <si>
    <t>Notes to the Financial Statements - Pension Note</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</si>
  <si>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</si>
  <si>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t>FS., OPEB note or RSI</t>
  </si>
  <si>
    <t>Not loaded to CCH</t>
  </si>
  <si>
    <t>Net Pension Liability</t>
  </si>
  <si>
    <t>Determination of Fiscal Health</t>
  </si>
  <si>
    <t>Fund Balance, Unassigned</t>
  </si>
  <si>
    <t>This information was not collected in 2019</t>
  </si>
  <si>
    <t>Debt Service Fund</t>
  </si>
  <si>
    <t>Please enter the Total Fund Balance for any Debt Service Funds</t>
  </si>
  <si>
    <t>Water Sewer Net Position Statement</t>
  </si>
  <si>
    <t>Total Fund Balance</t>
  </si>
  <si>
    <t>Quick Ratio</t>
  </si>
  <si>
    <t>Electric Fund</t>
  </si>
  <si>
    <t>Water Sewer All Funds:</t>
  </si>
  <si>
    <t>Total Operating Revenues</t>
  </si>
  <si>
    <t>Total Operating Expenditures</t>
  </si>
  <si>
    <t>Increase (decrease) in operating revenues</t>
  </si>
  <si>
    <t>84-85</t>
  </si>
  <si>
    <t>93-94</t>
  </si>
  <si>
    <t>Important Ratios:</t>
  </si>
  <si>
    <t>Current Assets</t>
  </si>
  <si>
    <t>Current Liabilities</t>
  </si>
  <si>
    <t>Cash Flow from Operations</t>
  </si>
  <si>
    <t>Debt Principal and Interest</t>
  </si>
  <si>
    <t>Cash Flow less Debt Service</t>
  </si>
  <si>
    <t>Additional Information:</t>
  </si>
  <si>
    <t>Electric Fund:</t>
  </si>
  <si>
    <t>Water Sewer Funds:</t>
  </si>
  <si>
    <t>Water and Sewer Operations - If unit maintains separate funds please combine all water, sewer, and wastewater funds into one activity for purposes of this worksheet.  Exclude stormwater funds.  Only fill out this section if receiving operating revenues or paying operating expenditures. Eliminate transfers within this activity group.</t>
  </si>
  <si>
    <t>Current Liabilities - bond anticipation notes</t>
  </si>
  <si>
    <t xml:space="preserve">Current Liabilities - closure/Postclosure </t>
  </si>
  <si>
    <t>Current Liabilities - OPEB</t>
  </si>
  <si>
    <t>Current Liabilities - current liabilities payable from restricted assets</t>
  </si>
  <si>
    <t>Current Liabilities - current pension liabilities</t>
  </si>
  <si>
    <t>Current Liabilities - current compensated absences</t>
  </si>
  <si>
    <t>WS-Current Liabilities - current pension liabilities</t>
  </si>
  <si>
    <t>WS-Current Liabilities - current liabilities payable from restricted assets</t>
  </si>
  <si>
    <t>Total Current Liabilities including current portion of long-term debt</t>
  </si>
  <si>
    <t>WS - Total Current Liabilities including current portion of long-term debt</t>
  </si>
  <si>
    <t>WS-Current Liabilities - bond anticipation notes</t>
  </si>
  <si>
    <t>WS-Current Liabilities - current compensated absences</t>
  </si>
  <si>
    <t>WS-Current Liabilities - OPEB</t>
  </si>
  <si>
    <t>Electric - Total Current Liabilities including current portion of long-term debt</t>
  </si>
  <si>
    <t>Electric-Current Liabilities - bond anticipation notes</t>
  </si>
  <si>
    <t>Electric-Current Liabilities - current compensated absences</t>
  </si>
  <si>
    <t>Electric-Current Liabilities - current pension liabilities</t>
  </si>
  <si>
    <t>Electric-Current Liabilities - current liabilities payable from restricted assets</t>
  </si>
  <si>
    <t>Electric-Current Liabilities - OPEB</t>
  </si>
  <si>
    <t xml:space="preserve"> GF - Fund balance, Assigned </t>
  </si>
  <si>
    <t>GF - Fund Balance, Unassigned</t>
  </si>
  <si>
    <t>Debt Service Funds Total Fund Balance</t>
  </si>
  <si>
    <t>Acct #</t>
  </si>
  <si>
    <r>
      <rPr>
        <u/>
        <sz val="11"/>
        <color indexed="8"/>
        <rFont val="Calibri"/>
        <family val="2"/>
      </rPr>
      <t xml:space="preserve">Amount of Water Sewer revenues and other financing sources over expenditures and other uses
</t>
    </r>
    <r>
      <rPr>
        <b/>
        <u/>
        <sz val="11"/>
        <color indexed="8"/>
        <rFont val="Calibri"/>
        <family val="2"/>
      </rPr>
      <t xml:space="preserve">Exclude:  All transfers and capital contributions
Exclude:  Capital Project funds
</t>
    </r>
    <r>
      <rPr>
        <sz val="11"/>
        <color indexed="60"/>
        <rFont val="Calibri"/>
        <family val="2"/>
      </rPr>
      <t>This schedule is usually found behind the notes and should be entered as a positive or negative as indicated on your audit report</t>
    </r>
  </si>
  <si>
    <t>Fund balance, Assigned (total of all assigned components)</t>
  </si>
  <si>
    <r>
      <rPr>
        <u/>
        <sz val="11"/>
        <color indexed="8"/>
        <rFont val="Calibri"/>
        <family val="2"/>
      </rPr>
      <t>Current liabilities</t>
    </r>
    <r>
      <rPr>
        <u/>
        <sz val="11"/>
        <color rgb="FFFF0000"/>
        <rFont val="Calibri"/>
        <family val="2"/>
      </rPr>
      <t xml:space="preserve"> (as reported on the Statement of Fund Net Position)</t>
    </r>
    <r>
      <rPr>
        <sz val="11"/>
        <color indexed="8"/>
        <rFont val="Calibri"/>
        <family val="2"/>
      </rPr>
      <t xml:space="preserve">
</t>
    </r>
    <r>
      <rPr>
        <b/>
        <sz val="11"/>
        <color indexed="8"/>
        <rFont val="Calibri"/>
        <family val="2"/>
      </rPr>
      <t>Include:</t>
    </r>
    <r>
      <rPr>
        <sz val="11"/>
        <color indexed="8"/>
        <rFont val="Calibri"/>
        <family val="2"/>
      </rPr>
      <t xml:space="preserve">   Current liabilities including current portion of long-term debt.  </t>
    </r>
    <r>
      <rPr>
        <b/>
        <sz val="11"/>
        <color rgb="FF000000"/>
        <rFont val="Calibri"/>
        <family val="2"/>
      </rPr>
      <t>Deferred inflows should not be included in Current Liabilities</t>
    </r>
    <r>
      <rPr>
        <sz val="11"/>
        <color indexed="8"/>
        <rFont val="Calibri"/>
        <family val="2"/>
      </rPr>
      <t xml:space="preserve">  
</t>
    </r>
  </si>
  <si>
    <r>
      <rPr>
        <u/>
        <sz val="11"/>
        <color indexed="8"/>
        <rFont val="Calibri"/>
        <family val="2"/>
      </rPr>
      <t xml:space="preserve">Current liabilities </t>
    </r>
    <r>
      <rPr>
        <u/>
        <sz val="11"/>
        <color rgb="FFFF0000"/>
        <rFont val="Calibri"/>
        <family val="2"/>
      </rPr>
      <t>(as reported on the Statement of Fund Net Position)</t>
    </r>
    <r>
      <rPr>
        <sz val="11"/>
        <color indexed="8"/>
        <rFont val="Calibri"/>
        <family val="2"/>
      </rPr>
      <t xml:space="preserve">
</t>
    </r>
    <r>
      <rPr>
        <b/>
        <sz val="11"/>
        <color indexed="8"/>
        <rFont val="Calibri"/>
        <family val="2"/>
      </rPr>
      <t>Include:</t>
    </r>
    <r>
      <rPr>
        <sz val="11"/>
        <color indexed="8"/>
        <rFont val="Calibri"/>
        <family val="2"/>
      </rPr>
      <t xml:space="preserve">   Current liabilities including current portion of long-term debt.  </t>
    </r>
    <r>
      <rPr>
        <b/>
        <sz val="11"/>
        <color rgb="FF000000"/>
        <rFont val="Calibri"/>
        <family val="2"/>
      </rPr>
      <t>Deferred inflows should not be included in Current Liabilities</t>
    </r>
    <r>
      <rPr>
        <sz val="11"/>
        <color indexed="8"/>
        <rFont val="Calibri"/>
        <family val="2"/>
      </rPr>
      <t xml:space="preserve">  
</t>
    </r>
  </si>
  <si>
    <r>
      <rPr>
        <u/>
        <sz val="11"/>
        <color indexed="8"/>
        <rFont val="Calibri"/>
        <family val="2"/>
      </rPr>
      <t>Current Liabilities</t>
    </r>
    <r>
      <rPr>
        <sz val="11"/>
        <color rgb="FFFF0000"/>
        <rFont val="Calibri"/>
        <family val="2"/>
        <scheme val="minor"/>
      </rPr>
      <t xml:space="preserve"> (as reported on the Balance Sheet)</t>
    </r>
    <r>
      <rPr>
        <sz val="11"/>
        <color theme="1"/>
        <rFont val="Calibri"/>
        <family val="2"/>
        <scheme val="minor"/>
      </rPr>
      <t xml:space="preserve">
</t>
    </r>
    <r>
      <rPr>
        <b/>
        <sz val="11"/>
        <color indexed="8"/>
        <rFont val="Calibri"/>
        <family val="2"/>
      </rPr>
      <t>Exclude</t>
    </r>
    <r>
      <rPr>
        <sz val="11"/>
        <color indexed="60"/>
        <rFont val="Calibri"/>
        <family val="2"/>
      </rPr>
      <t xml:space="preserve"> </t>
    </r>
    <r>
      <rPr>
        <sz val="11"/>
        <color indexed="8"/>
        <rFont val="Calibri"/>
        <family val="2"/>
      </rPr>
      <t xml:space="preserve">all deferred inflows. 
</t>
    </r>
    <r>
      <rPr>
        <b/>
        <sz val="11"/>
        <color indexed="8"/>
        <rFont val="Calibri"/>
        <family val="2"/>
      </rPr>
      <t>Include</t>
    </r>
    <r>
      <rPr>
        <sz val="11"/>
        <color indexed="8"/>
        <rFont val="Calibri"/>
        <family val="2"/>
      </rPr>
      <t xml:space="preserve"> advance from(long-term portion of interfund loans)</t>
    </r>
  </si>
  <si>
    <t>Amount of the General Fund Balance appropriated in next year's budget. As reported on the General Fund Balance Sheet.</t>
  </si>
  <si>
    <r>
      <rPr>
        <b/>
        <sz val="9"/>
        <color indexed="8"/>
        <rFont val="Century Schoolbook"/>
        <family val="1"/>
      </rPr>
      <t>Water Sewer</t>
    </r>
    <r>
      <rPr>
        <sz val="9"/>
        <color indexed="8"/>
        <rFont val="Century Schoolbook"/>
        <family val="1"/>
      </rPr>
      <t xml:space="preserve"> - Disclosed in the Notes or in the recently approved Budget for next year.</t>
    </r>
  </si>
  <si>
    <t>The LGC is normally concerned about units with a Quick Ratio below 1</t>
  </si>
  <si>
    <t>The LGC is normally concerned about units with a negative cash flow from Operations</t>
  </si>
  <si>
    <t>Unit Data From Audit Worksheet</t>
  </si>
  <si>
    <t>Cherokee</t>
  </si>
  <si>
    <t>Chowan</t>
  </si>
  <si>
    <t>Durham</t>
  </si>
  <si>
    <t>Gaston</t>
  </si>
  <si>
    <t>Henderson</t>
  </si>
  <si>
    <t>Macon</t>
  </si>
  <si>
    <t>McDowell</t>
  </si>
  <si>
    <t>Mecklenburg</t>
  </si>
  <si>
    <t xml:space="preserve">New Hanover </t>
  </si>
  <si>
    <t>Pitt</t>
  </si>
  <si>
    <t>Rockingham</t>
  </si>
  <si>
    <t>Rutherford</t>
  </si>
  <si>
    <t>Wake</t>
  </si>
  <si>
    <t>Chapel Hill</t>
  </si>
  <si>
    <t>Charlotte</t>
  </si>
  <si>
    <t>Durham City</t>
  </si>
  <si>
    <t>Fuquay Varina</t>
  </si>
  <si>
    <t>Greensboro</t>
  </si>
  <si>
    <t>Greenville</t>
  </si>
  <si>
    <t>High Point</t>
  </si>
  <si>
    <t>Wake Forest</t>
  </si>
  <si>
    <t>Wilmington</t>
  </si>
  <si>
    <t>Winston-Salem</t>
  </si>
  <si>
    <t>Unit #</t>
  </si>
  <si>
    <t>CCH # 647</t>
  </si>
  <si>
    <t>MANDATORY</t>
  </si>
  <si>
    <t>All Fields Must Be Completed</t>
  </si>
  <si>
    <t>Title of Official</t>
  </si>
  <si>
    <t>Date                        (Enter as "MM/DD/YYYY")</t>
  </si>
  <si>
    <t>Telephone number</t>
  </si>
  <si>
    <t>E-mail address</t>
  </si>
  <si>
    <t>100+98</t>
  </si>
  <si>
    <t>55-100-98</t>
  </si>
  <si>
    <t>331+89</t>
  </si>
  <si>
    <t>81*365/88</t>
  </si>
  <si>
    <t>91*365/97</t>
  </si>
  <si>
    <t>FORMULAS</t>
  </si>
  <si>
    <t>NOTES</t>
  </si>
  <si>
    <t>First name of finance officer or interim finance officer (please enter “vacant” for first or last name if the position is currently vacant)</t>
  </si>
  <si>
    <t>Data not collected in 2019</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</si>
  <si>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</si>
  <si>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</si>
  <si>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</si>
  <si>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</si>
  <si>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</si>
  <si>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</si>
  <si>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</si>
  <si>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entury Schoolbook"/>
        <family val="1"/>
      </rPr>
      <t>Please record the numbers in the shaded column F.  Please enter all numbers as positive</t>
    </r>
    <r>
      <rPr>
        <sz val="12"/>
        <color indexed="8"/>
        <rFont val="Century Schoolbook"/>
        <family val="1"/>
      </rPr>
      <t xml:space="preserve"> unless specifically stated otherwise in the description of the amount requested.  </t>
    </r>
  </si>
  <si>
    <t>The LGC is normally concerned about units with a negative cash flow from operation less debt service</t>
  </si>
  <si>
    <t>Days sales in Receivables</t>
  </si>
  <si>
    <r>
      <rPr>
        <u/>
        <sz val="11"/>
        <color indexed="8"/>
        <rFont val="Calibri"/>
        <family val="2"/>
      </rPr>
      <t>Total Current assets as listed on the WS New Position Statement</t>
    </r>
    <r>
      <rPr>
        <sz val="11"/>
        <color indexed="8"/>
        <rFont val="Calibri"/>
        <family val="2"/>
      </rPr>
      <t xml:space="preserve">.  
</t>
    </r>
  </si>
  <si>
    <t>This information was not collected in this format in 2019</t>
  </si>
  <si>
    <t>WS-Total Current Assets as presented on the Statement of Net Position</t>
  </si>
  <si>
    <t>2020 Current formulas</t>
  </si>
  <si>
    <t>Descriptions - 2020</t>
  </si>
  <si>
    <t>Total Current assets.  
Exclude any current assets identified as restricted.
Exclude "Advance To": portion of interfund loan with repayment longer than 12 months.</t>
  </si>
  <si>
    <t xml:space="preserve">Total Current assets as listed on the WS New Position Statement.  </t>
  </si>
  <si>
    <t>GW - Total Current Liabilities including current portion of long-term debt</t>
  </si>
  <si>
    <t>GW-Current Liabilities - bond anticipation notes</t>
  </si>
  <si>
    <t>GW -Current Liabilities - current compensated absences</t>
  </si>
  <si>
    <t>GW-Current Liabilities - current pension liabilities</t>
  </si>
  <si>
    <t>GW-Current Liabilities - current liabilities payable from restricted assets</t>
  </si>
  <si>
    <t>GW-Current Liabilities - OPEB</t>
  </si>
  <si>
    <t>Total Fund Balance for all Debt Service Funds</t>
  </si>
  <si>
    <t>never collected before</t>
  </si>
  <si>
    <t>Debt Service Funds Total Fund Balance
FBA for the general fund now adds total fund balance for debt service to the FBA for calculating FBA as a % of expenditures.  The Total FB for Debt Service funds was loaded for prior years also so the formula should change for all years presented</t>
  </si>
  <si>
    <t>Current liabilities.  
Include:   Current liabilities and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</si>
  <si>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=633-634-635-636-637-638-578</t>
  </si>
  <si>
    <t>Current liabilities.  
Include: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</si>
  <si>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639-640-641-642-643-644-580</t>
  </si>
  <si>
    <t>580</t>
  </si>
  <si>
    <t>On the above formulas you will have to be careful on the positive and negative formulas for internal balance on the data import tab.</t>
  </si>
  <si>
    <t>Electric-Any current assets that are restricted (Cash, Accounts Rec., ect.) and included in account 657 above</t>
  </si>
  <si>
    <t>Total OPEB benefits - total OPEB liability
If you do not provide benefit, please enter 0</t>
  </si>
  <si>
    <t>Total OPEB benefits- OPEB plan fiduciary net position
If no fiduciary net position, enter 0</t>
  </si>
  <si>
    <t>Total OPEB benefits - What is the plan’s fiduciary net position as a percentage of the total OPEB liability?  Please enter as percentage value; for example, 83.5% should be entered as 83.5.  If assets have not been set aside in a trust, please enter 0.0</t>
  </si>
  <si>
    <r>
      <rPr>
        <u/>
        <sz val="11"/>
        <color indexed="8"/>
        <rFont val="Calibri"/>
        <family val="2"/>
      </rPr>
      <t>Total Current assets as listed on the Electric Net Position Statement</t>
    </r>
    <r>
      <rPr>
        <sz val="11"/>
        <color indexed="8"/>
        <rFont val="Calibri"/>
        <family val="2"/>
      </rPr>
      <t xml:space="preserve">.  
</t>
    </r>
  </si>
  <si>
    <t xml:space="preserve">Total Current assets as listed on the Electric Net Position Statement.  
</t>
  </si>
  <si>
    <t>Unit was issued:
1) No UL
2) No UL but visit is needed
3) UL with response
4) SUL requiring written response
5) Communication to DPI</t>
  </si>
  <si>
    <t>Business Rules:</t>
  </si>
  <si>
    <t>   AuditYear (D2)</t>
  </si>
  <si>
    <t>      Is Number.</t>
  </si>
  <si>
    <t>      = 4 Digits.</t>
  </si>
  <si>
    <t>   UnitCode (L Column Value when J Column Value = 999)</t>
  </si>
  <si>
    <t>      999 Found in Column.</t>
  </si>
  <si>
    <t>      &lt;= 8 Characters.</t>
  </si>
  <si>
    <t>      Exists in Unit table.</t>
  </si>
  <si>
    <t>   Data Evaluated from Row 5 to Row ? (Where Column J = 999)</t>
  </si>
  <si>
    <t>      Blank Rows</t>
  </si>
  <si>
    <t>         Allows 1 Blank Row only.</t>
  </si>
  <si>
    <t>      Account Number (J Column)</t>
  </si>
  <si>
    <t>         &lt;= 25 Characters.</t>
  </si>
  <si>
    <t>         No Duplicates.</t>
  </si>
  <si>
    <t>         Exists in Account Table (IntergovernmentalData).</t>
  </si>
  <si>
    <t>      Account Amount (L Column)</t>
  </si>
  <si>
    <t>         &lt;=500 Characters.</t>
  </si>
  <si>
    <t>         Not Blank/Minus/Comma when Required.</t>
  </si>
  <si>
    <t>         Data Type validated.</t>
  </si>
  <si>
    <t> File Drop</t>
  </si>
  <si>
    <t>=========</t>
  </si>
  <si>
    <t>Test Location: \\dst-flsp4A\Share\lgc\publish\AFIRTest\CCH_UploadTest</t>
  </si>
  <si>
    <t>Production Location: \\dst-flsp4A\Share\LGC\publish\AFIRProduction\CCH_Upload</t>
  </si>
  <si>
    <t>File Pickup Time: 8PM</t>
  </si>
  <si>
    <t>File Uploaded to Database Time: 9PM</t>
  </si>
  <si>
    <t>Formula Data Recalculated Time: 12AM</t>
  </si>
  <si>
    <t>English Version</t>
  </si>
  <si>
    <t>The Import tab is the only tab that the sequel interface will access – the entire file is dropped in the folder</t>
  </si>
  <si>
    <t>The Fiscal year is coded in 4 digits to cell D2</t>
  </si>
  <si>
    <t>Unit Code is found in Column L when J=999 – must always be the last field</t>
  </si>
  <si>
    <t>Data starts in Row 5 Column J</t>
  </si>
  <si>
    <t>A blank row is not counted as a row – shading counts as not blank</t>
  </si>
  <si>
    <t>column J has a limit of 25 characters</t>
  </si>
  <si>
    <t>Column L has a limit of 500 characters</t>
  </si>
  <si>
    <t>If second, third, etc. file for the same unit is placed in folder the original data is written over.</t>
  </si>
  <si>
    <t>The program does not read column K</t>
  </si>
  <si>
    <t>If the chart of accounts is changed then it must be uploaded again</t>
  </si>
  <si>
    <t>unit code-unit description-data type(text, numeric, date)-required or blank</t>
  </si>
  <si>
    <t>OPEB-Plan's fiduciary net position as a % of total OPEB liability</t>
  </si>
  <si>
    <t>51-331-89</t>
  </si>
  <si>
    <t>654-655-579-510</t>
  </si>
  <si>
    <t>657-658-581-511</t>
  </si>
  <si>
    <t>633-634-635-636-637-638-578</t>
  </si>
  <si>
    <r>
      <rPr>
        <u/>
        <sz val="11"/>
        <color indexed="8"/>
        <rFont val="Calibri"/>
        <family val="2"/>
      </rPr>
      <t xml:space="preserve">Total Current liabilities </t>
    </r>
    <r>
      <rPr>
        <u/>
        <sz val="11"/>
        <color rgb="FFFF0000"/>
        <rFont val="Calibri"/>
        <family val="2"/>
      </rPr>
      <t>(as reported on Statement of Net Position)</t>
    </r>
    <r>
      <rPr>
        <sz val="11"/>
        <color indexed="8"/>
        <rFont val="Calibri"/>
        <family val="2"/>
      </rPr>
      <t xml:space="preserve">
</t>
    </r>
    <r>
      <rPr>
        <b/>
        <sz val="11"/>
        <color indexed="8"/>
        <rFont val="Calibri"/>
        <family val="2"/>
      </rPr>
      <t>Include:</t>
    </r>
    <r>
      <rPr>
        <sz val="11"/>
        <color indexed="8"/>
        <rFont val="Calibri"/>
        <family val="2"/>
      </rPr>
      <t xml:space="preserve">   Current liabilities including current portion of long-term debt.  </t>
    </r>
    <r>
      <rPr>
        <b/>
        <sz val="11"/>
        <color rgb="FF000000"/>
        <rFont val="Calibri"/>
        <family val="2"/>
      </rPr>
      <t>Deferred inflows should not be included in Current Liabilities</t>
    </r>
    <r>
      <rPr>
        <sz val="11"/>
        <color indexed="8"/>
        <rFont val="Calibri"/>
        <family val="2"/>
      </rPr>
      <t xml:space="preserve">  
</t>
    </r>
  </si>
  <si>
    <r>
      <rPr>
        <u/>
        <sz val="11"/>
        <color indexed="8"/>
        <rFont val="Calibri"/>
        <family val="2"/>
      </rPr>
      <t xml:space="preserve">Unearned revenues that were included in current liabilities in your audit report or entered in acct # 626 above. </t>
    </r>
    <r>
      <rPr>
        <sz val="11"/>
        <color theme="1"/>
        <rFont val="Calibri"/>
        <family val="2"/>
        <scheme val="minor"/>
      </rPr>
      <t xml:space="preserve">
</t>
    </r>
    <r>
      <rPr>
        <b/>
        <sz val="11"/>
        <color indexed="8"/>
        <rFont val="Calibri"/>
        <family val="2"/>
      </rPr>
      <t xml:space="preserve">Exclude - </t>
    </r>
    <r>
      <rPr>
        <sz val="11"/>
        <color theme="1"/>
        <rFont val="Calibri"/>
        <family val="2"/>
        <scheme val="minor"/>
      </rPr>
      <t>unearned revenues that are listed in deferred inflows.</t>
    </r>
  </si>
  <si>
    <t>The account upload file can now be placed in IT file location along with regular file uploads</t>
  </si>
  <si>
    <t>You can now drop the Chart of Accounts data in the same folder and it will be loaded.  :)</t>
  </si>
  <si>
    <t>I load at 1:15PM and 8:30PM before the CCH loads at 1:30PM and 9:00PM in Test.</t>
  </si>
  <si>
    <t>Requirements</t>
  </si>
  <si>
    <t>==========</t>
  </si>
  <si>
    <t>FileName: YYYYChartOfAccounts.xlsx</t>
  </si>
  <si>
    <t xml:space="preserve">   Where YYYY is the 4 Digit Audit Year.  Ex: 2020ChartofAccounts.xlsx.</t>
  </si>
  <si>
    <t>SheetName: Sheet1</t>
  </si>
  <si>
    <t>Column A: Account Number</t>
  </si>
  <si>
    <t>Column B: Account Description</t>
  </si>
  <si>
    <t>Column C: Account Value Data Type: Numeric, Text, Date Column D: Account Value Required (Not Blank): Required, Empty Cell Value</t>
  </si>
  <si>
    <t>(654-655-579-510)/(633-634-635-636-637-638-578)</t>
  </si>
  <si>
    <t>657-658-581-511/(639-640-641-642-643-644-580)</t>
  </si>
  <si>
    <t>Prior CCH Account #</t>
  </si>
  <si>
    <t>Descriptions of prior number</t>
  </si>
  <si>
    <t>GW-Gov - replace 336</t>
  </si>
  <si>
    <t>Current liabilities
Include:   Current liabilities and current portion of long-term debt. 
Exclude:   Bond Anticipation Notes
                    Compensated  Absences
                    Pension liabilities
                    Liabilities payable from restricted assets
                    Other post employment liabilities (OPEB)
                    Deferred inflows.</t>
  </si>
  <si>
    <t>626-627-628-629-630-631  We have deliberately not included 632 (closure/postclosure liabilities) since if they are in current liabilities they will be paid out and should be included in current liabilities</t>
  </si>
  <si>
    <t>Water Sewer Replace 44</t>
  </si>
  <si>
    <t>654-655-579</t>
  </si>
  <si>
    <t>WS-Any current assets that are restricted (Cash, Accounts Rec., deliberately.) and included in account 654 above</t>
  </si>
  <si>
    <t xml:space="preserve">Water Sewer - replace 45 </t>
  </si>
  <si>
    <t>Electric - replace 47</t>
  </si>
  <si>
    <t>657-658-581</t>
  </si>
  <si>
    <r>
      <rPr>
        <u/>
        <sz val="11"/>
        <rFont val="Calibri"/>
        <family val="2"/>
      </rPr>
      <t>Electric Fund - Advance To:</t>
    </r>
    <r>
      <rPr>
        <sz val="11"/>
        <rFont val="Calibri"/>
        <family val="2"/>
      </rPr>
      <t xml:space="preserve">
Interfund loan receivable-portion of repayment plan longer than 12 months</t>
    </r>
  </si>
  <si>
    <t>Electric replace 48</t>
  </si>
  <si>
    <t>The following are not changes to the formulas but changes that might need to be made to the formulas - Example we are no longer using account 336 beginning in 2020.  If you encounter a formula using 336 you must change it by deleting the 336 and adding (26-627-628-629-630-631) in its place</t>
  </si>
  <si>
    <r>
      <t xml:space="preserve">Please enter any bond anticipation notes that are classified as current liabilities and included in account 633 above </t>
    </r>
    <r>
      <rPr>
        <sz val="11"/>
        <color theme="5" tint="-0.249977111117893"/>
        <rFont val="Calibri"/>
        <family val="2"/>
      </rPr>
      <t>(amounts entered should agree to the current amount included in the changes to long-term debt note)</t>
    </r>
  </si>
  <si>
    <r>
      <t xml:space="preserve">Please enter any compensated absences that are classified as current liabilities and included in account 633 above </t>
    </r>
    <r>
      <rPr>
        <sz val="11"/>
        <color theme="5" tint="-0.249977111117893"/>
        <rFont val="Calibri"/>
        <family val="2"/>
      </rPr>
      <t>(amounts entered should agree to the current amount included in the changes to long-term debt note)</t>
    </r>
  </si>
  <si>
    <r>
      <t xml:space="preserve">Please enter any pension liabilities that are classified as current liabilities and included in account 633 above </t>
    </r>
    <r>
      <rPr>
        <sz val="11"/>
        <color theme="5" tint="-0.249977111117893"/>
        <rFont val="Calibri"/>
        <family val="2"/>
      </rPr>
      <t>(amounts entered should agree to the current amount included in the changes to long-term debt note)</t>
    </r>
  </si>
  <si>
    <r>
      <t xml:space="preserve">Please enter any OPEB liabilities that are classified as current liabilities and included in account 633 above </t>
    </r>
    <r>
      <rPr>
        <sz val="11"/>
        <color theme="5" tint="-0.249977111117893"/>
        <rFont val="Calibri"/>
        <family val="2"/>
      </rPr>
      <t>(amounts entered should agree to the current amount included in the changes to long-term debt note)</t>
    </r>
  </si>
  <si>
    <t>Please enter any current liabilities that are payable from restricted assets and included in account 633 above.</t>
  </si>
  <si>
    <t>Unearned revenue (arising from cash receipts) that were included in Current Liabilities in the question in account 633 above.</t>
  </si>
  <si>
    <r>
      <t xml:space="preserve">Please enter any bond anticipation notes that are classified as current liabilities and included in account 639 above </t>
    </r>
    <r>
      <rPr>
        <sz val="11"/>
        <color theme="5" tint="-0.249977111117893"/>
        <rFont val="Calibri"/>
        <family val="2"/>
      </rPr>
      <t>(amounts entered should agree to the current amount included in the changes to long-term debt note)</t>
    </r>
  </si>
  <si>
    <r>
      <t xml:space="preserve">Please enter any compensated absences that are classified as current liabilities and included in account 639 above </t>
    </r>
    <r>
      <rPr>
        <sz val="11"/>
        <color theme="5" tint="-0.249977111117893"/>
        <rFont val="Calibri"/>
        <family val="2"/>
      </rPr>
      <t>(amounts entered should agree to the current amount included in the changes to long-term debt note)</t>
    </r>
  </si>
  <si>
    <r>
      <t xml:space="preserve">Please enter any pension liabilities that are classified as current liabilities and included account in 639 above </t>
    </r>
    <r>
      <rPr>
        <sz val="11"/>
        <color theme="5" tint="-0.249977111117893"/>
        <rFont val="Calibri"/>
        <family val="2"/>
      </rPr>
      <t>(amounts entered should agree to the current amount included in the changes to long-term debt note)</t>
    </r>
  </si>
  <si>
    <t xml:space="preserve">Please enter any current liabilities that are payable from restricted assets and included in account 639 above. </t>
  </si>
  <si>
    <r>
      <t xml:space="preserve">Please enter any OPEB liabilities that are classified as current liabilities and included in account 639 above </t>
    </r>
    <r>
      <rPr>
        <sz val="11"/>
        <color theme="5" tint="-0.249977111117893"/>
        <rFont val="Calibri"/>
        <family val="2"/>
      </rPr>
      <t>(amounts entered should agree to the current amount included in the changes to long-term debt note)</t>
    </r>
  </si>
  <si>
    <t>Unearned revenue (arising from cash receipts) that were included in Current Liabilities in account 639 above.</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</si>
  <si>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</si>
  <si>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</si>
  <si>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</si>
  <si>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r>
      <t xml:space="preserve">Please enter any bond anticipation notes that are classified as current liabilities and included in account 626 above </t>
    </r>
    <r>
      <rPr>
        <sz val="11"/>
        <color theme="5" tint="-0.249977111117893"/>
        <rFont val="Calibri"/>
        <family val="2"/>
      </rPr>
      <t>(amounts entered should agree to the current amount included in the changes to long-term debt note)</t>
    </r>
  </si>
  <si>
    <r>
      <t xml:space="preserve">Please enter any compensated absences that are classified as current liabilities and included in account 626 above </t>
    </r>
    <r>
      <rPr>
        <sz val="11"/>
        <color theme="5" tint="-0.249977111117893"/>
        <rFont val="Calibri"/>
        <family val="2"/>
      </rPr>
      <t>(amounts entered should agree to the current amount included in the changes to long-term debt note)</t>
    </r>
  </si>
  <si>
    <r>
      <t xml:space="preserve">Please enter any pension liabilities that are classified as current liabilities and included in account 626 above </t>
    </r>
    <r>
      <rPr>
        <sz val="11"/>
        <color theme="5" tint="-0.249977111117893"/>
        <rFont val="Calibri"/>
        <family val="2"/>
      </rPr>
      <t>(amounts entered should agree to the current amount included in the changes to long-term debt note)</t>
    </r>
  </si>
  <si>
    <t>Please enter any current liabilities that are payable from restricted assets and included in account 626 above</t>
  </si>
  <si>
    <r>
      <t xml:space="preserve">Please enter any OPEB liabilities that are classified as current liabilities and included in account 626 above </t>
    </r>
    <r>
      <rPr>
        <sz val="11"/>
        <color theme="5" tint="-0.249977111117893"/>
        <rFont val="Calibri"/>
        <family val="2"/>
      </rPr>
      <t>(amounts entered should agree to the current amount included in the changes to long-term debt note)</t>
    </r>
  </si>
  <si>
    <r>
      <t xml:space="preserve">Please enter any landfill closure/postclosure liabilities that are classified as current liabilities and included in account 626 above </t>
    </r>
    <r>
      <rPr>
        <sz val="11"/>
        <color theme="5" tint="-0.249977111117893"/>
        <rFont val="Calibri"/>
        <family val="2"/>
      </rPr>
      <t>(amounts entered should agree to the current amount included in the changes to long-term debt note)</t>
    </r>
  </si>
  <si>
    <t>Errors :  The cell to the left indicates the number of error messages on the data input tab</t>
  </si>
  <si>
    <t xml:space="preserve"> Statement of Cash Flows</t>
  </si>
  <si>
    <t>The Official should be the Finance Officer or interim Finance Officer as designated by the Board.</t>
  </si>
  <si>
    <t>Name of Finance Officer</t>
  </si>
  <si>
    <t>Capital</t>
  </si>
  <si>
    <t>Interim</t>
  </si>
  <si>
    <t>Vacant</t>
  </si>
  <si>
    <t>Data Import 2019</t>
  </si>
  <si>
    <t>Water Sewer Data Import 2016</t>
  </si>
  <si>
    <t>Bay River Metropolitan Sewage District</t>
  </si>
  <si>
    <t>Belfast/Patetown Sanitary District</t>
  </si>
  <si>
    <t>Broad River Water Authority</t>
  </si>
  <si>
    <t>Brunswick Regional Water and Sewer H2GO</t>
  </si>
  <si>
    <t>Buncombe County Metropolitan Sewerage District</t>
  </si>
  <si>
    <t>Cabarrus County Water &amp; Sewer Authority</t>
  </si>
  <si>
    <t>Cape Fear Public Utility Authority</t>
  </si>
  <si>
    <t>Cleveland County Water</t>
  </si>
  <si>
    <t>Contentnea Metropolitan Sewage District</t>
  </si>
  <si>
    <t>Eastern Wayne Sanitary District</t>
  </si>
  <si>
    <t>Engelhard Sanitary Distirct</t>
  </si>
  <si>
    <t>Public Work Commission of the City of Fayetteville</t>
  </si>
  <si>
    <t>First Craven Sanitary District</t>
  </si>
  <si>
    <t>Flat Rock/Bannertown Water and Sewer District</t>
  </si>
  <si>
    <t>Fork Township Sanitary District</t>
  </si>
  <si>
    <t>Goldston/Gulf Sanitary District</t>
  </si>
  <si>
    <t>Greenville Utilities Commission</t>
  </si>
  <si>
    <t>Handy Sanitary District</t>
  </si>
  <si>
    <t>Harkers Island Sanitary District</t>
  </si>
  <si>
    <t>Junaluska Sanitary District</t>
  </si>
  <si>
    <t>Lower Cape Fear Water &amp; Sewer Authority</t>
  </si>
  <si>
    <t>Maggie Valley Sanitary District</t>
  </si>
  <si>
    <t>Martin County Regional Water and Sewer Authority</t>
  </si>
  <si>
    <t>Maury Sanitary Land District</t>
  </si>
  <si>
    <t>Neuse Regional Water &amp; Sewer Authority</t>
  </si>
  <si>
    <t>Northwestern Wayne Sanitary District</t>
  </si>
  <si>
    <t>Ocracoke Sanitary District</t>
  </si>
  <si>
    <t>Onslow Water and Sewer Authority</t>
  </si>
  <si>
    <t>Orange Water &amp; Sewer Authority</t>
  </si>
  <si>
    <t>Piedmont Triad Regional Water Authority</t>
  </si>
  <si>
    <t>Riegelwood Sanitary District</t>
  </si>
  <si>
    <t>Roanoke Rapids Sanitary District</t>
  </si>
  <si>
    <t>Seagrove-Ulah Metropolitan Water District</t>
  </si>
  <si>
    <t>Sedgefield Sanitary District</t>
  </si>
  <si>
    <t>South Granville Water and Sewer Authority</t>
  </si>
  <si>
    <t>Southeast Brunswick Sanitary District</t>
  </si>
  <si>
    <t>Southeastern Wayne Sanitary District</t>
  </si>
  <si>
    <t>Southern Wayne Sanitary District</t>
  </si>
  <si>
    <t>Southwestern Wayne Sanitary District</t>
  </si>
  <si>
    <t>Stanly Water &amp; Sewer Authority</t>
  </si>
  <si>
    <t>Stokes County Water &amp; Sewer Authority</t>
  </si>
  <si>
    <t>Swan Quarter Sanitary District</t>
  </si>
  <si>
    <t>Tuckaseigee Water and Sewer Authority</t>
  </si>
  <si>
    <t>Western Bay River Metropolitan Sewer District</t>
  </si>
  <si>
    <t>Whitley Heights Sanitary District</t>
  </si>
  <si>
    <t>Whittier Sanitary District</t>
  </si>
  <si>
    <t>Woodfin Sanitary District</t>
  </si>
  <si>
    <t>Yadkin Valley Sewer Authority</t>
  </si>
  <si>
    <t>Electric - Change in Net Assets</t>
  </si>
  <si>
    <t>OPEB- Annual Expenses</t>
  </si>
  <si>
    <t>WS-EF- Accumulated Infrastructure Deprec Expense. Enter as positive.</t>
  </si>
  <si>
    <t>Electric - Total Liabilities</t>
  </si>
  <si>
    <t>Electric - Unrestricted Net Assets</t>
  </si>
  <si>
    <t>Electric - Total Net Assets</t>
  </si>
  <si>
    <t>Electric - Total Transfers Out</t>
  </si>
  <si>
    <t>Electric - Any Adj. to Beginning Net Assets</t>
  </si>
  <si>
    <t>Electric - Total Assets</t>
  </si>
  <si>
    <t>Internal Control-
1) no IC issues 
2)Immaterial 
3) Unit letter for IC 
4) Unit visit for IC</t>
  </si>
  <si>
    <t>GF - Advance To</t>
  </si>
  <si>
    <t>In your professional opinion do you believe the unit of government can best be served by:
100 - No UL
200 - UL with call
300 - UL call-investing
400 - UL visit
500 - SUL</t>
  </si>
  <si>
    <t>import tab only</t>
  </si>
  <si>
    <t>Amount of interest income and investment income recognized as revenue in your audit report for all governmental and proprietary funds.  In the past we have asked you to adjust this number, but this year we would like the number as it appears on your Statement of Activities without adjustment.</t>
  </si>
  <si>
    <t>conversion</t>
  </si>
  <si>
    <t>For Internal Control Issues Only
1) no IC issues 
2)Immaterial IC issues
3) Unit letter for IC 
4) Consider placing on Unit Assistance List due to IC issues
5) Communication with DPI</t>
  </si>
  <si>
    <t xml:space="preserve">In your professional opinion do you believe the unit of government can best be served by:
1 - No UL
2 - UL requiring a written response from the unit
3 - UL no written  response required from unit - schedule a staff followup
4-  UL requires a written reponse from unit and a staff followup
5 - Special unit letter requiring a written response
6- Communication to DPI
</t>
  </si>
  <si>
    <t>Health benefits - plan’s fiduciary net position as a percentage of the total OPEB liability </t>
  </si>
  <si>
    <t>Vision benefits -  plan’s fiduciary net position as a percentage of the total OPEB liability </t>
  </si>
  <si>
    <t>Dental benefits - plan’s fiduciary net position as a percentage of the total OPEB liability</t>
  </si>
  <si>
    <t>Other benefits  - plan’s fiduciary net position as a percentage of the total OPEB liability</t>
  </si>
  <si>
    <t>LEOSSA – plan’s fiduciary net position as a percentage of the total pension liability</t>
  </si>
  <si>
    <t>batch</t>
  </si>
  <si>
    <t>CCH Batch</t>
  </si>
  <si>
    <t>Data Import 2018</t>
  </si>
  <si>
    <t>Cliffside Sanitary District</t>
  </si>
  <si>
    <t xml:space="preserve">                         -  </t>
  </si>
  <si>
    <t>Edgecombe County Water and Sewer District #4</t>
  </si>
  <si>
    <t>Total FB for Debt Service Funds</t>
  </si>
  <si>
    <t>GF  FBA</t>
  </si>
  <si>
    <t>(506+536-4-5-6)+647</t>
  </si>
  <si>
    <t>GF Exp and Tran out</t>
  </si>
  <si>
    <t>532+20+509-533-508</t>
  </si>
  <si>
    <t>GF FBA% of Exp</t>
  </si>
  <si>
    <t>(506+536-4-5-6)+647/(532+20+509-533-508)</t>
  </si>
  <si>
    <t>WS debt service</t>
  </si>
  <si>
    <t>WS Current asset</t>
  </si>
  <si>
    <t>44-510</t>
  </si>
  <si>
    <t>WS Days in Sales</t>
  </si>
  <si>
    <t xml:space="preserve">Electric Days in Sales </t>
  </si>
  <si>
    <t>WS Current Assets</t>
  </si>
  <si>
    <t>Electric Current Assets</t>
  </si>
  <si>
    <t>47-511</t>
  </si>
  <si>
    <t>Electric  debt service</t>
  </si>
  <si>
    <t>Electric cash flow - debt service</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</si>
  <si>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</si>
  <si>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</si>
  <si>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</si>
  <si>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</si>
  <si>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</si>
  <si>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</si>
  <si>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This field must be completed in order to process your audit report</t>
  </si>
  <si>
    <t>Master</t>
  </si>
  <si>
    <t>Data for Data Input</t>
  </si>
  <si>
    <t>2019 Data</t>
  </si>
  <si>
    <t>Cliffside Santary District</t>
  </si>
  <si>
    <t>Dashboard; Determination of Fiscal Health</t>
  </si>
  <si>
    <t>Engelhard Sanitary District</t>
  </si>
  <si>
    <t>WS-Any current assets that are restricted (Cash, Accounts Rec., etc..) and included in account 654 above</t>
  </si>
  <si>
    <t>Electric-Any current assets that are restricted (Cash, Accounts Rec., etc..) and included in account 657 above</t>
  </si>
  <si>
    <r>
      <rPr>
        <u/>
        <sz val="11"/>
        <rFont val="Calibri"/>
        <family val="2"/>
      </rPr>
      <t>Please enter the Net Current year's levy for property excluding registered motor vehicles</t>
    </r>
    <r>
      <rPr>
        <sz val="11"/>
        <rFont val="Calibri"/>
        <family val="2"/>
      </rPr>
      <t xml:space="preserve">-- </t>
    </r>
    <r>
      <rPr>
        <sz val="11"/>
        <color indexed="60"/>
        <rFont val="Calibri"/>
        <family val="2"/>
      </rPr>
      <t>(after adjusting for discoveries and abatements)</t>
    </r>
    <r>
      <rPr>
        <sz val="11"/>
        <rFont val="Calibri"/>
        <family val="2"/>
      </rPr>
      <t xml:space="preserve">
</t>
    </r>
    <r>
      <rPr>
        <b/>
        <sz val="11"/>
        <rFont val="Calibri"/>
        <family val="2"/>
      </rPr>
      <t>Exclude</t>
    </r>
    <r>
      <rPr>
        <sz val="11"/>
        <rFont val="Calibri"/>
        <family val="2"/>
      </rPr>
      <t xml:space="preserve"> Supplemental Taxes</t>
    </r>
  </si>
  <si>
    <t>WS-Any current assets that are restricted (Cash, Accounts Rec., etc..)</t>
  </si>
  <si>
    <t>LEO - plan's fiduciary net position as a % of total pension liability</t>
  </si>
  <si>
    <t>Net OPEB Liability</t>
  </si>
  <si>
    <r>
      <t>Date on which the local government, public authority, or designated official appointed the finance officer?</t>
    </r>
    <r>
      <rPr>
        <b/>
        <sz val="11"/>
        <color theme="5" tint="-0.249977111117893"/>
        <rFont val="Calibri"/>
        <family val="2"/>
        <scheme val="minor"/>
      </rPr>
      <t xml:space="preserve"> (If the date of appointment by the board is difficult to find you may enter January 1 and the year)</t>
    </r>
    <r>
      <rPr>
        <sz val="11"/>
        <color theme="1"/>
        <rFont val="Calibri"/>
        <family val="2"/>
        <scheme val="minor"/>
      </rPr>
      <t xml:space="preserve">  </t>
    </r>
    <r>
      <rPr>
        <b/>
        <sz val="11"/>
        <color theme="1"/>
        <rFont val="Calibri"/>
        <family val="2"/>
        <scheme val="minor"/>
      </rPr>
      <t xml:space="preserve"> Date Format  MM/DD/YYYY</t>
    </r>
  </si>
  <si>
    <t>If unit is an employer participant in one of the State Cost Sharing Plans rows 168-170 should be blank.  Unless they have an additional single employer plan.</t>
  </si>
  <si>
    <t>Single Audit Only - Type of compliance report(s) issued:  #1- all unmodified; #2- at least one other (qualified, adverse)</t>
  </si>
  <si>
    <t>Single Audit Only - Coronavirus Relief Fund expenditures (21.019)</t>
  </si>
  <si>
    <t xml:space="preserve">Single Audit Only - Other CARES Act /Coronavirus funding </t>
  </si>
  <si>
    <r>
      <t xml:space="preserve">Unit's share of RHBF Net OPEB Liability ($s)
- unit of government is a participating employer in the </t>
    </r>
    <r>
      <rPr>
        <b/>
        <sz val="11"/>
        <color theme="1"/>
        <rFont val="Calibri"/>
        <family val="2"/>
        <scheme val="minor"/>
      </rPr>
      <t>State's RHBF</t>
    </r>
    <r>
      <rPr>
        <sz val="11"/>
        <color theme="1"/>
        <rFont val="Calibri"/>
        <family val="2"/>
        <scheme val="minor"/>
      </rPr>
      <t xml:space="preserve"> (Retiree Health Benefit Fund)</t>
    </r>
  </si>
  <si>
    <t>The below information must be completed 
in order to process your audit report.</t>
  </si>
  <si>
    <t>If you appropriated General Fund Balance in your 2020 budget and your "change in fund balance": (row 69 above) is negative, please select from the drop down box in column F either "operations" or "capital", whichever best describes what the fund balance was used for.  If you select "Capital" please briefly describe in column G to the right the capital items.</t>
  </si>
  <si>
    <t>Data used in the worksheet was taken from data submitted from prior years data input worksheets.   If your audit reports were not received and reviewed by our office at the time when this worksheet was created, data from that fiscal year will not be available on this analysis tab.</t>
  </si>
  <si>
    <t>Introduction to the Unit Data from Audit Worksheet and the 3-Year Analysis Worksheet</t>
  </si>
  <si>
    <r>
      <rPr>
        <b/>
        <i/>
        <sz val="12"/>
        <rFont val="Cambria"/>
        <family val="1"/>
      </rPr>
      <t xml:space="preserve">Unit Data from Audit Worksheet </t>
    </r>
    <r>
      <rPr>
        <i/>
        <sz val="12"/>
        <rFont val="Cambria"/>
        <family val="1"/>
      </rPr>
      <t xml:space="preserve">- The </t>
    </r>
    <r>
      <rPr>
        <i/>
        <sz val="12"/>
        <color rgb="FFFF0000"/>
        <rFont val="Cambria"/>
        <family val="1"/>
      </rPr>
      <t xml:space="preserve">self-reported </t>
    </r>
    <r>
      <rPr>
        <i/>
        <sz val="12"/>
        <rFont val="Cambria"/>
        <family val="1"/>
      </rPr>
      <t xml:space="preserve">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 xml:space="preserve">Accuracy in completion of data is important for your local government.  </t>
    </r>
  </si>
  <si>
    <r>
      <t xml:space="preserve">3-Year Analysis Worksheet - </t>
    </r>
    <r>
      <rPr>
        <i/>
        <sz val="12"/>
        <rFont val="Cambria"/>
        <family val="1"/>
      </rPr>
      <t xml:space="preserve">The </t>
    </r>
    <r>
      <rPr>
        <i/>
        <sz val="12"/>
        <color rgb="FFFF0000"/>
        <rFont val="Cambria"/>
        <family val="1"/>
      </rPr>
      <t>self-reported</t>
    </r>
    <r>
      <rPr>
        <i/>
        <sz val="12"/>
        <rFont val="Cambria"/>
        <family val="1"/>
      </rPr>
      <t xml:space="preserve"> financial data uses past and current performance to identify changes and trends that will affect the operations of a unit of government.  Financial measures may be used to evaluate your performance to other comparable  units of governments. </t>
    </r>
  </si>
  <si>
    <t>Important Notes to the Preparer</t>
  </si>
  <si>
    <r>
      <t xml:space="preserve">All information provided is </t>
    </r>
    <r>
      <rPr>
        <sz val="12"/>
        <color rgb="FFFF0000"/>
        <rFont val="Century Schoolbook"/>
        <family val="1"/>
      </rPr>
      <t xml:space="preserve">self-reported </t>
    </r>
    <r>
      <rPr>
        <sz val="12"/>
        <color theme="1"/>
        <rFont val="Century Schoolbook"/>
        <family val="1"/>
      </rPr>
      <t xml:space="preserve">by the units of local government.  The staff of the State and Local Government Fiscal Management Section does NOT recalculate and is not responsible for incorrectly reported amounts. </t>
    </r>
  </si>
  <si>
    <t>The Unit Data from Audit Worksheet contains edits that will display error messages if these edit tests are not passed.  Please make sure that your worksheet is error free.  The worksheet may be returned to the unit to correct any errors that have not been resolved.</t>
  </si>
  <si>
    <t>New for Fiscal 2020</t>
  </si>
  <si>
    <t>Data documenting the unit's compliance with General Statue 159-25 is captured in account numbers 947, 948, 949, 950, 952, 954, 956, and 958.</t>
  </si>
  <si>
    <r>
      <t xml:space="preserve">The </t>
    </r>
    <r>
      <rPr>
        <i/>
        <sz val="12"/>
        <color theme="1"/>
        <rFont val="Century Schoolbook"/>
        <family val="1"/>
      </rPr>
      <t xml:space="preserve">3-Year Analysis </t>
    </r>
    <r>
      <rPr>
        <sz val="12"/>
        <color theme="1"/>
        <rFont val="Century Schoolbook"/>
        <family val="1"/>
      </rPr>
      <t xml:space="preserve">worksheet has been included using </t>
    </r>
    <r>
      <rPr>
        <sz val="12"/>
        <color rgb="FFFF0000"/>
        <rFont val="Century Schoolbook"/>
        <family val="1"/>
      </rPr>
      <t>self-reported</t>
    </r>
    <r>
      <rPr>
        <sz val="12"/>
        <color theme="1"/>
        <rFont val="Century Schoolbook"/>
        <family val="1"/>
      </rPr>
      <t xml:space="preserve"> financial information that is intended to aid the auditor and local government in identifying important trends as well as potential strengths and weaknesses.  The Year 2020 column automatically populates when the Unit Data from Audit Worksheet is completed.</t>
    </r>
  </si>
  <si>
    <t>Links to Websites that provide financial data and ratios for Municipalities and Counties</t>
  </si>
  <si>
    <t>Instructions for the Unit Data from Audit Worksheet</t>
  </si>
  <si>
    <r>
      <t xml:space="preserve">The Unit Data from Audit Worksheet must be completed using your audited financial statements and submitted with the audit report to the Local Government Commission.  This worksheet is designed so that each unit should be able to complete it in less than an hour, if they have a completed audit report.  Units can always choose to outsource the completion of this worksheet but it must be certified by the finance officer.  The worksheet must be </t>
    </r>
    <r>
      <rPr>
        <b/>
        <sz val="12"/>
        <color indexed="8"/>
        <rFont val="Century Schoolbook"/>
        <family val="1"/>
      </rPr>
      <t>submitted with the unit’s audit report</t>
    </r>
    <r>
      <rPr>
        <sz val="12"/>
        <color indexed="8"/>
        <rFont val="Century Schoolbook"/>
        <family val="1"/>
      </rPr>
      <t>.</t>
    </r>
  </si>
  <si>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</si>
  <si>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If you have any questions, please call 919-814-4299.</t>
  </si>
  <si>
    <t xml:space="preserve">Date </t>
  </si>
  <si>
    <t>unit code must be completed</t>
  </si>
  <si>
    <t xml:space="preserve">The self-reported information below is intended to aid the Auditor and Local Government in identifying trends and potential strengths and weaknesses. It might also help to detect a keying error made on the Unit Data from Audit Worksheet.   If the information below shows unexpected results, the auditor should verify the data entered into the Unit Data from Audit Worksheet, since it is the source of the data.  Accounts numbers are provided for each piece of data or ratio used in the calculation of the issue in column F (FORMULAS).  These account numbers are found in column A (Acct #) on the Unit Data from Audit Worksheet tab.   If the data is still producing negative trends after verifying the data, then the unit needs to address the fiscal weakness and develop a fiscal plan that will correct the fiscal weakness.  Revising the current budget and future budgets is normally the major tools used to do this along with any necessary fee revisions.  </t>
  </si>
  <si>
    <t xml:space="preserve">These formulas are used to calculate various ratios.  The numbers used in the formula are taken directly from the Unit Data from Audit Worksheet tab.  The formulas below show the LGC account number for each data element that is listed in Column A on the Unit Data from Audit Worksheet tab.  </t>
  </si>
  <si>
    <t>Has the finance officer or interim finance officer submitted (or ensured or confirmed submission of) all required and applicable reports including but not limited to  the FY2019 annual audit report (N.C.G.S. 159-34), the semi-annual report on cash and investments (LGC-203) due July 25, 2019 and January 25, 2020 (N.C.G.S. 159-33), and the annual financial information report (AFIR) due by counites and municipalities October 31, 2019 (N.C.G.S. 159-33.1), and any other reports due  during the fiscal year corresponding to the audit report being submitted? (Y/N)</t>
  </si>
  <si>
    <r>
      <t xml:space="preserve">The data provided in the </t>
    </r>
    <r>
      <rPr>
        <i/>
        <sz val="12"/>
        <color theme="1"/>
        <rFont val="Century Schoolbook"/>
        <family val="1"/>
      </rPr>
      <t xml:space="preserve">Unit Data from Audit Worksheet </t>
    </r>
    <r>
      <rPr>
        <sz val="12"/>
        <color theme="1"/>
        <rFont val="Century Schoolbook"/>
        <family val="1"/>
      </rPr>
      <t xml:space="preserve">now requires a certification by the Finance Officer that is located at the end of the worksheet in account numbers 960, 962, 964, 966, and 968.  </t>
    </r>
  </si>
  <si>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</si>
  <si>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</si>
  <si>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</si>
  <si>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t>Version Date 8/31/2020</t>
  </si>
  <si>
    <r>
      <t xml:space="preserve">The </t>
    </r>
    <r>
      <rPr>
        <i/>
        <sz val="12"/>
        <color theme="1"/>
        <rFont val="Century Schoolbook"/>
        <family val="1"/>
      </rPr>
      <t>Resubmission Form</t>
    </r>
    <r>
      <rPr>
        <sz val="12"/>
        <color theme="1"/>
        <rFont val="Century Schoolbook"/>
        <family val="1"/>
      </rPr>
      <t xml:space="preserve"> is replacing prior years' </t>
    </r>
    <r>
      <rPr>
        <i/>
        <sz val="12"/>
        <color theme="1"/>
        <rFont val="Century Schoolbook"/>
        <family val="1"/>
      </rPr>
      <t xml:space="preserve">Audit Report Reissued Form. </t>
    </r>
    <r>
      <rPr>
        <sz val="12"/>
        <color theme="1"/>
        <rFont val="Century Schoolbook"/>
        <family val="1"/>
      </rPr>
      <t xml:space="preserve">The </t>
    </r>
    <r>
      <rPr>
        <i/>
        <sz val="12"/>
        <color theme="1"/>
        <rFont val="Century Schoolbook"/>
        <family val="1"/>
      </rPr>
      <t>Resubmission Form</t>
    </r>
    <r>
      <rPr>
        <sz val="12"/>
        <color theme="1"/>
        <rFont val="Century Schoolbook"/>
        <family val="1"/>
      </rPr>
      <t xml:space="preserve"> 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</si>
  <si>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https://www.nctreasurer.com/state-and-local-government-finance-division/local-government-commission/submitting-your-audit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</si>
</sst>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1">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0_);\(0.00\)"/>
    <numFmt numFmtId="171" formatCode="0.0_);\(0.0\)"/>
    <numFmt numFmtId="172" formatCode="_(* #,##0.0000_);_(* \(#,##0.0000\);_(* &quot;-&quot;??_);_(@_)"/>
    <numFmt numFmtId="173" formatCode="#,##0.0000_);[Red]\(#,##0.0000\)"/>
    <numFmt numFmtId="174" formatCode="#,##0.0_);\(#,##0.0\)"/>
    <numFmt numFmtId="175" formatCode="#,##0.0000_);\(#,##0.0000\)"/>
    <numFmt numFmtId="176" formatCode="_(* #,##0.00_);_(* \(#,##0.00\);_(* &quot;-&quot;_);_(@_)"/>
    <numFmt numFmtId="177" formatCode="_(* #,##0.00%_);[Red]_(* \(#,##0.00%\);_(0.00%_);@"/>
    <numFmt numFmtId="178" formatCode="m/d/yy;@"/>
    <numFmt numFmtId="179" formatCode="mm/dd/yyyy"/>
    <numFmt numFmtId="180" formatCode="#,##0.0"/>
    <numFmt numFmtId="181" formatCode="0.0000"/>
  </numFmts>
  <fonts count="194"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b/>
      <sz val="9"/>
      <color indexed="8"/>
      <name val="Calibri"/>
      <family val="2"/>
    </font>
    <font>
      <u/>
      <sz val="11"/>
      <color indexed="8"/>
      <name val="Calibri"/>
      <family val="2"/>
    </font>
    <font>
      <sz val="11"/>
      <name val="Calibri"/>
      <family val="2"/>
    </font>
    <font>
      <b/>
      <sz val="11"/>
      <name val="Calibri"/>
      <family val="2"/>
    </font>
    <font>
      <sz val="11"/>
      <name val="Century Schoolbook"/>
      <family val="1"/>
    </font>
    <font>
      <sz val="11"/>
      <color indexed="62"/>
      <name val="Calibri"/>
      <family val="2"/>
    </font>
    <font>
      <sz val="11"/>
      <color indexed="60"/>
      <name val="Calibri"/>
      <family val="2"/>
    </font>
    <font>
      <sz val="10"/>
      <name val="Times New Roman"/>
      <family val="1"/>
    </font>
    <font>
      <sz val="12"/>
      <color indexed="8"/>
      <name val="Century Schoolbook"/>
      <family val="1"/>
    </font>
    <font>
      <b/>
      <sz val="12"/>
      <color indexed="8"/>
      <name val="Century Schoolbook"/>
      <family val="1"/>
    </font>
    <font>
      <sz val="14"/>
      <color indexed="8"/>
      <name val="Century Schoolbook"/>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0"/>
      <name val="Century Schoolbook"/>
      <family val="1"/>
    </font>
    <font>
      <sz val="10"/>
      <color indexed="8"/>
      <name val="Times New Roman"/>
      <family val="1"/>
    </font>
    <font>
      <sz val="12"/>
      <name val="Garamond"/>
      <family val="1"/>
    </font>
    <font>
      <sz val="12"/>
      <name val="Garamond"/>
      <family val="1"/>
    </font>
    <font>
      <u/>
      <sz val="10"/>
      <color indexed="12"/>
      <name val="Arial"/>
      <family val="2"/>
    </font>
    <font>
      <sz val="10"/>
      <name val="Arial"/>
      <family val="2"/>
    </font>
    <font>
      <sz val="11"/>
      <color indexed="8"/>
      <name val="Century Schoolbook"/>
      <family val="1"/>
    </font>
    <font>
      <b/>
      <sz val="11"/>
      <color indexed="8"/>
      <name val="Century Schoolbook"/>
      <family val="1"/>
    </font>
    <font>
      <sz val="9"/>
      <color indexed="8"/>
      <name val="Century Schoolbook"/>
      <family val="1"/>
    </font>
    <font>
      <sz val="9"/>
      <color indexed="8"/>
      <name val="Calibri"/>
      <family val="2"/>
    </font>
    <font>
      <b/>
      <sz val="11"/>
      <name val="Century Schoolbook"/>
      <family val="1"/>
    </font>
    <font>
      <b/>
      <u/>
      <sz val="11"/>
      <color indexed="8"/>
      <name val="Calibri"/>
      <family val="2"/>
    </font>
    <font>
      <u/>
      <sz val="11"/>
      <name val="Calibri"/>
      <family val="2"/>
    </font>
    <font>
      <b/>
      <sz val="9"/>
      <color indexed="8"/>
      <name val="Century Schoolbook"/>
      <family val="1"/>
    </font>
    <font>
      <sz val="9"/>
      <name val="Century Schoolbook"/>
      <family val="1"/>
    </font>
    <font>
      <b/>
      <sz val="11"/>
      <color indexed="60"/>
      <name val="Century Schoolbook"/>
      <family val="1"/>
    </font>
    <font>
      <b/>
      <sz val="10"/>
      <color indexed="8"/>
      <name val="Century Schoolbook"/>
      <family val="1"/>
    </font>
    <font>
      <sz val="9"/>
      <color indexed="60"/>
      <name val="Calibri"/>
      <family val="2"/>
    </font>
    <font>
      <sz val="8"/>
      <name val="Arial"/>
      <family val="2"/>
    </font>
    <font>
      <sz val="10"/>
      <name val="Arial"/>
      <family val="2"/>
    </font>
    <font>
      <sz val="12"/>
      <name val="Garamond"/>
      <family val="1"/>
    </font>
    <font>
      <u/>
      <sz val="11"/>
      <color indexed="60"/>
      <name val="Calibri"/>
      <family val="2"/>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b/>
      <sz val="11"/>
      <color indexed="60"/>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color theme="1"/>
      <name val="Century Schoolbook"/>
      <family val="1"/>
    </font>
    <font>
      <sz val="11"/>
      <name val="Calibri"/>
      <family val="2"/>
      <scheme val="minor"/>
    </font>
    <font>
      <sz val="14"/>
      <color theme="1"/>
      <name val="Calibri"/>
      <family val="2"/>
      <scheme val="minor"/>
    </font>
    <font>
      <b/>
      <sz val="11"/>
      <color theme="1"/>
      <name val="Century Schoolbook"/>
      <family val="1"/>
    </font>
    <font>
      <b/>
      <sz val="20"/>
      <color theme="1"/>
      <name val="Calibri"/>
      <family val="2"/>
      <scheme val="minor"/>
    </font>
    <font>
      <sz val="12"/>
      <color theme="1"/>
      <name val="Century Schoolbook"/>
      <family val="1"/>
    </font>
    <font>
      <sz val="14"/>
      <name val="Calibri"/>
      <family val="2"/>
      <scheme val="minor"/>
    </font>
    <font>
      <b/>
      <sz val="24"/>
      <color theme="2"/>
      <name val="Century Schoolbook"/>
      <family val="1"/>
    </font>
    <font>
      <b/>
      <sz val="9"/>
      <color theme="1"/>
      <name val="Calibri"/>
      <family val="2"/>
      <scheme val="minor"/>
    </font>
    <font>
      <b/>
      <sz val="16"/>
      <color theme="1"/>
      <name val="Calibri"/>
      <family val="2"/>
      <scheme val="minor"/>
    </font>
    <font>
      <sz val="24"/>
      <color theme="0"/>
      <name val="Century Schoolbook"/>
      <family val="1"/>
    </font>
    <font>
      <b/>
      <sz val="48"/>
      <color theme="0"/>
      <name val="Century Schoolbook"/>
      <family val="1"/>
    </font>
    <font>
      <b/>
      <sz val="10"/>
      <color theme="1"/>
      <name val="Calibri"/>
      <family val="2"/>
      <scheme val="minor"/>
    </font>
    <font>
      <sz val="24"/>
      <color theme="2"/>
      <name val="Century Schoolbook"/>
      <family val="1"/>
    </font>
    <font>
      <b/>
      <sz val="12"/>
      <color theme="0"/>
      <name val="Calibri"/>
      <family val="2"/>
      <scheme val="minor"/>
    </font>
    <font>
      <b/>
      <sz val="12"/>
      <color theme="1"/>
      <name val="Calibri"/>
      <family val="2"/>
      <scheme val="minor"/>
    </font>
    <font>
      <sz val="10"/>
      <color theme="1"/>
      <name val="Calibri"/>
      <family val="2"/>
      <scheme val="minor"/>
    </font>
    <font>
      <sz val="10"/>
      <color theme="1"/>
      <name val="Century Schoolbook"/>
      <family val="1"/>
    </font>
    <font>
      <b/>
      <u/>
      <sz val="12"/>
      <color theme="1"/>
      <name val="Times New Roman"/>
      <family val="1"/>
    </font>
    <font>
      <u/>
      <sz val="11"/>
      <color theme="1"/>
      <name val="Calibri"/>
      <family val="2"/>
      <scheme val="minor"/>
    </font>
    <font>
      <b/>
      <u/>
      <sz val="16"/>
      <color theme="1"/>
      <name val="Times New Roman"/>
      <family val="1"/>
    </font>
    <font>
      <b/>
      <sz val="10"/>
      <color theme="1"/>
      <name val="Times New Roman"/>
      <family val="1"/>
    </font>
    <font>
      <b/>
      <u/>
      <sz val="10"/>
      <color theme="1"/>
      <name val="Times New Roman"/>
      <family val="1"/>
    </font>
    <font>
      <sz val="10"/>
      <color theme="1"/>
      <name val="Times New Roman"/>
      <family val="1"/>
    </font>
    <font>
      <b/>
      <sz val="11"/>
      <color theme="1"/>
      <name val="Wingdings"/>
      <charset val="2"/>
    </font>
    <font>
      <u/>
      <sz val="10"/>
      <color theme="1"/>
      <name val="Times New Roman"/>
      <family val="1"/>
    </font>
    <font>
      <sz val="11"/>
      <color indexed="9"/>
      <name val="Calibri"/>
      <family val="2"/>
      <scheme val="minor"/>
    </font>
    <font>
      <b/>
      <sz val="11"/>
      <color theme="1"/>
      <name val="Garamond"/>
      <family val="1"/>
    </font>
    <font>
      <sz val="11"/>
      <color theme="1"/>
      <name val="Calibri"/>
      <family val="2"/>
    </font>
    <font>
      <sz val="8"/>
      <name val="Calibri"/>
      <family val="2"/>
      <scheme val="minor"/>
    </font>
    <font>
      <b/>
      <sz val="9"/>
      <color theme="1"/>
      <name val="Century Schoolbook"/>
      <family val="1"/>
    </font>
    <font>
      <sz val="11"/>
      <color rgb="FFC00000"/>
      <name val="Calibri"/>
      <family val="2"/>
      <scheme val="minor"/>
    </font>
    <font>
      <b/>
      <sz val="11"/>
      <color rgb="FFC00000"/>
      <name val="Century Schoolbook"/>
      <family val="1"/>
    </font>
    <font>
      <sz val="9"/>
      <color theme="1"/>
      <name val="Century Schoolbook"/>
      <family val="1"/>
    </font>
    <font>
      <sz val="8"/>
      <color theme="1"/>
      <name val="Century Schoolbook"/>
      <family val="1"/>
    </font>
    <font>
      <sz val="8"/>
      <color theme="1"/>
      <name val="Calibri"/>
      <family val="2"/>
      <scheme val="minor"/>
    </font>
    <font>
      <b/>
      <sz val="11"/>
      <name val="Calibri"/>
      <family val="2"/>
      <scheme val="minor"/>
    </font>
    <font>
      <b/>
      <sz val="11"/>
      <color indexed="8"/>
      <name val="Calibri"/>
      <family val="2"/>
      <scheme val="minor"/>
    </font>
    <font>
      <b/>
      <sz val="18"/>
      <color theme="1"/>
      <name val="Calibri"/>
      <family val="2"/>
      <scheme val="minor"/>
    </font>
    <font>
      <sz val="12"/>
      <color rgb="FFFF0000"/>
      <name val="Calibri"/>
      <family val="2"/>
      <scheme val="minor"/>
    </font>
    <font>
      <u/>
      <sz val="11"/>
      <color theme="1"/>
      <name val="Century Schoolbook"/>
      <family val="1"/>
    </font>
    <font>
      <sz val="10"/>
      <color rgb="FFFF0000"/>
      <name val="Calibri"/>
      <family val="2"/>
      <scheme val="minor"/>
    </font>
    <font>
      <u/>
      <sz val="11"/>
      <color theme="5" tint="-0.249977111117893"/>
      <name val="Calibri"/>
      <family val="2"/>
      <scheme val="minor"/>
    </font>
    <font>
      <b/>
      <sz val="8"/>
      <color theme="1"/>
      <name val="Calibri"/>
      <family val="2"/>
      <scheme val="minor"/>
    </font>
    <font>
      <sz val="11"/>
      <color indexed="8"/>
      <name val="Calibri"/>
      <family val="2"/>
      <scheme val="minor"/>
    </font>
    <font>
      <sz val="28"/>
      <color theme="1"/>
      <name val="Calibri"/>
      <family val="2"/>
      <scheme val="minor"/>
    </font>
    <font>
      <b/>
      <sz val="10"/>
      <color theme="1"/>
      <name val="Century Schoolbook"/>
      <family val="1"/>
    </font>
    <font>
      <sz val="9"/>
      <name val="Calibri"/>
      <family val="2"/>
      <scheme val="minor"/>
    </font>
    <font>
      <sz val="9"/>
      <color rgb="FFFF0000"/>
      <name val="Calibri"/>
      <family val="2"/>
      <scheme val="minor"/>
    </font>
    <font>
      <b/>
      <i/>
      <u/>
      <sz val="10"/>
      <color theme="1"/>
      <name val="Times New Roman"/>
      <family val="1"/>
    </font>
    <font>
      <sz val="8"/>
      <name val="Arial"/>
      <family val="2"/>
    </font>
    <font>
      <sz val="10"/>
      <name val="Arial"/>
      <family val="2"/>
    </font>
    <font>
      <sz val="12"/>
      <name val="Garamond"/>
      <family val="1"/>
    </font>
    <font>
      <b/>
      <sz val="11"/>
      <color rgb="FF000000"/>
      <name val="Calibri"/>
      <family val="2"/>
    </font>
    <font>
      <b/>
      <sz val="14"/>
      <color theme="9" tint="-0.249977111117893"/>
      <name val="Calibri"/>
      <family val="2"/>
      <scheme val="minor"/>
    </font>
    <font>
      <b/>
      <sz val="14"/>
      <color rgb="FF0070C0"/>
      <name val="Calibri"/>
      <family val="2"/>
      <scheme val="minor"/>
    </font>
    <font>
      <sz val="11"/>
      <color rgb="FFFF0000"/>
      <name val="Calibri"/>
      <family val="2"/>
      <scheme val="minor"/>
    </font>
    <font>
      <sz val="11"/>
      <color theme="5" tint="-0.249977111117893"/>
      <name val="Calibri"/>
      <family val="2"/>
    </font>
    <font>
      <sz val="24"/>
      <color rgb="FFFF0000"/>
      <name val="Calibri"/>
      <family val="2"/>
      <scheme val="minor"/>
    </font>
    <font>
      <sz val="18"/>
      <color theme="1"/>
      <name val="Calibri"/>
      <family val="2"/>
      <scheme val="minor"/>
    </font>
    <font>
      <u/>
      <sz val="11"/>
      <color rgb="FFFF0000"/>
      <name val="Calibri"/>
      <family val="2"/>
    </font>
    <font>
      <b/>
      <sz val="11"/>
      <color rgb="FFFF0000"/>
      <name val="Calibri"/>
      <family val="2"/>
      <scheme val="minor"/>
    </font>
    <font>
      <sz val="12"/>
      <color rgb="FFFF0000"/>
      <name val="Century Schoolbook"/>
      <family val="1"/>
    </font>
    <font>
      <i/>
      <sz val="12"/>
      <name val="Cambria"/>
      <family val="1"/>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4"/>
      <color rgb="FF000000"/>
      <name val="Calibri"/>
      <family val="2"/>
    </font>
    <font>
      <sz val="11"/>
      <color rgb="FF000000"/>
      <name val="Calibri"/>
      <family val="2"/>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4"/>
      <color rgb="FFFF0000"/>
      <name val="Calibri"/>
      <family val="2"/>
      <scheme val="minor"/>
    </font>
    <font>
      <sz val="8"/>
      <color rgb="FFFF0000"/>
      <name val="Calibri"/>
      <family val="2"/>
      <scheme val="minor"/>
    </font>
    <font>
      <b/>
      <sz val="11"/>
      <color rgb="FFFF0000"/>
      <name val="Century Schoolbook"/>
      <family val="1"/>
    </font>
    <font>
      <b/>
      <sz val="16"/>
      <color theme="1"/>
      <name val="Century Schoolbook"/>
      <family val="1"/>
    </font>
    <font>
      <b/>
      <sz val="11"/>
      <color theme="5" tint="-0.249977111117893"/>
      <name val="Calibri"/>
      <family val="2"/>
      <scheme val="minor"/>
    </font>
    <font>
      <i/>
      <sz val="12"/>
      <color theme="1"/>
      <name val="Century Schoolbook"/>
      <family val="1"/>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sz val="12"/>
      <color rgb="FF000000"/>
      <name val="Courier New"/>
      <family val="3"/>
    </font>
    <font>
      <b/>
      <sz val="8"/>
      <color indexed="8"/>
      <name val="Calibri"/>
      <family val="2"/>
    </font>
    <font>
      <sz val="18"/>
      <color theme="0"/>
      <name val="Calibri"/>
      <family val="2"/>
      <scheme val="minor"/>
    </font>
    <font>
      <b/>
      <i/>
      <sz val="12"/>
      <name val="Cambria"/>
      <family val="1"/>
    </font>
    <font>
      <i/>
      <sz val="12"/>
      <color rgb="FFFF0000"/>
      <name val="Cambria"/>
      <family val="1"/>
    </font>
    <font>
      <i/>
      <u/>
      <sz val="12"/>
      <color rgb="FFFF0000"/>
      <name val="Cambria"/>
      <family val="1"/>
    </font>
    <font>
      <b/>
      <i/>
      <sz val="14"/>
      <color theme="0"/>
      <name val="Cambria"/>
      <family val="1"/>
    </font>
    <font>
      <i/>
      <sz val="14"/>
      <color theme="0"/>
      <name val="Century Schoolbook"/>
      <family val="1"/>
    </font>
    <font>
      <i/>
      <sz val="14"/>
      <color theme="0"/>
      <name val="Cambria"/>
      <family val="1"/>
    </font>
    <font>
      <sz val="12"/>
      <color theme="0"/>
      <name val="Century Schoolbook"/>
      <family val="1"/>
    </font>
  </fonts>
  <fills count="81">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00FFFF"/>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1" tint="0.49998474074526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rgb="FFBFC2D9"/>
        <bgColor indexed="64"/>
      </patternFill>
    </fill>
    <fill>
      <patternFill patternType="solid">
        <fgColor theme="0" tint="-0.249977111117893"/>
        <bgColor indexed="64"/>
      </patternFill>
    </fill>
    <fill>
      <patternFill patternType="solid">
        <fgColor theme="6" tint="-0.249977111117893"/>
        <bgColor indexed="64"/>
      </patternFill>
    </fill>
  </fills>
  <borders count="6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theme="3" tint="0.59999389629810485"/>
      </left>
      <right style="thin">
        <color theme="3" tint="0.59996337778862885"/>
      </right>
      <top style="thin">
        <color theme="3" tint="0.59996337778862885"/>
      </top>
      <bottom style="thin">
        <color theme="3" tint="0.59996337778862885"/>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59996337778862885"/>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style="thin">
        <color indexed="44"/>
      </left>
      <right/>
      <top/>
      <bottom style="thin">
        <color indexed="44"/>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right style="thin">
        <color theme="3" tint="0.79998168889431442"/>
      </right>
      <top style="thin">
        <color theme="3" tint="0.79998168889431442"/>
      </top>
      <bottom style="thin">
        <color theme="3" tint="0.79998168889431442"/>
      </bottom>
      <diagonal/>
    </border>
    <border>
      <left style="thin">
        <color indexed="44"/>
      </left>
      <right/>
      <top style="thin">
        <color indexed="44"/>
      </top>
      <bottom style="thin">
        <color indexed="44"/>
      </bottom>
      <diagonal/>
    </border>
    <border>
      <left/>
      <right/>
      <top style="thin">
        <color theme="3" tint="0.59996337778862885"/>
      </top>
      <bottom/>
      <diagonal/>
    </border>
    <border>
      <left style="thin">
        <color theme="3" tint="0.59999389629810485"/>
      </left>
      <right style="thin">
        <color theme="3" tint="0.59999389629810485"/>
      </right>
      <top style="thin">
        <color theme="3" tint="0.59999389629810485"/>
      </top>
      <bottom style="thin">
        <color theme="3" tint="0.59999389629810485"/>
      </bottom>
      <diagonal/>
    </border>
    <border>
      <left/>
      <right/>
      <top style="thin">
        <color theme="3" tint="0.59996337778862885"/>
      </top>
      <bottom style="thin">
        <color theme="3" tint="0.59996337778862885"/>
      </bottom>
      <diagonal/>
    </border>
  </borders>
  <cellStyleXfs count="30774">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5" fillId="6"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5" fillId="3"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5" fillId="15" borderId="1" applyNumberFormat="0" applyAlignment="0" applyProtection="0"/>
    <xf numFmtId="0" fontId="25" fillId="15" borderId="1" applyNumberFormat="0" applyAlignment="0" applyProtection="0"/>
    <xf numFmtId="0" fontId="16" fillId="7" borderId="2" applyNumberFormat="0" applyAlignment="0" applyProtection="0"/>
    <xf numFmtId="0" fontId="16" fillId="7" borderId="2" applyNumberFormat="0" applyAlignment="0" applyProtection="0"/>
    <xf numFmtId="43" fontId="5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28" fillId="0" borderId="0" applyFont="0" applyFill="0" applyBorder="0" applyAlignment="0" applyProtection="0"/>
    <xf numFmtId="43" fontId="27" fillId="0" borderId="0" applyFont="0" applyFill="0" applyBorder="0" applyAlignment="0" applyProtection="0"/>
    <xf numFmtId="43" fontId="28" fillId="0" borderId="0" applyFont="0" applyFill="0" applyBorder="0" applyAlignment="0" applyProtection="0"/>
    <xf numFmtId="43" fontId="2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4"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8" fillId="0" borderId="0" applyFont="0" applyFill="0" applyBorder="0" applyAlignment="0" applyProtection="0"/>
    <xf numFmtId="43" fontId="54" fillId="0" borderId="0" applyFont="0" applyFill="0" applyBorder="0" applyAlignment="0" applyProtection="0"/>
    <xf numFmtId="43" fontId="58"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4"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8" fillId="0" borderId="0" applyFont="0" applyFill="0" applyBorder="0" applyAlignment="0" applyProtection="0"/>
    <xf numFmtId="44" fontId="58" fillId="0" borderId="0" applyFont="0" applyFill="0" applyBorder="0" applyAlignment="0" applyProtection="0"/>
    <xf numFmtId="44" fontId="54"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21" fillId="0" borderId="3" applyNumberFormat="0" applyFill="0" applyAlignment="0" applyProtection="0"/>
    <xf numFmtId="0" fontId="21" fillId="0" borderId="3"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60"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9" fillId="12" borderId="1" applyNumberFormat="0" applyAlignment="0" applyProtection="0"/>
    <xf numFmtId="0" fontId="9" fillId="12" borderId="1" applyNumberFormat="0" applyAlignment="0" applyProtection="0"/>
    <xf numFmtId="0" fontId="26" fillId="0" borderId="6" applyNumberFormat="0" applyFill="0" applyAlignment="0" applyProtection="0"/>
    <xf numFmtId="0" fontId="26" fillId="0" borderId="6" applyNumberFormat="0" applyFill="0" applyAlignment="0" applyProtection="0"/>
    <xf numFmtId="0" fontId="10" fillId="19" borderId="0" applyNumberFormat="0" applyBorder="0" applyAlignment="0" applyProtection="0"/>
    <xf numFmtId="0" fontId="10" fillId="19"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6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27" fillId="0" borderId="0"/>
    <xf numFmtId="0" fontId="28" fillId="0" borderId="0"/>
    <xf numFmtId="0" fontId="27" fillId="0" borderId="0"/>
    <xf numFmtId="0" fontId="51" fillId="0" borderId="0"/>
    <xf numFmtId="0" fontId="27" fillId="0" borderId="0"/>
    <xf numFmtId="0" fontId="27" fillId="0" borderId="0"/>
    <xf numFmtId="0" fontId="27" fillId="0" borderId="0"/>
    <xf numFmtId="0" fontId="47" fillId="0" borderId="0"/>
    <xf numFmtId="0" fontId="27" fillId="0" borderId="0"/>
    <xf numFmtId="0" fontId="27" fillId="0" borderId="0"/>
    <xf numFmtId="0" fontId="51" fillId="0" borderId="0"/>
    <xf numFmtId="0" fontId="27" fillId="0" borderId="0"/>
    <xf numFmtId="0" fontId="51" fillId="0" borderId="0"/>
    <xf numFmtId="0" fontId="27" fillId="0" borderId="0"/>
    <xf numFmtId="0" fontId="27" fillId="0" borderId="0"/>
    <xf numFmtId="0" fontId="27" fillId="0" borderId="0"/>
    <xf numFmtId="0" fontId="27" fillId="0" borderId="0"/>
    <xf numFmtId="0" fontId="51" fillId="0" borderId="0"/>
    <xf numFmtId="0" fontId="27" fillId="0" borderId="0"/>
    <xf numFmtId="0" fontId="51" fillId="0" borderId="0"/>
    <xf numFmtId="0" fontId="27" fillId="0" borderId="0"/>
    <xf numFmtId="0" fontId="27" fillId="0" borderId="0"/>
    <xf numFmtId="0" fontId="27" fillId="0" borderId="0"/>
    <xf numFmtId="0" fontId="51" fillId="0" borderId="0"/>
    <xf numFmtId="0" fontId="27" fillId="0" borderId="0"/>
    <xf numFmtId="0" fontId="27" fillId="0" borderId="0"/>
    <xf numFmtId="0" fontId="27" fillId="0" borderId="0"/>
    <xf numFmtId="0" fontId="27" fillId="0" borderId="0"/>
    <xf numFmtId="0" fontId="27" fillId="0" borderId="0"/>
    <xf numFmtId="0" fontId="51" fillId="0" borderId="0"/>
    <xf numFmtId="0" fontId="27" fillId="0" borderId="0"/>
    <xf numFmtId="0" fontId="51" fillId="0" borderId="0"/>
    <xf numFmtId="0" fontId="27" fillId="0" borderId="0"/>
    <xf numFmtId="0" fontId="27" fillId="0" borderId="0"/>
    <xf numFmtId="0" fontId="27" fillId="0" borderId="0"/>
    <xf numFmtId="0" fontId="27" fillId="0" borderId="0"/>
    <xf numFmtId="0" fontId="27" fillId="0" borderId="0"/>
    <xf numFmtId="0" fontId="51" fillId="0" borderId="0"/>
    <xf numFmtId="0" fontId="27" fillId="0" borderId="0"/>
    <xf numFmtId="0" fontId="51" fillId="0" borderId="0"/>
    <xf numFmtId="0" fontId="27" fillId="0" borderId="0"/>
    <xf numFmtId="0" fontId="27" fillId="0" borderId="0"/>
    <xf numFmtId="0" fontId="27" fillId="0" borderId="0"/>
    <xf numFmtId="0" fontId="27" fillId="0" borderId="0"/>
    <xf numFmtId="0" fontId="1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8"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28" fillId="0" borderId="0"/>
    <xf numFmtId="0" fontId="34" fillId="0" borderId="0"/>
    <xf numFmtId="0" fontId="19" fillId="0" borderId="0"/>
    <xf numFmtId="0" fontId="48"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7" fillId="0" borderId="0"/>
    <xf numFmtId="0" fontId="27" fillId="0" borderId="0"/>
    <xf numFmtId="0" fontId="19" fillId="0" borderId="0"/>
    <xf numFmtId="0" fontId="48"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xf numFmtId="0" fontId="19" fillId="0" borderId="0"/>
    <xf numFmtId="0" fontId="19" fillId="0" borderId="0"/>
    <xf numFmtId="0" fontId="27"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51" fillId="0" borderId="0"/>
    <xf numFmtId="0" fontId="27" fillId="0" borderId="0"/>
    <xf numFmtId="0" fontId="27" fillId="0" borderId="0"/>
    <xf numFmtId="0" fontId="47" fillId="0" borderId="0"/>
    <xf numFmtId="0" fontId="27" fillId="0" borderId="0"/>
    <xf numFmtId="0" fontId="27" fillId="0" borderId="0"/>
    <xf numFmtId="0" fontId="51" fillId="0" borderId="0"/>
    <xf numFmtId="0" fontId="27" fillId="0" borderId="0"/>
    <xf numFmtId="0" fontId="51" fillId="0" borderId="0"/>
    <xf numFmtId="0" fontId="27" fillId="0" borderId="0"/>
    <xf numFmtId="0" fontId="27" fillId="0" borderId="0"/>
    <xf numFmtId="0" fontId="27" fillId="0" borderId="0"/>
    <xf numFmtId="0" fontId="27" fillId="0" borderId="0"/>
    <xf numFmtId="0" fontId="51" fillId="0" borderId="0"/>
    <xf numFmtId="0" fontId="27" fillId="0" borderId="0"/>
    <xf numFmtId="0" fontId="27" fillId="0" borderId="0"/>
    <xf numFmtId="0" fontId="27" fillId="0" borderId="0"/>
    <xf numFmtId="0" fontId="27" fillId="0" borderId="0"/>
    <xf numFmtId="0" fontId="51" fillId="0" borderId="0"/>
    <xf numFmtId="0" fontId="27" fillId="0" borderId="0"/>
    <xf numFmtId="0" fontId="27" fillId="0" borderId="0"/>
    <xf numFmtId="0" fontId="27" fillId="0" borderId="0"/>
    <xf numFmtId="0" fontId="51" fillId="0" borderId="0"/>
    <xf numFmtId="0" fontId="27" fillId="0" borderId="0"/>
    <xf numFmtId="0" fontId="27" fillId="0" borderId="0"/>
    <xf numFmtId="0" fontId="27" fillId="0" borderId="0"/>
    <xf numFmtId="0" fontId="27" fillId="0" borderId="0"/>
    <xf numFmtId="0" fontId="27" fillId="0" borderId="0"/>
    <xf numFmtId="0" fontId="27" fillId="0" borderId="0"/>
    <xf numFmtId="0" fontId="51" fillId="0" borderId="0"/>
    <xf numFmtId="0" fontId="27" fillId="0" borderId="0"/>
    <xf numFmtId="0" fontId="51"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51" fillId="0" borderId="0"/>
    <xf numFmtId="0" fontId="51" fillId="0" borderId="0"/>
    <xf numFmtId="0" fontId="27" fillId="0" borderId="0"/>
    <xf numFmtId="0" fontId="27" fillId="0" borderId="0"/>
    <xf numFmtId="0" fontId="27" fillId="0" borderId="0"/>
    <xf numFmtId="0" fontId="27" fillId="0" borderId="0"/>
    <xf numFmtId="0" fontId="57" fillId="0" borderId="0"/>
    <xf numFmtId="0" fontId="51" fillId="0" borderId="0"/>
    <xf numFmtId="0" fontId="27" fillId="0" borderId="0"/>
    <xf numFmtId="0" fontId="27" fillId="0" borderId="0"/>
    <xf numFmtId="0" fontId="57" fillId="0" borderId="0"/>
    <xf numFmtId="0" fontId="19" fillId="0" borderId="0"/>
    <xf numFmtId="0" fontId="19" fillId="0" borderId="0"/>
    <xf numFmtId="0" fontId="57" fillId="0" borderId="0"/>
    <xf numFmtId="0" fontId="27" fillId="0" borderId="0"/>
    <xf numFmtId="0" fontId="27" fillId="0" borderId="0"/>
    <xf numFmtId="0" fontId="27" fillId="0" borderId="0"/>
    <xf numFmtId="0" fontId="57" fillId="0" borderId="0"/>
    <xf numFmtId="0" fontId="57" fillId="0" borderId="0"/>
    <xf numFmtId="0" fontId="57" fillId="0" borderId="0"/>
    <xf numFmtId="0" fontId="27" fillId="0" borderId="0"/>
    <xf numFmtId="0" fontId="57" fillId="0" borderId="0"/>
    <xf numFmtId="0" fontId="2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1" fillId="0" borderId="0"/>
    <xf numFmtId="0" fontId="27" fillId="0" borderId="0"/>
    <xf numFmtId="0" fontId="2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27" fillId="0" borderId="0"/>
    <xf numFmtId="0" fontId="19" fillId="0" borderId="0"/>
    <xf numFmtId="0" fontId="19" fillId="0" borderId="0"/>
    <xf numFmtId="0" fontId="32" fillId="0" borderId="0"/>
    <xf numFmtId="0" fontId="31" fillId="0" borderId="0"/>
    <xf numFmtId="0" fontId="31" fillId="0" borderId="0"/>
    <xf numFmtId="0" fontId="52" fillId="0" borderId="0"/>
    <xf numFmtId="0" fontId="19" fillId="0" borderId="0"/>
    <xf numFmtId="0" fontId="19" fillId="0" borderId="0"/>
    <xf numFmtId="0" fontId="19" fillId="0" borderId="0"/>
    <xf numFmtId="0" fontId="19" fillId="0" borderId="0"/>
    <xf numFmtId="0" fontId="34" fillId="0" borderId="0"/>
    <xf numFmtId="0" fontId="19" fillId="0" borderId="0"/>
    <xf numFmtId="0" fontId="48"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48"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52" fillId="0" borderId="0"/>
    <xf numFmtId="0" fontId="19" fillId="0" borderId="0"/>
    <xf numFmtId="0" fontId="19" fillId="0" borderId="0"/>
    <xf numFmtId="0" fontId="19" fillId="0" borderId="0"/>
    <xf numFmtId="0" fontId="52" fillId="0" borderId="0"/>
    <xf numFmtId="0" fontId="19" fillId="0" borderId="0"/>
    <xf numFmtId="0" fontId="19" fillId="0" borderId="0"/>
    <xf numFmtId="0" fontId="19" fillId="0" borderId="0"/>
    <xf numFmtId="0" fontId="19" fillId="0" borderId="0"/>
    <xf numFmtId="0" fontId="52" fillId="0" borderId="0"/>
    <xf numFmtId="0" fontId="19" fillId="0" borderId="0"/>
    <xf numFmtId="0" fontId="19" fillId="0" borderId="0"/>
    <xf numFmtId="0" fontId="19" fillId="0" borderId="0"/>
    <xf numFmtId="0" fontId="19" fillId="0" borderId="0"/>
    <xf numFmtId="0" fontId="27" fillId="0" borderId="0"/>
    <xf numFmtId="0" fontId="52" fillId="0" borderId="0"/>
    <xf numFmtId="0" fontId="19" fillId="0" borderId="0"/>
    <xf numFmtId="0" fontId="19" fillId="0" borderId="0"/>
    <xf numFmtId="0" fontId="19" fillId="0" borderId="0"/>
    <xf numFmtId="0" fontId="19"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2" fillId="0" borderId="0"/>
    <xf numFmtId="0" fontId="31" fillId="0" borderId="0"/>
    <xf numFmtId="0" fontId="49" fillId="0" borderId="0"/>
    <xf numFmtId="0" fontId="31" fillId="0" borderId="0"/>
    <xf numFmtId="0" fontId="31" fillId="0" borderId="0"/>
    <xf numFmtId="0" fontId="53" fillId="0" borderId="0"/>
    <xf numFmtId="0" fontId="31" fillId="0" borderId="0"/>
    <xf numFmtId="0" fontId="53" fillId="0" borderId="0"/>
    <xf numFmtId="0" fontId="31" fillId="0" borderId="0"/>
    <xf numFmtId="0" fontId="31" fillId="0" borderId="0"/>
    <xf numFmtId="0" fontId="31" fillId="0" borderId="0"/>
    <xf numFmtId="0" fontId="31" fillId="0" borderId="0"/>
    <xf numFmtId="0" fontId="53" fillId="0" borderId="0"/>
    <xf numFmtId="0" fontId="31" fillId="0" borderId="0"/>
    <xf numFmtId="0" fontId="53" fillId="0" borderId="0"/>
    <xf numFmtId="0" fontId="31" fillId="0" borderId="0"/>
    <xf numFmtId="0" fontId="31" fillId="0" borderId="0"/>
    <xf numFmtId="0" fontId="31" fillId="0" borderId="0"/>
    <xf numFmtId="0" fontId="53" fillId="0" borderId="0"/>
    <xf numFmtId="0" fontId="31" fillId="0" borderId="0"/>
    <xf numFmtId="0" fontId="31" fillId="0" borderId="0"/>
    <xf numFmtId="0" fontId="31" fillId="0" borderId="0"/>
    <xf numFmtId="0" fontId="31" fillId="0" borderId="0"/>
    <xf numFmtId="0" fontId="31" fillId="0" borderId="0"/>
    <xf numFmtId="0" fontId="53" fillId="0" borderId="0"/>
    <xf numFmtId="0" fontId="31" fillId="0" borderId="0"/>
    <xf numFmtId="0" fontId="53" fillId="0" borderId="0"/>
    <xf numFmtId="0" fontId="31" fillId="0" borderId="0"/>
    <xf numFmtId="0" fontId="31" fillId="0" borderId="0"/>
    <xf numFmtId="0" fontId="31" fillId="0" borderId="0"/>
    <xf numFmtId="0" fontId="31"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53" fillId="0" borderId="0"/>
    <xf numFmtId="0" fontId="53" fillId="0" borderId="0"/>
    <xf numFmtId="0" fontId="31" fillId="0" borderId="0"/>
    <xf numFmtId="0" fontId="31" fillId="0" borderId="0"/>
    <xf numFmtId="0" fontId="31" fillId="0" borderId="0"/>
    <xf numFmtId="0" fontId="31" fillId="0" borderId="0"/>
    <xf numFmtId="0" fontId="57" fillId="0" borderId="0"/>
    <xf numFmtId="0" fontId="53" fillId="0" borderId="0"/>
    <xf numFmtId="0" fontId="31" fillId="0" borderId="0"/>
    <xf numFmtId="0" fontId="57" fillId="0" borderId="0"/>
    <xf numFmtId="0" fontId="31" fillId="0" borderId="0"/>
    <xf numFmtId="0" fontId="57" fillId="0" borderId="0"/>
    <xf numFmtId="0" fontId="31" fillId="0" borderId="0"/>
    <xf numFmtId="0" fontId="31" fillId="0" borderId="0"/>
    <xf numFmtId="0" fontId="31" fillId="0" borderId="0"/>
    <xf numFmtId="0" fontId="31" fillId="0" borderId="0"/>
    <xf numFmtId="0" fontId="31" fillId="0" borderId="0"/>
    <xf numFmtId="0" fontId="57" fillId="0" borderId="0"/>
    <xf numFmtId="0" fontId="57" fillId="0" borderId="0"/>
    <xf numFmtId="0" fontId="57" fillId="0" borderId="0"/>
    <xf numFmtId="0" fontId="31" fillId="0" borderId="0"/>
    <xf numFmtId="0" fontId="57" fillId="0" borderId="0"/>
    <xf numFmtId="0" fontId="57" fillId="0" borderId="0"/>
    <xf numFmtId="0" fontId="31" fillId="0" borderId="0"/>
    <xf numFmtId="0" fontId="57" fillId="0" borderId="0"/>
    <xf numFmtId="0" fontId="57" fillId="0" borderId="0"/>
    <xf numFmtId="0" fontId="57" fillId="0" borderId="0"/>
    <xf numFmtId="0" fontId="53" fillId="0" borderId="0"/>
    <xf numFmtId="0" fontId="31" fillId="0" borderId="0"/>
    <xf numFmtId="0" fontId="31"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8" fillId="0" borderId="0"/>
    <xf numFmtId="0" fontId="58" fillId="0" borderId="0"/>
    <xf numFmtId="0" fontId="57" fillId="0" borderId="0"/>
    <xf numFmtId="0" fontId="57" fillId="0" borderId="0"/>
    <xf numFmtId="0" fontId="57" fillId="0" borderId="0"/>
    <xf numFmtId="0" fontId="57" fillId="0" borderId="0"/>
    <xf numFmtId="0" fontId="57" fillId="0" borderId="0"/>
    <xf numFmtId="0" fontId="58" fillId="0" borderId="0"/>
    <xf numFmtId="3" fontId="11" fillId="0" borderId="0"/>
    <xf numFmtId="0" fontId="19" fillId="5" borderId="7" applyNumberFormat="0" applyFont="0" applyAlignment="0" applyProtection="0"/>
    <xf numFmtId="0" fontId="19" fillId="5" borderId="7" applyNumberFormat="0" applyFont="0" applyAlignment="0" applyProtection="0"/>
    <xf numFmtId="0" fontId="52" fillId="5" borderId="7" applyNumberFormat="0" applyFont="0" applyAlignment="0" applyProtection="0"/>
    <xf numFmtId="0" fontId="19" fillId="5" borderId="7" applyNumberFormat="0" applyFont="0" applyAlignment="0" applyProtection="0"/>
    <xf numFmtId="0" fontId="19" fillId="5" borderId="7" applyNumberFormat="0" applyFont="0" applyAlignment="0" applyProtection="0"/>
    <xf numFmtId="0" fontId="18" fillId="15" borderId="8" applyNumberFormat="0" applyAlignment="0" applyProtection="0"/>
    <xf numFmtId="0" fontId="18" fillId="15" borderId="8" applyNumberFormat="0" applyAlignment="0" applyProtection="0"/>
    <xf numFmtId="9" fontId="32" fillId="0" borderId="0" applyFont="0" applyFill="0" applyBorder="0" applyAlignment="0" applyProtection="0"/>
    <xf numFmtId="9" fontId="31" fillId="0" borderId="0" applyFont="0" applyFill="0" applyBorder="0" applyAlignment="0" applyProtection="0"/>
    <xf numFmtId="9" fontId="58" fillId="0" borderId="0" applyFont="0" applyFill="0" applyBorder="0" applyAlignment="0" applyProtection="0"/>
    <xf numFmtId="9" fontId="57" fillId="0" borderId="0" applyFont="0" applyFill="0" applyBorder="0" applyAlignment="0" applyProtection="0"/>
    <xf numFmtId="0" fontId="20" fillId="0" borderId="0" applyNumberFormat="0" applyFill="0" applyBorder="0" applyAlignment="0" applyProtection="0"/>
    <xf numFmtId="0" fontId="62" fillId="20" borderId="0" applyFont="0" applyBorder="0" applyAlignment="0">
      <alignment horizontal="center" wrapText="1"/>
    </xf>
    <xf numFmtId="0" fontId="62" fillId="20" borderId="0" applyFont="0" applyBorder="0" applyAlignment="0">
      <alignment horizontal="center" wrapText="1"/>
    </xf>
    <xf numFmtId="0" fontId="55"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9" fillId="0" borderId="0"/>
    <xf numFmtId="0" fontId="2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5" fillId="20" borderId="0" applyFont="0" applyBorder="0" applyAlignment="0">
      <alignment horizontal="center" wrapText="1"/>
    </xf>
    <xf numFmtId="0" fontId="55" fillId="20" borderId="0" applyFont="0" applyBorder="0" applyAlignment="0">
      <alignment horizontal="center" wrapText="1"/>
    </xf>
    <xf numFmtId="0" fontId="55" fillId="20" borderId="0" applyFont="0" applyBorder="0" applyAlignment="0">
      <alignment horizontal="center" wrapText="1"/>
    </xf>
    <xf numFmtId="0" fontId="55"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3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18" fillId="0" borderId="0"/>
    <xf numFmtId="0" fontId="119" fillId="0" borderId="0"/>
    <xf numFmtId="0" fontId="119" fillId="0" borderId="0"/>
    <xf numFmtId="0" fontId="118" fillId="0" borderId="0"/>
    <xf numFmtId="0" fontId="119" fillId="0" borderId="0"/>
    <xf numFmtId="0" fontId="119" fillId="0" borderId="0"/>
    <xf numFmtId="0" fontId="120" fillId="0" borderId="0"/>
    <xf numFmtId="0" fontId="119"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8"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19" fillId="0" borderId="0"/>
    <xf numFmtId="0" fontId="120"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43" fontId="58"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8"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27" fillId="0" borderId="0"/>
    <xf numFmtId="0" fontId="27" fillId="0" borderId="0"/>
    <xf numFmtId="0" fontId="27" fillId="0" borderId="0"/>
    <xf numFmtId="0" fontId="2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xf numFmtId="0" fontId="27" fillId="0" borderId="0"/>
    <xf numFmtId="0" fontId="2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57" fillId="0" borderId="0"/>
    <xf numFmtId="0" fontId="31" fillId="0" borderId="0"/>
    <xf numFmtId="0" fontId="31" fillId="0" borderId="0"/>
    <xf numFmtId="0" fontId="31"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5" borderId="7" applyNumberFormat="0" applyFont="0" applyAlignment="0" applyProtection="0"/>
    <xf numFmtId="0" fontId="19"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7" fillId="0" borderId="0"/>
    <xf numFmtId="44" fontId="1" fillId="0" borderId="0" applyFont="0" applyFill="0" applyBorder="0" applyAlignment="0" applyProtection="0"/>
    <xf numFmtId="44"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1" fillId="0" borderId="0"/>
    <xf numFmtId="43" fontId="1" fillId="0" borderId="0" applyFont="0" applyFill="0" applyBorder="0" applyAlignment="0" applyProtection="0"/>
    <xf numFmtId="43" fontId="1" fillId="0" borderId="0" applyFont="0" applyFill="0" applyBorder="0" applyAlignment="0" applyProtection="0"/>
    <xf numFmtId="0" fontId="58"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9" fillId="0" borderId="0"/>
    <xf numFmtId="0" fontId="118" fillId="0" borderId="0"/>
    <xf numFmtId="0" fontId="118"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19" fillId="5" borderId="7" applyNumberFormat="0" applyFont="0" applyAlignment="0" applyProtection="0"/>
    <xf numFmtId="44" fontId="57" fillId="0" borderId="0" applyFont="0" applyFill="0" applyBorder="0" applyAlignment="0" applyProtection="0"/>
    <xf numFmtId="44" fontId="57" fillId="0" borderId="0" applyFont="0" applyFill="0" applyBorder="0" applyAlignment="0" applyProtection="0"/>
    <xf numFmtId="0" fontId="19" fillId="0" borderId="0"/>
    <xf numFmtId="0" fontId="118" fillId="0" borderId="0"/>
    <xf numFmtId="43" fontId="57" fillId="0" borderId="0" applyFont="0" applyFill="0" applyBorder="0" applyAlignment="0" applyProtection="0"/>
    <xf numFmtId="44" fontId="57" fillId="0" borderId="0" applyFont="0" applyFill="0" applyBorder="0" applyAlignment="0" applyProtection="0"/>
    <xf numFmtId="0" fontId="19" fillId="0" borderId="0"/>
    <xf numFmtId="43" fontId="57" fillId="0" borderId="0" applyFont="0" applyFill="0" applyBorder="0" applyAlignment="0" applyProtection="0"/>
    <xf numFmtId="0" fontId="27" fillId="0" borderId="0"/>
    <xf numFmtId="0" fontId="57" fillId="0" borderId="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0" fontId="57" fillId="0" borderId="0"/>
    <xf numFmtId="0" fontId="27" fillId="0" borderId="0"/>
    <xf numFmtId="0" fontId="27" fillId="0" borderId="0"/>
    <xf numFmtId="0" fontId="19"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27" fillId="0" borderId="0"/>
    <xf numFmtId="0" fontId="57" fillId="0" borderId="0"/>
    <xf numFmtId="0" fontId="57" fillId="0" borderId="0"/>
    <xf numFmtId="43" fontId="58"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2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18" fillId="0" borderId="0"/>
    <xf numFmtId="0" fontId="118" fillId="0" borderId="0"/>
    <xf numFmtId="0" fontId="118" fillId="0" borderId="0"/>
    <xf numFmtId="0" fontId="118" fillId="0" borderId="0"/>
    <xf numFmtId="0" fontId="118" fillId="0" borderId="0"/>
    <xf numFmtId="0" fontId="19" fillId="0" borderId="0"/>
    <xf numFmtId="0" fontId="118" fillId="0" borderId="0"/>
    <xf numFmtId="0" fontId="11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57" fillId="0" borderId="0"/>
    <xf numFmtId="0" fontId="57" fillId="0" borderId="0"/>
    <xf numFmtId="0" fontId="31" fillId="0" borderId="0"/>
    <xf numFmtId="0" fontId="57" fillId="0" borderId="0"/>
    <xf numFmtId="0" fontId="57" fillId="0" borderId="0"/>
    <xf numFmtId="0" fontId="57" fillId="0" borderId="0"/>
    <xf numFmtId="0" fontId="118" fillId="0" borderId="0"/>
    <xf numFmtId="0" fontId="57" fillId="0" borderId="0"/>
    <xf numFmtId="0" fontId="57" fillId="0" borderId="0"/>
    <xf numFmtId="0" fontId="57" fillId="0" borderId="0"/>
    <xf numFmtId="0" fontId="57" fillId="0" borderId="0"/>
    <xf numFmtId="0" fontId="57"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8"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57" fillId="0" borderId="0"/>
    <xf numFmtId="0" fontId="57" fillId="0" borderId="0"/>
    <xf numFmtId="0" fontId="57" fillId="0" borderId="0"/>
    <xf numFmtId="0" fontId="57" fillId="0" borderId="0"/>
    <xf numFmtId="0" fontId="57" fillId="0" borderId="0"/>
    <xf numFmtId="0" fontId="19" fillId="0" borderId="0"/>
    <xf numFmtId="0" fontId="120" fillId="0" borderId="0"/>
    <xf numFmtId="0" fontId="120" fillId="0" borderId="0"/>
    <xf numFmtId="0" fontId="120" fillId="0" borderId="0"/>
    <xf numFmtId="0" fontId="120" fillId="0" borderId="0"/>
    <xf numFmtId="0" fontId="12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20" fillId="0" borderId="0"/>
    <xf numFmtId="0" fontId="120" fillId="0" borderId="0"/>
    <xf numFmtId="0" fontId="57" fillId="0" borderId="0"/>
    <xf numFmtId="0" fontId="57" fillId="0" borderId="0"/>
    <xf numFmtId="0" fontId="57" fillId="0" borderId="0"/>
    <xf numFmtId="0" fontId="57" fillId="0" borderId="0"/>
    <xf numFmtId="0" fontId="120"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7" fillId="0" borderId="0"/>
    <xf numFmtId="0" fontId="31" fillId="0" borderId="0"/>
    <xf numFmtId="0" fontId="119"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20"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19" fillId="0" borderId="0"/>
    <xf numFmtId="0" fontId="119" fillId="0" borderId="0"/>
    <xf numFmtId="0" fontId="19" fillId="0" borderId="0"/>
    <xf numFmtId="0" fontId="19" fillId="0" borderId="0"/>
    <xf numFmtId="0" fontId="19"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19" fillId="0" borderId="0"/>
    <xf numFmtId="0" fontId="31" fillId="0" borderId="0"/>
    <xf numFmtId="0" fontId="19" fillId="0" borderId="0"/>
    <xf numFmtId="0" fontId="19" fillId="0" borderId="0"/>
    <xf numFmtId="44" fontId="57" fillId="0" borderId="0" applyFont="0" applyFill="0" applyBorder="0" applyAlignment="0" applyProtection="0"/>
    <xf numFmtId="0" fontId="31" fillId="0" borderId="0"/>
    <xf numFmtId="0" fontId="19" fillId="0" borderId="0"/>
    <xf numFmtId="0" fontId="19" fillId="0" borderId="0"/>
    <xf numFmtId="0" fontId="27" fillId="0" borderId="0"/>
    <xf numFmtId="0" fontId="19" fillId="0" borderId="0"/>
    <xf numFmtId="43" fontId="57" fillId="0" borderId="0" applyFont="0" applyFill="0" applyBorder="0" applyAlignment="0" applyProtection="0"/>
    <xf numFmtId="0" fontId="27" fillId="0" borderId="0"/>
    <xf numFmtId="0" fontId="19" fillId="0" borderId="0"/>
    <xf numFmtId="43" fontId="57" fillId="0" borderId="0" applyFont="0" applyFill="0" applyBorder="0" applyAlignment="0" applyProtection="0"/>
    <xf numFmtId="0" fontId="19" fillId="0" borderId="0"/>
    <xf numFmtId="0" fontId="27" fillId="0" borderId="0"/>
    <xf numFmtId="0" fontId="27" fillId="0" borderId="0"/>
    <xf numFmtId="43" fontId="57" fillId="0" borderId="0" applyFont="0" applyFill="0" applyBorder="0" applyAlignment="0" applyProtection="0"/>
    <xf numFmtId="0" fontId="2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120" fillId="0" borderId="0"/>
    <xf numFmtId="0" fontId="19" fillId="0" borderId="0"/>
    <xf numFmtId="0" fontId="19" fillId="0" borderId="0"/>
    <xf numFmtId="43" fontId="57" fillId="0" borderId="0" applyFont="0" applyFill="0" applyBorder="0" applyAlignment="0" applyProtection="0"/>
    <xf numFmtId="43" fontId="57" fillId="0" borderId="0" applyFont="0" applyFill="0" applyBorder="0" applyAlignment="0" applyProtection="0"/>
    <xf numFmtId="0" fontId="31" fillId="0" borderId="0"/>
    <xf numFmtId="43" fontId="57" fillId="0" borderId="0" applyFont="0" applyFill="0" applyBorder="0" applyAlignment="0" applyProtection="0"/>
    <xf numFmtId="0" fontId="19" fillId="0" borderId="0"/>
    <xf numFmtId="0" fontId="27" fillId="0" borderId="0"/>
    <xf numFmtId="0" fontId="27" fillId="0" borderId="0"/>
    <xf numFmtId="0" fontId="19" fillId="0" borderId="0"/>
    <xf numFmtId="0" fontId="31" fillId="0" borderId="0"/>
    <xf numFmtId="0" fontId="27" fillId="0" borderId="0"/>
    <xf numFmtId="0" fontId="27" fillId="0" borderId="0"/>
    <xf numFmtId="0" fontId="19" fillId="0" borderId="0"/>
    <xf numFmtId="44" fontId="57" fillId="0" borderId="0" applyFont="0" applyFill="0" applyBorder="0" applyAlignment="0" applyProtection="0"/>
    <xf numFmtId="44" fontId="57" fillId="0" borderId="0" applyFont="0" applyFill="0" applyBorder="0" applyAlignment="0" applyProtection="0"/>
    <xf numFmtId="43" fontId="58" fillId="0" borderId="0" applyFont="0" applyFill="0" applyBorder="0" applyAlignment="0" applyProtection="0"/>
    <xf numFmtId="0" fontId="31" fillId="0" borderId="0"/>
    <xf numFmtId="43" fontId="57" fillId="0" borderId="0" applyFont="0" applyFill="0" applyBorder="0" applyAlignment="0" applyProtection="0"/>
    <xf numFmtId="43" fontId="57" fillId="0" borderId="0" applyFont="0" applyFill="0" applyBorder="0" applyAlignment="0" applyProtection="0"/>
    <xf numFmtId="0" fontId="19" fillId="0" borderId="0"/>
    <xf numFmtId="0" fontId="19" fillId="0" borderId="0"/>
    <xf numFmtId="0" fontId="31" fillId="0" borderId="0"/>
    <xf numFmtId="43" fontId="57" fillId="0" borderId="0" applyFont="0" applyFill="0" applyBorder="0" applyAlignment="0" applyProtection="0"/>
    <xf numFmtId="44" fontId="57" fillId="0" borderId="0" applyFont="0" applyFill="0" applyBorder="0" applyAlignment="0" applyProtection="0"/>
    <xf numFmtId="0" fontId="19" fillId="0" borderId="0"/>
    <xf numFmtId="0" fontId="119" fillId="0" borderId="0"/>
    <xf numFmtId="0" fontId="27" fillId="0" borderId="0"/>
    <xf numFmtId="44" fontId="57" fillId="0" borderId="0" applyFont="0" applyFill="0" applyBorder="0" applyAlignment="0" applyProtection="0"/>
    <xf numFmtId="9" fontId="57" fillId="0" borderId="0" applyFont="0" applyFill="0" applyBorder="0" applyAlignment="0" applyProtection="0"/>
    <xf numFmtId="0" fontId="27" fillId="0" borderId="0"/>
    <xf numFmtId="0" fontId="31" fillId="0" borderId="0"/>
    <xf numFmtId="0" fontId="19" fillId="0" borderId="0"/>
    <xf numFmtId="0" fontId="19" fillId="0" borderId="0"/>
    <xf numFmtId="0" fontId="31" fillId="0" borderId="0"/>
    <xf numFmtId="0" fontId="19" fillId="0" borderId="0"/>
    <xf numFmtId="0" fontId="19" fillId="0" borderId="0"/>
    <xf numFmtId="0" fontId="19" fillId="0" borderId="0"/>
    <xf numFmtId="0" fontId="19" fillId="0" borderId="0"/>
    <xf numFmtId="0" fontId="27" fillId="0" borderId="0"/>
    <xf numFmtId="0" fontId="27" fillId="0" borderId="0"/>
    <xf numFmtId="0" fontId="19" fillId="0" borderId="0"/>
    <xf numFmtId="0" fontId="27" fillId="0" borderId="0"/>
    <xf numFmtId="0" fontId="19" fillId="0" borderId="0"/>
    <xf numFmtId="0" fontId="27" fillId="0" borderId="0"/>
    <xf numFmtId="0" fontId="19" fillId="0" borderId="0"/>
    <xf numFmtId="0" fontId="19" fillId="0" borderId="0"/>
    <xf numFmtId="0" fontId="31" fillId="0" borderId="0"/>
    <xf numFmtId="0" fontId="19" fillId="0" borderId="0"/>
    <xf numFmtId="0" fontId="19" fillId="0" borderId="0"/>
    <xf numFmtId="0" fontId="19" fillId="0" borderId="0"/>
    <xf numFmtId="0" fontId="19" fillId="0" borderId="0"/>
    <xf numFmtId="0" fontId="27" fillId="0" borderId="0"/>
    <xf numFmtId="0" fontId="19" fillId="0" borderId="0"/>
    <xf numFmtId="0" fontId="19" fillId="0" borderId="0"/>
    <xf numFmtId="0" fontId="19" fillId="0" borderId="0"/>
    <xf numFmtId="0" fontId="19" fillId="0" borderId="0"/>
    <xf numFmtId="0" fontId="27" fillId="0" borderId="0"/>
    <xf numFmtId="0" fontId="27" fillId="0" borderId="0"/>
    <xf numFmtId="0" fontId="27" fillId="0" borderId="0"/>
    <xf numFmtId="0" fontId="27" fillId="0" borderId="0"/>
    <xf numFmtId="0" fontId="19" fillId="0" borderId="0"/>
    <xf numFmtId="0" fontId="19" fillId="0" borderId="0"/>
    <xf numFmtId="0" fontId="19" fillId="0" borderId="0"/>
    <xf numFmtId="0" fontId="19" fillId="0" borderId="0"/>
    <xf numFmtId="0" fontId="27" fillId="0" borderId="0"/>
    <xf numFmtId="0" fontId="19" fillId="0" borderId="0"/>
    <xf numFmtId="0" fontId="19" fillId="0" borderId="0"/>
    <xf numFmtId="0" fontId="27" fillId="0" borderId="0"/>
    <xf numFmtId="0" fontId="19" fillId="0" borderId="0"/>
    <xf numFmtId="0" fontId="19" fillId="0" borderId="0"/>
    <xf numFmtId="0" fontId="19" fillId="0" borderId="0"/>
    <xf numFmtId="0" fontId="27" fillId="0" borderId="0"/>
    <xf numFmtId="0" fontId="19" fillId="0" borderId="0"/>
    <xf numFmtId="0" fontId="27" fillId="0" borderId="0"/>
    <xf numFmtId="0" fontId="19" fillId="0" borderId="0"/>
    <xf numFmtId="0" fontId="27" fillId="0" borderId="0"/>
    <xf numFmtId="0" fontId="31" fillId="0" borderId="0"/>
    <xf numFmtId="0" fontId="19" fillId="0" borderId="0"/>
    <xf numFmtId="0" fontId="27" fillId="0" borderId="0"/>
    <xf numFmtId="0" fontId="3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xf numFmtId="0" fontId="19" fillId="0" borderId="0"/>
    <xf numFmtId="0" fontId="31" fillId="0" borderId="0"/>
    <xf numFmtId="0" fontId="27" fillId="0" borderId="0"/>
    <xf numFmtId="0" fontId="19" fillId="0" borderId="0"/>
    <xf numFmtId="0" fontId="19" fillId="0" borderId="0"/>
    <xf numFmtId="0" fontId="31" fillId="0" borderId="0"/>
    <xf numFmtId="0" fontId="27" fillId="0" borderId="0"/>
    <xf numFmtId="0" fontId="19" fillId="0" borderId="0"/>
    <xf numFmtId="0" fontId="19" fillId="0" borderId="0"/>
    <xf numFmtId="0" fontId="27" fillId="0" borderId="0"/>
    <xf numFmtId="0" fontId="31" fillId="0" borderId="0"/>
    <xf numFmtId="0" fontId="19" fillId="0" borderId="0"/>
    <xf numFmtId="0" fontId="27" fillId="0" borderId="0"/>
    <xf numFmtId="0" fontId="31" fillId="0" borderId="0"/>
    <xf numFmtId="0" fontId="19" fillId="0" borderId="0"/>
    <xf numFmtId="0" fontId="19" fillId="0" borderId="0"/>
    <xf numFmtId="0" fontId="19" fillId="0" borderId="0"/>
    <xf numFmtId="0" fontId="27" fillId="0" borderId="0"/>
    <xf numFmtId="0" fontId="31" fillId="0" borderId="0"/>
    <xf numFmtId="0" fontId="31" fillId="0" borderId="0"/>
    <xf numFmtId="0" fontId="19" fillId="0" borderId="0"/>
    <xf numFmtId="0" fontId="19" fillId="0" borderId="0"/>
    <xf numFmtId="0" fontId="27" fillId="0" borderId="0"/>
    <xf numFmtId="0" fontId="19" fillId="0" borderId="0"/>
    <xf numFmtId="0" fontId="27" fillId="0" borderId="0"/>
    <xf numFmtId="0" fontId="19" fillId="0" borderId="0"/>
    <xf numFmtId="0" fontId="27" fillId="0" borderId="0"/>
    <xf numFmtId="0" fontId="19" fillId="0" borderId="0"/>
    <xf numFmtId="0" fontId="27" fillId="0" borderId="0"/>
    <xf numFmtId="0" fontId="27" fillId="0" borderId="0"/>
    <xf numFmtId="0" fontId="19" fillId="0" borderId="0"/>
    <xf numFmtId="0" fontId="19" fillId="0" borderId="0"/>
    <xf numFmtId="0" fontId="19" fillId="0" borderId="0"/>
    <xf numFmtId="0" fontId="31" fillId="0" borderId="0"/>
    <xf numFmtId="0" fontId="31" fillId="0" borderId="0"/>
    <xf numFmtId="0" fontId="19" fillId="0" borderId="0"/>
    <xf numFmtId="0" fontId="27" fillId="0" borderId="0"/>
    <xf numFmtId="0" fontId="27" fillId="0" borderId="0"/>
    <xf numFmtId="0" fontId="19" fillId="0" borderId="0"/>
    <xf numFmtId="0" fontId="19" fillId="0" borderId="0"/>
    <xf numFmtId="0" fontId="19" fillId="0" borderId="0"/>
    <xf numFmtId="0" fontId="27" fillId="0" borderId="0"/>
    <xf numFmtId="0" fontId="27" fillId="0" borderId="0"/>
    <xf numFmtId="0" fontId="31" fillId="0" borderId="0"/>
    <xf numFmtId="0" fontId="19" fillId="5" borderId="7" applyNumberFormat="0" applyFont="0" applyAlignment="0" applyProtection="0"/>
    <xf numFmtId="0" fontId="19" fillId="0" borderId="0"/>
    <xf numFmtId="0" fontId="19" fillId="0" borderId="0"/>
    <xf numFmtId="0" fontId="19" fillId="0" borderId="0"/>
    <xf numFmtId="0" fontId="19" fillId="0" borderId="0"/>
    <xf numFmtId="0" fontId="31" fillId="0" borderId="0"/>
    <xf numFmtId="0" fontId="31" fillId="0" borderId="0"/>
    <xf numFmtId="0" fontId="19" fillId="0" borderId="0"/>
    <xf numFmtId="0" fontId="19" fillId="0" borderId="0"/>
    <xf numFmtId="0" fontId="31" fillId="0" borderId="0"/>
    <xf numFmtId="0" fontId="27" fillId="0" borderId="0"/>
    <xf numFmtId="0" fontId="19" fillId="5" borderId="7" applyNumberFormat="0" applyFont="0" applyAlignment="0" applyProtection="0"/>
    <xf numFmtId="0" fontId="19" fillId="0" borderId="0"/>
    <xf numFmtId="0" fontId="27" fillId="0" borderId="0"/>
    <xf numFmtId="0" fontId="19" fillId="0" borderId="0"/>
    <xf numFmtId="0" fontId="27" fillId="0" borderId="0"/>
    <xf numFmtId="0" fontId="27" fillId="0" borderId="0"/>
    <xf numFmtId="0" fontId="27" fillId="0" borderId="0"/>
    <xf numFmtId="0" fontId="19" fillId="0" borderId="0"/>
    <xf numFmtId="0" fontId="19" fillId="0" borderId="0"/>
    <xf numFmtId="0" fontId="27" fillId="0" borderId="0"/>
    <xf numFmtId="0" fontId="19" fillId="0" borderId="0"/>
    <xf numFmtId="0" fontId="31" fillId="0" borderId="0"/>
    <xf numFmtId="0" fontId="27" fillId="0" borderId="0"/>
    <xf numFmtId="0" fontId="19" fillId="0" borderId="0"/>
    <xf numFmtId="0" fontId="19" fillId="0" borderId="0"/>
    <xf numFmtId="0" fontId="27" fillId="0" borderId="0"/>
    <xf numFmtId="0" fontId="27" fillId="0" borderId="0"/>
    <xf numFmtId="0" fontId="31" fillId="0" borderId="0"/>
    <xf numFmtId="0" fontId="27" fillId="0" borderId="0"/>
    <xf numFmtId="0" fontId="31" fillId="0" borderId="0"/>
    <xf numFmtId="0" fontId="19" fillId="0" borderId="0"/>
    <xf numFmtId="0" fontId="19" fillId="0" borderId="0"/>
    <xf numFmtId="0" fontId="31" fillId="0" borderId="0"/>
    <xf numFmtId="0" fontId="27" fillId="0" borderId="0"/>
    <xf numFmtId="0" fontId="19" fillId="0" borderId="0"/>
    <xf numFmtId="0" fontId="132" fillId="0" borderId="47" applyNumberFormat="0" applyFill="0" applyAlignment="0" applyProtection="0"/>
    <xf numFmtId="0" fontId="133" fillId="0" borderId="48" applyNumberFormat="0" applyFill="0" applyAlignment="0" applyProtection="0"/>
    <xf numFmtId="0" fontId="134" fillId="0" borderId="49" applyNumberFormat="0" applyFill="0" applyAlignment="0" applyProtection="0"/>
    <xf numFmtId="0" fontId="134" fillId="0" borderId="0" applyNumberFormat="0" applyFill="0" applyBorder="0" applyAlignment="0" applyProtection="0"/>
    <xf numFmtId="0" fontId="135" fillId="37" borderId="0" applyNumberFormat="0" applyBorder="0" applyAlignment="0" applyProtection="0"/>
    <xf numFmtId="0" fontId="136" fillId="38" borderId="0" applyNumberFormat="0" applyBorder="0" applyAlignment="0" applyProtection="0"/>
    <xf numFmtId="0" fontId="137" fillId="40" borderId="50" applyNumberFormat="0" applyAlignment="0" applyProtection="0"/>
    <xf numFmtId="0" fontId="138" fillId="41" borderId="51" applyNumberFormat="0" applyAlignment="0" applyProtection="0"/>
    <xf numFmtId="0" fontId="139" fillId="41" borderId="50" applyNumberFormat="0" applyAlignment="0" applyProtection="0"/>
    <xf numFmtId="0" fontId="140" fillId="0" borderId="52" applyNumberFormat="0" applyFill="0" applyAlignment="0" applyProtection="0"/>
    <xf numFmtId="0" fontId="141" fillId="42" borderId="53" applyNumberFormat="0" applyAlignment="0" applyProtection="0"/>
    <xf numFmtId="0" fontId="124" fillId="0" borderId="0" applyNumberFormat="0" applyFill="0" applyBorder="0" applyAlignment="0" applyProtection="0"/>
    <xf numFmtId="0" fontId="63" fillId="0" borderId="55" applyNumberFormat="0" applyFill="0" applyAlignment="0" applyProtection="0"/>
    <xf numFmtId="0" fontId="142" fillId="44" borderId="0" applyNumberFormat="0" applyBorder="0" applyAlignment="0" applyProtection="0"/>
    <xf numFmtId="0" fontId="142" fillId="45" borderId="0" applyNumberFormat="0" applyBorder="0" applyAlignment="0" applyProtection="0"/>
    <xf numFmtId="0" fontId="142" fillId="46" borderId="0" applyNumberFormat="0" applyBorder="0" applyAlignment="0" applyProtection="0"/>
    <xf numFmtId="0" fontId="142" fillId="47" borderId="0" applyNumberFormat="0" applyBorder="0" applyAlignment="0" applyProtection="0"/>
    <xf numFmtId="0" fontId="142" fillId="48" borderId="0" applyNumberFormat="0" applyBorder="0" applyAlignment="0" applyProtection="0"/>
    <xf numFmtId="0" fontId="142" fillId="49" borderId="0" applyNumberFormat="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2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0" fontId="57" fillId="0" borderId="0"/>
    <xf numFmtId="0" fontId="31"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43" fontId="54"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9"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9"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153" fillId="39" borderId="0" applyNumberFormat="0" applyBorder="0" applyAlignment="0" applyProtection="0"/>
    <xf numFmtId="0" fontId="57" fillId="43" borderId="54" applyNumberFormat="0" applyFont="0" applyAlignment="0" applyProtection="0"/>
    <xf numFmtId="40" fontId="146" fillId="0" borderId="17">
      <alignment horizontal="right"/>
    </xf>
    <xf numFmtId="0" fontId="147" fillId="0" borderId="0">
      <alignment horizontal="left"/>
    </xf>
    <xf numFmtId="49" fontId="19" fillId="0" borderId="0"/>
    <xf numFmtId="0" fontId="147" fillId="0" borderId="0">
      <alignment horizontal="left"/>
    </xf>
    <xf numFmtId="177" fontId="146" fillId="0" borderId="17">
      <alignment horizontal="right"/>
    </xf>
    <xf numFmtId="49" fontId="146" fillId="0" borderId="0">
      <alignment horizontal="right"/>
    </xf>
    <xf numFmtId="40" fontId="19" fillId="0" borderId="0">
      <alignment horizontal="right"/>
    </xf>
    <xf numFmtId="49" fontId="19" fillId="0" borderId="0">
      <alignment horizontal="left"/>
    </xf>
    <xf numFmtId="40" fontId="19" fillId="0" borderId="0"/>
    <xf numFmtId="49" fontId="19" fillId="0" borderId="0">
      <alignment horizontal="left"/>
    </xf>
    <xf numFmtId="177" fontId="19" fillId="0" borderId="0">
      <alignment horizontal="right"/>
    </xf>
    <xf numFmtId="49" fontId="19" fillId="0" borderId="0"/>
    <xf numFmtId="49" fontId="145" fillId="50" borderId="0">
      <alignment horizontal="right" vertical="center"/>
    </xf>
    <xf numFmtId="49" fontId="145" fillId="50" borderId="0">
      <alignment horizontal="left" vertical="center"/>
    </xf>
    <xf numFmtId="49" fontId="145" fillId="50" borderId="0">
      <alignment horizontal="center" vertical="center"/>
    </xf>
    <xf numFmtId="49" fontId="145" fillId="50" borderId="0">
      <alignment horizontal="center" vertical="center"/>
    </xf>
    <xf numFmtId="49" fontId="145" fillId="50" borderId="0">
      <alignment horizontal="right" vertical="center"/>
    </xf>
    <xf numFmtId="40" fontId="145" fillId="50" borderId="0">
      <alignment horizontal="right"/>
    </xf>
    <xf numFmtId="49" fontId="145" fillId="50" borderId="0">
      <alignment horizontal="center" vertical="center"/>
    </xf>
    <xf numFmtId="40" fontId="19" fillId="0" borderId="0"/>
    <xf numFmtId="0" fontId="19" fillId="0" borderId="0">
      <alignment horizontal="left"/>
    </xf>
    <xf numFmtId="49" fontId="19" fillId="0" borderId="0"/>
    <xf numFmtId="49" fontId="19" fillId="0" borderId="0">
      <alignment horizontal="center" vertical="center"/>
    </xf>
    <xf numFmtId="177" fontId="19" fillId="0" borderId="0">
      <alignment horizontal="right"/>
    </xf>
    <xf numFmtId="49" fontId="19" fillId="0" borderId="0"/>
    <xf numFmtId="49" fontId="145" fillId="50" borderId="0">
      <alignment horizontal="center" vertical="center"/>
    </xf>
    <xf numFmtId="49" fontId="145" fillId="50" borderId="0">
      <alignment horizontal="center" vertical="center"/>
    </xf>
    <xf numFmtId="177" fontId="145" fillId="50" borderId="0">
      <alignment horizontal="center" vertical="center"/>
    </xf>
    <xf numFmtId="49" fontId="145" fillId="50" borderId="0">
      <alignment horizontal="right"/>
    </xf>
    <xf numFmtId="40" fontId="146" fillId="0" borderId="19">
      <alignment horizontal="right"/>
    </xf>
    <xf numFmtId="0" fontId="147" fillId="0" borderId="0">
      <alignment horizontal="left"/>
    </xf>
    <xf numFmtId="49" fontId="19" fillId="0" borderId="0"/>
    <xf numFmtId="0" fontId="147" fillId="0" borderId="0">
      <alignment horizontal="left"/>
    </xf>
    <xf numFmtId="177" fontId="146" fillId="0" borderId="19">
      <alignment horizontal="right"/>
    </xf>
    <xf numFmtId="49" fontId="146" fillId="0" borderId="0">
      <alignment horizontal="right"/>
    </xf>
    <xf numFmtId="49" fontId="19" fillId="0" borderId="0"/>
    <xf numFmtId="49" fontId="19" fillId="0" borderId="0"/>
    <xf numFmtId="40" fontId="146" fillId="0" borderId="14">
      <alignment horizontal="right"/>
    </xf>
    <xf numFmtId="49" fontId="146" fillId="0" borderId="0">
      <alignment horizontal="left"/>
    </xf>
    <xf numFmtId="49" fontId="19" fillId="0" borderId="0"/>
    <xf numFmtId="49" fontId="146" fillId="0" borderId="0">
      <alignment horizontal="left"/>
    </xf>
    <xf numFmtId="177" fontId="146" fillId="0" borderId="14">
      <alignment horizontal="right"/>
    </xf>
    <xf numFmtId="49" fontId="146" fillId="0" borderId="0">
      <alignment horizontal="right"/>
    </xf>
    <xf numFmtId="49" fontId="145" fillId="50" borderId="0">
      <alignment horizontal="center" vertical="center"/>
    </xf>
    <xf numFmtId="49" fontId="145" fillId="50" borderId="0">
      <alignment horizontal="center" vertical="center"/>
    </xf>
    <xf numFmtId="49" fontId="145" fillId="50" borderId="0">
      <alignment horizontal="center" vertical="center"/>
    </xf>
    <xf numFmtId="49" fontId="145" fillId="50" borderId="0">
      <alignment horizontal="center" vertical="center"/>
    </xf>
    <xf numFmtId="49" fontId="145" fillId="50" borderId="0">
      <alignment horizontal="center" vertical="center"/>
    </xf>
    <xf numFmtId="49" fontId="145" fillId="50" borderId="0">
      <alignment horizontal="center" vertical="center"/>
    </xf>
    <xf numFmtId="49" fontId="145" fillId="50" borderId="0">
      <alignment horizontal="center" vertical="center"/>
    </xf>
    <xf numFmtId="49" fontId="145" fillId="50" borderId="0">
      <alignment horizontal="center" vertical="center"/>
    </xf>
    <xf numFmtId="49" fontId="145" fillId="50" borderId="0">
      <alignment horizontal="center" vertical="center"/>
    </xf>
    <xf numFmtId="49" fontId="19" fillId="0" borderId="0"/>
    <xf numFmtId="49" fontId="19" fillId="0" borderId="0"/>
    <xf numFmtId="49" fontId="19" fillId="0" borderId="0"/>
    <xf numFmtId="49" fontId="19" fillId="0" borderId="0"/>
    <xf numFmtId="49" fontId="19" fillId="0" borderId="0"/>
    <xf numFmtId="49" fontId="19" fillId="0" borderId="0"/>
    <xf numFmtId="0" fontId="146" fillId="51" borderId="0">
      <alignment horizontal="center" vertical="center"/>
    </xf>
    <xf numFmtId="49" fontId="19" fillId="51" borderId="0">
      <alignment horizontal="left" vertical="center"/>
    </xf>
    <xf numFmtId="49" fontId="146" fillId="51" borderId="0">
      <alignment horizontal="center" vertical="center"/>
    </xf>
    <xf numFmtId="0" fontId="146" fillId="52" borderId="0">
      <alignment horizontal="left"/>
    </xf>
    <xf numFmtId="49" fontId="19" fillId="0" borderId="0"/>
    <xf numFmtId="0" fontId="146" fillId="52" borderId="0">
      <alignment horizontal="left"/>
    </xf>
    <xf numFmtId="40" fontId="146" fillId="0" borderId="0">
      <alignment horizontal="right"/>
    </xf>
    <xf numFmtId="49" fontId="145" fillId="50" borderId="0"/>
    <xf numFmtId="49" fontId="145" fillId="50" borderId="0"/>
    <xf numFmtId="49" fontId="19" fillId="0" borderId="0"/>
    <xf numFmtId="0" fontId="148" fillId="53" borderId="0" applyFont="0" applyFill="0">
      <alignment horizontal="left" vertical="top" wrapText="1"/>
    </xf>
    <xf numFmtId="40" fontId="148" fillId="0" borderId="0"/>
    <xf numFmtId="40" fontId="148" fillId="0" borderId="0"/>
    <xf numFmtId="0" fontId="148" fillId="0" borderId="0">
      <alignment horizontal="left"/>
    </xf>
    <xf numFmtId="0" fontId="148" fillId="0" borderId="0">
      <alignment horizontal="center"/>
    </xf>
    <xf numFmtId="0" fontId="149" fillId="0" borderId="0">
      <alignment horizontal="center"/>
    </xf>
    <xf numFmtId="0" fontId="150" fillId="50" borderId="0">
      <alignment horizontal="left"/>
    </xf>
    <xf numFmtId="0" fontId="150" fillId="50" borderId="0">
      <alignment horizontal="left"/>
    </xf>
    <xf numFmtId="0" fontId="149" fillId="0" borderId="0">
      <alignment horizontal="center"/>
    </xf>
    <xf numFmtId="40" fontId="151" fillId="0" borderId="18"/>
    <xf numFmtId="40" fontId="151" fillId="0" borderId="18"/>
    <xf numFmtId="0" fontId="151" fillId="0" borderId="0"/>
    <xf numFmtId="0" fontId="151" fillId="0" borderId="0"/>
    <xf numFmtId="0" fontId="149" fillId="0" borderId="0">
      <alignment horizontal="center"/>
    </xf>
    <xf numFmtId="0" fontId="152" fillId="54" borderId="0">
      <alignment horizontal="left"/>
    </xf>
    <xf numFmtId="0" fontId="152" fillId="54" borderId="0">
      <alignment horizontal="left"/>
    </xf>
    <xf numFmtId="40" fontId="146" fillId="0" borderId="0">
      <alignment horizontal="right"/>
    </xf>
    <xf numFmtId="0" fontId="147" fillId="0" borderId="0">
      <alignment horizontal="left"/>
    </xf>
    <xf numFmtId="49" fontId="19" fillId="0" borderId="0"/>
    <xf numFmtId="0" fontId="147" fillId="0" borderId="0">
      <alignment horizontal="left"/>
    </xf>
    <xf numFmtId="177" fontId="146" fillId="0" borderId="0">
      <alignment horizontal="right"/>
    </xf>
    <xf numFmtId="49" fontId="146" fillId="0" borderId="0" applyBorder="0">
      <alignment horizontal="right"/>
    </xf>
    <xf numFmtId="0" fontId="19" fillId="0" borderId="0"/>
    <xf numFmtId="49" fontId="154" fillId="53" borderId="0">
      <alignment horizontal="left"/>
    </xf>
    <xf numFmtId="49" fontId="154" fillId="53" borderId="0">
      <alignment horizontal="left"/>
    </xf>
    <xf numFmtId="0" fontId="155" fillId="53" borderId="0">
      <alignment horizontal="left"/>
    </xf>
    <xf numFmtId="178" fontId="155" fillId="53" borderId="0">
      <alignment horizontal="left"/>
    </xf>
    <xf numFmtId="40" fontId="146" fillId="0" borderId="0">
      <alignment horizontal="right"/>
    </xf>
    <xf numFmtId="49" fontId="156" fillId="53" borderId="0">
      <alignment horizontal="left"/>
    </xf>
    <xf numFmtId="49" fontId="156" fillId="53" borderId="0">
      <alignment horizontal="left"/>
    </xf>
    <xf numFmtId="49" fontId="19" fillId="0" borderId="0"/>
    <xf numFmtId="40" fontId="146" fillId="0" borderId="14">
      <alignment horizontal="right"/>
    </xf>
    <xf numFmtId="49" fontId="146" fillId="0" borderId="0">
      <alignment horizontal="left"/>
    </xf>
    <xf numFmtId="49" fontId="19" fillId="0" borderId="0"/>
    <xf numFmtId="49" fontId="146" fillId="0" borderId="0">
      <alignment horizontal="left"/>
    </xf>
    <xf numFmtId="177" fontId="146" fillId="0" borderId="14">
      <alignment horizontal="right"/>
    </xf>
    <xf numFmtId="49" fontId="146" fillId="0" borderId="0">
      <alignment horizontal="right"/>
    </xf>
    <xf numFmtId="40" fontId="146" fillId="0" borderId="14">
      <alignment horizontal="right"/>
    </xf>
    <xf numFmtId="0" fontId="146" fillId="52" borderId="0">
      <alignment horizontal="left"/>
    </xf>
    <xf numFmtId="49" fontId="19" fillId="0" borderId="0"/>
    <xf numFmtId="0" fontId="146" fillId="52" borderId="0">
      <alignment horizontal="left"/>
    </xf>
    <xf numFmtId="177" fontId="146" fillId="0" borderId="14">
      <alignment horizontal="right"/>
    </xf>
    <xf numFmtId="49" fontId="146" fillId="0" borderId="0">
      <alignment horizontal="right"/>
    </xf>
    <xf numFmtId="0" fontId="151" fillId="0" borderId="0"/>
    <xf numFmtId="40" fontId="148" fillId="0" borderId="18"/>
    <xf numFmtId="40" fontId="148" fillId="0" borderId="18"/>
    <xf numFmtId="0" fontId="148" fillId="0" borderId="0"/>
    <xf numFmtId="0" fontId="148" fillId="0" borderId="0"/>
    <xf numFmtId="40" fontId="148" fillId="0" borderId="0"/>
    <xf numFmtId="179" fontId="148" fillId="0" borderId="0"/>
    <xf numFmtId="40" fontId="148" fillId="0" borderId="0"/>
    <xf numFmtId="0" fontId="148" fillId="0" borderId="0"/>
    <xf numFmtId="0" fontId="148" fillId="0" borderId="0"/>
    <xf numFmtId="40" fontId="146" fillId="0" borderId="18">
      <alignment horizontal="right"/>
    </xf>
    <xf numFmtId="49" fontId="146" fillId="0" borderId="0">
      <alignment horizontal="left"/>
    </xf>
    <xf numFmtId="49" fontId="19" fillId="0" borderId="0"/>
    <xf numFmtId="49" fontId="146" fillId="0" borderId="0">
      <alignment horizontal="left"/>
    </xf>
    <xf numFmtId="177" fontId="146" fillId="0" borderId="18">
      <alignment horizontal="right"/>
    </xf>
    <xf numFmtId="49" fontId="146" fillId="0" borderId="0">
      <alignment horizontal="right"/>
    </xf>
    <xf numFmtId="0" fontId="57" fillId="0" borderId="0"/>
    <xf numFmtId="0" fontId="58" fillId="0" borderId="0"/>
    <xf numFmtId="43" fontId="58"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9"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9"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9"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43" borderId="54" applyNumberFormat="0" applyFont="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5" fillId="4"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19"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19" fillId="0" borderId="0"/>
    <xf numFmtId="44" fontId="57" fillId="0" borderId="0" applyFont="0" applyFill="0" applyBorder="0" applyAlignment="0" applyProtection="0"/>
    <xf numFmtId="0" fontId="19" fillId="0" borderId="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31"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2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2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31"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19"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8"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19"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8"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15" fillId="11" borderId="0" applyNumberFormat="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15" fillId="4"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19"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19"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15" fillId="4"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27" fillId="0" borderId="0"/>
    <xf numFmtId="0" fontId="57" fillId="0" borderId="0"/>
    <xf numFmtId="0" fontId="57" fillId="0" borderId="0"/>
    <xf numFmtId="44" fontId="57" fillId="0" borderId="0" applyFont="0" applyFill="0" applyBorder="0" applyAlignment="0" applyProtection="0"/>
    <xf numFmtId="0" fontId="57" fillId="0" borderId="0"/>
    <xf numFmtId="0" fontId="2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8" fillId="0" borderId="0"/>
    <xf numFmtId="0" fontId="19"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19" fillId="0" borderId="0"/>
    <xf numFmtId="0" fontId="31"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43" fontId="58"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19"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19" fillId="0" borderId="0"/>
    <xf numFmtId="0" fontId="57" fillId="0" borderId="0"/>
    <xf numFmtId="0" fontId="57" fillId="0" borderId="0"/>
    <xf numFmtId="0" fontId="57" fillId="0" borderId="0"/>
    <xf numFmtId="43" fontId="57" fillId="0" borderId="0" applyFont="0" applyFill="0" applyBorder="0" applyAlignment="0" applyProtection="0"/>
    <xf numFmtId="0" fontId="2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19" fillId="0" borderId="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2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8"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15" fillId="13"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15" fillId="7" borderId="0" applyNumberFormat="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19"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2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2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19"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31"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31" fillId="0" borderId="0"/>
    <xf numFmtId="0" fontId="57" fillId="0" borderId="0"/>
    <xf numFmtId="0" fontId="57" fillId="0" borderId="0"/>
    <xf numFmtId="0" fontId="57" fillId="0" borderId="0"/>
    <xf numFmtId="0" fontId="57" fillId="0" borderId="0"/>
    <xf numFmtId="0" fontId="57" fillId="0" borderId="0"/>
    <xf numFmtId="0" fontId="15" fillId="8"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19"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19" fillId="0" borderId="0"/>
    <xf numFmtId="0" fontId="57" fillId="0" borderId="0"/>
    <xf numFmtId="0" fontId="31"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19"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15" fillId="11"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15" fillId="4" borderId="0" applyNumberFormat="0" applyBorder="0" applyAlignment="0" applyProtection="0"/>
    <xf numFmtId="0" fontId="57" fillId="0" borderId="0"/>
    <xf numFmtId="0" fontId="57" fillId="0" borderId="0"/>
    <xf numFmtId="0" fontId="57" fillId="0" borderId="0"/>
    <xf numFmtId="0" fontId="57" fillId="0" borderId="0"/>
    <xf numFmtId="0" fontId="19" fillId="0" borderId="0"/>
    <xf numFmtId="0" fontId="57" fillId="0" borderId="0"/>
    <xf numFmtId="43" fontId="57" fillId="0" borderId="0" applyFont="0" applyFill="0" applyBorder="0" applyAlignment="0" applyProtection="0"/>
    <xf numFmtId="0" fontId="57" fillId="0" borderId="0"/>
    <xf numFmtId="0" fontId="19"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4"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9"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15" fillId="4"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15" fillId="13" borderId="0" applyNumberFormat="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9"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19" fillId="0" borderId="0"/>
    <xf numFmtId="0" fontId="57" fillId="0" borderId="0"/>
    <xf numFmtId="9"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19"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2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31"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0" fontId="19"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8"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9" fontId="58" fillId="0" borderId="0" applyFont="0" applyFill="0" applyBorder="0" applyAlignment="0" applyProtection="0"/>
    <xf numFmtId="0" fontId="19"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19" fillId="0" borderId="0"/>
    <xf numFmtId="0" fontId="57" fillId="0" borderId="0"/>
    <xf numFmtId="0" fontId="57" fillId="0" borderId="0"/>
    <xf numFmtId="44" fontId="57" fillId="0" borderId="0" applyFont="0" applyFill="0" applyBorder="0" applyAlignment="0" applyProtection="0"/>
    <xf numFmtId="0" fontId="57" fillId="0" borderId="0"/>
    <xf numFmtId="0" fontId="31" fillId="0" borderId="0"/>
    <xf numFmtId="0" fontId="19"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27" fillId="0" borderId="0"/>
    <xf numFmtId="0" fontId="31"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19" fillId="0" borderId="0"/>
    <xf numFmtId="0" fontId="57" fillId="0" borderId="0"/>
    <xf numFmtId="44" fontId="57" fillId="0" borderId="0" applyFont="0" applyFill="0" applyBorder="0" applyAlignment="0" applyProtection="0"/>
    <xf numFmtId="9" fontId="54" fillId="0" borderId="0" applyFont="0" applyFill="0" applyBorder="0" applyAlignment="0" applyProtection="0"/>
    <xf numFmtId="0" fontId="31"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5" fillId="20" borderId="0" applyFont="0" applyBorder="0" applyAlignment="0">
      <alignment horizontal="center" wrapText="1"/>
    </xf>
    <xf numFmtId="0" fontId="57" fillId="0" borderId="0"/>
    <xf numFmtId="43" fontId="1" fillId="0" borderId="0" applyFont="0" applyFill="0" applyBorder="0" applyAlignment="0" applyProtection="0"/>
    <xf numFmtId="44" fontId="57" fillId="0" borderId="0" applyFont="0" applyFill="0" applyBorder="0" applyAlignment="0" applyProtection="0"/>
    <xf numFmtId="0" fontId="19"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19"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19"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2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2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19" fillId="0" borderId="0"/>
    <xf numFmtId="0" fontId="57" fillId="0" borderId="0"/>
    <xf numFmtId="0" fontId="57" fillId="0" borderId="0"/>
    <xf numFmtId="43" fontId="57" fillId="0" borderId="0" applyFont="0" applyFill="0" applyBorder="0" applyAlignment="0" applyProtection="0"/>
    <xf numFmtId="0" fontId="57" fillId="0" borderId="0"/>
    <xf numFmtId="43" fontId="58"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19" fillId="0" borderId="0"/>
    <xf numFmtId="0" fontId="57" fillId="0" borderId="0"/>
    <xf numFmtId="0" fontId="57" fillId="0" borderId="0"/>
    <xf numFmtId="43" fontId="1" fillId="0" borderId="0" applyFont="0" applyFill="0" applyBorder="0" applyAlignment="0" applyProtection="0"/>
    <xf numFmtId="0" fontId="57" fillId="0" borderId="0"/>
    <xf numFmtId="0" fontId="2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19"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19"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19" fillId="0" borderId="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27" fillId="0" borderId="0"/>
    <xf numFmtId="0" fontId="57" fillId="0" borderId="0"/>
    <xf numFmtId="0" fontId="57" fillId="0" borderId="0"/>
    <xf numFmtId="0" fontId="57" fillId="0" borderId="0"/>
    <xf numFmtId="0" fontId="27" fillId="0" borderId="0"/>
    <xf numFmtId="44" fontId="1"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27" fillId="0" borderId="0"/>
    <xf numFmtId="0" fontId="57" fillId="0" borderId="0"/>
    <xf numFmtId="0" fontId="57" fillId="0" borderId="0"/>
    <xf numFmtId="0" fontId="19"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15" fillId="8"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15" fillId="13" borderId="0" applyNumberFormat="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19"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19"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19" fillId="0" borderId="0"/>
    <xf numFmtId="0" fontId="57" fillId="0" borderId="0"/>
    <xf numFmtId="44" fontId="57" fillId="0" borderId="0" applyFont="0" applyFill="0" applyBorder="0" applyAlignment="0" applyProtection="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3" fontId="57" fillId="0" borderId="0" applyFont="0" applyFill="0" applyBorder="0" applyAlignment="0" applyProtection="0"/>
    <xf numFmtId="0" fontId="19"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31" fillId="0" borderId="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15" fillId="4" borderId="0" applyNumberFormat="0" applyBorder="0" applyAlignment="0" applyProtection="0"/>
    <xf numFmtId="0" fontId="57" fillId="0" borderId="0"/>
    <xf numFmtId="0" fontId="2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15" fillId="8" borderId="0" applyNumberFormat="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31" fillId="0" borderId="0"/>
    <xf numFmtId="0" fontId="57" fillId="0" borderId="0"/>
    <xf numFmtId="43" fontId="58"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31" fillId="0" borderId="0"/>
    <xf numFmtId="0" fontId="31"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31"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4"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19"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2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31"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19"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19"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31"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54"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2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19" fillId="0" borderId="0"/>
    <xf numFmtId="0" fontId="19" fillId="0" borderId="0"/>
    <xf numFmtId="43" fontId="57" fillId="0" borderId="0" applyFont="0" applyFill="0" applyBorder="0" applyAlignment="0" applyProtection="0"/>
    <xf numFmtId="0" fontId="15" fillId="7" borderId="0" applyNumberFormat="0" applyBorder="0" applyAlignment="0" applyProtection="0"/>
    <xf numFmtId="0" fontId="57" fillId="0" borderId="0"/>
    <xf numFmtId="0" fontId="15" fillId="11" borderId="0" applyNumberFormat="0" applyBorder="0" applyAlignment="0" applyProtection="0"/>
    <xf numFmtId="0" fontId="57" fillId="0" borderId="0"/>
    <xf numFmtId="0" fontId="27" fillId="0" borderId="0"/>
    <xf numFmtId="44" fontId="57" fillId="0" borderId="0" applyFont="0" applyFill="0" applyBorder="0" applyAlignment="0" applyProtection="0"/>
    <xf numFmtId="0" fontId="19" fillId="0" borderId="0"/>
    <xf numFmtId="44" fontId="57" fillId="0" borderId="0" applyFont="0" applyFill="0" applyBorder="0" applyAlignment="0" applyProtection="0"/>
    <xf numFmtId="43" fontId="57" fillId="0" borderId="0" applyFont="0" applyFill="0" applyBorder="0" applyAlignment="0" applyProtection="0"/>
    <xf numFmtId="0" fontId="31" fillId="0" borderId="0"/>
    <xf numFmtId="0" fontId="57" fillId="0" borderId="0"/>
    <xf numFmtId="0" fontId="57" fillId="0" borderId="0"/>
    <xf numFmtId="0" fontId="57" fillId="0" borderId="0"/>
    <xf numFmtId="0" fontId="57" fillId="0" borderId="0"/>
    <xf numFmtId="0" fontId="27" fillId="0" borderId="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31"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43" fontId="57" fillId="0" borderId="0" applyFont="0" applyFill="0" applyBorder="0" applyAlignment="0" applyProtection="0"/>
    <xf numFmtId="0" fontId="57" fillId="0" borderId="0"/>
    <xf numFmtId="0" fontId="19" fillId="0" borderId="0"/>
    <xf numFmtId="0" fontId="19" fillId="0" borderId="0"/>
    <xf numFmtId="43" fontId="58"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15" fillId="7" borderId="0" applyNumberFormat="0" applyBorder="0" applyAlignment="0" applyProtection="0"/>
    <xf numFmtId="0" fontId="19" fillId="0" borderId="0"/>
    <xf numFmtId="0" fontId="62" fillId="20" borderId="0" applyFont="0" applyBorder="0" applyAlignment="0">
      <alignment horizontal="center" wrapText="1"/>
    </xf>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43" fontId="57" fillId="0" borderId="0" applyFont="0" applyFill="0" applyBorder="0" applyAlignment="0" applyProtection="0"/>
    <xf numFmtId="0" fontId="31" fillId="0" borderId="0"/>
    <xf numFmtId="0" fontId="27" fillId="0" borderId="0"/>
    <xf numFmtId="0" fontId="19" fillId="0" borderId="0"/>
    <xf numFmtId="0" fontId="19"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2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19"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27" fillId="0" borderId="0"/>
    <xf numFmtId="0" fontId="57" fillId="0" borderId="0"/>
    <xf numFmtId="0" fontId="19" fillId="0" borderId="0"/>
    <xf numFmtId="0" fontId="57" fillId="0" borderId="0"/>
    <xf numFmtId="0" fontId="57" fillId="0" borderId="0"/>
    <xf numFmtId="0" fontId="57" fillId="0" borderId="0"/>
    <xf numFmtId="0" fontId="57" fillId="0" borderId="0"/>
    <xf numFmtId="0" fontId="27" fillId="0" borderId="0"/>
    <xf numFmtId="0" fontId="27" fillId="0" borderId="0"/>
    <xf numFmtId="0" fontId="57" fillId="0" borderId="0"/>
    <xf numFmtId="0" fontId="57" fillId="0" borderId="0"/>
    <xf numFmtId="0" fontId="57" fillId="0" borderId="0"/>
    <xf numFmtId="43" fontId="1" fillId="0" borderId="0" applyFont="0" applyFill="0" applyBorder="0" applyAlignment="0" applyProtection="0"/>
    <xf numFmtId="0" fontId="19" fillId="0" borderId="0"/>
    <xf numFmtId="43" fontId="57" fillId="0" borderId="0" applyFont="0" applyFill="0" applyBorder="0" applyAlignment="0" applyProtection="0"/>
    <xf numFmtId="0" fontId="2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19" fillId="0" borderId="0"/>
    <xf numFmtId="43" fontId="57" fillId="0" borderId="0" applyFont="0" applyFill="0" applyBorder="0" applyAlignment="0" applyProtection="0"/>
    <xf numFmtId="43" fontId="57" fillId="0" borderId="0" applyFont="0" applyFill="0" applyBorder="0" applyAlignment="0" applyProtection="0"/>
    <xf numFmtId="0" fontId="2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19" fillId="0" borderId="0"/>
    <xf numFmtId="43" fontId="57" fillId="0" borderId="0" applyFont="0" applyFill="0" applyBorder="0" applyAlignment="0" applyProtection="0"/>
    <xf numFmtId="0" fontId="57" fillId="0" borderId="0"/>
    <xf numFmtId="0" fontId="57" fillId="0" borderId="0"/>
    <xf numFmtId="0" fontId="2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43" fontId="58"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27" fillId="0" borderId="0"/>
    <xf numFmtId="0" fontId="31" fillId="0" borderId="0"/>
    <xf numFmtId="44" fontId="58" fillId="0" borderId="0" applyFont="0" applyFill="0" applyBorder="0" applyAlignment="0" applyProtection="0"/>
    <xf numFmtId="43" fontId="57" fillId="0" borderId="0" applyFont="0" applyFill="0" applyBorder="0" applyAlignment="0" applyProtection="0"/>
    <xf numFmtId="0" fontId="27" fillId="0" borderId="0"/>
    <xf numFmtId="0" fontId="19"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44" fontId="57" fillId="0" borderId="0" applyFont="0" applyFill="0" applyBorder="0" applyAlignment="0" applyProtection="0"/>
    <xf numFmtId="43" fontId="57" fillId="0" borderId="0" applyFont="0" applyFill="0" applyBorder="0" applyAlignment="0" applyProtection="0"/>
    <xf numFmtId="0" fontId="19" fillId="0" borderId="0"/>
    <xf numFmtId="0" fontId="27" fillId="0" borderId="0"/>
    <xf numFmtId="0" fontId="57" fillId="0" borderId="0"/>
    <xf numFmtId="44" fontId="1"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62" fillId="20" borderId="0" applyFont="0" applyBorder="0" applyAlignment="0">
      <alignment horizontal="center" wrapText="1"/>
    </xf>
    <xf numFmtId="0" fontId="31" fillId="0" borderId="0"/>
    <xf numFmtId="0" fontId="19" fillId="0" borderId="0"/>
    <xf numFmtId="43" fontId="1" fillId="0" borderId="0" applyFont="0" applyFill="0" applyBorder="0" applyAlignment="0" applyProtection="0"/>
    <xf numFmtId="0" fontId="57" fillId="0" borderId="0"/>
    <xf numFmtId="0" fontId="19"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27" fillId="0" borderId="0"/>
    <xf numFmtId="0" fontId="19" fillId="0" borderId="0"/>
    <xf numFmtId="0" fontId="57" fillId="0" borderId="0"/>
    <xf numFmtId="0" fontId="55" fillId="20" borderId="0" applyFont="0" applyBorder="0" applyAlignment="0">
      <alignment horizontal="center" wrapText="1"/>
    </xf>
    <xf numFmtId="0" fontId="57" fillId="0" borderId="0"/>
    <xf numFmtId="0" fontId="57"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57" fillId="0" borderId="0"/>
    <xf numFmtId="0" fontId="57" fillId="0" borderId="0"/>
    <xf numFmtId="0" fontId="57" fillId="0" borderId="0"/>
    <xf numFmtId="43" fontId="54" fillId="0" borderId="0" applyFont="0" applyFill="0" applyBorder="0" applyAlignment="0" applyProtection="0"/>
    <xf numFmtId="0" fontId="57" fillId="0" borderId="0"/>
    <xf numFmtId="0" fontId="19" fillId="0" borderId="0"/>
    <xf numFmtId="44" fontId="1" fillId="0" borderId="0" applyFont="0" applyFill="0" applyBorder="0" applyAlignment="0" applyProtection="0"/>
    <xf numFmtId="0" fontId="19" fillId="0" borderId="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31"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19" fillId="0" borderId="0"/>
    <xf numFmtId="0" fontId="19" fillId="0" borderId="0"/>
    <xf numFmtId="0" fontId="27" fillId="0" borderId="0"/>
    <xf numFmtId="0" fontId="57" fillId="0" borderId="0"/>
    <xf numFmtId="0" fontId="27" fillId="0" borderId="0"/>
    <xf numFmtId="0" fontId="19"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19" fillId="0" borderId="0"/>
    <xf numFmtId="0" fontId="27" fillId="0" borderId="0"/>
    <xf numFmtId="43" fontId="57" fillId="0" borderId="0" applyFont="0" applyFill="0" applyBorder="0" applyAlignment="0" applyProtection="0"/>
    <xf numFmtId="0" fontId="57" fillId="0" borderId="0"/>
    <xf numFmtId="0" fontId="57" fillId="0" borderId="0"/>
    <xf numFmtId="0" fontId="19" fillId="0" borderId="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9"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9"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2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9" fontId="1" fillId="0" borderId="0" applyFont="0" applyFill="0" applyBorder="0" applyAlignment="0" applyProtection="0"/>
    <xf numFmtId="0" fontId="2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0" fontId="19"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4"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31" fillId="0" borderId="0"/>
    <xf numFmtId="0" fontId="19"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43" fontId="54"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27" fillId="0" borderId="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31"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57" fillId="0" borderId="0" applyFont="0" applyFill="0" applyBorder="0" applyAlignment="0" applyProtection="0"/>
    <xf numFmtId="0" fontId="19"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31"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27" fillId="0" borderId="0"/>
    <xf numFmtId="44"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4" fontId="1" fillId="0" borderId="0" applyFont="0" applyFill="0" applyBorder="0" applyAlignment="0" applyProtection="0"/>
    <xf numFmtId="0" fontId="57" fillId="0" borderId="0"/>
    <xf numFmtId="44"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2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43" fontId="58"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54"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4"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31"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44" fontId="1"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9"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9"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4" fontId="54"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44" fontId="1" fillId="0" borderId="0" applyFont="0" applyFill="0" applyBorder="0" applyAlignment="0" applyProtection="0"/>
    <xf numFmtId="44" fontId="57"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27" fillId="0" borderId="0"/>
    <xf numFmtId="0" fontId="19" fillId="0" borderId="0"/>
    <xf numFmtId="0" fontId="19" fillId="0" borderId="0"/>
    <xf numFmtId="0" fontId="27" fillId="0" borderId="0"/>
    <xf numFmtId="0" fontId="19" fillId="0" borderId="0"/>
    <xf numFmtId="0" fontId="19" fillId="0" borderId="0"/>
    <xf numFmtId="0" fontId="31"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44" fontId="1" fillId="0" borderId="0" applyFont="0" applyFill="0" applyBorder="0" applyAlignment="0" applyProtection="0"/>
    <xf numFmtId="44" fontId="1" fillId="0" borderId="0" applyFont="0" applyFill="0" applyBorder="0" applyAlignment="0" applyProtection="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31"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31"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31"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4" fontId="1"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4"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4"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54"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9"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4"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19"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9"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31"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7" fillId="0" borderId="0"/>
    <xf numFmtId="44"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43" fontId="54"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2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43" fontId="54"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4"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43" borderId="54" applyNumberFormat="0" applyFont="0" applyAlignment="0" applyProtection="0"/>
    <xf numFmtId="0" fontId="157" fillId="0" borderId="0" applyNumberFormat="0" applyFill="0" applyBorder="0" applyAlignment="0" applyProtection="0"/>
    <xf numFmtId="0" fontId="57" fillId="55" borderId="0" applyNumberFormat="0" applyBorder="0" applyAlignment="0" applyProtection="0"/>
    <xf numFmtId="0" fontId="57" fillId="56" borderId="0" applyNumberFormat="0" applyBorder="0" applyAlignment="0" applyProtection="0"/>
    <xf numFmtId="0" fontId="57" fillId="58" borderId="0" applyNumberFormat="0" applyBorder="0" applyAlignment="0" applyProtection="0"/>
    <xf numFmtId="0" fontId="57" fillId="59" borderId="0" applyNumberFormat="0" applyBorder="0" applyAlignment="0" applyProtection="0"/>
    <xf numFmtId="0" fontId="57" fillId="61" borderId="0" applyNumberFormat="0" applyBorder="0" applyAlignment="0" applyProtection="0"/>
    <xf numFmtId="0" fontId="57" fillId="62" borderId="0" applyNumberFormat="0" applyBorder="0" applyAlignment="0" applyProtection="0"/>
    <xf numFmtId="0" fontId="57" fillId="64" borderId="0" applyNumberFormat="0" applyBorder="0" applyAlignment="0" applyProtection="0"/>
    <xf numFmtId="0" fontId="57" fillId="65" borderId="0" applyNumberFormat="0" applyBorder="0" applyAlignment="0" applyProtection="0"/>
    <xf numFmtId="0" fontId="57" fillId="67" borderId="0" applyNumberFormat="0" applyBorder="0" applyAlignment="0" applyProtection="0"/>
    <xf numFmtId="0" fontId="57" fillId="68" borderId="0" applyNumberFormat="0" applyBorder="0" applyAlignment="0" applyProtection="0"/>
    <xf numFmtId="0" fontId="57" fillId="70" borderId="0" applyNumberFormat="0" applyBorder="0" applyAlignment="0" applyProtection="0"/>
    <xf numFmtId="0" fontId="57" fillId="71" borderId="0" applyNumberFormat="0" applyBorder="0" applyAlignment="0" applyProtection="0"/>
    <xf numFmtId="0" fontId="58" fillId="55" borderId="0" applyNumberFormat="0" applyBorder="0" applyAlignment="0" applyProtection="0"/>
    <xf numFmtId="0" fontId="58" fillId="58" borderId="0" applyNumberFormat="0" applyBorder="0" applyAlignment="0" applyProtection="0"/>
    <xf numFmtId="0" fontId="58" fillId="61" borderId="0" applyNumberFormat="0" applyBorder="0" applyAlignment="0" applyProtection="0"/>
    <xf numFmtId="0" fontId="58" fillId="64" borderId="0" applyNumberFormat="0" applyBorder="0" applyAlignment="0" applyProtection="0"/>
    <xf numFmtId="0" fontId="58" fillId="67" borderId="0" applyNumberFormat="0" applyBorder="0" applyAlignment="0" applyProtection="0"/>
    <xf numFmtId="0" fontId="58" fillId="70" borderId="0" applyNumberFormat="0" applyBorder="0" applyAlignment="0" applyProtection="0"/>
    <xf numFmtId="0" fontId="58" fillId="56" borderId="0" applyNumberFormat="0" applyBorder="0" applyAlignment="0" applyProtection="0"/>
    <xf numFmtId="0" fontId="58" fillId="59" borderId="0" applyNumberFormat="0" applyBorder="0" applyAlignment="0" applyProtection="0"/>
    <xf numFmtId="0" fontId="58" fillId="62" borderId="0" applyNumberFormat="0" applyBorder="0" applyAlignment="0" applyProtection="0"/>
    <xf numFmtId="0" fontId="58" fillId="65" borderId="0" applyNumberFormat="0" applyBorder="0" applyAlignment="0" applyProtection="0"/>
    <xf numFmtId="0" fontId="58" fillId="68" borderId="0" applyNumberFormat="0" applyBorder="0" applyAlignment="0" applyProtection="0"/>
    <xf numFmtId="0" fontId="58" fillId="71" borderId="0" applyNumberFormat="0" applyBorder="0" applyAlignment="0" applyProtection="0"/>
    <xf numFmtId="0" fontId="142" fillId="57" borderId="0" applyNumberFormat="0" applyBorder="0" applyAlignment="0" applyProtection="0"/>
    <xf numFmtId="0" fontId="158" fillId="57" borderId="0" applyNumberFormat="0" applyBorder="0" applyAlignment="0" applyProtection="0"/>
    <xf numFmtId="0" fontId="142" fillId="60" borderId="0" applyNumberFormat="0" applyBorder="0" applyAlignment="0" applyProtection="0"/>
    <xf numFmtId="0" fontId="158" fillId="60" borderId="0" applyNumberFormat="0" applyBorder="0" applyAlignment="0" applyProtection="0"/>
    <xf numFmtId="0" fontId="142" fillId="63" borderId="0" applyNumberFormat="0" applyBorder="0" applyAlignment="0" applyProtection="0"/>
    <xf numFmtId="0" fontId="158" fillId="63" borderId="0" applyNumberFormat="0" applyBorder="0" applyAlignment="0" applyProtection="0"/>
    <xf numFmtId="0" fontId="142" fillId="66" borderId="0" applyNumberFormat="0" applyBorder="0" applyAlignment="0" applyProtection="0"/>
    <xf numFmtId="0" fontId="158" fillId="66" borderId="0" applyNumberFormat="0" applyBorder="0" applyAlignment="0" applyProtection="0"/>
    <xf numFmtId="0" fontId="142" fillId="69" borderId="0" applyNumberFormat="0" applyBorder="0" applyAlignment="0" applyProtection="0"/>
    <xf numFmtId="0" fontId="158" fillId="69" borderId="0" applyNumberFormat="0" applyBorder="0" applyAlignment="0" applyProtection="0"/>
    <xf numFmtId="0" fontId="142" fillId="72" borderId="0" applyNumberFormat="0" applyBorder="0" applyAlignment="0" applyProtection="0"/>
    <xf numFmtId="0" fontId="158" fillId="72" borderId="0" applyNumberFormat="0" applyBorder="0" applyAlignment="0" applyProtection="0"/>
    <xf numFmtId="0" fontId="158" fillId="44" borderId="0" applyNumberFormat="0" applyBorder="0" applyAlignment="0" applyProtection="0"/>
    <xf numFmtId="0" fontId="158" fillId="44" borderId="0" applyNumberFormat="0" applyBorder="0" applyAlignment="0" applyProtection="0"/>
    <xf numFmtId="0" fontId="158" fillId="45" borderId="0" applyNumberFormat="0" applyBorder="0" applyAlignment="0" applyProtection="0"/>
    <xf numFmtId="0" fontId="158" fillId="45" borderId="0" applyNumberFormat="0" applyBorder="0" applyAlignment="0" applyProtection="0"/>
    <xf numFmtId="0" fontId="158" fillId="46" borderId="0" applyNumberFormat="0" applyBorder="0" applyAlignment="0" applyProtection="0"/>
    <xf numFmtId="0" fontId="158" fillId="46" borderId="0" applyNumberFormat="0" applyBorder="0" applyAlignment="0" applyProtection="0"/>
    <xf numFmtId="0" fontId="158" fillId="47" borderId="0" applyNumberFormat="0" applyBorder="0" applyAlignment="0" applyProtection="0"/>
    <xf numFmtId="0" fontId="158" fillId="47" borderId="0" applyNumberFormat="0" applyBorder="0" applyAlignment="0" applyProtection="0"/>
    <xf numFmtId="0" fontId="158" fillId="48" borderId="0" applyNumberFormat="0" applyBorder="0" applyAlignment="0" applyProtection="0"/>
    <xf numFmtId="0" fontId="158" fillId="48" borderId="0" applyNumberFormat="0" applyBorder="0" applyAlignment="0" applyProtection="0"/>
    <xf numFmtId="0" fontId="158" fillId="49" borderId="0" applyNumberFormat="0" applyBorder="0" applyAlignment="0" applyProtection="0"/>
    <xf numFmtId="0" fontId="158" fillId="49" borderId="0" applyNumberFormat="0" applyBorder="0" applyAlignment="0" applyProtection="0"/>
    <xf numFmtId="0" fontId="159" fillId="38" borderId="0" applyNumberFormat="0" applyBorder="0" applyAlignment="0" applyProtection="0"/>
    <xf numFmtId="0" fontId="160" fillId="41" borderId="50" applyNumberFormat="0" applyAlignment="0" applyProtection="0"/>
    <xf numFmtId="0" fontId="161" fillId="42" borderId="53"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5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57" fillId="0" borderId="0" applyFont="0" applyFill="0" applyBorder="0" applyAlignment="0" applyProtection="0"/>
    <xf numFmtId="43" fontId="19" fillId="0" borderId="0" applyFont="0" applyFill="0" applyBorder="0" applyAlignment="0" applyProtection="0"/>
    <xf numFmtId="43" fontId="58" fillId="0" borderId="0" applyFont="0" applyFill="0" applyBorder="0" applyAlignment="0" applyProtection="0"/>
    <xf numFmtId="0" fontId="162" fillId="0" borderId="0" applyNumberFormat="0" applyFill="0" applyBorder="0" applyAlignment="0" applyProtection="0"/>
    <xf numFmtId="0" fontId="163" fillId="37" borderId="0" applyNumberFormat="0" applyBorder="0" applyAlignment="0" applyProtection="0"/>
    <xf numFmtId="0" fontId="164" fillId="0" borderId="47" applyNumberFormat="0" applyFill="0" applyAlignment="0" applyProtection="0"/>
    <xf numFmtId="0" fontId="165" fillId="0" borderId="48" applyNumberFormat="0" applyFill="0" applyAlignment="0" applyProtection="0"/>
    <xf numFmtId="0" fontId="23" fillId="0" borderId="58" applyNumberFormat="0" applyFill="0" applyAlignment="0" applyProtection="0"/>
    <xf numFmtId="0" fontId="23" fillId="0" borderId="58" applyNumberFormat="0" applyFill="0" applyAlignment="0" applyProtection="0"/>
    <xf numFmtId="0" fontId="166" fillId="0" borderId="49" applyNumberFormat="0" applyFill="0" applyAlignment="0" applyProtection="0"/>
    <xf numFmtId="0" fontId="166" fillId="0" borderId="0" applyNumberFormat="0" applyFill="0" applyBorder="0" applyAlignment="0" applyProtection="0"/>
    <xf numFmtId="0" fontId="167" fillId="40" borderId="50" applyNumberFormat="0" applyAlignment="0" applyProtection="0"/>
    <xf numFmtId="0" fontId="168" fillId="0" borderId="52" applyNumberFormat="0" applyFill="0" applyAlignment="0" applyProtection="0"/>
    <xf numFmtId="0" fontId="169" fillId="39" borderId="0" applyNumberFormat="0" applyBorder="0" applyAlignment="0" applyProtection="0"/>
    <xf numFmtId="0" fontId="11" fillId="0" borderId="0"/>
    <xf numFmtId="0" fontId="58" fillId="0" borderId="0"/>
    <xf numFmtId="0" fontId="58" fillId="0" borderId="0"/>
    <xf numFmtId="0" fontId="58" fillId="0" borderId="0"/>
    <xf numFmtId="0" fontId="58" fillId="0" borderId="0"/>
    <xf numFmtId="0" fontId="11" fillId="0" borderId="0"/>
    <xf numFmtId="0" fontId="11" fillId="0" borderId="0"/>
    <xf numFmtId="0" fontId="19" fillId="0" borderId="0"/>
    <xf numFmtId="0" fontId="27" fillId="0" borderId="0"/>
    <xf numFmtId="0" fontId="19" fillId="0" borderId="0"/>
    <xf numFmtId="0" fontId="58" fillId="0" borderId="0"/>
    <xf numFmtId="0" fontId="57" fillId="0" borderId="0"/>
    <xf numFmtId="0" fontId="19" fillId="0" borderId="0"/>
    <xf numFmtId="0" fontId="57" fillId="0" borderId="0"/>
    <xf numFmtId="0" fontId="19" fillId="0" borderId="0"/>
    <xf numFmtId="0" fontId="19" fillId="0" borderId="0"/>
    <xf numFmtId="0" fontId="19" fillId="0" borderId="0"/>
    <xf numFmtId="0" fontId="19" fillId="0" borderId="0"/>
    <xf numFmtId="0" fontId="19" fillId="0" borderId="0"/>
    <xf numFmtId="0" fontId="58" fillId="43" borderId="54" applyNumberFormat="0" applyFont="0" applyAlignment="0" applyProtection="0"/>
    <xf numFmtId="0" fontId="170" fillId="41" borderId="51" applyNumberFormat="0" applyAlignment="0" applyProtection="0"/>
    <xf numFmtId="9" fontId="11" fillId="0" borderId="0" applyFont="0" applyFill="0" applyBorder="0" applyAlignment="0" applyProtection="0"/>
    <xf numFmtId="0" fontId="171" fillId="0" borderId="0" applyNumberFormat="0" applyFill="0" applyBorder="0" applyAlignment="0" applyProtection="0"/>
    <xf numFmtId="0" fontId="172" fillId="0" borderId="55" applyNumberFormat="0" applyFill="0" applyAlignment="0" applyProtection="0"/>
    <xf numFmtId="0" fontId="173" fillId="0" borderId="0" applyNumberFormat="0" applyFill="0" applyBorder="0" applyAlignment="0" applyProtection="0"/>
    <xf numFmtId="0" fontId="180" fillId="0" borderId="0"/>
    <xf numFmtId="43" fontId="181" fillId="0" borderId="0" applyFont="0" applyFill="0" applyBorder="0" applyAlignment="0" applyProtection="0"/>
    <xf numFmtId="0" fontId="181"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11" fillId="0" borderId="0"/>
    <xf numFmtId="0" fontId="182" fillId="0" borderId="0" applyNumberFormat="0" applyFill="0" applyBorder="0" applyAlignment="0" applyProtection="0">
      <alignment vertical="top"/>
      <protection locked="0"/>
    </xf>
    <xf numFmtId="0" fontId="183" fillId="0" borderId="0" applyNumberFormat="0" applyFill="0" applyBorder="0" applyAlignment="0" applyProtection="0"/>
    <xf numFmtId="0" fontId="118" fillId="0" borderId="0"/>
    <xf numFmtId="0" fontId="118" fillId="0" borderId="0"/>
    <xf numFmtId="0" fontId="118" fillId="0" borderId="0"/>
    <xf numFmtId="0" fontId="119" fillId="0" borderId="0"/>
    <xf numFmtId="0" fontId="119" fillId="0" borderId="0"/>
    <xf numFmtId="0" fontId="119" fillId="0" borderId="0"/>
    <xf numFmtId="0" fontId="119" fillId="0" borderId="0"/>
    <xf numFmtId="0" fontId="119" fillId="0" borderId="0"/>
    <xf numFmtId="0" fontId="118" fillId="0" borderId="0"/>
    <xf numFmtId="0" fontId="119" fillId="0" borderId="0"/>
    <xf numFmtId="0" fontId="119" fillId="0" borderId="0"/>
    <xf numFmtId="0" fontId="119" fillId="0" borderId="0"/>
    <xf numFmtId="0" fontId="119" fillId="0" borderId="0"/>
    <xf numFmtId="0" fontId="119" fillId="0" borderId="0"/>
    <xf numFmtId="0" fontId="120" fillId="0" borderId="0"/>
    <xf numFmtId="0" fontId="120" fillId="0" borderId="0"/>
    <xf numFmtId="0" fontId="57" fillId="0" borderId="0"/>
    <xf numFmtId="43" fontId="57" fillId="0" borderId="0" applyFont="0" applyFill="0" applyBorder="0" applyAlignment="0" applyProtection="0"/>
    <xf numFmtId="0" fontId="57" fillId="0" borderId="0"/>
    <xf numFmtId="0" fontId="19" fillId="0" borderId="0"/>
    <xf numFmtId="0" fontId="19" fillId="0" borderId="0"/>
    <xf numFmtId="0" fontId="27" fillId="0" borderId="0"/>
    <xf numFmtId="0" fontId="19" fillId="0" borderId="0"/>
    <xf numFmtId="0" fontId="19" fillId="0" borderId="0"/>
    <xf numFmtId="0" fontId="19" fillId="0" borderId="0"/>
    <xf numFmtId="0" fontId="19" fillId="0" borderId="0"/>
    <xf numFmtId="0" fontId="31" fillId="0" borderId="0"/>
    <xf numFmtId="0" fontId="19" fillId="0" borderId="0"/>
    <xf numFmtId="0" fontId="27" fillId="0" borderId="0"/>
    <xf numFmtId="43" fontId="11" fillId="0" borderId="0" applyFont="0" applyFill="0" applyBorder="0" applyAlignment="0" applyProtection="0"/>
    <xf numFmtId="43" fontId="1" fillId="0" borderId="0" applyFont="0" applyFill="0" applyBorder="0" applyAlignment="0" applyProtection="0"/>
    <xf numFmtId="0" fontId="58" fillId="0" borderId="0"/>
    <xf numFmtId="0" fontId="19" fillId="0" borderId="0"/>
    <xf numFmtId="0" fontId="19" fillId="0" borderId="0"/>
    <xf numFmtId="0" fontId="57" fillId="0" borderId="0"/>
    <xf numFmtId="0" fontId="19" fillId="0" borderId="0"/>
    <xf numFmtId="0" fontId="27" fillId="0" borderId="0"/>
    <xf numFmtId="0" fontId="31" fillId="0" borderId="0"/>
    <xf numFmtId="0" fontId="19" fillId="0" borderId="0"/>
    <xf numFmtId="0" fontId="19" fillId="0" borderId="0"/>
    <xf numFmtId="0" fontId="27" fillId="0" borderId="0"/>
    <xf numFmtId="0" fontId="181" fillId="0" borderId="0"/>
    <xf numFmtId="0" fontId="19" fillId="0" borderId="0"/>
    <xf numFmtId="0" fontId="181" fillId="0" borderId="0"/>
    <xf numFmtId="0" fontId="27" fillId="0" borderId="0"/>
    <xf numFmtId="0" fontId="27" fillId="0" borderId="0"/>
    <xf numFmtId="0" fontId="2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xf numFmtId="0" fontId="31" fillId="0" borderId="0"/>
    <xf numFmtId="43" fontId="1" fillId="0" borderId="0" applyFont="0" applyFill="0" applyBorder="0" applyAlignment="0" applyProtection="0"/>
    <xf numFmtId="43" fontId="54" fillId="0" borderId="0" applyFont="0" applyFill="0" applyBorder="0" applyAlignment="0" applyProtection="0"/>
    <xf numFmtId="0" fontId="27" fillId="0" borderId="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19" fillId="0" borderId="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19"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2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31" fillId="0" borderId="0"/>
    <xf numFmtId="43" fontId="54"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44" fontId="1" fillId="0" borderId="0" applyFont="0" applyFill="0" applyBorder="0" applyAlignment="0" applyProtection="0"/>
    <xf numFmtId="0" fontId="19" fillId="0" borderId="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9" fontId="58"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62" fillId="20" borderId="0" applyFont="0" applyBorder="0" applyAlignment="0">
      <alignment horizontal="center" wrapText="1"/>
    </xf>
    <xf numFmtId="44" fontId="58"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9"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8"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27" fillId="0" borderId="0"/>
    <xf numFmtId="9"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8"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8"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58" fillId="0" borderId="0" applyFont="0" applyFill="0" applyBorder="0" applyAlignment="0" applyProtection="0"/>
    <xf numFmtId="43" fontId="57" fillId="0" borderId="0" applyFont="0" applyFill="0" applyBorder="0" applyAlignment="0" applyProtection="0"/>
    <xf numFmtId="43" fontId="58"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62" fillId="20" borderId="0" applyFont="0" applyBorder="0" applyAlignment="0">
      <alignment horizontal="center" wrapText="1"/>
    </xf>
    <xf numFmtId="9"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9"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9"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9" fontId="57" fillId="0" borderId="0" applyFont="0" applyFill="0" applyBorder="0" applyAlignment="0" applyProtection="0"/>
    <xf numFmtId="43" fontId="57"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4" fontId="54"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0" fontId="58" fillId="0" borderId="0"/>
    <xf numFmtId="9" fontId="54" fillId="0" borderId="0" applyFont="0" applyFill="0" applyBorder="0" applyAlignment="0" applyProtection="0"/>
    <xf numFmtId="9" fontId="1" fillId="0" borderId="0" applyFont="0" applyFill="0" applyBorder="0" applyAlignment="0" applyProtection="0"/>
    <xf numFmtId="0" fontId="55" fillId="20" borderId="0" applyFont="0" applyBorder="0" applyAlignment="0">
      <alignment horizontal="center" wrapText="1"/>
    </xf>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31"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9"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9"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9"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9"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9"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cellStyleXfs>
  <cellXfs count="899">
    <xf numFmtId="0" fontId="0" fillId="0" borderId="0" xfId="0"/>
    <xf numFmtId="0" fontId="0" fillId="0" borderId="0" xfId="0" applyProtection="1"/>
    <xf numFmtId="0" fontId="0" fillId="0" borderId="0" xfId="0" applyFill="1" applyAlignment="1" applyProtection="1">
      <alignment horizontal="center"/>
    </xf>
    <xf numFmtId="0" fontId="0" fillId="0" borderId="0" xfId="0" applyAlignment="1" applyProtection="1">
      <alignment wrapText="1"/>
    </xf>
    <xf numFmtId="0" fontId="0" fillId="0" borderId="0" xfId="0" applyFill="1" applyProtection="1"/>
    <xf numFmtId="0" fontId="0" fillId="0" borderId="0" xfId="0" applyFill="1" applyAlignment="1" applyProtection="1">
      <alignment wrapText="1"/>
    </xf>
    <xf numFmtId="0" fontId="64" fillId="21" borderId="10" xfId="0" applyFont="1" applyFill="1" applyBorder="1" applyAlignment="1" applyProtection="1">
      <alignment horizontal="center" wrapText="1"/>
    </xf>
    <xf numFmtId="164" fontId="63" fillId="0" borderId="0" xfId="439" applyNumberFormat="1" applyFont="1" applyFill="1" applyAlignment="1" applyProtection="1">
      <alignment horizontal="center" wrapText="1"/>
    </xf>
    <xf numFmtId="41" fontId="65" fillId="0" borderId="0" xfId="0" applyNumberFormat="1" applyFont="1" applyFill="1" applyAlignment="1" applyProtection="1">
      <alignment wrapText="1"/>
    </xf>
    <xf numFmtId="41" fontId="65" fillId="0" borderId="0" xfId="0" applyNumberFormat="1" applyFont="1" applyAlignment="1" applyProtection="1">
      <alignment wrapText="1"/>
    </xf>
    <xf numFmtId="164" fontId="63" fillId="22" borderId="0" xfId="439" applyNumberFormat="1" applyFont="1" applyFill="1" applyAlignment="1" applyProtection="1">
      <alignment horizontal="center" wrapText="1"/>
    </xf>
    <xf numFmtId="41" fontId="65" fillId="21" borderId="11" xfId="0" applyNumberFormat="1" applyFont="1" applyFill="1" applyBorder="1" applyAlignment="1" applyProtection="1">
      <alignment wrapText="1"/>
    </xf>
    <xf numFmtId="41" fontId="65" fillId="21" borderId="12" xfId="0" applyNumberFormat="1" applyFont="1" applyFill="1" applyBorder="1" applyAlignment="1" applyProtection="1">
      <alignment wrapText="1"/>
    </xf>
    <xf numFmtId="0" fontId="0" fillId="21" borderId="0" xfId="0" applyFill="1" applyAlignment="1" applyProtection="1">
      <alignment wrapText="1"/>
    </xf>
    <xf numFmtId="0" fontId="0" fillId="0" borderId="0" xfId="0" applyAlignment="1" applyProtection="1">
      <alignment wrapText="1"/>
      <protection locked="0"/>
    </xf>
    <xf numFmtId="0" fontId="67" fillId="0" borderId="0" xfId="0" applyFont="1" applyProtection="1"/>
    <xf numFmtId="0" fontId="0" fillId="0" borderId="0" xfId="0" applyAlignment="1" applyProtection="1">
      <protection locked="0"/>
    </xf>
    <xf numFmtId="0" fontId="62" fillId="0" borderId="0" xfId="0" applyFont="1" applyFill="1" applyBorder="1" applyAlignment="1" applyProtection="1">
      <alignment horizontal="center"/>
    </xf>
    <xf numFmtId="0" fontId="0" fillId="0" borderId="0" xfId="0" applyFill="1" applyAlignment="1" applyProtection="1">
      <alignment wrapText="1"/>
      <protection locked="0"/>
    </xf>
    <xf numFmtId="0" fontId="68" fillId="21" borderId="10" xfId="0" applyFont="1" applyFill="1" applyBorder="1" applyAlignment="1" applyProtection="1">
      <alignment horizontal="center" vertical="center" wrapText="1"/>
    </xf>
    <xf numFmtId="0" fontId="68" fillId="0" borderId="0" xfId="0" applyFont="1" applyAlignment="1" applyProtection="1">
      <alignment horizontal="center" vertical="center"/>
    </xf>
    <xf numFmtId="0" fontId="68" fillId="21" borderId="13" xfId="0" applyFont="1" applyFill="1" applyBorder="1" applyAlignment="1" applyProtection="1">
      <alignment horizontal="left" vertical="center"/>
    </xf>
    <xf numFmtId="0" fontId="0" fillId="0" borderId="0" xfId="0" applyNumberFormat="1" applyFill="1" applyAlignment="1" applyProtection="1">
      <alignment horizontal="left" vertical="center" wrapText="1" indent="6"/>
    </xf>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0" fillId="0" borderId="0" xfId="0" applyNumberFormat="1" applyFont="1" applyFill="1" applyAlignment="1" applyProtection="1">
      <alignment horizontal="left" vertical="center" wrapText="1" indent="6"/>
    </xf>
    <xf numFmtId="0" fontId="0" fillId="0" borderId="0" xfId="0" applyAlignment="1" applyProtection="1">
      <alignment vertical="center"/>
    </xf>
    <xf numFmtId="0" fontId="70" fillId="21" borderId="0" xfId="0" applyFont="1" applyFill="1" applyBorder="1" applyProtection="1"/>
    <xf numFmtId="0" fontId="68" fillId="21" borderId="15" xfId="0" applyFont="1" applyFill="1" applyBorder="1" applyAlignment="1" applyProtection="1">
      <alignment horizontal="left" vertical="center"/>
    </xf>
    <xf numFmtId="0" fontId="71" fillId="0" borderId="0" xfId="0" applyFont="1" applyFill="1" applyBorder="1" applyAlignment="1" applyProtection="1">
      <alignment horizontal="left" vertical="center"/>
    </xf>
    <xf numFmtId="0" fontId="0" fillId="0" borderId="0" xfId="0" applyProtection="1">
      <protection locked="0"/>
    </xf>
    <xf numFmtId="0" fontId="72" fillId="0" borderId="0" xfId="0" applyFont="1" applyAlignment="1" applyProtection="1">
      <alignment horizontal="right"/>
    </xf>
    <xf numFmtId="0" fontId="68" fillId="21" borderId="0" xfId="0" applyFont="1" applyFill="1" applyBorder="1" applyAlignment="1" applyProtection="1">
      <alignment horizontal="center" vertical="center" wrapText="1"/>
    </xf>
    <xf numFmtId="0" fontId="64" fillId="21" borderId="0" xfId="0" applyFont="1" applyFill="1" applyBorder="1" applyAlignment="1" applyProtection="1">
      <alignment horizontal="center" wrapText="1"/>
    </xf>
    <xf numFmtId="0" fontId="59" fillId="0" borderId="0" xfId="611" applyAlignment="1">
      <alignment vertical="center"/>
    </xf>
    <xf numFmtId="0" fontId="73" fillId="0" borderId="0" xfId="0" applyFont="1" applyAlignment="1">
      <alignment vertical="center"/>
    </xf>
    <xf numFmtId="0" fontId="0" fillId="23" borderId="0" xfId="0" applyFill="1" applyProtection="1"/>
    <xf numFmtId="40" fontId="74" fillId="21" borderId="16" xfId="0" applyNumberFormat="1" applyFont="1" applyFill="1" applyBorder="1" applyProtection="1"/>
    <xf numFmtId="0" fontId="71" fillId="0" borderId="0" xfId="0" applyFont="1" applyFill="1" applyAlignment="1" applyProtection="1">
      <alignment horizontal="center" vertical="center"/>
    </xf>
    <xf numFmtId="0" fontId="75" fillId="22" borderId="0" xfId="0" applyFont="1" applyFill="1" applyAlignment="1" applyProtection="1">
      <alignment horizontal="left" vertical="center"/>
    </xf>
    <xf numFmtId="0" fontId="76" fillId="24" borderId="10" xfId="0" applyFont="1" applyFill="1" applyBorder="1" applyAlignment="1" applyProtection="1">
      <alignment horizontal="center" wrapText="1"/>
    </xf>
    <xf numFmtId="0" fontId="65" fillId="0" borderId="0" xfId="0" applyFont="1" applyAlignment="1" applyProtection="1">
      <alignment horizontal="left" wrapText="1"/>
    </xf>
    <xf numFmtId="0" fontId="65" fillId="0" borderId="0" xfId="0" applyFont="1" applyAlignment="1" applyProtection="1">
      <alignment horizontal="left" vertical="center" wrapText="1"/>
    </xf>
    <xf numFmtId="0" fontId="65" fillId="24" borderId="0" xfId="0" applyFont="1" applyFill="1" applyBorder="1" applyAlignment="1" applyProtection="1">
      <alignment horizontal="left" wrapText="1"/>
    </xf>
    <xf numFmtId="0" fontId="63" fillId="0" borderId="0" xfId="0" applyFont="1" applyAlignment="1" applyProtection="1">
      <alignment horizontal="center"/>
    </xf>
    <xf numFmtId="0" fontId="77" fillId="21" borderId="10" xfId="0" applyFont="1" applyFill="1" applyBorder="1" applyAlignment="1" applyProtection="1">
      <alignment horizontal="center" wrapText="1"/>
    </xf>
    <xf numFmtId="164" fontId="69" fillId="22" borderId="0" xfId="439" applyNumberFormat="1" applyFont="1" applyFill="1" applyProtection="1"/>
    <xf numFmtId="0" fontId="78" fillId="22" borderId="0" xfId="0" applyFont="1" applyFill="1" applyAlignment="1" applyProtection="1">
      <alignment vertical="center"/>
    </xf>
    <xf numFmtId="0" fontId="79" fillId="22" borderId="0" xfId="0" applyFont="1" applyFill="1" applyAlignment="1" applyProtection="1">
      <alignment vertical="center"/>
    </xf>
    <xf numFmtId="0" fontId="80" fillId="0" borderId="0" xfId="0" applyFont="1" applyFill="1" applyAlignment="1" applyProtection="1">
      <alignment horizontal="center" vertical="center" wrapText="1"/>
    </xf>
    <xf numFmtId="167" fontId="63" fillId="23" borderId="0" xfId="545" applyNumberFormat="1" applyFont="1" applyFill="1" applyProtection="1"/>
    <xf numFmtId="0" fontId="81" fillId="22" borderId="0" xfId="0" applyFont="1" applyFill="1" applyAlignment="1" applyProtection="1">
      <alignment vertical="center"/>
      <protection locked="0"/>
    </xf>
    <xf numFmtId="0" fontId="0" fillId="21" borderId="0" xfId="0" applyFill="1" applyProtection="1"/>
    <xf numFmtId="0" fontId="0" fillId="0" borderId="0" xfId="0" applyFill="1" applyBorder="1" applyAlignment="1" applyProtection="1">
      <alignment horizontal="center"/>
    </xf>
    <xf numFmtId="0" fontId="0" fillId="0" borderId="0" xfId="0" applyFill="1" applyBorder="1" applyProtection="1"/>
    <xf numFmtId="0" fontId="0" fillId="0" borderId="0" xfId="0" applyBorder="1" applyProtection="1"/>
    <xf numFmtId="0" fontId="82" fillId="25" borderId="0" xfId="0" applyFont="1" applyFill="1" applyAlignment="1" applyProtection="1">
      <alignment horizontal="center" wrapText="1"/>
    </xf>
    <xf numFmtId="0" fontId="83" fillId="21" borderId="10" xfId="0" applyFont="1" applyFill="1" applyBorder="1" applyAlignment="1" applyProtection="1">
      <alignment horizontal="center" wrapText="1"/>
    </xf>
    <xf numFmtId="0" fontId="83" fillId="21" borderId="0" xfId="0" applyFont="1" applyFill="1" applyBorder="1" applyAlignment="1" applyProtection="1">
      <alignment horizontal="center" wrapText="1"/>
    </xf>
    <xf numFmtId="0" fontId="84" fillId="0" borderId="0" xfId="0" applyFont="1" applyBorder="1" applyAlignment="1" applyProtection="1">
      <alignment wrapText="1"/>
    </xf>
    <xf numFmtId="0" fontId="0" fillId="0" borderId="0" xfId="0" applyFont="1" applyFill="1" applyProtection="1"/>
    <xf numFmtId="0" fontId="85" fillId="0" borderId="0" xfId="0" applyFont="1" applyAlignment="1" applyProtection="1">
      <alignment horizontal="center" vertical="center" wrapText="1"/>
    </xf>
    <xf numFmtId="0" fontId="29" fillId="0" borderId="0" xfId="0" applyFont="1" applyFill="1" applyAlignment="1" applyProtection="1">
      <alignment horizontal="center" vertical="center" wrapText="1"/>
    </xf>
    <xf numFmtId="0" fontId="85" fillId="0" borderId="0" xfId="0" applyFont="1" applyAlignment="1" applyProtection="1">
      <alignment horizontal="center" vertical="center"/>
    </xf>
    <xf numFmtId="0" fontId="0" fillId="0" borderId="0" xfId="0" applyAlignment="1" applyProtection="1">
      <alignment wrapText="1"/>
      <protection locked="0"/>
    </xf>
    <xf numFmtId="0" fontId="0" fillId="0" borderId="0" xfId="0"/>
    <xf numFmtId="0" fontId="0" fillId="0" borderId="0" xfId="0" applyProtection="1"/>
    <xf numFmtId="41" fontId="66" fillId="0" borderId="0" xfId="0" applyNumberFormat="1" applyFont="1" applyFill="1" applyAlignment="1" applyProtection="1">
      <alignment wrapText="1"/>
    </xf>
    <xf numFmtId="0" fontId="58" fillId="0" borderId="0" xfId="682"/>
    <xf numFmtId="0" fontId="86" fillId="26" borderId="0" xfId="682" applyFont="1" applyFill="1"/>
    <xf numFmtId="0" fontId="58" fillId="26" borderId="0" xfId="682" applyFill="1"/>
    <xf numFmtId="0" fontId="87" fillId="26" borderId="0" xfId="682" applyFont="1" applyFill="1"/>
    <xf numFmtId="0" fontId="87" fillId="0" borderId="0" xfId="682" applyFont="1" applyFill="1"/>
    <xf numFmtId="0" fontId="88" fillId="0" borderId="0" xfId="682" applyFont="1"/>
    <xf numFmtId="0" fontId="88" fillId="0" borderId="0" xfId="682" applyFont="1" applyAlignment="1">
      <alignment vertical="center"/>
    </xf>
    <xf numFmtId="0" fontId="89" fillId="0" borderId="17" xfId="682" applyFont="1" applyBorder="1" applyAlignment="1">
      <alignment horizontal="center"/>
    </xf>
    <xf numFmtId="0" fontId="89" fillId="0" borderId="14" xfId="682" applyFont="1" applyBorder="1" applyAlignment="1">
      <alignment horizontal="center" vertical="center" wrapText="1"/>
    </xf>
    <xf numFmtId="0" fontId="90" fillId="0" borderId="0" xfId="682" applyFont="1"/>
    <xf numFmtId="0" fontId="91" fillId="0" borderId="0" xfId="682" applyFont="1"/>
    <xf numFmtId="167" fontId="30" fillId="26" borderId="0" xfId="546" applyNumberFormat="1" applyFont="1" applyFill="1"/>
    <xf numFmtId="167" fontId="91" fillId="0" borderId="0" xfId="546" applyNumberFormat="1" applyFont="1"/>
    <xf numFmtId="38" fontId="30" fillId="26" borderId="0" xfId="682" applyNumberFormat="1" applyFont="1" applyFill="1"/>
    <xf numFmtId="38" fontId="91" fillId="0" borderId="0" xfId="682" applyNumberFormat="1" applyFont="1"/>
    <xf numFmtId="38" fontId="91" fillId="26" borderId="0" xfId="682" applyNumberFormat="1" applyFont="1" applyFill="1"/>
    <xf numFmtId="38" fontId="91" fillId="26" borderId="17" xfId="449" applyNumberFormat="1" applyFont="1" applyFill="1" applyBorder="1"/>
    <xf numFmtId="38" fontId="91" fillId="0" borderId="0" xfId="449" applyNumberFormat="1" applyFont="1"/>
    <xf numFmtId="0" fontId="92" fillId="0" borderId="0" xfId="682" applyFont="1"/>
    <xf numFmtId="0" fontId="89" fillId="27" borderId="0" xfId="682" applyFont="1" applyFill="1"/>
    <xf numFmtId="0" fontId="58" fillId="27" borderId="0" xfId="682" applyFill="1"/>
    <xf numFmtId="0" fontId="91" fillId="27" borderId="0" xfId="682" applyFont="1" applyFill="1"/>
    <xf numFmtId="167" fontId="89" fillId="27" borderId="0" xfId="546" applyNumberFormat="1" applyFont="1" applyFill="1"/>
    <xf numFmtId="167" fontId="91" fillId="27" borderId="0" xfId="546" applyNumberFormat="1" applyFont="1" applyFill="1"/>
    <xf numFmtId="164" fontId="91" fillId="26" borderId="17" xfId="449" applyNumberFormat="1" applyFont="1" applyFill="1" applyBorder="1"/>
    <xf numFmtId="164" fontId="91" fillId="0" borderId="0" xfId="449" applyNumberFormat="1" applyFont="1"/>
    <xf numFmtId="0" fontId="90" fillId="0" borderId="0" xfId="682" applyFont="1" applyAlignment="1">
      <alignment vertical="center"/>
    </xf>
    <xf numFmtId="0" fontId="93" fillId="0" borderId="0" xfId="682" applyFont="1"/>
    <xf numFmtId="38" fontId="91" fillId="26" borderId="0" xfId="449" applyNumberFormat="1" applyFont="1" applyFill="1"/>
    <xf numFmtId="167" fontId="89" fillId="27" borderId="18" xfId="546" applyNumberFormat="1" applyFont="1" applyFill="1" applyBorder="1"/>
    <xf numFmtId="167" fontId="91" fillId="26" borderId="19" xfId="546" applyNumberFormat="1" applyFont="1" applyFill="1" applyBorder="1"/>
    <xf numFmtId="0" fontId="89" fillId="0" borderId="0" xfId="682" applyFont="1"/>
    <xf numFmtId="167" fontId="89" fillId="0" borderId="20" xfId="546" applyNumberFormat="1" applyFont="1" applyBorder="1"/>
    <xf numFmtId="0" fontId="89" fillId="0" borderId="0" xfId="682" applyFont="1" applyAlignment="1">
      <alignment horizontal="center"/>
    </xf>
    <xf numFmtId="167" fontId="30" fillId="0" borderId="0" xfId="546" applyNumberFormat="1" applyFont="1" applyFill="1"/>
    <xf numFmtId="38" fontId="30" fillId="0" borderId="0" xfId="449" applyNumberFormat="1" applyFont="1" applyFill="1"/>
    <xf numFmtId="38" fontId="30" fillId="0" borderId="17" xfId="449" applyNumberFormat="1" applyFont="1" applyFill="1" applyBorder="1"/>
    <xf numFmtId="167" fontId="91" fillId="0" borderId="19" xfId="546" applyNumberFormat="1" applyFont="1" applyBorder="1"/>
    <xf numFmtId="0" fontId="63" fillId="0" borderId="0" xfId="682" applyFont="1"/>
    <xf numFmtId="10" fontId="89" fillId="0" borderId="19" xfId="682" applyNumberFormat="1" applyFont="1" applyBorder="1"/>
    <xf numFmtId="164" fontId="57" fillId="0" borderId="0" xfId="439" applyNumberFormat="1" applyFont="1"/>
    <xf numFmtId="40" fontId="94" fillId="0" borderId="0" xfId="0" applyNumberFormat="1" applyFont="1"/>
    <xf numFmtId="0" fontId="83" fillId="0" borderId="0" xfId="0" applyFont="1"/>
    <xf numFmtId="2" fontId="0" fillId="0" borderId="0" xfId="0" applyNumberFormat="1"/>
    <xf numFmtId="38" fontId="30" fillId="26" borderId="0" xfId="0" applyNumberFormat="1" applyFont="1" applyFill="1"/>
    <xf numFmtId="38" fontId="30" fillId="26" borderId="17" xfId="0" applyNumberFormat="1" applyFont="1" applyFill="1" applyBorder="1"/>
    <xf numFmtId="0" fontId="83" fillId="0" borderId="0" xfId="0" applyFont="1" applyAlignment="1" applyProtection="1">
      <alignment wrapText="1"/>
      <protection locked="0"/>
    </xf>
    <xf numFmtId="0" fontId="77" fillId="21" borderId="0" xfId="0" applyFont="1" applyFill="1" applyBorder="1" applyAlignment="1" applyProtection="1">
      <alignment horizontal="center"/>
    </xf>
    <xf numFmtId="0" fontId="58" fillId="0" borderId="0" xfId="682"/>
    <xf numFmtId="0" fontId="95" fillId="0" borderId="0" xfId="682" applyFont="1" applyFill="1" applyAlignment="1">
      <alignment wrapText="1"/>
    </xf>
    <xf numFmtId="166" fontId="70" fillId="21" borderId="16" xfId="0" applyNumberFormat="1" applyFont="1" applyFill="1" applyBorder="1" applyProtection="1"/>
    <xf numFmtId="0" fontId="68" fillId="21" borderId="16" xfId="0" applyFont="1" applyFill="1" applyBorder="1" applyAlignment="1" applyProtection="1">
      <alignment horizontal="left" vertical="center"/>
    </xf>
    <xf numFmtId="0" fontId="68" fillId="21" borderId="0" xfId="0" applyFont="1" applyFill="1" applyBorder="1" applyAlignment="1" applyProtection="1">
      <alignment horizontal="left" vertical="center"/>
    </xf>
    <xf numFmtId="0" fontId="96" fillId="0" borderId="0" xfId="0" applyFont="1" applyFill="1" applyAlignment="1" applyProtection="1">
      <alignment horizontal="left" vertical="center" wrapText="1"/>
    </xf>
    <xf numFmtId="0" fontId="0" fillId="28" borderId="0" xfId="0" applyFill="1" applyAlignment="1" applyProtection="1">
      <alignment vertical="center"/>
    </xf>
    <xf numFmtId="0" fontId="8" fillId="28" borderId="0" xfId="0" applyFont="1" applyFill="1" applyAlignment="1" applyProtection="1">
      <alignment horizontal="left" vertical="center"/>
    </xf>
    <xf numFmtId="0" fontId="0" fillId="28" borderId="0" xfId="0" applyNumberFormat="1" applyFill="1" applyAlignment="1" applyProtection="1">
      <alignment wrapText="1"/>
    </xf>
    <xf numFmtId="164" fontId="0" fillId="28" borderId="0" xfId="0" applyNumberFormat="1" applyFill="1" applyAlignment="1" applyProtection="1">
      <alignment vertical="center"/>
    </xf>
    <xf numFmtId="0" fontId="70" fillId="28" borderId="0" xfId="0" applyNumberFormat="1" applyFont="1" applyFill="1" applyAlignment="1" applyProtection="1">
      <alignment vertical="center" wrapText="1"/>
    </xf>
    <xf numFmtId="0" fontId="96" fillId="0" borderId="0" xfId="0" applyNumberFormat="1" applyFont="1" applyFill="1" applyAlignment="1" applyProtection="1">
      <alignment vertical="center" wrapText="1"/>
    </xf>
    <xf numFmtId="0" fontId="87" fillId="0" borderId="0" xfId="0" applyFont="1" applyFill="1" applyAlignment="1" applyProtection="1">
      <alignment vertical="center" wrapText="1"/>
    </xf>
    <xf numFmtId="0" fontId="39" fillId="28" borderId="0" xfId="0" applyFont="1" applyFill="1" applyAlignment="1" applyProtection="1">
      <alignment horizontal="left" vertical="center"/>
    </xf>
    <xf numFmtId="0" fontId="63" fillId="28" borderId="0" xfId="0" applyNumberFormat="1" applyFont="1" applyFill="1" applyAlignment="1" applyProtection="1">
      <alignment vertical="center" wrapText="1"/>
    </xf>
    <xf numFmtId="0" fontId="43" fillId="0" borderId="0" xfId="0" applyFont="1" applyFill="1" applyAlignment="1" applyProtection="1">
      <alignment horizontal="center" vertical="center" wrapText="1"/>
    </xf>
    <xf numFmtId="0" fontId="6" fillId="0" borderId="0" xfId="0" applyFont="1" applyFill="1" applyAlignment="1" applyProtection="1">
      <alignment vertical="center" wrapText="1"/>
      <protection hidden="1"/>
    </xf>
    <xf numFmtId="0" fontId="69" fillId="0" borderId="0" xfId="0" applyFont="1" applyFill="1" applyAlignment="1" applyProtection="1">
      <alignment vertical="center" wrapText="1"/>
      <protection hidden="1"/>
    </xf>
    <xf numFmtId="0" fontId="71" fillId="28" borderId="0" xfId="0" applyFont="1" applyFill="1" applyAlignment="1" applyProtection="1">
      <alignment vertical="center"/>
    </xf>
    <xf numFmtId="0" fontId="0" fillId="0" borderId="0" xfId="0" applyNumberFormat="1" applyFont="1" applyFill="1" applyAlignment="1" applyProtection="1">
      <alignment vertical="center" wrapText="1"/>
    </xf>
    <xf numFmtId="0" fontId="68" fillId="28" borderId="0" xfId="0" applyFont="1" applyFill="1" applyAlignment="1" applyProtection="1">
      <alignment vertical="center"/>
    </xf>
    <xf numFmtId="0" fontId="87" fillId="0" borderId="0" xfId="0" applyNumberFormat="1" applyFont="1" applyFill="1" applyBorder="1" applyAlignment="1" applyProtection="1">
      <alignment vertical="center" wrapText="1"/>
    </xf>
    <xf numFmtId="0" fontId="0" fillId="0" borderId="0" xfId="0" applyNumberFormat="1" applyFont="1" applyFill="1" applyAlignment="1" applyProtection="1">
      <alignment horizontal="left" vertical="center" wrapText="1"/>
    </xf>
    <xf numFmtId="0" fontId="96" fillId="0" borderId="0" xfId="0" applyNumberFormat="1" applyFont="1" applyFill="1" applyAlignment="1" applyProtection="1">
      <alignment horizontal="left" vertical="center" wrapText="1"/>
    </xf>
    <xf numFmtId="164" fontId="57" fillId="28" borderId="0" xfId="439" applyNumberFormat="1" applyFont="1" applyFill="1" applyAlignment="1" applyProtection="1">
      <alignment vertical="center"/>
    </xf>
    <xf numFmtId="0" fontId="0" fillId="28" borderId="0" xfId="0" applyFont="1" applyFill="1" applyAlignment="1" applyProtection="1">
      <alignment vertical="center"/>
    </xf>
    <xf numFmtId="0" fontId="64" fillId="28" borderId="0" xfId="0" applyFont="1" applyFill="1" applyAlignment="1" applyProtection="1">
      <alignment horizontal="left" vertical="center" wrapText="1"/>
    </xf>
    <xf numFmtId="38" fontId="97" fillId="28" borderId="0" xfId="439" applyNumberFormat="1" applyFont="1" applyFill="1" applyAlignment="1" applyProtection="1">
      <alignment horizontal="center" vertical="center" wrapText="1"/>
    </xf>
    <xf numFmtId="0" fontId="98" fillId="0" borderId="0" xfId="0" applyFont="1" applyAlignment="1" applyProtection="1">
      <alignment horizontal="center" vertical="center" wrapText="1"/>
    </xf>
    <xf numFmtId="164" fontId="57" fillId="28" borderId="0" xfId="439" applyNumberFormat="1" applyFont="1" applyFill="1" applyProtection="1"/>
    <xf numFmtId="0" fontId="0" fillId="0" borderId="0" xfId="0" applyFill="1" applyAlignment="1" applyProtection="1">
      <alignment wrapText="1"/>
      <protection locked="0"/>
    </xf>
    <xf numFmtId="0" fontId="85" fillId="0" borderId="0" xfId="0" applyFont="1" applyFill="1" applyAlignment="1" applyProtection="1">
      <alignment horizontal="center" vertical="center" wrapText="1"/>
    </xf>
    <xf numFmtId="0" fontId="99" fillId="0" borderId="0" xfId="0" applyNumberFormat="1" applyFont="1" applyFill="1" applyAlignment="1" applyProtection="1">
      <alignment vertical="center" wrapText="1"/>
    </xf>
    <xf numFmtId="38" fontId="69" fillId="28" borderId="0" xfId="439" applyNumberFormat="1" applyFont="1" applyFill="1" applyProtection="1"/>
    <xf numFmtId="41" fontId="66" fillId="28" borderId="0" xfId="0" applyNumberFormat="1" applyFont="1" applyFill="1" applyAlignment="1" applyProtection="1">
      <alignment wrapText="1"/>
    </xf>
    <xf numFmtId="0" fontId="0" fillId="28" borderId="0" xfId="0" applyNumberFormat="1" applyFill="1" applyAlignment="1" applyProtection="1">
      <alignment vertical="center" wrapText="1"/>
    </xf>
    <xf numFmtId="0" fontId="64" fillId="28" borderId="0" xfId="0" applyFont="1" applyFill="1" applyAlignment="1" applyProtection="1">
      <alignment vertical="center"/>
    </xf>
    <xf numFmtId="0" fontId="100" fillId="28" borderId="0" xfId="0" applyFont="1" applyFill="1" applyAlignment="1" applyProtection="1">
      <alignment horizontal="left" vertical="center"/>
    </xf>
    <xf numFmtId="3" fontId="6" fillId="0" borderId="0" xfId="1540" applyFont="1" applyFill="1" applyAlignment="1" applyProtection="1">
      <alignment vertical="center" wrapText="1"/>
    </xf>
    <xf numFmtId="3" fontId="41" fillId="0" borderId="0" xfId="1540" applyFont="1" applyFill="1" applyAlignment="1" applyProtection="1">
      <alignment vertical="center" wrapText="1"/>
    </xf>
    <xf numFmtId="0" fontId="101" fillId="0" borderId="0" xfId="0" applyFont="1" applyAlignment="1" applyProtection="1">
      <alignment horizontal="center" vertical="center" wrapText="1"/>
    </xf>
    <xf numFmtId="0" fontId="68" fillId="28" borderId="0" xfId="0" applyFont="1" applyFill="1" applyAlignment="1" applyProtection="1">
      <alignment horizontal="left" vertical="center"/>
    </xf>
    <xf numFmtId="0" fontId="71" fillId="28" borderId="0" xfId="0" applyFont="1" applyFill="1" applyAlignment="1" applyProtection="1">
      <alignment horizontal="left" vertical="center"/>
    </xf>
    <xf numFmtId="0" fontId="64" fillId="28" borderId="0" xfId="0" applyFont="1" applyFill="1" applyAlignment="1" applyProtection="1"/>
    <xf numFmtId="0" fontId="0" fillId="0" borderId="0" xfId="0" applyNumberFormat="1" applyFill="1" applyAlignment="1" applyProtection="1">
      <alignment wrapText="1"/>
    </xf>
    <xf numFmtId="0" fontId="102" fillId="0" borderId="0" xfId="0" applyFont="1" applyAlignment="1" applyProtection="1">
      <alignment horizontal="center" vertical="center" wrapText="1"/>
    </xf>
    <xf numFmtId="0" fontId="0" fillId="0" borderId="0" xfId="0" applyNumberFormat="1" applyFill="1" applyAlignment="1" applyProtection="1">
      <alignment vertical="center" wrapText="1"/>
    </xf>
    <xf numFmtId="0" fontId="64" fillId="0" borderId="0" xfId="0" applyNumberFormat="1" applyFont="1" applyFill="1" applyAlignment="1" applyProtection="1">
      <alignment wrapText="1"/>
    </xf>
    <xf numFmtId="0" fontId="64" fillId="22" borderId="0" xfId="0" applyNumberFormat="1" applyFont="1" applyFill="1" applyAlignment="1" applyProtection="1">
      <alignment wrapText="1"/>
    </xf>
    <xf numFmtId="0" fontId="0" fillId="0" borderId="0" xfId="0" applyNumberFormat="1" applyFill="1" applyAlignment="1" applyProtection="1">
      <alignment horizontal="left" vertical="center" wrapText="1" indent="3"/>
    </xf>
    <xf numFmtId="0" fontId="0" fillId="0" borderId="14" xfId="0" applyNumberFormat="1" applyFill="1" applyBorder="1" applyAlignment="1" applyProtection="1">
      <alignment horizontal="left" vertical="center" wrapText="1" indent="3"/>
    </xf>
    <xf numFmtId="0" fontId="0" fillId="0" borderId="14" xfId="0" applyNumberFormat="1" applyFill="1" applyBorder="1" applyAlignment="1" applyProtection="1">
      <alignment horizontal="left" vertical="center" wrapText="1" indent="6"/>
    </xf>
    <xf numFmtId="0" fontId="0" fillId="0" borderId="14" xfId="0" applyNumberFormat="1" applyFill="1" applyBorder="1" applyAlignment="1" applyProtection="1">
      <alignment vertical="center" wrapText="1"/>
    </xf>
    <xf numFmtId="0" fontId="63" fillId="0" borderId="0" xfId="0" applyNumberFormat="1" applyFont="1" applyFill="1" applyAlignment="1" applyProtection="1">
      <alignment horizontal="left" vertical="center" wrapText="1" indent="3"/>
    </xf>
    <xf numFmtId="0" fontId="64" fillId="0" borderId="0" xfId="0" applyNumberFormat="1" applyFont="1" applyFill="1" applyAlignment="1" applyProtection="1">
      <alignment vertical="center" wrapText="1"/>
    </xf>
    <xf numFmtId="0" fontId="87" fillId="0" borderId="0" xfId="0" applyNumberFormat="1" applyFont="1" applyFill="1" applyAlignment="1" applyProtection="1">
      <alignment horizontal="left" vertical="center" wrapText="1"/>
    </xf>
    <xf numFmtId="0" fontId="87" fillId="0" borderId="0" xfId="0" applyNumberFormat="1" applyFont="1" applyFill="1" applyAlignment="1" applyProtection="1">
      <alignment vertical="center" wrapText="1"/>
    </xf>
    <xf numFmtId="0" fontId="87" fillId="0" borderId="0" xfId="0" applyNumberFormat="1" applyFont="1" applyFill="1" applyAlignment="1" applyProtection="1">
      <alignment horizontal="left" vertical="center" wrapText="1" indent="3"/>
    </xf>
    <xf numFmtId="0" fontId="87" fillId="0" borderId="14" xfId="0" applyNumberFormat="1" applyFont="1" applyFill="1" applyBorder="1" applyAlignment="1" applyProtection="1">
      <alignment horizontal="left" vertical="center" wrapText="1" indent="3"/>
    </xf>
    <xf numFmtId="0" fontId="87" fillId="0" borderId="0" xfId="0" applyNumberFormat="1" applyFont="1" applyFill="1" applyAlignment="1" applyProtection="1">
      <alignment horizontal="left" vertical="center" wrapText="1" indent="6"/>
    </xf>
    <xf numFmtId="0" fontId="68" fillId="0" borderId="0" xfId="0" applyFont="1" applyFill="1" applyAlignment="1" applyProtection="1">
      <alignment horizontal="center" vertical="center"/>
    </xf>
    <xf numFmtId="0" fontId="68" fillId="22" borderId="0" xfId="0" applyFont="1" applyFill="1" applyAlignment="1" applyProtection="1">
      <alignment horizontal="center" vertical="center"/>
    </xf>
    <xf numFmtId="0" fontId="68" fillId="0" borderId="14" xfId="0" applyFont="1" applyFill="1" applyBorder="1" applyAlignment="1" applyProtection="1">
      <alignment horizontal="center" vertical="center"/>
    </xf>
    <xf numFmtId="0" fontId="101" fillId="0" borderId="0" xfId="0" applyFont="1" applyFill="1" applyAlignment="1" applyProtection="1">
      <alignment horizontal="center" vertical="center" wrapText="1"/>
    </xf>
    <xf numFmtId="0" fontId="101" fillId="0" borderId="0" xfId="0" applyFont="1" applyFill="1" applyAlignment="1" applyProtection="1">
      <alignment horizontal="center" vertical="center"/>
    </xf>
    <xf numFmtId="0" fontId="102" fillId="0" borderId="0" xfId="0" applyFont="1" applyFill="1" applyAlignment="1" applyProtection="1">
      <alignment horizontal="center" vertical="center" wrapText="1"/>
    </xf>
    <xf numFmtId="0" fontId="102" fillId="0" borderId="0" xfId="0" applyFont="1" applyFill="1" applyAlignment="1" applyProtection="1">
      <alignment horizontal="center" vertical="center"/>
    </xf>
    <xf numFmtId="0" fontId="70" fillId="21" borderId="16" xfId="0" applyNumberFormat="1" applyFont="1" applyFill="1" applyBorder="1" applyAlignment="1" applyProtection="1">
      <alignment horizontal="center"/>
    </xf>
    <xf numFmtId="38" fontId="0" fillId="0" borderId="0" xfId="0" applyNumberFormat="1" applyProtection="1"/>
    <xf numFmtId="0" fontId="0" fillId="0" borderId="0" xfId="0" applyNumberFormat="1" applyFont="1" applyFill="1" applyAlignment="1" applyProtection="1">
      <alignment horizontal="center" vertical="center"/>
    </xf>
    <xf numFmtId="0" fontId="0" fillId="0" borderId="0" xfId="0" applyNumberFormat="1" applyFont="1" applyAlignment="1" applyProtection="1">
      <alignment horizontal="center" vertical="center"/>
    </xf>
    <xf numFmtId="0" fontId="0" fillId="0" borderId="0" xfId="0" applyNumberFormat="1" applyFont="1" applyFill="1" applyAlignment="1" applyProtection="1">
      <alignment horizontal="center"/>
    </xf>
    <xf numFmtId="164" fontId="0" fillId="0" borderId="0" xfId="0" applyNumberFormat="1" applyFill="1" applyAlignment="1" applyProtection="1">
      <alignment wrapText="1"/>
      <protection locked="0"/>
    </xf>
    <xf numFmtId="164" fontId="0" fillId="0" borderId="0" xfId="0" applyNumberFormat="1" applyAlignment="1" applyProtection="1">
      <alignment wrapText="1"/>
      <protection locked="0"/>
    </xf>
    <xf numFmtId="0" fontId="0" fillId="0" borderId="23" xfId="0" applyFont="1" applyFill="1" applyBorder="1" applyAlignment="1" applyProtection="1">
      <alignment vertical="center" wrapText="1"/>
    </xf>
    <xf numFmtId="164" fontId="103" fillId="23" borderId="23" xfId="439" applyNumberFormat="1" applyFont="1" applyFill="1" applyBorder="1" applyAlignment="1" applyProtection="1">
      <alignment horizontal="center" vertical="center" wrapText="1"/>
    </xf>
    <xf numFmtId="0" fontId="0" fillId="22" borderId="0" xfId="0" applyFill="1" applyBorder="1" applyProtection="1"/>
    <xf numFmtId="0" fontId="105" fillId="0" borderId="25" xfId="0" applyNumberFormat="1" applyFont="1" applyFill="1" applyBorder="1" applyAlignment="1" applyProtection="1">
      <alignment horizontal="center" vertical="center"/>
    </xf>
    <xf numFmtId="0" fontId="63" fillId="23" borderId="25" xfId="0" applyNumberFormat="1" applyFont="1" applyFill="1" applyBorder="1" applyAlignment="1" applyProtection="1">
      <alignment horizontal="center" vertical="center"/>
    </xf>
    <xf numFmtId="0" fontId="63" fillId="0" borderId="25" xfId="0" applyNumberFormat="1" applyFont="1" applyFill="1" applyBorder="1" applyAlignment="1" applyProtection="1">
      <alignment horizontal="center" vertical="center"/>
    </xf>
    <xf numFmtId="0" fontId="63" fillId="0" borderId="26" xfId="0" applyNumberFormat="1" applyFont="1" applyFill="1" applyBorder="1" applyAlignment="1" applyProtection="1">
      <alignment horizontal="center" vertical="center"/>
    </xf>
    <xf numFmtId="0" fontId="80" fillId="24" borderId="21" xfId="0" applyFont="1" applyFill="1" applyBorder="1" applyAlignment="1" applyProtection="1">
      <alignment horizontal="center" vertical="center" wrapText="1"/>
    </xf>
    <xf numFmtId="0" fontId="0" fillId="22" borderId="28" xfId="0" applyFill="1" applyBorder="1" applyAlignment="1" applyProtection="1">
      <alignment vertical="center"/>
    </xf>
    <xf numFmtId="164" fontId="103" fillId="0" borderId="29" xfId="439" applyNumberFormat="1" applyFont="1" applyFill="1" applyBorder="1" applyAlignment="1" applyProtection="1">
      <alignment horizontal="center" vertical="center" wrapText="1"/>
    </xf>
    <xf numFmtId="0" fontId="0" fillId="0" borderId="30" xfId="0" applyFont="1" applyFill="1" applyBorder="1" applyAlignment="1" applyProtection="1">
      <alignment vertical="center" wrapText="1"/>
    </xf>
    <xf numFmtId="0" fontId="0" fillId="22" borderId="30" xfId="0" applyFill="1" applyBorder="1" applyAlignment="1" applyProtection="1">
      <alignment vertical="center"/>
    </xf>
    <xf numFmtId="0" fontId="0" fillId="22" borderId="23" xfId="0" applyFill="1" applyBorder="1" applyAlignment="1" applyProtection="1">
      <alignment vertical="center"/>
      <protection locked="0"/>
    </xf>
    <xf numFmtId="172" fontId="103" fillId="0" borderId="23" xfId="439" applyNumberFormat="1" applyFont="1" applyFill="1" applyBorder="1" applyAlignment="1" applyProtection="1">
      <alignment horizontal="center" vertical="center" wrapText="1"/>
    </xf>
    <xf numFmtId="0" fontId="0" fillId="23" borderId="25" xfId="0" applyNumberFormat="1" applyFill="1" applyBorder="1" applyAlignment="1" applyProtection="1">
      <alignment horizontal="left" vertical="center" wrapText="1"/>
    </xf>
    <xf numFmtId="3" fontId="6" fillId="0" borderId="23" xfId="1540" applyFont="1" applyFill="1" applyBorder="1" applyAlignment="1" applyProtection="1">
      <alignment vertical="center" wrapText="1"/>
    </xf>
    <xf numFmtId="0" fontId="103" fillId="0" borderId="23" xfId="439" applyNumberFormat="1" applyFont="1" applyFill="1" applyBorder="1" applyAlignment="1" applyProtection="1">
      <alignment horizontal="center" vertical="center" wrapText="1"/>
    </xf>
    <xf numFmtId="164" fontId="103" fillId="0" borderId="23" xfId="439" applyNumberFormat="1" applyFont="1" applyFill="1" applyBorder="1" applyAlignment="1" applyProtection="1">
      <alignment horizontal="center" vertical="center" wrapText="1"/>
    </xf>
    <xf numFmtId="164" fontId="103" fillId="29" borderId="23" xfId="439" applyNumberFormat="1" applyFont="1" applyFill="1" applyBorder="1" applyAlignment="1" applyProtection="1">
      <alignment horizontal="center" vertical="center" wrapText="1"/>
      <protection locked="0"/>
    </xf>
    <xf numFmtId="0" fontId="0" fillId="0" borderId="31" xfId="0" applyNumberFormat="1" applyFill="1" applyBorder="1" applyAlignment="1" applyProtection="1">
      <alignment horizontal="left" vertical="center" wrapText="1"/>
    </xf>
    <xf numFmtId="0" fontId="64" fillId="24" borderId="0" xfId="0" applyFont="1" applyFill="1" applyBorder="1" applyAlignment="1" applyProtection="1">
      <alignment horizontal="center" vertical="center" wrapText="1"/>
    </xf>
    <xf numFmtId="0" fontId="0" fillId="23" borderId="23" xfId="0" applyNumberFormat="1" applyFill="1" applyBorder="1" applyAlignment="1" applyProtection="1">
      <alignment horizontal="left" vertical="center" wrapText="1"/>
    </xf>
    <xf numFmtId="0" fontId="83" fillId="21" borderId="10" xfId="0" applyFont="1" applyFill="1" applyBorder="1" applyAlignment="1" applyProtection="1">
      <alignment horizontal="center" vertical="center" wrapText="1"/>
    </xf>
    <xf numFmtId="164" fontId="103" fillId="0" borderId="31" xfId="439" applyNumberFormat="1" applyFont="1" applyFill="1" applyBorder="1" applyAlignment="1" applyProtection="1">
      <alignment horizontal="center" vertical="center" wrapText="1"/>
    </xf>
    <xf numFmtId="0" fontId="0" fillId="0" borderId="26" xfId="0" applyNumberFormat="1" applyFill="1" applyBorder="1" applyAlignment="1" applyProtection="1">
      <alignment horizontal="left" vertical="center" wrapText="1"/>
    </xf>
    <xf numFmtId="0" fontId="82" fillId="25" borderId="0" xfId="0" applyFont="1" applyFill="1" applyAlignment="1" applyProtection="1">
      <alignment horizontal="center" vertical="center"/>
    </xf>
    <xf numFmtId="0" fontId="0" fillId="22" borderId="23" xfId="0" applyFill="1" applyBorder="1" applyAlignment="1" applyProtection="1">
      <alignment vertical="center"/>
    </xf>
    <xf numFmtId="0" fontId="0" fillId="0" borderId="23" xfId="0" applyNumberFormat="1" applyFill="1" applyBorder="1" applyAlignment="1" applyProtection="1">
      <alignment horizontal="left" vertical="center" wrapText="1"/>
    </xf>
    <xf numFmtId="0" fontId="0" fillId="0" borderId="0" xfId="0" applyProtection="1"/>
    <xf numFmtId="0" fontId="0" fillId="0" borderId="25" xfId="0" applyNumberFormat="1" applyFill="1" applyBorder="1" applyAlignment="1" applyProtection="1">
      <alignment horizontal="left" vertical="center" wrapText="1"/>
    </xf>
    <xf numFmtId="164" fontId="103" fillId="29" borderId="31" xfId="439" applyNumberFormat="1" applyFont="1" applyFill="1" applyBorder="1" applyAlignment="1" applyProtection="1">
      <alignment horizontal="center" vertical="center" wrapText="1"/>
      <protection locked="0"/>
    </xf>
    <xf numFmtId="0" fontId="0" fillId="0" borderId="0" xfId="0" applyAlignment="1" applyProtection="1">
      <alignment vertical="center" wrapText="1"/>
    </xf>
    <xf numFmtId="0" fontId="0" fillId="0" borderId="0" xfId="0" applyAlignment="1" applyProtection="1">
      <alignment horizontal="center" vertical="center"/>
    </xf>
    <xf numFmtId="0" fontId="64" fillId="23" borderId="0" xfId="0" applyFont="1" applyFill="1" applyAlignment="1" applyProtection="1">
      <alignment vertical="center" wrapText="1"/>
    </xf>
    <xf numFmtId="0" fontId="64" fillId="21" borderId="0" xfId="0" applyFont="1" applyFill="1" applyBorder="1" applyAlignment="1" applyProtection="1">
      <alignment horizontal="center" vertical="center" wrapText="1"/>
    </xf>
    <xf numFmtId="0" fontId="0" fillId="0" borderId="31" xfId="0" applyFont="1" applyFill="1" applyBorder="1" applyAlignment="1" applyProtection="1">
      <alignment vertical="center" wrapText="1"/>
    </xf>
    <xf numFmtId="0" fontId="0" fillId="0" borderId="0" xfId="0" applyNumberFormat="1" applyFill="1" applyAlignment="1" applyProtection="1">
      <alignment horizontal="left" vertical="center" wrapText="1"/>
    </xf>
    <xf numFmtId="0" fontId="103" fillId="0" borderId="0" xfId="0" applyFont="1" applyProtection="1"/>
    <xf numFmtId="0" fontId="102" fillId="21" borderId="10" xfId="0" applyFont="1" applyFill="1" applyBorder="1" applyAlignment="1" applyProtection="1">
      <alignment horizontal="center" vertical="center" wrapText="1"/>
    </xf>
    <xf numFmtId="0" fontId="102" fillId="21" borderId="0" xfId="0" applyFont="1" applyFill="1" applyBorder="1" applyAlignment="1" applyProtection="1">
      <alignment horizontal="center" vertical="center" wrapText="1"/>
    </xf>
    <xf numFmtId="0" fontId="103" fillId="0" borderId="23" xfId="0" applyNumberFormat="1" applyFont="1" applyFill="1" applyBorder="1" applyAlignment="1" applyProtection="1">
      <alignment horizontal="left" vertical="center" wrapText="1"/>
    </xf>
    <xf numFmtId="0" fontId="103" fillId="23" borderId="23" xfId="0" applyNumberFormat="1" applyFont="1" applyFill="1" applyBorder="1" applyAlignment="1" applyProtection="1">
      <alignment horizontal="left" vertical="center" wrapText="1"/>
    </xf>
    <xf numFmtId="0" fontId="102" fillId="0" borderId="0" xfId="0" applyFont="1" applyAlignment="1" applyProtection="1">
      <alignment horizontal="center" vertical="center"/>
    </xf>
    <xf numFmtId="0" fontId="103" fillId="0" borderId="31" xfId="0" applyNumberFormat="1" applyFont="1" applyFill="1" applyBorder="1" applyAlignment="1" applyProtection="1">
      <alignment horizontal="left" vertical="center" wrapText="1"/>
    </xf>
    <xf numFmtId="0" fontId="103" fillId="0" borderId="32" xfId="0" applyFont="1" applyFill="1" applyBorder="1" applyAlignment="1">
      <alignment horizontal="center" wrapText="1"/>
    </xf>
    <xf numFmtId="49" fontId="0" fillId="0" borderId="33" xfId="0" applyNumberFormat="1" applyFont="1" applyFill="1" applyBorder="1" applyAlignment="1">
      <alignment horizontal="center"/>
    </xf>
    <xf numFmtId="49" fontId="0" fillId="0" borderId="32" xfId="0" applyNumberFormat="1" applyFont="1" applyFill="1" applyBorder="1" applyAlignment="1">
      <alignment horizontal="center"/>
    </xf>
    <xf numFmtId="0" fontId="0" fillId="0" borderId="0" xfId="0" applyFont="1" applyFill="1" applyAlignment="1" applyProtection="1">
      <alignment vertical="center" wrapText="1"/>
    </xf>
    <xf numFmtId="0" fontId="0" fillId="0" borderId="23" xfId="0" applyNumberFormat="1" applyFill="1" applyBorder="1" applyAlignment="1" applyProtection="1">
      <alignment horizontal="left" vertical="center" wrapText="1"/>
    </xf>
    <xf numFmtId="164" fontId="106" fillId="29" borderId="16" xfId="439" applyNumberFormat="1" applyFont="1" applyFill="1" applyBorder="1" applyAlignment="1" applyProtection="1">
      <alignment horizontal="center" wrapText="1"/>
      <protection locked="0"/>
    </xf>
    <xf numFmtId="164" fontId="103" fillId="0" borderId="23" xfId="439" applyNumberFormat="1" applyFont="1" applyFill="1" applyBorder="1" applyAlignment="1" applyProtection="1">
      <alignment horizontal="center" vertical="center" wrapText="1"/>
      <protection locked="0"/>
    </xf>
    <xf numFmtId="0" fontId="0" fillId="0" borderId="0" xfId="0" applyFont="1" applyFill="1" applyAlignment="1" applyProtection="1">
      <alignment vertical="center" wrapText="1"/>
      <protection locked="0"/>
    </xf>
    <xf numFmtId="0" fontId="108" fillId="0" borderId="0" xfId="0" applyNumberFormat="1" applyFont="1" applyFill="1" applyAlignment="1" applyProtection="1">
      <alignment horizontal="left" vertical="center" wrapText="1"/>
    </xf>
    <xf numFmtId="0" fontId="96" fillId="0" borderId="0" xfId="0" applyFont="1" applyFill="1" applyAlignment="1" applyProtection="1">
      <alignment vertical="center" wrapText="1"/>
    </xf>
    <xf numFmtId="0" fontId="83" fillId="21" borderId="22" xfId="0" applyFont="1" applyFill="1" applyBorder="1" applyAlignment="1" applyProtection="1">
      <alignment horizontal="center" wrapText="1"/>
    </xf>
    <xf numFmtId="0" fontId="64" fillId="0" borderId="0" xfId="0" applyFont="1" applyFill="1" applyBorder="1" applyAlignment="1" applyProtection="1">
      <alignment horizontal="center"/>
    </xf>
    <xf numFmtId="0" fontId="110" fillId="0" borderId="0" xfId="0" applyNumberFormat="1" applyFont="1" applyFill="1" applyAlignment="1" applyProtection="1">
      <alignment vertical="center" wrapText="1"/>
    </xf>
    <xf numFmtId="0" fontId="69" fillId="0" borderId="23" xfId="1243" applyFont="1" applyFill="1" applyBorder="1" applyAlignment="1" applyProtection="1">
      <alignment horizontal="left" vertical="center" wrapText="1"/>
    </xf>
    <xf numFmtId="0" fontId="0" fillId="0" borderId="34" xfId="0" applyNumberFormat="1" applyFill="1" applyBorder="1" applyAlignment="1" applyProtection="1">
      <alignment horizontal="left" vertical="center" wrapText="1"/>
    </xf>
    <xf numFmtId="0" fontId="0" fillId="0" borderId="35" xfId="0" applyNumberFormat="1" applyFill="1" applyBorder="1" applyAlignment="1" applyProtection="1">
      <alignment horizontal="left" vertical="center" wrapText="1"/>
    </xf>
    <xf numFmtId="164" fontId="82" fillId="25" borderId="0" xfId="439" applyNumberFormat="1" applyFont="1" applyFill="1" applyAlignment="1" applyProtection="1">
      <alignment horizontal="center"/>
    </xf>
    <xf numFmtId="0" fontId="111" fillId="0" borderId="0" xfId="0" applyFont="1" applyAlignment="1" applyProtection="1">
      <alignment horizontal="center" vertical="center" wrapText="1"/>
    </xf>
    <xf numFmtId="0" fontId="0" fillId="30" borderId="23" xfId="0" applyFont="1" applyFill="1" applyBorder="1" applyAlignment="1" applyProtection="1">
      <alignment vertical="center" wrapText="1"/>
    </xf>
    <xf numFmtId="164" fontId="103" fillId="22" borderId="23" xfId="439" applyNumberFormat="1" applyFont="1" applyFill="1" applyBorder="1" applyAlignment="1" applyProtection="1">
      <alignment horizontal="center" vertical="center" wrapText="1"/>
    </xf>
    <xf numFmtId="164" fontId="57" fillId="0" borderId="0" xfId="439" applyNumberFormat="1" applyFont="1" applyAlignment="1" applyProtection="1">
      <alignment vertical="center"/>
    </xf>
    <xf numFmtId="0" fontId="80" fillId="30" borderId="25" xfId="0" applyNumberFormat="1" applyFont="1" applyFill="1" applyBorder="1" applyAlignment="1" applyProtection="1">
      <alignment horizontal="center" vertical="center" wrapText="1"/>
    </xf>
    <xf numFmtId="164" fontId="80" fillId="24" borderId="10" xfId="439" applyNumberFormat="1" applyFont="1" applyFill="1" applyBorder="1" applyAlignment="1" applyProtection="1">
      <alignment horizontal="center" wrapText="1"/>
    </xf>
    <xf numFmtId="164" fontId="57" fillId="0" borderId="0" xfId="439" applyNumberFormat="1" applyFont="1" applyProtection="1"/>
    <xf numFmtId="0" fontId="68" fillId="0" borderId="0" xfId="0" applyFont="1" applyFill="1" applyAlignment="1" applyProtection="1">
      <alignment vertical="center" wrapText="1"/>
      <protection locked="0"/>
    </xf>
    <xf numFmtId="0" fontId="68" fillId="0" borderId="0" xfId="0" applyFont="1" applyFill="1" applyAlignment="1" applyProtection="1">
      <alignment vertical="center" wrapText="1"/>
      <protection locked="0"/>
    </xf>
    <xf numFmtId="0" fontId="68" fillId="0" borderId="0" xfId="0" applyFont="1" applyFill="1" applyAlignment="1" applyProtection="1">
      <alignment vertical="center" wrapText="1"/>
      <protection locked="0"/>
    </xf>
    <xf numFmtId="0" fontId="68" fillId="0" borderId="0" xfId="0" applyFont="1" applyFill="1" applyAlignment="1" applyProtection="1">
      <alignment vertical="center" wrapText="1"/>
      <protection locked="0"/>
    </xf>
    <xf numFmtId="0" fontId="68" fillId="0" borderId="0" xfId="0" applyFont="1" applyFill="1" applyBorder="1" applyAlignment="1" applyProtection="1">
      <alignment vertical="center" wrapText="1"/>
      <protection locked="0"/>
    </xf>
    <xf numFmtId="0" fontId="68" fillId="0" borderId="0" xfId="0" applyFont="1" applyFill="1" applyAlignment="1" applyProtection="1">
      <alignment vertical="center" wrapText="1"/>
      <protection locked="0"/>
    </xf>
    <xf numFmtId="0" fontId="68" fillId="0" borderId="0" xfId="0" applyFont="1" applyFill="1" applyBorder="1" applyAlignment="1" applyProtection="1">
      <alignment vertical="center" wrapText="1"/>
      <protection locked="0"/>
    </xf>
    <xf numFmtId="0" fontId="68" fillId="0" borderId="0" xfId="0" applyFont="1" applyFill="1" applyAlignment="1" applyProtection="1">
      <alignment vertical="center" wrapText="1"/>
      <protection locked="0"/>
    </xf>
    <xf numFmtId="0" fontId="68" fillId="0" borderId="0" xfId="0" applyFont="1" applyFill="1" applyAlignment="1" applyProtection="1">
      <alignment vertical="center" wrapText="1"/>
      <protection locked="0"/>
    </xf>
    <xf numFmtId="0" fontId="68" fillId="0" borderId="0" xfId="0" applyFont="1" applyFill="1" applyAlignment="1" applyProtection="1">
      <alignment vertical="center" wrapText="1"/>
      <protection locked="0"/>
    </xf>
    <xf numFmtId="0" fontId="112" fillId="0" borderId="0" xfId="720" applyNumberFormat="1" applyFont="1" applyFill="1" applyAlignment="1" applyProtection="1">
      <alignment horizontal="left" vertical="center" wrapText="1"/>
    </xf>
    <xf numFmtId="0" fontId="68" fillId="0" borderId="0" xfId="0" applyFont="1" applyFill="1" applyAlignment="1" applyProtection="1">
      <alignment vertical="center" wrapText="1"/>
    </xf>
    <xf numFmtId="3" fontId="8" fillId="0" borderId="0" xfId="1540" applyFont="1" applyFill="1" applyAlignment="1" applyProtection="1">
      <alignment vertical="center" wrapText="1"/>
    </xf>
    <xf numFmtId="0" fontId="68" fillId="0" borderId="0" xfId="0" applyFont="1" applyFill="1" applyAlignment="1" applyProtection="1">
      <alignment vertical="center" wrapText="1"/>
      <protection locked="0"/>
    </xf>
    <xf numFmtId="0" fontId="68" fillId="0" borderId="0" xfId="0" applyFont="1" applyFill="1" applyAlignment="1" applyProtection="1">
      <alignment vertical="center" wrapText="1"/>
      <protection locked="0"/>
    </xf>
    <xf numFmtId="39" fontId="0" fillId="0" borderId="0" xfId="0" applyNumberFormat="1" applyProtection="1"/>
    <xf numFmtId="39" fontId="63" fillId="0" borderId="0" xfId="0" applyNumberFormat="1" applyFont="1" applyAlignment="1" applyProtection="1">
      <alignment horizontal="center"/>
    </xf>
    <xf numFmtId="39" fontId="64" fillId="21" borderId="0" xfId="0" applyNumberFormat="1" applyFont="1" applyFill="1" applyBorder="1" applyAlignment="1" applyProtection="1">
      <alignment horizontal="center" wrapText="1"/>
    </xf>
    <xf numFmtId="39" fontId="103" fillId="0" borderId="29" xfId="439" applyNumberFormat="1" applyFont="1" applyFill="1" applyBorder="1" applyAlignment="1" applyProtection="1">
      <alignment horizontal="center" vertical="center" wrapText="1"/>
    </xf>
    <xf numFmtId="39" fontId="103" fillId="0" borderId="28" xfId="439" applyNumberFormat="1" applyFont="1" applyFill="1" applyBorder="1" applyAlignment="1" applyProtection="1">
      <alignment horizontal="center" vertical="center" wrapText="1"/>
    </xf>
    <xf numFmtId="39" fontId="103" fillId="23" borderId="28" xfId="439" applyNumberFormat="1" applyFont="1" applyFill="1" applyBorder="1" applyAlignment="1" applyProtection="1">
      <alignment horizontal="center" vertical="center" wrapText="1"/>
    </xf>
    <xf numFmtId="39" fontId="0" fillId="22" borderId="28" xfId="0" applyNumberFormat="1" applyFill="1" applyBorder="1" applyAlignment="1" applyProtection="1">
      <alignment vertical="center"/>
    </xf>
    <xf numFmtId="39" fontId="0" fillId="0" borderId="0" xfId="0" applyNumberFormat="1" applyAlignment="1" applyProtection="1">
      <alignment vertical="center"/>
    </xf>
    <xf numFmtId="39" fontId="0" fillId="0" borderId="0" xfId="0" applyNumberFormat="1" applyFill="1" applyBorder="1" applyAlignment="1" applyProtection="1">
      <alignment horizontal="left" vertical="center" wrapText="1"/>
    </xf>
    <xf numFmtId="0" fontId="64" fillId="0" borderId="0" xfId="0" applyFont="1" applyFill="1" applyAlignment="1" applyProtection="1">
      <alignment vertical="center" wrapText="1"/>
    </xf>
    <xf numFmtId="38" fontId="0" fillId="0" borderId="0" xfId="0" applyNumberFormat="1" applyFill="1" applyAlignment="1" applyProtection="1">
      <alignment wrapText="1"/>
      <protection locked="0"/>
    </xf>
    <xf numFmtId="39" fontId="83" fillId="31" borderId="0" xfId="0" applyNumberFormat="1" applyFont="1" applyFill="1" applyBorder="1" applyAlignment="1" applyProtection="1">
      <alignment horizontal="center" wrapText="1"/>
    </xf>
    <xf numFmtId="0" fontId="63" fillId="32" borderId="25" xfId="0" applyNumberFormat="1" applyFont="1" applyFill="1" applyBorder="1" applyAlignment="1" applyProtection="1">
      <alignment horizontal="center" vertical="center"/>
    </xf>
    <xf numFmtId="0" fontId="0" fillId="32" borderId="23" xfId="0" applyFont="1" applyFill="1" applyBorder="1" applyAlignment="1" applyProtection="1">
      <alignment vertical="center" wrapText="1"/>
    </xf>
    <xf numFmtId="0" fontId="111" fillId="32" borderId="0" xfId="0" applyFont="1" applyFill="1" applyAlignment="1" applyProtection="1">
      <alignment horizontal="center" vertical="center" wrapText="1"/>
    </xf>
    <xf numFmtId="164" fontId="103" fillId="0" borderId="23" xfId="439" applyNumberFormat="1" applyFont="1" applyFill="1" applyBorder="1" applyAlignment="1" applyProtection="1">
      <alignment horizontal="center" vertical="center" wrapText="1"/>
    </xf>
    <xf numFmtId="0" fontId="45" fillId="20" borderId="0" xfId="682" applyNumberFormat="1" applyFont="1" applyFill="1" applyAlignment="1">
      <alignment horizontal="center"/>
    </xf>
    <xf numFmtId="1" fontId="68" fillId="0" borderId="0" xfId="682" applyNumberFormat="1" applyFont="1" applyFill="1"/>
    <xf numFmtId="0" fontId="0" fillId="0" borderId="0" xfId="0" applyFill="1" applyProtection="1">
      <protection locked="0"/>
    </xf>
    <xf numFmtId="0" fontId="65" fillId="0" borderId="0" xfId="0" applyFont="1" applyFill="1" applyAlignment="1" applyProtection="1">
      <alignment wrapText="1"/>
      <protection locked="0"/>
    </xf>
    <xf numFmtId="0" fontId="109" fillId="0" borderId="0" xfId="0" applyFont="1" applyFill="1" applyAlignment="1" applyProtection="1">
      <alignment wrapText="1"/>
      <protection locked="0"/>
    </xf>
    <xf numFmtId="0" fontId="107" fillId="0" borderId="0" xfId="0" applyFont="1" applyAlignment="1" applyProtection="1">
      <alignment wrapText="1"/>
      <protection locked="0"/>
    </xf>
    <xf numFmtId="0" fontId="0" fillId="0" borderId="0" xfId="0" applyAlignment="1" applyProtection="1">
      <alignment horizontal="center"/>
    </xf>
    <xf numFmtId="39" fontId="103" fillId="0" borderId="28" xfId="439" applyNumberFormat="1" applyFont="1" applyFill="1" applyBorder="1" applyAlignment="1" applyProtection="1">
      <alignment horizontal="center" vertical="center" wrapText="1"/>
    </xf>
    <xf numFmtId="0" fontId="84" fillId="0" borderId="25" xfId="0" applyNumberFormat="1" applyFont="1" applyFill="1" applyBorder="1" applyAlignment="1" applyProtection="1">
      <alignment horizontal="left" vertical="center" wrapText="1"/>
    </xf>
    <xf numFmtId="0" fontId="65" fillId="0" borderId="25" xfId="0" applyNumberFormat="1" applyFont="1" applyFill="1" applyBorder="1" applyAlignment="1" applyProtection="1">
      <alignment horizontal="left" vertical="center" wrapText="1"/>
    </xf>
    <xf numFmtId="0" fontId="5" fillId="0" borderId="0" xfId="0" applyNumberFormat="1" applyFont="1" applyFill="1" applyAlignment="1" applyProtection="1">
      <alignment vertical="center" wrapText="1"/>
    </xf>
    <xf numFmtId="0" fontId="69" fillId="0" borderId="0" xfId="0" applyNumberFormat="1" applyFont="1" applyFill="1" applyAlignment="1" applyProtection="1">
      <alignment vertical="center" wrapText="1"/>
    </xf>
    <xf numFmtId="164" fontId="97" fillId="22" borderId="0" xfId="439" applyNumberFormat="1" applyFont="1" applyFill="1" applyAlignment="1" applyProtection="1">
      <alignment horizontal="center" vertical="center" wrapText="1"/>
    </xf>
    <xf numFmtId="0" fontId="68" fillId="0" borderId="0" xfId="0" applyFont="1" applyFill="1" applyBorder="1" applyAlignment="1" applyProtection="1">
      <alignment vertical="center" wrapText="1"/>
    </xf>
    <xf numFmtId="0" fontId="6" fillId="0" borderId="0" xfId="0" applyNumberFormat="1" applyFont="1" applyFill="1" applyAlignment="1" applyProtection="1">
      <alignment vertical="center" wrapText="1"/>
    </xf>
    <xf numFmtId="38" fontId="69" fillId="22" borderId="0" xfId="439" applyNumberFormat="1" applyFont="1" applyFill="1" applyAlignment="1" applyProtection="1">
      <alignment horizontal="center" vertical="center" wrapText="1"/>
    </xf>
    <xf numFmtId="41" fontId="66" fillId="0" borderId="0" xfId="0" applyNumberFormat="1" applyFont="1" applyFill="1" applyBorder="1" applyAlignment="1" applyProtection="1">
      <alignment wrapText="1"/>
      <protection locked="0"/>
    </xf>
    <xf numFmtId="41" fontId="103" fillId="0" borderId="23" xfId="439" applyNumberFormat="1" applyFont="1" applyFill="1" applyBorder="1" applyAlignment="1" applyProtection="1">
      <alignment horizontal="center" vertical="center" wrapText="1"/>
    </xf>
    <xf numFmtId="0" fontId="76" fillId="0" borderId="23" xfId="439" applyNumberFormat="1" applyFont="1" applyFill="1" applyBorder="1" applyAlignment="1" applyProtection="1">
      <alignment horizontal="center" vertical="center" wrapText="1"/>
    </xf>
    <xf numFmtId="41" fontId="115" fillId="0" borderId="0" xfId="0" applyNumberFormat="1" applyFont="1" applyFill="1" applyAlignment="1" applyProtection="1">
      <alignment wrapText="1"/>
    </xf>
    <xf numFmtId="0" fontId="113" fillId="0" borderId="0" xfId="0" applyFont="1" applyFill="1" applyAlignment="1" applyProtection="1">
      <alignment horizontal="center" vertical="center"/>
    </xf>
    <xf numFmtId="41" fontId="116" fillId="0" borderId="0" xfId="0" applyNumberFormat="1" applyFont="1" applyFill="1" applyAlignment="1" applyProtection="1">
      <alignment wrapText="1"/>
    </xf>
    <xf numFmtId="0" fontId="0" fillId="0" borderId="0" xfId="0" applyProtection="1"/>
    <xf numFmtId="0" fontId="0" fillId="0" borderId="0" xfId="0" applyFill="1" applyProtection="1"/>
    <xf numFmtId="0" fontId="0" fillId="0" borderId="0" xfId="0" applyProtection="1">
      <protection locked="0"/>
    </xf>
    <xf numFmtId="0" fontId="80" fillId="0" borderId="0" xfId="0" applyFont="1" applyFill="1" applyAlignment="1" applyProtection="1">
      <alignment horizontal="center" vertical="center" wrapText="1"/>
    </xf>
    <xf numFmtId="0" fontId="103" fillId="0" borderId="23" xfId="439" applyNumberFormat="1" applyFont="1" applyFill="1" applyBorder="1" applyAlignment="1" applyProtection="1">
      <alignment horizontal="center" vertical="center" wrapText="1"/>
    </xf>
    <xf numFmtId="164" fontId="103" fillId="0" borderId="23" xfId="439" applyNumberFormat="1" applyFont="1" applyFill="1" applyBorder="1" applyAlignment="1" applyProtection="1">
      <alignment horizontal="center" vertical="center" wrapText="1"/>
    </xf>
    <xf numFmtId="164" fontId="103" fillId="29" borderId="23" xfId="439" applyNumberFormat="1" applyFont="1" applyFill="1" applyBorder="1" applyAlignment="1" applyProtection="1">
      <alignment horizontal="center" vertical="center" wrapText="1"/>
      <protection locked="0"/>
    </xf>
    <xf numFmtId="164" fontId="103" fillId="29" borderId="31" xfId="439" applyNumberFormat="1" applyFont="1" applyFill="1" applyBorder="1" applyAlignment="1" applyProtection="1">
      <alignment horizontal="center" vertical="center" wrapText="1"/>
      <protection locked="0"/>
    </xf>
    <xf numFmtId="0" fontId="0" fillId="0" borderId="0" xfId="0" applyFont="1" applyFill="1" applyAlignment="1" applyProtection="1">
      <alignment vertical="center" wrapText="1"/>
    </xf>
    <xf numFmtId="39" fontId="103" fillId="0" borderId="28" xfId="439" applyNumberFormat="1" applyFont="1" applyFill="1" applyBorder="1" applyAlignment="1" applyProtection="1">
      <alignment horizontal="center" vertical="center" wrapText="1"/>
    </xf>
    <xf numFmtId="0" fontId="0" fillId="0" borderId="0" xfId="0" applyFill="1" applyAlignment="1" applyProtection="1">
      <alignment horizontal="center" vertical="center"/>
    </xf>
    <xf numFmtId="170" fontId="103" fillId="29" borderId="23" xfId="439" applyNumberFormat="1" applyFont="1" applyFill="1" applyBorder="1" applyAlignment="1" applyProtection="1">
      <alignment horizontal="center" vertical="center" wrapText="1"/>
      <protection locked="0"/>
    </xf>
    <xf numFmtId="164" fontId="103" fillId="0" borderId="23" xfId="439" applyNumberFormat="1" applyFont="1" applyFill="1" applyBorder="1" applyAlignment="1" applyProtection="1">
      <alignment horizontal="center" vertical="center" wrapText="1"/>
    </xf>
    <xf numFmtId="0" fontId="0" fillId="0" borderId="23" xfId="0" applyFont="1" applyFill="1" applyBorder="1" applyAlignment="1" applyProtection="1">
      <alignment vertical="center" wrapText="1"/>
    </xf>
    <xf numFmtId="0" fontId="63" fillId="0" borderId="25" xfId="0" applyNumberFormat="1" applyFont="1" applyFill="1" applyBorder="1" applyAlignment="1" applyProtection="1">
      <alignment horizontal="center" vertical="center"/>
    </xf>
    <xf numFmtId="0" fontId="0" fillId="0" borderId="23" xfId="0" applyNumberFormat="1" applyFill="1" applyBorder="1" applyAlignment="1" applyProtection="1">
      <alignment horizontal="left" vertical="center" wrapText="1"/>
    </xf>
    <xf numFmtId="0" fontId="0" fillId="0" borderId="25" xfId="0" applyNumberFormat="1" applyFill="1" applyBorder="1" applyAlignment="1" applyProtection="1">
      <alignment horizontal="left" vertical="center" wrapText="1"/>
    </xf>
    <xf numFmtId="0" fontId="103" fillId="0" borderId="23" xfId="0" applyNumberFormat="1" applyFont="1" applyFill="1" applyBorder="1" applyAlignment="1" applyProtection="1">
      <alignment horizontal="left" vertical="center" wrapText="1"/>
    </xf>
    <xf numFmtId="164" fontId="103" fillId="0" borderId="0" xfId="439" applyNumberFormat="1" applyFont="1" applyFill="1" applyBorder="1" applyAlignment="1" applyProtection="1">
      <alignment horizontal="center" vertical="center" wrapText="1"/>
    </xf>
    <xf numFmtId="0" fontId="0" fillId="0" borderId="0" xfId="0" applyNumberFormat="1" applyFill="1" applyAlignment="1" applyProtection="1">
      <alignment vertical="center" wrapText="1"/>
    </xf>
    <xf numFmtId="0" fontId="5" fillId="0" borderId="0" xfId="0" applyFont="1" applyFill="1" applyAlignment="1" applyProtection="1">
      <alignment vertical="center" wrapText="1"/>
    </xf>
    <xf numFmtId="0" fontId="68" fillId="0" borderId="0" xfId="0" applyFont="1" applyFill="1" applyAlignment="1" applyProtection="1">
      <alignment horizontal="left" vertical="center"/>
    </xf>
    <xf numFmtId="0" fontId="102" fillId="0" borderId="0" xfId="0" applyFont="1" applyFill="1" applyAlignment="1" applyProtection="1">
      <alignment horizontal="center" wrapText="1"/>
    </xf>
    <xf numFmtId="0" fontId="68" fillId="0" borderId="0" xfId="0" applyFont="1" applyFill="1" applyAlignment="1" applyProtection="1">
      <alignment vertical="center"/>
    </xf>
    <xf numFmtId="0" fontId="0" fillId="0" borderId="0" xfId="0" applyFont="1" applyFill="1" applyBorder="1" applyAlignment="1" applyProtection="1">
      <alignment vertical="center" wrapText="1"/>
    </xf>
    <xf numFmtId="37" fontId="104" fillId="33" borderId="28" xfId="439" applyNumberFormat="1" applyFont="1" applyFill="1" applyBorder="1" applyAlignment="1" applyProtection="1">
      <alignment horizontal="center" vertical="center" wrapText="1"/>
    </xf>
    <xf numFmtId="37" fontId="63" fillId="0" borderId="28" xfId="439" applyNumberFormat="1" applyFont="1" applyFill="1" applyBorder="1" applyAlignment="1" applyProtection="1">
      <alignment horizontal="center" vertical="center" wrapText="1"/>
    </xf>
    <xf numFmtId="37" fontId="104" fillId="0" borderId="28" xfId="439" applyNumberFormat="1" applyFont="1" applyFill="1" applyBorder="1" applyAlignment="1" applyProtection="1">
      <alignment horizontal="center" vertical="center" wrapText="1"/>
    </xf>
    <xf numFmtId="0" fontId="63" fillId="0" borderId="24" xfId="0" applyNumberFormat="1" applyFont="1" applyFill="1" applyBorder="1" applyAlignment="1" applyProtection="1">
      <alignment horizontal="center" vertical="center"/>
    </xf>
    <xf numFmtId="0" fontId="68" fillId="0" borderId="0" xfId="0" applyNumberFormat="1" applyFont="1" applyFill="1" applyAlignment="1" applyProtection="1">
      <alignment horizontal="left" vertical="center" wrapText="1"/>
    </xf>
    <xf numFmtId="0" fontId="0" fillId="34" borderId="25" xfId="0" applyNumberFormat="1" applyFill="1" applyBorder="1" applyAlignment="1" applyProtection="1">
      <alignment horizontal="left" vertical="center" wrapText="1"/>
    </xf>
    <xf numFmtId="0" fontId="103" fillId="34" borderId="23" xfId="0" applyNumberFormat="1" applyFont="1" applyFill="1" applyBorder="1" applyAlignment="1" applyProtection="1">
      <alignment horizontal="left" vertical="center" wrapText="1"/>
    </xf>
    <xf numFmtId="49" fontId="63" fillId="0" borderId="25" xfId="0" applyNumberFormat="1" applyFont="1" applyFill="1" applyBorder="1" applyAlignment="1" applyProtection="1">
      <alignment horizontal="center" vertical="center"/>
    </xf>
    <xf numFmtId="0" fontId="0" fillId="0" borderId="23" xfId="0" applyNumberFormat="1" applyFont="1" applyFill="1" applyBorder="1" applyAlignment="1" applyProtection="1">
      <alignment vertical="center" wrapText="1"/>
    </xf>
    <xf numFmtId="0" fontId="0" fillId="0" borderId="0" xfId="0" applyFont="1" applyFill="1" applyAlignment="1">
      <alignment vertical="center" wrapText="1"/>
    </xf>
    <xf numFmtId="165" fontId="103" fillId="29" borderId="23" xfId="439" applyNumberFormat="1" applyFont="1" applyFill="1" applyBorder="1" applyAlignment="1" applyProtection="1">
      <alignment horizontal="center" vertical="center" wrapText="1"/>
      <protection locked="0"/>
    </xf>
    <xf numFmtId="168" fontId="0" fillId="0" borderId="0" xfId="0" applyNumberFormat="1" applyProtection="1"/>
    <xf numFmtId="39" fontId="103" fillId="34" borderId="28" xfId="439" applyNumberFormat="1" applyFont="1" applyFill="1" applyBorder="1" applyAlignment="1" applyProtection="1">
      <alignment horizontal="center" vertical="center" wrapText="1"/>
    </xf>
    <xf numFmtId="0" fontId="0" fillId="28" borderId="0" xfId="0" applyNumberFormat="1" applyFont="1" applyFill="1" applyAlignment="1" applyProtection="1">
      <alignment vertical="center" wrapText="1"/>
    </xf>
    <xf numFmtId="41" fontId="116" fillId="28" borderId="0" xfId="0" applyNumberFormat="1" applyFont="1" applyFill="1" applyAlignment="1" applyProtection="1">
      <alignment wrapText="1"/>
    </xf>
    <xf numFmtId="0" fontId="0" fillId="22" borderId="25" xfId="0" applyNumberFormat="1" applyFill="1" applyBorder="1" applyAlignment="1" applyProtection="1">
      <alignment horizontal="left" vertical="center" wrapText="1"/>
    </xf>
    <xf numFmtId="0" fontId="103" fillId="22" borderId="25" xfId="0" applyNumberFormat="1" applyFont="1" applyFill="1" applyBorder="1" applyAlignment="1" applyProtection="1">
      <alignment horizontal="left" vertical="center" wrapText="1"/>
    </xf>
    <xf numFmtId="0" fontId="0" fillId="22" borderId="23" xfId="0" applyNumberFormat="1" applyFill="1" applyBorder="1" applyAlignment="1" applyProtection="1">
      <alignment horizontal="left" vertical="center" wrapText="1"/>
    </xf>
    <xf numFmtId="168" fontId="0" fillId="35" borderId="0" xfId="0" applyNumberFormat="1" applyFill="1" applyAlignment="1" applyProtection="1">
      <alignment wrapText="1"/>
    </xf>
    <xf numFmtId="39" fontId="103" fillId="0" borderId="0" xfId="439" applyNumberFormat="1" applyFont="1" applyFill="1" applyBorder="1" applyAlignment="1" applyProtection="1">
      <alignment horizontal="center" vertical="center" wrapText="1"/>
    </xf>
    <xf numFmtId="168" fontId="0" fillId="0" borderId="0" xfId="0" applyNumberFormat="1" applyFill="1" applyAlignment="1" applyProtection="1">
      <alignment wrapText="1"/>
    </xf>
    <xf numFmtId="164" fontId="0" fillId="0" borderId="0" xfId="0" applyNumberFormat="1" applyFont="1" applyFill="1" applyProtection="1"/>
    <xf numFmtId="164" fontId="103" fillId="34" borderId="23" xfId="439" applyNumberFormat="1" applyFont="1" applyFill="1" applyBorder="1" applyAlignment="1" applyProtection="1">
      <alignment horizontal="center" vertical="center" wrapText="1"/>
    </xf>
    <xf numFmtId="41" fontId="66" fillId="0" borderId="0" xfId="0" applyNumberFormat="1" applyFont="1" applyFill="1" applyAlignment="1" applyProtection="1">
      <alignment wrapText="1"/>
    </xf>
    <xf numFmtId="164" fontId="103" fillId="34" borderId="29" xfId="439" applyNumberFormat="1" applyFont="1" applyFill="1" applyBorder="1" applyAlignment="1" applyProtection="1">
      <alignment horizontal="center" vertical="center" wrapText="1"/>
    </xf>
    <xf numFmtId="3" fontId="0" fillId="0" borderId="0" xfId="0" applyNumberFormat="1" applyFill="1" applyProtection="1"/>
    <xf numFmtId="0" fontId="0" fillId="0" borderId="0" xfId="0" applyFill="1" applyAlignment="1">
      <alignment vertical="center" wrapText="1"/>
    </xf>
    <xf numFmtId="0" fontId="0" fillId="0" borderId="0" xfId="0" applyFill="1"/>
    <xf numFmtId="169" fontId="63" fillId="0" borderId="0" xfId="439" applyNumberFormat="1" applyFont="1" applyFill="1" applyAlignment="1" applyProtection="1">
      <alignment horizontal="center" vertical="center"/>
      <protection locked="0"/>
    </xf>
    <xf numFmtId="38" fontId="69" fillId="0" borderId="14" xfId="439" applyNumberFormat="1" applyFont="1" applyFill="1" applyBorder="1" applyAlignment="1" applyProtection="1">
      <alignment horizontal="center" vertical="center" wrapText="1"/>
    </xf>
    <xf numFmtId="176" fontId="65" fillId="0" borderId="0" xfId="0" applyNumberFormat="1" applyFont="1" applyAlignment="1" applyProtection="1">
      <alignment wrapText="1"/>
    </xf>
    <xf numFmtId="171" fontId="103" fillId="0" borderId="29" xfId="439" applyNumberFormat="1" applyFont="1" applyFill="1" applyBorder="1" applyAlignment="1" applyProtection="1">
      <alignment horizontal="center" vertical="center" wrapText="1"/>
    </xf>
    <xf numFmtId="0" fontId="63" fillId="0" borderId="0" xfId="0" applyFont="1" applyProtection="1"/>
    <xf numFmtId="14" fontId="0" fillId="0" borderId="0" xfId="0" applyNumberFormat="1" applyFill="1" applyProtection="1"/>
    <xf numFmtId="0" fontId="63" fillId="34" borderId="25" xfId="0" applyNumberFormat="1" applyFont="1" applyFill="1" applyBorder="1" applyAlignment="1" applyProtection="1">
      <alignment horizontal="center" vertical="center"/>
    </xf>
    <xf numFmtId="0" fontId="0" fillId="0" borderId="0" xfId="0" applyProtection="1"/>
    <xf numFmtId="41" fontId="65" fillId="0" borderId="0" xfId="439" applyNumberFormat="1" applyFont="1" applyFill="1" applyAlignment="1" applyProtection="1">
      <alignment vertical="center" wrapText="1"/>
    </xf>
    <xf numFmtId="164" fontId="103" fillId="0" borderId="29" xfId="439" applyNumberFormat="1" applyFont="1" applyFill="1" applyBorder="1" applyAlignment="1" applyProtection="1">
      <alignment horizontal="center" vertical="center" wrapText="1"/>
    </xf>
    <xf numFmtId="172" fontId="103" fillId="0" borderId="23" xfId="439" applyNumberFormat="1" applyFont="1" applyFill="1" applyBorder="1" applyAlignment="1" applyProtection="1">
      <alignment horizontal="center" vertical="center" wrapText="1"/>
    </xf>
    <xf numFmtId="164" fontId="103" fillId="0" borderId="23" xfId="439" applyNumberFormat="1" applyFont="1" applyFill="1" applyBorder="1" applyAlignment="1" applyProtection="1">
      <alignment horizontal="center" vertical="center" wrapText="1"/>
    </xf>
    <xf numFmtId="164" fontId="103" fillId="29" borderId="23" xfId="439" applyNumberFormat="1" applyFont="1" applyFill="1" applyBorder="1" applyAlignment="1" applyProtection="1">
      <alignment horizontal="center" vertical="center" wrapText="1"/>
      <protection locked="0"/>
    </xf>
    <xf numFmtId="0" fontId="0" fillId="0" borderId="23" xfId="0" applyNumberFormat="1" applyFill="1" applyBorder="1" applyAlignment="1" applyProtection="1">
      <alignment horizontal="left" vertical="center" wrapText="1"/>
    </xf>
    <xf numFmtId="0" fontId="0" fillId="0" borderId="25" xfId="0" applyNumberFormat="1" applyFill="1" applyBorder="1" applyAlignment="1" applyProtection="1">
      <alignment horizontal="left" vertical="center" wrapText="1"/>
    </xf>
    <xf numFmtId="0" fontId="103" fillId="0" borderId="23" xfId="0" applyNumberFormat="1" applyFont="1" applyFill="1" applyBorder="1" applyAlignment="1" applyProtection="1">
      <alignment horizontal="left" vertical="center" wrapText="1"/>
    </xf>
    <xf numFmtId="0" fontId="68" fillId="0" borderId="0" xfId="0" applyFont="1" applyFill="1" applyAlignment="1" applyProtection="1">
      <alignment vertical="center" wrapText="1"/>
      <protection locked="0"/>
    </xf>
    <xf numFmtId="39" fontId="103" fillId="0" borderId="28" xfId="439" applyNumberFormat="1" applyFont="1" applyFill="1" applyBorder="1" applyAlignment="1" applyProtection="1">
      <alignment horizontal="center" vertical="center" wrapText="1"/>
    </xf>
    <xf numFmtId="0" fontId="63" fillId="0" borderId="24" xfId="0" applyNumberFormat="1" applyFont="1" applyFill="1" applyBorder="1" applyAlignment="1" applyProtection="1">
      <alignment horizontal="center" vertical="center"/>
    </xf>
    <xf numFmtId="0" fontId="0" fillId="32" borderId="0" xfId="0" applyFill="1" applyProtection="1"/>
    <xf numFmtId="0" fontId="124" fillId="0" borderId="0" xfId="0" applyFont="1"/>
    <xf numFmtId="0" fontId="0" fillId="0" borderId="0" xfId="0" applyProtection="1"/>
    <xf numFmtId="0" fontId="0" fillId="0" borderId="0" xfId="0" applyFill="1" applyProtection="1"/>
    <xf numFmtId="41" fontId="66" fillId="0" borderId="0" xfId="0" applyNumberFormat="1" applyFont="1" applyFill="1" applyAlignment="1" applyProtection="1">
      <alignment wrapText="1"/>
    </xf>
    <xf numFmtId="0" fontId="0" fillId="0" borderId="0" xfId="0" applyAlignment="1" applyProtection="1">
      <alignment wrapText="1"/>
      <protection locked="0"/>
    </xf>
    <xf numFmtId="0" fontId="0" fillId="0" borderId="0" xfId="0" applyProtection="1">
      <protection locked="0"/>
    </xf>
    <xf numFmtId="38" fontId="69" fillId="0" borderId="0" xfId="439" applyNumberFormat="1" applyFont="1" applyFill="1" applyAlignment="1" applyProtection="1">
      <alignment horizontal="center" vertical="center" wrapText="1"/>
    </xf>
    <xf numFmtId="0" fontId="85" fillId="0" borderId="0" xfId="0" applyFont="1" applyAlignment="1" applyProtection="1">
      <alignment horizontal="center" vertical="center" wrapText="1"/>
    </xf>
    <xf numFmtId="0" fontId="87" fillId="0" borderId="0" xfId="0" applyFont="1" applyFill="1" applyAlignment="1" applyProtection="1">
      <alignment vertical="center" wrapText="1"/>
    </xf>
    <xf numFmtId="0" fontId="85" fillId="0" borderId="0" xfId="0" applyFont="1" applyFill="1" applyAlignment="1" applyProtection="1">
      <alignment horizontal="center" vertical="center" wrapText="1"/>
    </xf>
    <xf numFmtId="0" fontId="101" fillId="0" borderId="0" xfId="0" applyFont="1" applyAlignment="1" applyProtection="1">
      <alignment horizontal="center" vertical="center" wrapText="1"/>
    </xf>
    <xf numFmtId="0" fontId="87" fillId="0" borderId="0" xfId="0" applyNumberFormat="1" applyFont="1" applyFill="1" applyAlignment="1" applyProtection="1">
      <alignment horizontal="left" vertical="center" wrapText="1"/>
    </xf>
    <xf numFmtId="0" fontId="101" fillId="0" borderId="0" xfId="0" applyFont="1" applyFill="1" applyAlignment="1" applyProtection="1">
      <alignment horizontal="center" vertical="center" wrapText="1"/>
    </xf>
    <xf numFmtId="0" fontId="0" fillId="0" borderId="0" xfId="0" applyNumberFormat="1" applyFont="1" applyFill="1" applyAlignment="1" applyProtection="1">
      <alignment horizontal="center" vertical="center"/>
    </xf>
    <xf numFmtId="164" fontId="103" fillId="0" borderId="29" xfId="439" applyNumberFormat="1" applyFont="1" applyFill="1" applyBorder="1" applyAlignment="1" applyProtection="1">
      <alignment horizontal="center" vertical="center" wrapText="1"/>
    </xf>
    <xf numFmtId="164" fontId="57" fillId="0" borderId="28" xfId="439" applyNumberFormat="1" applyFont="1" applyFill="1" applyBorder="1" applyAlignment="1" applyProtection="1">
      <alignment vertical="center"/>
    </xf>
    <xf numFmtId="164" fontId="103" fillId="0" borderId="23" xfId="439" applyNumberFormat="1" applyFont="1" applyFill="1" applyBorder="1" applyAlignment="1" applyProtection="1">
      <alignment horizontal="center" vertical="center" wrapText="1"/>
    </xf>
    <xf numFmtId="0" fontId="0" fillId="0" borderId="23" xfId="0" applyNumberFormat="1" applyFill="1" applyBorder="1" applyAlignment="1" applyProtection="1">
      <alignment horizontal="left" vertical="center" wrapText="1"/>
    </xf>
    <xf numFmtId="0" fontId="0" fillId="0" borderId="25" xfId="0" applyNumberFormat="1" applyFill="1" applyBorder="1" applyAlignment="1" applyProtection="1">
      <alignment horizontal="left" vertical="center" wrapText="1"/>
    </xf>
    <xf numFmtId="164" fontId="103" fillId="29" borderId="31" xfId="439" applyNumberFormat="1" applyFont="1" applyFill="1" applyBorder="1" applyAlignment="1" applyProtection="1">
      <alignment horizontal="center" vertical="center" wrapText="1"/>
      <protection locked="0"/>
    </xf>
    <xf numFmtId="0" fontId="103" fillId="0" borderId="23" xfId="0" applyNumberFormat="1" applyFont="1" applyFill="1" applyBorder="1" applyAlignment="1" applyProtection="1">
      <alignment horizontal="left" vertical="center" wrapText="1"/>
    </xf>
    <xf numFmtId="39" fontId="103" fillId="0" borderId="28" xfId="439" applyNumberFormat="1" applyFont="1" applyFill="1" applyBorder="1" applyAlignment="1" applyProtection="1">
      <alignment horizontal="center" vertical="center" wrapText="1"/>
    </xf>
    <xf numFmtId="0" fontId="6" fillId="0" borderId="0" xfId="0" applyNumberFormat="1" applyFont="1" applyFill="1" applyAlignment="1" applyProtection="1">
      <alignment vertical="center" wrapText="1"/>
    </xf>
    <xf numFmtId="164" fontId="0" fillId="0" borderId="0" xfId="0" applyNumberFormat="1" applyProtection="1"/>
    <xf numFmtId="0" fontId="0" fillId="0" borderId="23" xfId="0" applyFont="1" applyFill="1" applyBorder="1" applyAlignment="1" applyProtection="1">
      <alignment vertical="center" wrapText="1"/>
    </xf>
    <xf numFmtId="0" fontId="63" fillId="0" borderId="25" xfId="0" applyNumberFormat="1" applyFont="1" applyFill="1" applyBorder="1" applyAlignment="1" applyProtection="1">
      <alignment horizontal="center" vertical="center"/>
    </xf>
    <xf numFmtId="0" fontId="0" fillId="0" borderId="23" xfId="0" applyFont="1" applyFill="1" applyBorder="1" applyAlignment="1" applyProtection="1">
      <alignment vertical="center" wrapText="1"/>
      <protection locked="0"/>
    </xf>
    <xf numFmtId="164" fontId="103" fillId="29" borderId="44" xfId="439" applyNumberFormat="1" applyFont="1" applyFill="1" applyBorder="1" applyAlignment="1" applyProtection="1">
      <alignment horizontal="center" vertical="center" wrapText="1"/>
      <protection locked="0"/>
    </xf>
    <xf numFmtId="164" fontId="103" fillId="0" borderId="30" xfId="439" applyNumberFormat="1" applyFont="1" applyFill="1" applyBorder="1" applyAlignment="1" applyProtection="1">
      <alignment horizontal="center" vertical="center" wrapText="1"/>
    </xf>
    <xf numFmtId="39" fontId="103" fillId="0" borderId="27" xfId="439" applyNumberFormat="1" applyFont="1" applyFill="1" applyBorder="1" applyAlignment="1" applyProtection="1">
      <alignment horizontal="center" vertical="center" wrapText="1"/>
    </xf>
    <xf numFmtId="164" fontId="103" fillId="0" borderId="46" xfId="439" applyNumberFormat="1" applyFont="1" applyFill="1" applyBorder="1" applyAlignment="1" applyProtection="1">
      <alignment horizontal="center" vertical="center" wrapText="1"/>
    </xf>
    <xf numFmtId="0" fontId="63" fillId="32" borderId="26" xfId="0" applyNumberFormat="1" applyFont="1" applyFill="1" applyBorder="1" applyAlignment="1" applyProtection="1">
      <alignment horizontal="center" vertical="center"/>
    </xf>
    <xf numFmtId="0" fontId="0" fillId="32" borderId="31" xfId="0" applyFont="1" applyFill="1" applyBorder="1" applyAlignment="1" applyProtection="1">
      <alignment vertical="center" wrapText="1"/>
    </xf>
    <xf numFmtId="164" fontId="103" fillId="29" borderId="45" xfId="439" applyNumberFormat="1" applyFont="1" applyFill="1" applyBorder="1" applyAlignment="1" applyProtection="1">
      <alignment horizontal="center" vertical="center" wrapText="1"/>
      <protection locked="0"/>
    </xf>
    <xf numFmtId="0" fontId="0" fillId="0" borderId="24" xfId="0" applyNumberFormat="1" applyFill="1" applyBorder="1" applyAlignment="1" applyProtection="1">
      <alignment horizontal="left" vertical="center" wrapText="1"/>
    </xf>
    <xf numFmtId="0" fontId="103" fillId="0" borderId="30" xfId="0" applyNumberFormat="1" applyFont="1" applyFill="1" applyBorder="1" applyAlignment="1" applyProtection="1">
      <alignment horizontal="left" vertical="center" wrapText="1"/>
    </xf>
    <xf numFmtId="0" fontId="0" fillId="0" borderId="30" xfId="0" applyNumberFormat="1" applyFill="1" applyBorder="1" applyAlignment="1" applyProtection="1">
      <alignment horizontal="left" vertical="center" wrapText="1"/>
    </xf>
    <xf numFmtId="0" fontId="103" fillId="23" borderId="31" xfId="0" applyNumberFormat="1" applyFont="1" applyFill="1" applyBorder="1" applyAlignment="1" applyProtection="1">
      <alignment horizontal="left" vertical="center" wrapText="1"/>
    </xf>
    <xf numFmtId="0" fontId="0" fillId="23" borderId="31" xfId="0" applyNumberFormat="1" applyFill="1" applyBorder="1" applyAlignment="1" applyProtection="1">
      <alignment horizontal="left" vertical="center" wrapText="1"/>
    </xf>
    <xf numFmtId="0" fontId="103" fillId="23" borderId="31" xfId="439" applyNumberFormat="1" applyFont="1" applyFill="1" applyBorder="1" applyAlignment="1" applyProtection="1">
      <alignment horizontal="center" vertical="center" wrapText="1"/>
    </xf>
    <xf numFmtId="37" fontId="63" fillId="23" borderId="29" xfId="439" applyNumberFormat="1" applyFont="1" applyFill="1" applyBorder="1" applyAlignment="1" applyProtection="1">
      <alignment horizontal="center" vertical="center" wrapText="1"/>
    </xf>
    <xf numFmtId="0" fontId="63" fillId="23" borderId="26" xfId="0" applyNumberFormat="1" applyFont="1" applyFill="1" applyBorder="1" applyAlignment="1" applyProtection="1">
      <alignment horizontal="center" vertical="center"/>
    </xf>
    <xf numFmtId="0" fontId="0" fillId="20" borderId="45" xfId="0" applyNumberFormat="1" applyFill="1" applyBorder="1" applyAlignment="1" applyProtection="1">
      <alignment horizontal="left" vertical="center" wrapText="1"/>
    </xf>
    <xf numFmtId="37" fontId="63" fillId="0" borderId="27" xfId="439" applyNumberFormat="1" applyFont="1" applyFill="1" applyBorder="1" applyAlignment="1" applyProtection="1">
      <alignment horizontal="center" vertical="center" wrapText="1"/>
    </xf>
    <xf numFmtId="0" fontId="126" fillId="0" borderId="0" xfId="0" applyFont="1" applyFill="1" applyProtection="1"/>
    <xf numFmtId="0" fontId="0" fillId="36" borderId="23" xfId="0" applyNumberFormat="1" applyFill="1" applyBorder="1" applyAlignment="1" applyProtection="1">
      <alignment horizontal="left" vertical="center" wrapText="1"/>
    </xf>
    <xf numFmtId="41" fontId="66" fillId="0" borderId="45" xfId="0" applyNumberFormat="1" applyFont="1" applyFill="1" applyBorder="1" applyAlignment="1" applyProtection="1">
      <alignment wrapText="1"/>
    </xf>
    <xf numFmtId="0" fontId="0" fillId="0" borderId="45" xfId="0" applyFill="1" applyBorder="1" applyAlignment="1" applyProtection="1">
      <alignment wrapText="1"/>
      <protection locked="0"/>
    </xf>
    <xf numFmtId="0" fontId="65" fillId="0" borderId="45" xfId="0" applyFont="1" applyFill="1" applyBorder="1" applyAlignment="1" applyProtection="1">
      <alignment wrapText="1"/>
      <protection locked="0"/>
    </xf>
    <xf numFmtId="0" fontId="84" fillId="0" borderId="45" xfId="0" applyFont="1" applyFill="1" applyBorder="1" applyAlignment="1" applyProtection="1">
      <alignment wrapText="1"/>
      <protection locked="0"/>
    </xf>
    <xf numFmtId="0" fontId="37" fillId="0" borderId="0" xfId="0" applyFont="1" applyFill="1" applyAlignment="1" applyProtection="1">
      <alignment horizontal="center" vertical="center" wrapText="1"/>
    </xf>
    <xf numFmtId="0" fontId="127" fillId="0" borderId="0" xfId="0" applyFont="1" applyFill="1" applyProtection="1"/>
    <xf numFmtId="0" fontId="70" fillId="0" borderId="0" xfId="0" applyFont="1" applyFill="1" applyProtection="1"/>
    <xf numFmtId="2" fontId="0" fillId="0" borderId="0" xfId="0" applyNumberFormat="1" applyFill="1" applyProtection="1"/>
    <xf numFmtId="0" fontId="63" fillId="34" borderId="0" xfId="0" applyFont="1" applyFill="1" applyProtection="1"/>
    <xf numFmtId="0" fontId="0" fillId="34" borderId="0" xfId="0" applyFill="1" applyAlignment="1" applyProtection="1">
      <alignment wrapText="1"/>
    </xf>
    <xf numFmtId="0" fontId="0" fillId="34" borderId="0" xfId="0" applyFill="1" applyProtection="1"/>
    <xf numFmtId="0" fontId="0" fillId="34" borderId="45" xfId="0" applyNumberFormat="1" applyFont="1" applyFill="1" applyBorder="1" applyAlignment="1" applyProtection="1">
      <alignment horizontal="center" vertical="center" wrapText="1"/>
    </xf>
    <xf numFmtId="0" fontId="85" fillId="34" borderId="45" xfId="0" applyFont="1" applyFill="1" applyBorder="1" applyAlignment="1" applyProtection="1">
      <alignment horizontal="center" vertical="center" wrapText="1"/>
    </xf>
    <xf numFmtId="0" fontId="101" fillId="34" borderId="45" xfId="0" applyFont="1" applyFill="1" applyBorder="1" applyAlignment="1" applyProtection="1">
      <alignment horizontal="center" vertical="center" wrapText="1"/>
    </xf>
    <xf numFmtId="0" fontId="1" fillId="34" borderId="45" xfId="0" applyNumberFormat="1" applyFont="1" applyFill="1" applyBorder="1" applyAlignment="1" applyProtection="1">
      <alignment horizontal="left" vertical="center" wrapText="1"/>
    </xf>
    <xf numFmtId="38" fontId="69" fillId="34" borderId="45" xfId="439" applyNumberFormat="1" applyFont="1" applyFill="1" applyBorder="1" applyAlignment="1" applyProtection="1">
      <alignment horizontal="center" vertical="center" wrapText="1"/>
    </xf>
    <xf numFmtId="0" fontId="0" fillId="34" borderId="45" xfId="0" applyNumberFormat="1" applyFont="1" applyFill="1" applyBorder="1" applyAlignment="1" applyProtection="1">
      <alignment horizontal="center" vertical="center"/>
    </xf>
    <xf numFmtId="0" fontId="29" fillId="34" borderId="45" xfId="0" applyFont="1" applyFill="1" applyBorder="1" applyAlignment="1" applyProtection="1">
      <alignment horizontal="center" vertical="center" wrapText="1"/>
    </xf>
    <xf numFmtId="38" fontId="124" fillId="34" borderId="45" xfId="439" applyNumberFormat="1" applyFont="1" applyFill="1" applyBorder="1" applyAlignment="1" applyProtection="1">
      <alignment horizontal="center" vertical="center" wrapText="1"/>
    </xf>
    <xf numFmtId="41" fontId="66" fillId="34" borderId="0" xfId="0" applyNumberFormat="1" applyFont="1" applyFill="1" applyAlignment="1" applyProtection="1">
      <alignment wrapText="1"/>
    </xf>
    <xf numFmtId="0" fontId="0" fillId="34" borderId="0" xfId="0" applyNumberFormat="1" applyFont="1" applyFill="1" applyAlignment="1" applyProtection="1">
      <alignment horizontal="left" vertical="center" wrapText="1"/>
    </xf>
    <xf numFmtId="0" fontId="0" fillId="34" borderId="45" xfId="0" applyNumberFormat="1" applyFill="1" applyBorder="1" applyAlignment="1" applyProtection="1">
      <alignment vertical="center" wrapText="1"/>
    </xf>
    <xf numFmtId="164" fontId="0" fillId="0" borderId="45" xfId="0" applyNumberFormat="1" applyFill="1" applyBorder="1" applyAlignment="1" applyProtection="1">
      <alignment wrapText="1"/>
      <protection locked="0"/>
    </xf>
    <xf numFmtId="0" fontId="0" fillId="0" borderId="36" xfId="0" applyNumberFormat="1" applyFont="1" applyFill="1" applyBorder="1" applyAlignment="1" applyProtection="1">
      <alignment horizontal="left" vertical="center" wrapText="1"/>
    </xf>
    <xf numFmtId="0" fontId="0" fillId="34" borderId="45" xfId="0" applyNumberFormat="1" applyFill="1" applyBorder="1" applyAlignment="1" applyProtection="1">
      <alignment horizontal="left" vertical="center" wrapText="1"/>
    </xf>
    <xf numFmtId="0" fontId="103" fillId="34" borderId="45" xfId="0" applyNumberFormat="1" applyFont="1" applyFill="1" applyBorder="1" applyAlignment="1" applyProtection="1">
      <alignment horizontal="left" vertical="center" wrapText="1"/>
    </xf>
    <xf numFmtId="164" fontId="103" fillId="34" borderId="45" xfId="439" applyNumberFormat="1" applyFont="1" applyFill="1" applyBorder="1" applyAlignment="1" applyProtection="1">
      <alignment horizontal="center" vertical="center" wrapText="1"/>
    </xf>
    <xf numFmtId="39" fontId="103" fillId="34" borderId="45" xfId="439" applyNumberFormat="1" applyFont="1" applyFill="1" applyBorder="1" applyAlignment="1" applyProtection="1">
      <alignment horizontal="center" vertical="center" wrapText="1"/>
    </xf>
    <xf numFmtId="0" fontId="63" fillId="34" borderId="45" xfId="0" applyNumberFormat="1" applyFont="1" applyFill="1" applyBorder="1" applyAlignment="1" applyProtection="1">
      <alignment horizontal="center" vertical="center"/>
    </xf>
    <xf numFmtId="0" fontId="0" fillId="34" borderId="45" xfId="0" applyFont="1" applyFill="1" applyBorder="1" applyAlignment="1" applyProtection="1">
      <alignment vertical="center" wrapText="1"/>
    </xf>
    <xf numFmtId="0" fontId="0" fillId="34" borderId="23" xfId="0" applyNumberFormat="1" applyFill="1" applyBorder="1" applyAlignment="1" applyProtection="1">
      <alignment horizontal="left" vertical="center" wrapText="1"/>
    </xf>
    <xf numFmtId="0" fontId="0" fillId="34" borderId="23" xfId="0" applyFont="1" applyFill="1" applyBorder="1" applyAlignment="1" applyProtection="1">
      <alignment vertical="center" wrapText="1"/>
    </xf>
    <xf numFmtId="0" fontId="63" fillId="34" borderId="43" xfId="0" applyNumberFormat="1" applyFont="1" applyFill="1" applyBorder="1" applyAlignment="1" applyProtection="1">
      <alignment horizontal="center" vertical="center"/>
    </xf>
    <xf numFmtId="0" fontId="63" fillId="0" borderId="0" xfId="439" applyNumberFormat="1" applyFont="1" applyAlignment="1">
      <alignment horizontal="center" vertical="center"/>
    </xf>
    <xf numFmtId="164" fontId="0" fillId="0" borderId="0" xfId="439" applyNumberFormat="1" applyFont="1"/>
    <xf numFmtId="0" fontId="143" fillId="0" borderId="0" xfId="0" applyFont="1" applyAlignment="1">
      <alignment vertical="center"/>
    </xf>
    <xf numFmtId="164" fontId="65" fillId="0" borderId="0" xfId="439" applyNumberFormat="1" applyFont="1" applyAlignment="1">
      <alignment horizontal="center" vertical="center" wrapText="1"/>
    </xf>
    <xf numFmtId="0" fontId="65" fillId="0" borderId="0" xfId="0" applyFont="1" applyAlignment="1">
      <alignment horizontal="center" vertical="center" wrapText="1"/>
    </xf>
    <xf numFmtId="0" fontId="144" fillId="0" borderId="0" xfId="0" applyFont="1" applyAlignment="1">
      <alignment vertical="center"/>
    </xf>
    <xf numFmtId="0" fontId="0" fillId="0" borderId="0" xfId="0" applyProtection="1"/>
    <xf numFmtId="0" fontId="0" fillId="0" borderId="0" xfId="0" applyFill="1" applyProtection="1"/>
    <xf numFmtId="0" fontId="0" fillId="0" borderId="0" xfId="0" applyAlignment="1" applyProtection="1">
      <alignment wrapText="1"/>
      <protection locked="0"/>
    </xf>
    <xf numFmtId="0" fontId="0" fillId="0" borderId="0" xfId="0"/>
    <xf numFmtId="0" fontId="0" fillId="0" borderId="0" xfId="0" applyProtection="1"/>
    <xf numFmtId="0" fontId="0" fillId="0" borderId="0" xfId="0" applyFill="1" applyProtection="1"/>
    <xf numFmtId="0" fontId="0" fillId="0" borderId="0" xfId="0" applyAlignment="1" applyProtection="1">
      <alignment wrapText="1"/>
      <protection locked="0"/>
    </xf>
    <xf numFmtId="0" fontId="0" fillId="0" borderId="22" xfId="0" applyBorder="1"/>
    <xf numFmtId="37" fontId="65" fillId="0" borderId="45" xfId="0" applyNumberFormat="1" applyFont="1" applyFill="1" applyBorder="1" applyAlignment="1" applyProtection="1">
      <alignment wrapText="1"/>
      <protection locked="0"/>
    </xf>
    <xf numFmtId="0" fontId="129" fillId="0" borderId="0" xfId="0" applyFont="1" applyFill="1" applyAlignment="1" applyProtection="1">
      <alignment horizontal="center" wrapText="1"/>
    </xf>
    <xf numFmtId="0" fontId="106" fillId="0" borderId="0" xfId="0" applyFont="1" applyAlignment="1" applyProtection="1">
      <alignment horizontal="center"/>
    </xf>
    <xf numFmtId="0" fontId="63" fillId="0" borderId="0" xfId="0" applyFont="1" applyAlignment="1" applyProtection="1">
      <alignment wrapText="1"/>
    </xf>
    <xf numFmtId="0" fontId="122" fillId="0" borderId="0" xfId="0" applyFont="1" applyProtection="1"/>
    <xf numFmtId="0" fontId="63" fillId="0" borderId="0" xfId="0" applyFont="1" applyAlignment="1" applyProtection="1">
      <alignment horizontal="center" wrapText="1"/>
    </xf>
    <xf numFmtId="0" fontId="123" fillId="0" borderId="0" xfId="0" applyFont="1" applyProtection="1"/>
    <xf numFmtId="0" fontId="63" fillId="26" borderId="0" xfId="0" applyFont="1" applyFill="1" applyAlignment="1" applyProtection="1">
      <alignment horizontal="center"/>
    </xf>
    <xf numFmtId="0" fontId="0" fillId="0" borderId="38" xfId="0" applyBorder="1" applyProtection="1"/>
    <xf numFmtId="164" fontId="63" fillId="0" borderId="38" xfId="439" applyNumberFormat="1" applyFont="1" applyBorder="1" applyAlignment="1" applyProtection="1">
      <alignment horizontal="center"/>
    </xf>
    <xf numFmtId="167" fontId="63" fillId="0" borderId="39" xfId="545" applyNumberFormat="1" applyFont="1" applyFill="1" applyBorder="1" applyAlignment="1" applyProtection="1">
      <alignment horizontal="center"/>
    </xf>
    <xf numFmtId="164" fontId="63" fillId="0" borderId="0" xfId="439" applyNumberFormat="1" applyFont="1" applyBorder="1" applyAlignment="1" applyProtection="1">
      <alignment horizontal="center"/>
    </xf>
    <xf numFmtId="0" fontId="63" fillId="0" borderId="0" xfId="0" quotePrefix="1" applyFont="1" applyAlignment="1" applyProtection="1">
      <alignment horizontal="center" wrapText="1"/>
    </xf>
    <xf numFmtId="0" fontId="0" fillId="0" borderId="16" xfId="0" applyBorder="1" applyProtection="1"/>
    <xf numFmtId="0" fontId="0" fillId="74" borderId="0" xfId="0" applyFill="1" applyProtection="1"/>
    <xf numFmtId="0" fontId="63" fillId="74" borderId="0" xfId="0" applyFont="1" applyFill="1" applyAlignment="1" applyProtection="1">
      <alignment horizontal="center"/>
    </xf>
    <xf numFmtId="0" fontId="63" fillId="74" borderId="0" xfId="0" applyFont="1" applyFill="1" applyAlignment="1" applyProtection="1">
      <alignment horizontal="center" wrapText="1"/>
    </xf>
    <xf numFmtId="0" fontId="63" fillId="74" borderId="0" xfId="0" applyFont="1" applyFill="1" applyAlignment="1" applyProtection="1">
      <alignment horizontal="left" vertical="center" wrapText="1"/>
    </xf>
    <xf numFmtId="0" fontId="63" fillId="0" borderId="0" xfId="0" applyFont="1" applyFill="1" applyAlignment="1" applyProtection="1">
      <alignment horizontal="left" vertical="center" wrapText="1"/>
    </xf>
    <xf numFmtId="0" fontId="0" fillId="0" borderId="37" xfId="0" applyFill="1" applyBorder="1" applyProtection="1"/>
    <xf numFmtId="164" fontId="63" fillId="0" borderId="39" xfId="439" applyNumberFormat="1" applyFont="1" applyBorder="1" applyAlignment="1" applyProtection="1">
      <alignment horizontal="center"/>
    </xf>
    <xf numFmtId="0" fontId="0" fillId="0" borderId="40" xfId="0" applyFill="1" applyBorder="1" applyProtection="1"/>
    <xf numFmtId="0" fontId="0" fillId="0" borderId="41" xfId="0" applyBorder="1" applyProtection="1"/>
    <xf numFmtId="164" fontId="63" fillId="0" borderId="0" xfId="0" applyNumberFormat="1" applyFont="1" applyAlignment="1" applyProtection="1">
      <alignment horizontal="center" wrapText="1"/>
    </xf>
    <xf numFmtId="0" fontId="0" fillId="0" borderId="13" xfId="0" applyFill="1" applyBorder="1" applyProtection="1"/>
    <xf numFmtId="43" fontId="63" fillId="0" borderId="16" xfId="439" applyFont="1" applyBorder="1" applyAlignment="1" applyProtection="1">
      <alignment horizontal="center"/>
    </xf>
    <xf numFmtId="0" fontId="65" fillId="0" borderId="0" xfId="0" applyFont="1" applyFill="1" applyAlignment="1" applyProtection="1">
      <alignment horizontal="left" vertical="center" wrapText="1"/>
    </xf>
    <xf numFmtId="0" fontId="63" fillId="0" borderId="0" xfId="0" applyFont="1" applyFill="1" applyAlignment="1" applyProtection="1">
      <alignment horizontal="center"/>
    </xf>
    <xf numFmtId="167" fontId="63" fillId="0" borderId="16" xfId="545" applyNumberFormat="1" applyFont="1" applyBorder="1" applyAlignment="1" applyProtection="1">
      <alignment horizontal="center"/>
    </xf>
    <xf numFmtId="0" fontId="84" fillId="0" borderId="0" xfId="0" applyFont="1" applyFill="1" applyAlignment="1" applyProtection="1">
      <alignment horizontal="left" vertical="center" wrapText="1"/>
    </xf>
    <xf numFmtId="0" fontId="0" fillId="74" borderId="0" xfId="0" applyFill="1" applyBorder="1" applyProtection="1"/>
    <xf numFmtId="167" fontId="63" fillId="74" borderId="0" xfId="545" applyNumberFormat="1" applyFont="1" applyFill="1" applyBorder="1" applyAlignment="1" applyProtection="1">
      <alignment horizontal="center"/>
    </xf>
    <xf numFmtId="0" fontId="63" fillId="74" borderId="0" xfId="0" quotePrefix="1" applyFont="1" applyFill="1" applyAlignment="1" applyProtection="1">
      <alignment horizontal="center" wrapText="1"/>
    </xf>
    <xf numFmtId="0" fontId="84" fillId="74" borderId="0" xfId="0" applyFont="1" applyFill="1" applyAlignment="1" applyProtection="1">
      <alignment horizontal="left" vertical="center" wrapText="1"/>
    </xf>
    <xf numFmtId="0" fontId="63" fillId="0" borderId="0" xfId="0" applyFont="1" applyFill="1" applyAlignment="1" applyProtection="1">
      <alignment horizontal="center" wrapText="1"/>
    </xf>
    <xf numFmtId="164" fontId="63" fillId="0" borderId="42" xfId="439" applyNumberFormat="1" applyFont="1" applyBorder="1" applyAlignment="1" applyProtection="1">
      <alignment horizontal="center"/>
    </xf>
    <xf numFmtId="43" fontId="63" fillId="0" borderId="11" xfId="439" applyFont="1" applyBorder="1" applyAlignment="1" applyProtection="1">
      <alignment horizontal="center"/>
    </xf>
    <xf numFmtId="167" fontId="63" fillId="22" borderId="0" xfId="545" applyNumberFormat="1" applyFont="1" applyFill="1" applyBorder="1" applyAlignment="1" applyProtection="1">
      <alignment horizontal="center"/>
    </xf>
    <xf numFmtId="0" fontId="63" fillId="0" borderId="0" xfId="0" applyFont="1" applyAlignment="1" applyProtection="1">
      <alignment horizontal="left" vertical="center" wrapText="1"/>
    </xf>
    <xf numFmtId="167" fontId="63" fillId="0" borderId="0" xfId="545" applyNumberFormat="1" applyFont="1" applyBorder="1" applyAlignment="1" applyProtection="1">
      <alignment horizontal="center"/>
    </xf>
    <xf numFmtId="0" fontId="64" fillId="0" borderId="0" xfId="0" applyFont="1" applyProtection="1"/>
    <xf numFmtId="167" fontId="57" fillId="0" borderId="0" xfId="545" applyNumberFormat="1" applyFont="1" applyProtection="1"/>
    <xf numFmtId="167" fontId="0" fillId="0" borderId="0" xfId="545" applyNumberFormat="1" applyFont="1" applyProtection="1"/>
    <xf numFmtId="167" fontId="124" fillId="0" borderId="0" xfId="545" applyNumberFormat="1" applyFont="1" applyProtection="1"/>
    <xf numFmtId="44" fontId="57" fillId="0" borderId="0" xfId="545" applyNumberFormat="1" applyFont="1" applyFill="1" applyProtection="1"/>
    <xf numFmtId="0" fontId="0" fillId="0" borderId="0" xfId="0" applyAlignment="1" applyProtection="1">
      <alignment horizontal="left"/>
    </xf>
    <xf numFmtId="164" fontId="174" fillId="21" borderId="12" xfId="439" applyNumberFormat="1" applyFont="1" applyFill="1" applyBorder="1" applyAlignment="1" applyProtection="1">
      <alignment horizontal="center" wrapText="1"/>
    </xf>
    <xf numFmtId="41" fontId="116" fillId="28" borderId="0" xfId="439" applyNumberFormat="1" applyFont="1" applyFill="1" applyAlignment="1" applyProtection="1">
      <alignment wrapText="1"/>
    </xf>
    <xf numFmtId="41" fontId="116" fillId="0" borderId="0" xfId="439" applyNumberFormat="1" applyFont="1" applyFill="1" applyAlignment="1" applyProtection="1">
      <alignment wrapText="1"/>
    </xf>
    <xf numFmtId="41" fontId="66" fillId="28" borderId="0" xfId="439" applyNumberFormat="1" applyFont="1" applyFill="1" applyAlignment="1" applyProtection="1">
      <alignment wrapText="1"/>
    </xf>
    <xf numFmtId="0" fontId="174" fillId="28" borderId="0" xfId="0" applyFont="1" applyFill="1" applyAlignment="1" applyProtection="1"/>
    <xf numFmtId="0" fontId="174" fillId="28" borderId="0" xfId="0" applyFont="1" applyFill="1" applyAlignment="1" applyProtection="1">
      <alignment horizontal="left" wrapText="1" indent="2"/>
    </xf>
    <xf numFmtId="0" fontId="174" fillId="0" borderId="0" xfId="0" applyFont="1" applyFill="1" applyAlignment="1" applyProtection="1">
      <alignment horizontal="left" wrapText="1" indent="2"/>
    </xf>
    <xf numFmtId="0" fontId="174" fillId="28" borderId="0" xfId="0" applyFont="1" applyFill="1" applyAlignment="1" applyProtection="1">
      <alignment vertical="center"/>
    </xf>
    <xf numFmtId="0" fontId="124" fillId="0" borderId="0" xfId="0" applyNumberFormat="1" applyFont="1" applyFill="1" applyAlignment="1" applyProtection="1">
      <alignment horizontal="left" vertical="center" wrapText="1" indent="6"/>
    </xf>
    <xf numFmtId="41" fontId="66" fillId="29" borderId="0" xfId="439" applyNumberFormat="1" applyFont="1" applyFill="1" applyAlignment="1" applyProtection="1">
      <alignment horizontal="center" vertical="center" wrapText="1"/>
      <protection locked="0"/>
    </xf>
    <xf numFmtId="39" fontId="175" fillId="35" borderId="0" xfId="439" applyNumberFormat="1" applyFont="1" applyFill="1" applyBorder="1" applyAlignment="1" applyProtection="1">
      <alignment horizontal="center" vertical="center" wrapText="1"/>
    </xf>
    <xf numFmtId="39" fontId="175" fillId="0" borderId="0" xfId="439" applyNumberFormat="1" applyFont="1" applyFill="1" applyBorder="1" applyAlignment="1" applyProtection="1">
      <alignment horizontal="center" vertical="center" wrapText="1"/>
    </xf>
    <xf numFmtId="41" fontId="116" fillId="0" borderId="0" xfId="439" applyNumberFormat="1" applyFont="1" applyFill="1" applyAlignment="1" applyProtection="1">
      <alignment vertical="center" wrapText="1"/>
    </xf>
    <xf numFmtId="0" fontId="176" fillId="28" borderId="0" xfId="0" applyFont="1" applyFill="1" applyAlignment="1" applyProtection="1">
      <alignment horizontal="left" vertical="center"/>
    </xf>
    <xf numFmtId="38" fontId="71" fillId="28" borderId="0" xfId="0" applyNumberFormat="1" applyFont="1" applyFill="1" applyAlignment="1" applyProtection="1">
      <alignment horizontal="left" vertical="center"/>
    </xf>
    <xf numFmtId="0" fontId="0" fillId="28" borderId="0" xfId="0" applyNumberFormat="1" applyFont="1" applyFill="1" applyAlignment="1" applyProtection="1">
      <alignment horizontal="center" vertical="center"/>
    </xf>
    <xf numFmtId="0" fontId="101" fillId="28" borderId="0" xfId="0" applyFont="1" applyFill="1" applyAlignment="1" applyProtection="1">
      <alignment horizontal="center" vertical="center" wrapText="1"/>
    </xf>
    <xf numFmtId="38" fontId="69" fillId="28" borderId="0" xfId="439" applyNumberFormat="1" applyFont="1" applyFill="1" applyAlignment="1" applyProtection="1">
      <alignment horizontal="center" vertical="center" wrapText="1"/>
    </xf>
    <xf numFmtId="41" fontId="65" fillId="28" borderId="0" xfId="439" applyNumberFormat="1" applyFont="1" applyFill="1" applyAlignment="1" applyProtection="1">
      <alignment vertical="center" wrapText="1"/>
    </xf>
    <xf numFmtId="0" fontId="0" fillId="28" borderId="0" xfId="0" applyNumberFormat="1" applyFont="1" applyFill="1" applyAlignment="1" applyProtection="1">
      <alignment horizontal="center" vertical="center"/>
    </xf>
    <xf numFmtId="0" fontId="0" fillId="28" borderId="0" xfId="0" applyFill="1" applyAlignment="1" applyProtection="1">
      <alignment wrapText="1"/>
      <protection locked="0"/>
    </xf>
    <xf numFmtId="0" fontId="177" fillId="28" borderId="0" xfId="0" applyFont="1" applyFill="1" applyAlignment="1" applyProtection="1">
      <alignment horizontal="center" vertical="center" wrapText="1"/>
    </xf>
    <xf numFmtId="0" fontId="0" fillId="28" borderId="0" xfId="0" applyFill="1" applyProtection="1"/>
    <xf numFmtId="0" fontId="39" fillId="28" borderId="0" xfId="0" applyFont="1" applyFill="1" applyAlignment="1" applyProtection="1">
      <alignment vertical="center" wrapText="1"/>
    </xf>
    <xf numFmtId="0" fontId="0" fillId="23" borderId="23" xfId="0" applyFont="1" applyFill="1" applyBorder="1" applyAlignment="1" applyProtection="1">
      <alignment vertical="center" wrapText="1"/>
    </xf>
    <xf numFmtId="0" fontId="64" fillId="24" borderId="0" xfId="439" applyNumberFormat="1" applyFont="1" applyFill="1" applyBorder="1" applyAlignment="1" applyProtection="1">
      <alignment horizontal="center" wrapText="1"/>
    </xf>
    <xf numFmtId="37" fontId="0" fillId="0" borderId="0" xfId="0" applyNumberFormat="1" applyAlignment="1" applyProtection="1">
      <alignment wrapText="1"/>
      <protection locked="0"/>
    </xf>
    <xf numFmtId="0" fontId="0" fillId="0" borderId="0" xfId="0" applyProtection="1"/>
    <xf numFmtId="41" fontId="66" fillId="0" borderId="0" xfId="0" applyNumberFormat="1" applyFont="1" applyFill="1" applyAlignment="1" applyProtection="1">
      <alignment wrapText="1"/>
    </xf>
    <xf numFmtId="41" fontId="65" fillId="0" borderId="0" xfId="439" applyNumberFormat="1" applyFont="1" applyFill="1" applyAlignment="1" applyProtection="1">
      <alignment vertical="center" wrapText="1"/>
    </xf>
    <xf numFmtId="41" fontId="116" fillId="0" borderId="0" xfId="0" applyNumberFormat="1" applyFont="1" applyFill="1" applyAlignment="1" applyProtection="1">
      <alignment wrapText="1"/>
    </xf>
    <xf numFmtId="3" fontId="0" fillId="0" borderId="0" xfId="0" applyNumberFormat="1" applyFill="1" applyAlignment="1" applyProtection="1">
      <alignment horizontal="center" vertical="center" wrapText="1"/>
    </xf>
    <xf numFmtId="3" fontId="0" fillId="0" borderId="0" xfId="0" applyNumberFormat="1" applyAlignment="1" applyProtection="1">
      <alignment horizontal="center" vertical="center"/>
    </xf>
    <xf numFmtId="3" fontId="63" fillId="22" borderId="0" xfId="439" applyNumberFormat="1" applyFont="1" applyFill="1" applyAlignment="1" applyProtection="1">
      <alignment horizontal="center" vertical="center" wrapText="1"/>
    </xf>
    <xf numFmtId="3" fontId="63" fillId="0" borderId="0" xfId="439" applyNumberFormat="1" applyFont="1" applyFill="1" applyAlignment="1" applyProtection="1">
      <alignment horizontal="center" vertical="center" wrapText="1"/>
    </xf>
    <xf numFmtId="37" fontId="57" fillId="29" borderId="0" xfId="439" applyNumberFormat="1" applyFont="1" applyFill="1" applyAlignment="1" applyProtection="1">
      <alignment horizontal="center" vertical="center"/>
      <protection locked="0"/>
    </xf>
    <xf numFmtId="3" fontId="63" fillId="29" borderId="0" xfId="439" applyNumberFormat="1" applyFont="1" applyFill="1" applyAlignment="1" applyProtection="1">
      <alignment horizontal="center" vertical="center"/>
      <protection locked="0"/>
    </xf>
    <xf numFmtId="38" fontId="69" fillId="0" borderId="0" xfId="439" applyNumberFormat="1" applyFont="1" applyFill="1" applyAlignment="1" applyProtection="1">
      <alignment horizontal="center" vertical="center" wrapText="1"/>
    </xf>
    <xf numFmtId="0" fontId="124" fillId="0" borderId="0" xfId="0" applyFont="1" applyFill="1"/>
    <xf numFmtId="14" fontId="103" fillId="0" borderId="23" xfId="439" applyNumberFormat="1" applyFont="1" applyFill="1" applyBorder="1" applyAlignment="1" applyProtection="1">
      <alignment horizontal="center" vertical="center" wrapText="1"/>
    </xf>
    <xf numFmtId="167" fontId="63" fillId="0" borderId="42" xfId="545" applyNumberFormat="1" applyFont="1" applyFill="1" applyBorder="1" applyAlignment="1" applyProtection="1">
      <alignment horizontal="center"/>
    </xf>
    <xf numFmtId="167" fontId="63" fillId="0" borderId="11" xfId="545" applyNumberFormat="1" applyFont="1" applyFill="1" applyBorder="1" applyAlignment="1" applyProtection="1">
      <alignment horizontal="center"/>
    </xf>
    <xf numFmtId="167" fontId="0" fillId="0" borderId="0" xfId="545" applyNumberFormat="1" applyFont="1" applyFill="1" applyProtection="1"/>
    <xf numFmtId="173" fontId="69" fillId="22" borderId="0" xfId="439" applyNumberFormat="1" applyFont="1" applyFill="1" applyAlignment="1" applyProtection="1">
      <alignment horizontal="center" vertical="center" wrapText="1"/>
    </xf>
    <xf numFmtId="37" fontId="0" fillId="0" borderId="0" xfId="0" applyNumberFormat="1" applyFont="1" applyFill="1" applyAlignment="1" applyProtection="1">
      <alignment horizontal="center" vertical="center"/>
    </xf>
    <xf numFmtId="164" fontId="103" fillId="22" borderId="23" xfId="439" applyNumberFormat="1" applyFont="1" applyFill="1" applyBorder="1" applyAlignment="1" applyProtection="1">
      <alignment horizontal="center" vertical="center" wrapText="1"/>
      <protection locked="0"/>
    </xf>
    <xf numFmtId="39" fontId="103" fillId="22" borderId="28" xfId="439" applyNumberFormat="1" applyFont="1" applyFill="1" applyBorder="1" applyAlignment="1" applyProtection="1">
      <alignment horizontal="center" vertical="center" wrapText="1"/>
    </xf>
    <xf numFmtId="164" fontId="103" fillId="22" borderId="29" xfId="439" applyNumberFormat="1" applyFont="1" applyFill="1" applyBorder="1" applyAlignment="1" applyProtection="1">
      <alignment horizontal="center" vertical="center" wrapText="1"/>
    </xf>
    <xf numFmtId="0" fontId="63" fillId="22" borderId="24" xfId="0" applyNumberFormat="1" applyFont="1" applyFill="1" applyBorder="1" applyAlignment="1" applyProtection="1">
      <alignment horizontal="center" vertical="center"/>
    </xf>
    <xf numFmtId="0" fontId="68" fillId="22" borderId="0" xfId="0" applyFont="1" applyFill="1" applyAlignment="1" applyProtection="1">
      <alignment vertical="center" wrapText="1"/>
      <protection locked="0"/>
    </xf>
    <xf numFmtId="0" fontId="0" fillId="22" borderId="0" xfId="0" applyFill="1" applyAlignment="1" applyProtection="1">
      <alignment horizontal="center" vertical="center"/>
    </xf>
    <xf numFmtId="0" fontId="0" fillId="0" borderId="0" xfId="0" applyProtection="1"/>
    <xf numFmtId="0" fontId="0" fillId="0" borderId="0" xfId="0" applyFill="1" applyProtection="1"/>
    <xf numFmtId="41" fontId="66" fillId="0" borderId="0" xfId="0" applyNumberFormat="1" applyFont="1" applyFill="1" applyAlignment="1" applyProtection="1">
      <alignment wrapText="1"/>
    </xf>
    <xf numFmtId="0" fontId="0" fillId="0" borderId="0" xfId="0" applyAlignment="1" applyProtection="1">
      <alignment wrapText="1"/>
      <protection locked="0"/>
    </xf>
    <xf numFmtId="0" fontId="0" fillId="0" borderId="0" xfId="0" applyProtection="1">
      <protection locked="0"/>
    </xf>
    <xf numFmtId="0" fontId="0" fillId="22" borderId="0" xfId="0" applyFill="1" applyBorder="1" applyAlignment="1" applyProtection="1">
      <alignment vertical="center"/>
    </xf>
    <xf numFmtId="164" fontId="103" fillId="0" borderId="29" xfId="439" applyNumberFormat="1" applyFont="1" applyFill="1" applyBorder="1" applyAlignment="1" applyProtection="1">
      <alignment horizontal="center" vertical="center" wrapText="1"/>
    </xf>
    <xf numFmtId="164" fontId="103" fillId="29" borderId="31" xfId="439" applyNumberFormat="1" applyFont="1" applyFill="1" applyBorder="1" applyAlignment="1" applyProtection="1">
      <alignment horizontal="center" vertical="center" wrapText="1"/>
      <protection locked="0"/>
    </xf>
    <xf numFmtId="39" fontId="103" fillId="0" borderId="28" xfId="439" applyNumberFormat="1" applyFont="1" applyFill="1" applyBorder="1" applyAlignment="1" applyProtection="1">
      <alignment horizontal="center" vertical="center" wrapText="1"/>
    </xf>
    <xf numFmtId="2" fontId="57" fillId="0" borderId="28" xfId="439" applyNumberFormat="1" applyFont="1" applyFill="1" applyBorder="1" applyAlignment="1" applyProtection="1">
      <alignment vertical="center"/>
    </xf>
    <xf numFmtId="0" fontId="63" fillId="75" borderId="24" xfId="0" applyNumberFormat="1" applyFont="1" applyFill="1" applyBorder="1" applyAlignment="1" applyProtection="1">
      <alignment horizontal="center" vertical="center"/>
    </xf>
    <xf numFmtId="0" fontId="68" fillId="75" borderId="0" xfId="0" applyFont="1" applyFill="1" applyAlignment="1" applyProtection="1">
      <alignment vertical="center" wrapText="1"/>
      <protection locked="0"/>
    </xf>
    <xf numFmtId="169" fontId="57" fillId="75" borderId="28" xfId="439" applyNumberFormat="1" applyFont="1" applyFill="1" applyBorder="1" applyAlignment="1" applyProtection="1">
      <alignment vertical="center"/>
    </xf>
    <xf numFmtId="0" fontId="0" fillId="0" borderId="0" xfId="0" quotePrefix="1"/>
    <xf numFmtId="0" fontId="77" fillId="0" borderId="0" xfId="0" applyFont="1"/>
    <xf numFmtId="0" fontId="64" fillId="0" borderId="0" xfId="0" applyFont="1" applyAlignment="1">
      <alignment vertical="center"/>
    </xf>
    <xf numFmtId="0" fontId="77" fillId="0" borderId="0" xfId="0" applyFont="1" applyAlignment="1">
      <alignment vertical="center"/>
    </xf>
    <xf numFmtId="0" fontId="64" fillId="0" borderId="0" xfId="0" applyFont="1"/>
    <xf numFmtId="0" fontId="0" fillId="34" borderId="0" xfId="0" applyFont="1" applyFill="1" applyBorder="1" applyAlignment="1" applyProtection="1">
      <alignment vertical="center" wrapText="1"/>
    </xf>
    <xf numFmtId="0" fontId="0" fillId="0" borderId="0" xfId="0"/>
    <xf numFmtId="0" fontId="0" fillId="34" borderId="0" xfId="0" applyFont="1" applyFill="1" applyAlignment="1" applyProtection="1">
      <alignment horizontal="left" vertical="center" wrapText="1"/>
    </xf>
    <xf numFmtId="0" fontId="0" fillId="0" borderId="0" xfId="0" applyAlignment="1">
      <alignment vertical="center"/>
    </xf>
    <xf numFmtId="0" fontId="184" fillId="0" borderId="0" xfId="0" applyFont="1" applyAlignment="1">
      <alignment vertical="center"/>
    </xf>
    <xf numFmtId="0" fontId="0" fillId="0" borderId="0" xfId="0" applyFill="1" applyBorder="1" applyAlignment="1" applyProtection="1">
      <alignment vertical="center"/>
    </xf>
    <xf numFmtId="0" fontId="0" fillId="22" borderId="45" xfId="0" applyFill="1" applyBorder="1" applyAlignment="1" applyProtection="1">
      <alignment vertical="center"/>
    </xf>
    <xf numFmtId="0" fontId="77" fillId="0" borderId="0" xfId="0" applyFont="1" applyAlignment="1" applyProtection="1">
      <alignment horizontal="center"/>
    </xf>
    <xf numFmtId="0" fontId="0" fillId="34" borderId="25" xfId="0" applyNumberFormat="1" applyFont="1" applyFill="1" applyBorder="1" applyAlignment="1" applyProtection="1">
      <alignment horizontal="left" vertical="center" wrapText="1"/>
    </xf>
    <xf numFmtId="0" fontId="0" fillId="34" borderId="23" xfId="0" applyNumberFormat="1" applyFont="1" applyFill="1" applyBorder="1" applyAlignment="1" applyProtection="1">
      <alignment horizontal="left" vertical="center" wrapText="1"/>
    </xf>
    <xf numFmtId="4" fontId="0" fillId="0" borderId="0" xfId="0" applyNumberFormat="1"/>
    <xf numFmtId="0" fontId="65" fillId="22" borderId="0" xfId="0" applyFont="1" applyFill="1" applyAlignment="1" applyProtection="1">
      <alignment horizontal="left" wrapText="1"/>
    </xf>
    <xf numFmtId="164" fontId="57" fillId="22" borderId="0" xfId="439" applyNumberFormat="1" applyFont="1" applyFill="1" applyProtection="1"/>
    <xf numFmtId="172" fontId="103" fillId="22" borderId="30" xfId="439" applyNumberFormat="1" applyFont="1" applyFill="1" applyBorder="1" applyAlignment="1" applyProtection="1">
      <alignment horizontal="center" vertical="center" wrapText="1"/>
    </xf>
    <xf numFmtId="0" fontId="63" fillId="74" borderId="0" xfId="0" applyFont="1" applyFill="1" applyBorder="1" applyAlignment="1" applyProtection="1">
      <alignment horizontal="center" wrapText="1"/>
    </xf>
    <xf numFmtId="0" fontId="0" fillId="0" borderId="0" xfId="0" applyBorder="1" applyAlignment="1" applyProtection="1">
      <alignment horizontal="center" vertical="center"/>
    </xf>
    <xf numFmtId="0" fontId="111" fillId="0" borderId="0" xfId="0" applyFont="1" applyFill="1" applyAlignment="1" applyProtection="1">
      <alignment horizontal="center" wrapText="1"/>
    </xf>
    <xf numFmtId="2" fontId="0" fillId="0" borderId="0" xfId="0" applyNumberFormat="1" applyAlignment="1" applyProtection="1">
      <alignment wrapText="1"/>
      <protection locked="0"/>
    </xf>
    <xf numFmtId="38" fontId="69" fillId="0" borderId="14" xfId="439" applyNumberFormat="1" applyFont="1" applyFill="1" applyBorder="1" applyAlignment="1" applyProtection="1">
      <alignment horizontal="center" vertical="center" wrapText="1"/>
    </xf>
    <xf numFmtId="0" fontId="0" fillId="0" borderId="0" xfId="0" applyAlignment="1">
      <alignment wrapText="1"/>
    </xf>
    <xf numFmtId="175" fontId="103" fillId="76" borderId="23" xfId="439" applyNumberFormat="1" applyFont="1" applyFill="1" applyBorder="1" applyAlignment="1" applyProtection="1">
      <alignment horizontal="center" vertical="center" wrapText="1"/>
    </xf>
    <xf numFmtId="37" fontId="57" fillId="34" borderId="45" xfId="439" applyNumberFormat="1" applyFont="1" applyFill="1" applyBorder="1" applyAlignment="1" applyProtection="1">
      <alignment vertical="center"/>
    </xf>
    <xf numFmtId="37" fontId="57" fillId="0" borderId="28" xfId="439" applyNumberFormat="1" applyFont="1" applyBorder="1" applyAlignment="1" applyProtection="1">
      <alignment vertical="center"/>
    </xf>
    <xf numFmtId="37" fontId="57" fillId="23" borderId="28" xfId="439" applyNumberFormat="1" applyFont="1" applyFill="1" applyBorder="1" applyAlignment="1" applyProtection="1">
      <alignment vertical="center"/>
    </xf>
    <xf numFmtId="3" fontId="103" fillId="0" borderId="23" xfId="439" applyNumberFormat="1" applyFont="1" applyFill="1" applyBorder="1" applyAlignment="1" applyProtection="1">
      <alignment horizontal="center" vertical="center" wrapText="1"/>
      <protection locked="0"/>
    </xf>
    <xf numFmtId="37" fontId="57" fillId="0" borderId="27" xfId="439" applyNumberFormat="1" applyFont="1" applyFill="1" applyBorder="1" applyAlignment="1" applyProtection="1">
      <alignment vertical="center"/>
    </xf>
    <xf numFmtId="180" fontId="103" fillId="76" borderId="23" xfId="439" applyNumberFormat="1" applyFont="1" applyFill="1" applyBorder="1" applyAlignment="1" applyProtection="1">
      <alignment horizontal="center" vertical="center" wrapText="1"/>
    </xf>
    <xf numFmtId="39" fontId="103" fillId="0" borderId="23" xfId="439" applyNumberFormat="1" applyFont="1" applyFill="1" applyBorder="1" applyAlignment="1" applyProtection="1">
      <alignment horizontal="center" vertical="center" wrapText="1"/>
    </xf>
    <xf numFmtId="37" fontId="57" fillId="34" borderId="29" xfId="439" applyNumberFormat="1" applyFont="1" applyFill="1" applyBorder="1" applyAlignment="1" applyProtection="1">
      <alignment vertical="center"/>
    </xf>
    <xf numFmtId="37" fontId="57" fillId="23" borderId="29" xfId="439" applyNumberFormat="1" applyFont="1" applyFill="1" applyBorder="1" applyAlignment="1" applyProtection="1">
      <alignment vertical="center"/>
    </xf>
    <xf numFmtId="37" fontId="57" fillId="34" borderId="28" xfId="439" applyNumberFormat="1" applyFont="1" applyFill="1" applyBorder="1" applyAlignment="1" applyProtection="1">
      <alignment vertical="center"/>
    </xf>
    <xf numFmtId="181" fontId="57" fillId="76" borderId="28" xfId="439" applyNumberFormat="1" applyFont="1" applyFill="1" applyBorder="1" applyAlignment="1" applyProtection="1">
      <alignment vertical="center"/>
    </xf>
    <xf numFmtId="3" fontId="103" fillId="0" borderId="31" xfId="439" applyNumberFormat="1" applyFont="1" applyFill="1" applyBorder="1" applyAlignment="1" applyProtection="1">
      <alignment horizontal="center" vertical="center" wrapText="1"/>
    </xf>
    <xf numFmtId="37" fontId="57" fillId="0" borderId="46" xfId="439" applyNumberFormat="1" applyFont="1" applyFill="1" applyBorder="1" applyAlignment="1" applyProtection="1">
      <alignment vertical="center"/>
    </xf>
    <xf numFmtId="3" fontId="103" fillId="0" borderId="23" xfId="439" applyNumberFormat="1" applyFont="1" applyFill="1" applyBorder="1" applyAlignment="1" applyProtection="1">
      <alignment horizontal="center" vertical="center" wrapText="1"/>
    </xf>
    <xf numFmtId="37" fontId="57" fillId="0" borderId="28" xfId="439" applyNumberFormat="1" applyFont="1" applyFill="1" applyBorder="1" applyAlignment="1" applyProtection="1">
      <alignment vertical="center"/>
    </xf>
    <xf numFmtId="37" fontId="57" fillId="0" borderId="29" xfId="439" applyNumberFormat="1" applyFont="1" applyBorder="1" applyAlignment="1" applyProtection="1">
      <alignment vertical="center"/>
    </xf>
    <xf numFmtId="3" fontId="103" fillId="34" borderId="23" xfId="439" applyNumberFormat="1" applyFont="1" applyFill="1" applyBorder="1" applyAlignment="1" applyProtection="1">
      <alignment horizontal="center" vertical="center" wrapText="1"/>
    </xf>
    <xf numFmtId="3" fontId="103" fillId="23" borderId="31" xfId="439" applyNumberFormat="1" applyFont="1" applyFill="1" applyBorder="1" applyAlignment="1" applyProtection="1">
      <alignment horizontal="center" vertical="center" wrapText="1"/>
    </xf>
    <xf numFmtId="3" fontId="103" fillId="23" borderId="23" xfId="439" applyNumberFormat="1" applyFont="1" applyFill="1" applyBorder="1" applyAlignment="1" applyProtection="1">
      <alignment horizontal="center" vertical="center" wrapText="1"/>
    </xf>
    <xf numFmtId="3" fontId="103" fillId="34" borderId="45" xfId="439" applyNumberFormat="1" applyFont="1" applyFill="1" applyBorder="1" applyAlignment="1" applyProtection="1">
      <alignment horizontal="center" vertical="center" wrapText="1"/>
    </xf>
    <xf numFmtId="3" fontId="103" fillId="0" borderId="30" xfId="439" applyNumberFormat="1" applyFont="1" applyFill="1" applyBorder="1" applyAlignment="1" applyProtection="1">
      <alignment horizontal="center" vertical="center" wrapText="1"/>
    </xf>
    <xf numFmtId="174" fontId="57" fillId="76" borderId="28" xfId="439" applyNumberFormat="1" applyFont="1" applyFill="1" applyBorder="1" applyAlignment="1" applyProtection="1">
      <alignment vertical="center"/>
    </xf>
    <xf numFmtId="37" fontId="103" fillId="0" borderId="23" xfId="439" applyNumberFormat="1" applyFont="1" applyFill="1" applyBorder="1" applyAlignment="1" applyProtection="1">
      <alignment horizontal="center" vertical="center" wrapText="1"/>
    </xf>
    <xf numFmtId="37" fontId="57" fillId="0" borderId="29" xfId="439" applyNumberFormat="1" applyFont="1" applyFill="1" applyBorder="1" applyAlignment="1" applyProtection="1">
      <alignment vertical="center"/>
    </xf>
    <xf numFmtId="37" fontId="57" fillId="32" borderId="29" xfId="439" applyNumberFormat="1" applyFont="1" applyFill="1" applyBorder="1" applyAlignment="1" applyProtection="1">
      <alignment vertical="center"/>
    </xf>
    <xf numFmtId="1" fontId="57" fillId="0" borderId="28" xfId="439" applyNumberFormat="1" applyFont="1" applyFill="1" applyBorder="1" applyAlignment="1" applyProtection="1">
      <alignment vertical="center"/>
    </xf>
    <xf numFmtId="0" fontId="104" fillId="0" borderId="0" xfId="0" applyFont="1" applyFill="1" applyAlignment="1" applyProtection="1">
      <alignment horizontal="center" wrapText="1"/>
    </xf>
    <xf numFmtId="0" fontId="63" fillId="0" borderId="0" xfId="0" quotePrefix="1" applyFont="1" applyFill="1" applyAlignment="1" applyProtection="1">
      <alignment horizontal="center" wrapText="1"/>
    </xf>
    <xf numFmtId="0" fontId="0" fillId="26" borderId="0" xfId="0" applyFill="1" applyAlignment="1">
      <alignment wrapText="1"/>
    </xf>
    <xf numFmtId="0" fontId="63" fillId="0" borderId="0" xfId="0" applyFont="1" applyAlignment="1">
      <alignment horizontal="center" vertical="center"/>
    </xf>
    <xf numFmtId="0" fontId="0" fillId="0" borderId="0" xfId="0" applyAlignment="1">
      <alignment vertical="center" wrapText="1"/>
    </xf>
    <xf numFmtId="0" fontId="0" fillId="0" borderId="0" xfId="0" applyAlignment="1">
      <alignment horizontal="left" vertical="center" wrapText="1"/>
    </xf>
    <xf numFmtId="0" fontId="6" fillId="0" borderId="0" xfId="0" applyFont="1" applyAlignment="1">
      <alignment vertical="center" wrapText="1"/>
    </xf>
    <xf numFmtId="0" fontId="63" fillId="0" borderId="0" xfId="0" applyFont="1" applyAlignment="1">
      <alignment horizontal="center" vertical="center" wrapText="1"/>
    </xf>
    <xf numFmtId="0" fontId="0" fillId="0" borderId="0" xfId="0" applyAlignment="1">
      <alignment horizontal="center" vertical="center" wrapText="1"/>
    </xf>
    <xf numFmtId="0" fontId="0" fillId="0" borderId="23" xfId="0" applyBorder="1" applyAlignment="1">
      <alignment vertical="center" wrapText="1"/>
    </xf>
    <xf numFmtId="0" fontId="64" fillId="0" borderId="0" xfId="0" applyFont="1" applyAlignment="1">
      <alignment wrapText="1"/>
    </xf>
    <xf numFmtId="0" fontId="0" fillId="0" borderId="0" xfId="0" applyFill="1" applyAlignment="1">
      <alignment wrapText="1"/>
    </xf>
    <xf numFmtId="0" fontId="63" fillId="0" borderId="0" xfId="0" applyFont="1" applyFill="1"/>
    <xf numFmtId="0" fontId="64" fillId="0" borderId="0" xfId="0" applyFont="1" applyAlignment="1">
      <alignment horizontal="left"/>
    </xf>
    <xf numFmtId="3" fontId="0" fillId="0" borderId="0" xfId="0" applyNumberFormat="1" applyProtection="1"/>
    <xf numFmtId="0" fontId="63" fillId="0" borderId="0" xfId="0" applyFont="1" applyAlignment="1" applyProtection="1">
      <alignment horizontal="left" vertical="center" wrapText="1"/>
    </xf>
    <xf numFmtId="0" fontId="113" fillId="0" borderId="0" xfId="0" applyFont="1" applyProtection="1"/>
    <xf numFmtId="0" fontId="0" fillId="0" borderId="0" xfId="0" applyFill="1" applyAlignment="1" applyProtection="1">
      <alignment horizontal="center" vertical="center"/>
    </xf>
    <xf numFmtId="0" fontId="0" fillId="0" borderId="0" xfId="0" applyFill="1" applyAlignment="1" applyProtection="1">
      <alignment horizontal="center" wrapText="1"/>
      <protection locked="0"/>
    </xf>
    <xf numFmtId="0" fontId="103" fillId="22" borderId="23" xfId="439" applyNumberFormat="1" applyFont="1" applyFill="1" applyBorder="1" applyAlignment="1" applyProtection="1">
      <alignment horizontal="center" vertical="center" wrapText="1"/>
      <protection locked="0"/>
    </xf>
    <xf numFmtId="0" fontId="35" fillId="28" borderId="0" xfId="0" applyFont="1" applyFill="1" applyAlignment="1" applyProtection="1">
      <alignment horizontal="left" vertical="center"/>
    </xf>
    <xf numFmtId="38" fontId="69" fillId="0" borderId="0" xfId="439" applyNumberFormat="1" applyFont="1" applyFill="1" applyAlignment="1" applyProtection="1">
      <alignment horizontal="center" vertical="center" wrapText="1"/>
    </xf>
    <xf numFmtId="0" fontId="63" fillId="0" borderId="57" xfId="0" applyFont="1" applyBorder="1"/>
    <xf numFmtId="0" fontId="0" fillId="26" borderId="16" xfId="0" applyFill="1" applyBorder="1" applyAlignment="1" applyProtection="1">
      <alignment horizontal="center"/>
    </xf>
    <xf numFmtId="0" fontId="63" fillId="26" borderId="16" xfId="0" applyFont="1" applyFill="1" applyBorder="1" applyAlignment="1" applyProtection="1">
      <alignment horizontal="left"/>
    </xf>
    <xf numFmtId="0" fontId="63" fillId="0" borderId="59" xfId="0" applyFont="1" applyBorder="1" applyAlignment="1">
      <alignment vertical="center"/>
    </xf>
    <xf numFmtId="0" fontId="0" fillId="26" borderId="11" xfId="0" applyFill="1" applyBorder="1" applyAlignment="1" applyProtection="1">
      <alignment horizontal="center"/>
    </xf>
    <xf numFmtId="0" fontId="63" fillId="0" borderId="17" xfId="0" applyFont="1" applyBorder="1" applyAlignment="1">
      <alignment vertical="center"/>
    </xf>
    <xf numFmtId="0" fontId="63" fillId="0" borderId="0" xfId="0" applyFont="1" applyBorder="1" applyAlignment="1">
      <alignment vertical="center"/>
    </xf>
    <xf numFmtId="0" fontId="63" fillId="0" borderId="15" xfId="0" applyFont="1" applyBorder="1" applyAlignment="1">
      <alignment vertical="center"/>
    </xf>
    <xf numFmtId="0" fontId="0" fillId="0" borderId="0" xfId="0" applyBorder="1"/>
    <xf numFmtId="0" fontId="0" fillId="0" borderId="56" xfId="0" applyBorder="1"/>
    <xf numFmtId="38" fontId="63" fillId="29" borderId="0" xfId="439" applyNumberFormat="1" applyFont="1" applyFill="1" applyAlignment="1" applyProtection="1">
      <alignment horizontal="center" vertical="center"/>
      <protection locked="0"/>
    </xf>
    <xf numFmtId="4" fontId="0" fillId="0" borderId="0" xfId="439" applyNumberFormat="1" applyFont="1"/>
    <xf numFmtId="1" fontId="68" fillId="0" borderId="0" xfId="682" applyNumberFormat="1" applyFont="1" applyFill="1" applyAlignment="1">
      <alignment wrapText="1"/>
    </xf>
    <xf numFmtId="1" fontId="114" fillId="20" borderId="0" xfId="682" applyNumberFormat="1" applyFont="1" applyFill="1" applyAlignment="1" applyProtection="1">
      <alignment horizontal="center" vertical="center"/>
    </xf>
    <xf numFmtId="1" fontId="45" fillId="20" borderId="0" xfId="682" applyNumberFormat="1" applyFont="1" applyFill="1" applyAlignment="1">
      <alignment horizontal="center"/>
    </xf>
    <xf numFmtId="0" fontId="45" fillId="20" borderId="0" xfId="682" applyNumberFormat="1" applyFont="1" applyFill="1" applyAlignment="1">
      <alignment horizontal="center"/>
    </xf>
    <xf numFmtId="1" fontId="45" fillId="20" borderId="0" xfId="682" applyNumberFormat="1" applyFont="1" applyFill="1" applyAlignment="1" applyProtection="1">
      <alignment horizontal="center" vertical="center"/>
    </xf>
    <xf numFmtId="0" fontId="114" fillId="20" borderId="0" xfId="682" applyNumberFormat="1" applyFont="1" applyFill="1" applyAlignment="1">
      <alignment horizontal="center"/>
    </xf>
    <xf numFmtId="1" fontId="114" fillId="20" borderId="0" xfId="682" applyNumberFormat="1" applyFont="1" applyFill="1" applyAlignment="1">
      <alignment horizontal="center"/>
    </xf>
    <xf numFmtId="1" fontId="68" fillId="0" borderId="0" xfId="682" applyNumberFormat="1" applyFont="1" applyFill="1"/>
    <xf numFmtId="0" fontId="0" fillId="0" borderId="0" xfId="0" applyFill="1" applyProtection="1"/>
    <xf numFmtId="38" fontId="69" fillId="0" borderId="0" xfId="439" applyNumberFormat="1" applyFont="1" applyFill="1" applyAlignment="1" applyProtection="1">
      <alignment horizontal="center" vertical="center" wrapText="1"/>
    </xf>
    <xf numFmtId="0" fontId="0" fillId="0" borderId="0" xfId="0" applyFont="1" applyFill="1" applyProtection="1"/>
    <xf numFmtId="38" fontId="69" fillId="22" borderId="0" xfId="439" applyNumberFormat="1" applyFont="1" applyFill="1" applyAlignment="1" applyProtection="1">
      <alignment horizontal="center" vertical="center" wrapText="1"/>
    </xf>
    <xf numFmtId="37" fontId="63" fillId="29" borderId="0" xfId="439" applyNumberFormat="1" applyFont="1" applyFill="1" applyAlignment="1" applyProtection="1">
      <alignment horizontal="center" vertical="center"/>
      <protection locked="0"/>
    </xf>
    <xf numFmtId="0" fontId="0" fillId="34" borderId="36" xfId="0" applyNumberFormat="1" applyFont="1" applyFill="1" applyBorder="1" applyAlignment="1" applyProtection="1">
      <alignment horizontal="left" vertical="center" wrapText="1"/>
    </xf>
    <xf numFmtId="0" fontId="0" fillId="34" borderId="36" xfId="0" applyNumberFormat="1" applyFont="1" applyFill="1" applyBorder="1" applyAlignment="1" applyProtection="1">
      <alignment horizontal="center" vertical="center" wrapText="1"/>
    </xf>
    <xf numFmtId="164" fontId="0" fillId="0" borderId="0" xfId="0" applyNumberFormat="1"/>
    <xf numFmtId="0" fontId="0" fillId="0" borderId="0" xfId="0" applyNumberFormat="1"/>
    <xf numFmtId="43" fontId="0" fillId="0" borderId="0" xfId="0" applyNumberFormat="1"/>
    <xf numFmtId="43" fontId="63" fillId="0" borderId="16" xfId="439" applyFont="1" applyBorder="1" applyAlignment="1" applyProtection="1">
      <alignment horizontal="right"/>
    </xf>
    <xf numFmtId="2" fontId="63" fillId="0" borderId="16" xfId="4688" applyNumberFormat="1" applyFont="1" applyBorder="1" applyAlignment="1" applyProtection="1">
      <alignment horizontal="right"/>
    </xf>
    <xf numFmtId="38" fontId="69" fillId="29" borderId="0" xfId="439" applyNumberFormat="1" applyFont="1" applyFill="1" applyAlignment="1" applyProtection="1">
      <alignment horizontal="center" vertical="center" wrapText="1"/>
      <protection locked="0"/>
    </xf>
    <xf numFmtId="0" fontId="142" fillId="0" borderId="0" xfId="0" applyFont="1" applyAlignment="1">
      <alignment horizontal="center"/>
    </xf>
    <xf numFmtId="38" fontId="0" fillId="0" borderId="0" xfId="0" applyNumberFormat="1" applyFill="1" applyProtection="1"/>
    <xf numFmtId="38" fontId="0" fillId="0" borderId="0" xfId="0" applyNumberFormat="1"/>
    <xf numFmtId="40" fontId="0" fillId="0" borderId="0" xfId="0" applyNumberFormat="1"/>
    <xf numFmtId="43" fontId="0" fillId="0" borderId="0" xfId="439" applyFont="1"/>
    <xf numFmtId="39" fontId="0" fillId="0" borderId="0" xfId="439" applyNumberFormat="1" applyFont="1"/>
    <xf numFmtId="39" fontId="0" fillId="0" borderId="0" xfId="0" applyNumberFormat="1"/>
    <xf numFmtId="43" fontId="1" fillId="0" borderId="0" xfId="1562" applyAlignment="1">
      <alignment vertical="center"/>
    </xf>
    <xf numFmtId="41" fontId="66" fillId="0" borderId="0" xfId="0" applyNumberFormat="1" applyFont="1" applyAlignment="1">
      <alignment wrapText="1"/>
    </xf>
    <xf numFmtId="41" fontId="66" fillId="0" borderId="45" xfId="0" applyNumberFormat="1" applyFont="1" applyBorder="1" applyAlignment="1">
      <alignment wrapText="1"/>
    </xf>
    <xf numFmtId="41" fontId="66" fillId="0" borderId="0" xfId="0" applyNumberFormat="1" applyFont="1" applyFill="1" applyAlignment="1">
      <alignment wrapText="1"/>
    </xf>
    <xf numFmtId="0" fontId="0" fillId="77" borderId="25" xfId="0" applyNumberFormat="1" applyFill="1" applyBorder="1" applyAlignment="1" applyProtection="1">
      <alignment horizontal="left" vertical="center" wrapText="1"/>
    </xf>
    <xf numFmtId="0" fontId="103" fillId="77" borderId="25" xfId="0" applyNumberFormat="1" applyFont="1" applyFill="1" applyBorder="1" applyAlignment="1" applyProtection="1">
      <alignment horizontal="left" vertical="center" wrapText="1"/>
    </xf>
    <xf numFmtId="0" fontId="0" fillId="77" borderId="23" xfId="0" applyNumberFormat="1" applyFill="1" applyBorder="1" applyAlignment="1" applyProtection="1">
      <alignment horizontal="left" vertical="center" wrapText="1"/>
    </xf>
    <xf numFmtId="0" fontId="0" fillId="77" borderId="23" xfId="0" applyFill="1" applyBorder="1" applyAlignment="1" applyProtection="1">
      <alignment vertical="center"/>
      <protection locked="0"/>
    </xf>
    <xf numFmtId="0" fontId="0" fillId="77" borderId="30" xfId="0" applyFill="1" applyBorder="1" applyAlignment="1" applyProtection="1">
      <alignment vertical="center"/>
    </xf>
    <xf numFmtId="0" fontId="0" fillId="77" borderId="23" xfId="0" applyFill="1" applyBorder="1" applyAlignment="1" applyProtection="1">
      <alignment vertical="center"/>
    </xf>
    <xf numFmtId="39" fontId="0" fillId="77" borderId="28" xfId="0" applyNumberFormat="1" applyFill="1" applyBorder="1" applyAlignment="1" applyProtection="1">
      <alignment vertical="center"/>
    </xf>
    <xf numFmtId="0" fontId="0" fillId="77" borderId="28" xfId="0" applyFill="1" applyBorder="1" applyAlignment="1" applyProtection="1">
      <alignment vertical="center"/>
    </xf>
    <xf numFmtId="0" fontId="0" fillId="77" borderId="0" xfId="0" applyFill="1" applyBorder="1" applyAlignment="1" applyProtection="1">
      <alignment vertical="center"/>
    </xf>
    <xf numFmtId="0" fontId="0" fillId="77" borderId="0" xfId="0" applyFill="1" applyAlignment="1" applyProtection="1">
      <alignment vertical="center" wrapText="1"/>
    </xf>
    <xf numFmtId="0" fontId="0" fillId="77" borderId="0" xfId="0" applyFill="1" applyAlignment="1" applyProtection="1">
      <alignment vertical="center"/>
      <protection locked="0"/>
    </xf>
    <xf numFmtId="0" fontId="0" fillId="77" borderId="0" xfId="0" applyFill="1" applyAlignment="1" applyProtection="1">
      <alignment vertical="center"/>
    </xf>
    <xf numFmtId="39" fontId="0" fillId="77" borderId="0" xfId="0" applyNumberFormat="1" applyFill="1" applyAlignment="1" applyProtection="1">
      <alignment vertical="center"/>
    </xf>
    <xf numFmtId="0" fontId="63" fillId="77" borderId="0" xfId="0" applyFont="1" applyFill="1" applyProtection="1"/>
    <xf numFmtId="0" fontId="111" fillId="77" borderId="0" xfId="0" applyFont="1" applyFill="1" applyProtection="1"/>
    <xf numFmtId="1" fontId="0" fillId="0" borderId="0" xfId="0" applyNumberFormat="1"/>
    <xf numFmtId="43" fontId="57" fillId="0" borderId="0" xfId="545" applyNumberFormat="1" applyFont="1" applyFill="1" applyProtection="1"/>
    <xf numFmtId="43" fontId="57" fillId="0" borderId="0" xfId="545" applyNumberFormat="1" applyFont="1" applyProtection="1"/>
    <xf numFmtId="39" fontId="185" fillId="78" borderId="60" xfId="1562" applyNumberFormat="1" applyFont="1" applyFill="1" applyBorder="1" applyAlignment="1">
      <alignment horizontal="center" vertical="center" wrapText="1"/>
    </xf>
    <xf numFmtId="0" fontId="63" fillId="0" borderId="24" xfId="0" applyFont="1" applyBorder="1" applyAlignment="1">
      <alignment horizontal="center" vertical="center"/>
    </xf>
    <xf numFmtId="0" fontId="0" fillId="34" borderId="61" xfId="0" applyNumberFormat="1" applyFont="1" applyFill="1" applyBorder="1" applyAlignment="1" applyProtection="1">
      <alignment horizontal="center" vertical="center"/>
    </xf>
    <xf numFmtId="0" fontId="29" fillId="34" borderId="61" xfId="0" applyFont="1" applyFill="1" applyBorder="1" applyAlignment="1" applyProtection="1">
      <alignment horizontal="center" vertical="center" wrapText="1"/>
    </xf>
    <xf numFmtId="0" fontId="43" fillId="34" borderId="61" xfId="0" applyFont="1" applyFill="1" applyBorder="1" applyAlignment="1" applyProtection="1">
      <alignment horizontal="center" vertical="center" wrapText="1"/>
    </xf>
    <xf numFmtId="0" fontId="129" fillId="34" borderId="61" xfId="0" applyNumberFormat="1" applyFont="1" applyFill="1" applyBorder="1" applyAlignment="1" applyProtection="1">
      <alignment vertical="center" wrapText="1"/>
    </xf>
    <xf numFmtId="38" fontId="69" fillId="34" borderId="61" xfId="439" applyNumberFormat="1" applyFont="1" applyFill="1" applyBorder="1" applyAlignment="1" applyProtection="1">
      <alignment horizontal="center" vertical="center" wrapText="1"/>
    </xf>
    <xf numFmtId="0" fontId="0" fillId="34" borderId="61" xfId="0" applyNumberFormat="1" applyFill="1" applyBorder="1" applyAlignment="1" applyProtection="1">
      <alignment vertical="center" wrapText="1"/>
    </xf>
    <xf numFmtId="38" fontId="69" fillId="34" borderId="62" xfId="439" applyNumberFormat="1" applyFont="1" applyFill="1" applyBorder="1" applyAlignment="1" applyProtection="1">
      <alignment horizontal="center" vertical="center" wrapText="1"/>
    </xf>
    <xf numFmtId="0" fontId="85" fillId="34" borderId="61" xfId="0" applyFont="1" applyFill="1" applyBorder="1" applyAlignment="1" applyProtection="1">
      <alignment horizontal="center" vertical="center" wrapText="1"/>
    </xf>
    <xf numFmtId="0" fontId="101" fillId="34" borderId="61" xfId="0" applyFont="1" applyFill="1" applyBorder="1" applyAlignment="1" applyProtection="1">
      <alignment horizontal="center" vertical="center" wrapText="1"/>
    </xf>
    <xf numFmtId="0" fontId="1" fillId="34" borderId="61" xfId="0" applyNumberFormat="1" applyFont="1" applyFill="1" applyBorder="1" applyAlignment="1" applyProtection="1">
      <alignment horizontal="left" vertical="center" wrapText="1"/>
    </xf>
    <xf numFmtId="0" fontId="0" fillId="34" borderId="61" xfId="0" applyFont="1" applyFill="1" applyBorder="1" applyAlignment="1" applyProtection="1">
      <alignment vertical="center" wrapText="1"/>
    </xf>
    <xf numFmtId="0" fontId="0" fillId="34" borderId="63" xfId="0" applyNumberFormat="1" applyFont="1" applyFill="1" applyBorder="1" applyAlignment="1" applyProtection="1">
      <alignment horizontal="left" vertical="center" wrapText="1"/>
    </xf>
    <xf numFmtId="0" fontId="0" fillId="34" borderId="61" xfId="0" applyFont="1" applyFill="1" applyBorder="1" applyAlignment="1" applyProtection="1">
      <alignment horizontal="left" vertical="center" wrapText="1"/>
    </xf>
    <xf numFmtId="0" fontId="0" fillId="34" borderId="61" xfId="0" applyFill="1" applyBorder="1" applyAlignment="1">
      <alignment vertical="center" wrapText="1"/>
    </xf>
    <xf numFmtId="0" fontId="0" fillId="34" borderId="61" xfId="0" applyFont="1" applyFill="1" applyBorder="1" applyAlignment="1">
      <alignment vertical="center" wrapText="1"/>
    </xf>
    <xf numFmtId="0" fontId="63" fillId="0" borderId="0" xfId="0" applyFont="1" applyAlignment="1">
      <alignment vertical="center"/>
    </xf>
    <xf numFmtId="41" fontId="116" fillId="0" borderId="0" xfId="439" applyNumberFormat="1" applyFont="1" applyAlignment="1">
      <alignment vertical="center" wrapText="1"/>
    </xf>
    <xf numFmtId="0" fontId="0" fillId="0" borderId="0" xfId="0" applyAlignment="1">
      <alignment horizontal="center" vertical="center"/>
    </xf>
    <xf numFmtId="41" fontId="129" fillId="0" borderId="0" xfId="439" applyNumberFormat="1" applyFont="1" applyAlignment="1">
      <alignment vertical="center" wrapText="1"/>
    </xf>
    <xf numFmtId="164" fontId="63" fillId="28" borderId="0" xfId="439" applyNumberFormat="1" applyFont="1" applyFill="1" applyAlignment="1" applyProtection="1">
      <alignment horizontal="center" vertical="center"/>
      <protection locked="0"/>
    </xf>
    <xf numFmtId="37" fontId="57" fillId="28" borderId="0" xfId="439" applyNumberFormat="1" applyFont="1" applyFill="1" applyAlignment="1" applyProtection="1">
      <alignment horizontal="center" vertical="center"/>
      <protection locked="0"/>
    </xf>
    <xf numFmtId="164" fontId="57" fillId="28" borderId="0" xfId="439" applyNumberFormat="1" applyFont="1" applyFill="1" applyAlignment="1" applyProtection="1">
      <alignment horizontal="center" vertical="center"/>
      <protection locked="0"/>
    </xf>
    <xf numFmtId="0" fontId="64" fillId="28" borderId="0" xfId="0" applyFont="1" applyFill="1" applyAlignment="1" applyProtection="1">
      <alignment horizontal="center" vertical="center"/>
      <protection locked="0"/>
    </xf>
    <xf numFmtId="0" fontId="64" fillId="28" borderId="0" xfId="0" applyFont="1" applyFill="1" applyAlignment="1" applyProtection="1">
      <alignment horizontal="center" vertical="center" wrapText="1"/>
      <protection locked="0"/>
    </xf>
    <xf numFmtId="3" fontId="57" fillId="28" borderId="0" xfId="439" applyNumberFormat="1" applyFont="1" applyFill="1" applyAlignment="1" applyProtection="1">
      <alignment horizontal="center" vertical="center"/>
      <protection locked="0"/>
    </xf>
    <xf numFmtId="3" fontId="64" fillId="28" borderId="0" xfId="0" applyNumberFormat="1" applyFont="1" applyFill="1" applyAlignment="1" applyProtection="1">
      <alignment horizontal="center" vertical="center"/>
      <protection locked="0"/>
    </xf>
    <xf numFmtId="3" fontId="64" fillId="28" borderId="0" xfId="0" applyNumberFormat="1" applyFont="1" applyFill="1" applyAlignment="1" applyProtection="1">
      <alignment horizontal="center" vertical="center" wrapText="1"/>
      <protection locked="0"/>
    </xf>
    <xf numFmtId="3" fontId="63" fillId="28" borderId="0" xfId="439" applyNumberFormat="1" applyFont="1" applyFill="1" applyAlignment="1" applyProtection="1">
      <alignment horizontal="center" vertical="center"/>
      <protection locked="0"/>
    </xf>
    <xf numFmtId="0" fontId="63" fillId="79" borderId="26" xfId="0" applyNumberFormat="1" applyFont="1" applyFill="1" applyBorder="1" applyAlignment="1" applyProtection="1">
      <alignment horizontal="center" vertical="center"/>
    </xf>
    <xf numFmtId="0" fontId="0" fillId="79" borderId="31" xfId="0" applyFont="1" applyFill="1" applyBorder="1" applyAlignment="1" applyProtection="1">
      <alignment vertical="center" wrapText="1"/>
    </xf>
    <xf numFmtId="164" fontId="57" fillId="79" borderId="29" xfId="439" applyNumberFormat="1" applyFont="1" applyFill="1" applyBorder="1" applyAlignment="1" applyProtection="1">
      <alignment vertical="center"/>
    </xf>
    <xf numFmtId="0" fontId="63" fillId="79" borderId="25" xfId="0" applyNumberFormat="1" applyFont="1" applyFill="1" applyBorder="1" applyAlignment="1" applyProtection="1">
      <alignment horizontal="center" vertical="center"/>
    </xf>
    <xf numFmtId="0" fontId="0" fillId="79" borderId="23" xfId="0" applyFont="1" applyFill="1" applyBorder="1" applyAlignment="1" applyProtection="1">
      <alignment vertical="center" wrapText="1"/>
    </xf>
    <xf numFmtId="39" fontId="57" fillId="79" borderId="28" xfId="439" applyNumberFormat="1" applyFont="1" applyFill="1" applyBorder="1" applyAlignment="1" applyProtection="1">
      <alignment vertical="center"/>
    </xf>
    <xf numFmtId="0" fontId="63" fillId="34" borderId="64" xfId="0" applyFont="1" applyFill="1" applyBorder="1" applyAlignment="1">
      <alignment horizontal="center" vertical="center"/>
    </xf>
    <xf numFmtId="164" fontId="57" fillId="22" borderId="29" xfId="439" applyNumberFormat="1" applyFont="1" applyFill="1" applyBorder="1" applyAlignment="1" applyProtection="1">
      <alignment vertical="center"/>
    </xf>
    <xf numFmtId="0" fontId="68" fillId="34" borderId="61" xfId="0" applyFont="1" applyFill="1" applyBorder="1" applyAlignment="1" applyProtection="1">
      <alignment vertical="center" wrapText="1"/>
      <protection locked="0"/>
    </xf>
    <xf numFmtId="37" fontId="57" fillId="34" borderId="61" xfId="439" applyNumberFormat="1" applyFont="1" applyFill="1" applyBorder="1" applyAlignment="1" applyProtection="1">
      <alignment vertical="center"/>
    </xf>
    <xf numFmtId="37" fontId="57" fillId="34" borderId="27" xfId="439" applyNumberFormat="1" applyFont="1" applyFill="1" applyBorder="1" applyAlignment="1" applyProtection="1">
      <alignment vertical="center"/>
    </xf>
    <xf numFmtId="0" fontId="0" fillId="0" borderId="45" xfId="0" applyFill="1" applyBorder="1" applyProtection="1"/>
    <xf numFmtId="0" fontId="124" fillId="0" borderId="45" xfId="0" applyFont="1" applyFill="1" applyBorder="1"/>
    <xf numFmtId="0" fontId="0" fillId="0" borderId="45" xfId="0" applyFill="1" applyBorder="1" applyAlignment="1" applyProtection="1">
      <alignment horizontal="center" vertical="center"/>
    </xf>
    <xf numFmtId="0" fontId="0" fillId="0" borderId="0" xfId="0" applyFill="1" applyBorder="1" applyAlignment="1" applyProtection="1">
      <alignment horizontal="center" vertical="center"/>
    </xf>
    <xf numFmtId="164" fontId="103" fillId="34" borderId="62" xfId="439" applyNumberFormat="1" applyFont="1" applyFill="1" applyBorder="1" applyAlignment="1" applyProtection="1">
      <alignment horizontal="center" vertical="center" wrapText="1"/>
    </xf>
    <xf numFmtId="0" fontId="0" fillId="34" borderId="61" xfId="0" applyNumberFormat="1" applyFill="1" applyBorder="1" applyAlignment="1" applyProtection="1">
      <alignment horizontal="left" vertical="center" wrapText="1"/>
    </xf>
    <xf numFmtId="0" fontId="103" fillId="34" borderId="61" xfId="0" applyNumberFormat="1" applyFont="1" applyFill="1" applyBorder="1" applyAlignment="1" applyProtection="1">
      <alignment horizontal="left" vertical="center" wrapText="1"/>
    </xf>
    <xf numFmtId="0" fontId="112" fillId="34" borderId="61" xfId="0" applyNumberFormat="1" applyFont="1" applyFill="1" applyBorder="1" applyAlignment="1" applyProtection="1">
      <alignment horizontal="left" vertical="center" wrapText="1"/>
    </xf>
    <xf numFmtId="3" fontId="103" fillId="34" borderId="61" xfId="439" applyNumberFormat="1" applyFont="1" applyFill="1" applyBorder="1" applyAlignment="1" applyProtection="1">
      <alignment horizontal="center" vertical="center" wrapText="1"/>
    </xf>
    <xf numFmtId="37" fontId="63" fillId="34" borderId="45" xfId="439" applyNumberFormat="1" applyFont="1" applyFill="1" applyBorder="1" applyAlignment="1" applyProtection="1">
      <alignment horizontal="center" vertical="center" wrapText="1"/>
    </xf>
    <xf numFmtId="0" fontId="0" fillId="34" borderId="25" xfId="0" applyNumberFormat="1" applyFill="1" applyBorder="1" applyAlignment="1" applyProtection="1">
      <alignment horizontal="center" vertical="center" wrapText="1"/>
    </xf>
    <xf numFmtId="180" fontId="103" fillId="34" borderId="23" xfId="439" applyNumberFormat="1" applyFont="1" applyFill="1" applyBorder="1" applyAlignment="1" applyProtection="1">
      <alignment horizontal="center" vertical="center" wrapText="1"/>
    </xf>
    <xf numFmtId="171" fontId="103" fillId="35" borderId="29" xfId="439" applyNumberFormat="1" applyFont="1" applyFill="1" applyBorder="1" applyAlignment="1" applyProtection="1">
      <alignment horizontal="center" vertical="center" wrapText="1"/>
    </xf>
    <xf numFmtId="0" fontId="65" fillId="0" borderId="0" xfId="0" applyFont="1" applyAlignment="1">
      <alignment horizontal="left" vertical="center" wrapText="1"/>
    </xf>
    <xf numFmtId="0" fontId="63" fillId="73" borderId="0" xfId="0" applyFont="1" applyFill="1" applyAlignment="1">
      <alignment horizontal="left" vertical="center" wrapText="1"/>
    </xf>
    <xf numFmtId="0" fontId="111" fillId="0" borderId="45" xfId="0" applyFont="1" applyFill="1" applyBorder="1" applyAlignment="1" applyProtection="1">
      <alignment horizontal="center" vertical="center" wrapText="1"/>
    </xf>
    <xf numFmtId="0" fontId="111" fillId="32" borderId="45" xfId="0" applyFont="1" applyFill="1" applyBorder="1" applyAlignment="1" applyProtection="1">
      <alignment horizontal="center" vertical="center" wrapText="1"/>
    </xf>
    <xf numFmtId="38" fontId="0" fillId="0" borderId="45" xfId="0" applyNumberFormat="1" applyFill="1" applyBorder="1" applyProtection="1"/>
    <xf numFmtId="164" fontId="0" fillId="0" borderId="0" xfId="0" applyNumberFormat="1" applyFill="1" applyProtection="1"/>
    <xf numFmtId="0" fontId="80" fillId="0" borderId="0" xfId="0" applyFont="1" applyFill="1" applyAlignment="1" applyProtection="1">
      <alignment wrapText="1"/>
    </xf>
    <xf numFmtId="164" fontId="80" fillId="0" borderId="0" xfId="0" applyNumberFormat="1" applyFont="1" applyFill="1" applyAlignment="1" applyProtection="1">
      <alignment wrapText="1"/>
    </xf>
    <xf numFmtId="4" fontId="0" fillId="0" borderId="0" xfId="0" applyNumberFormat="1" applyFill="1" applyProtection="1"/>
    <xf numFmtId="0" fontId="0" fillId="0" borderId="0" xfId="0" applyFill="1" applyAlignment="1" applyProtection="1">
      <alignment horizontal="center" vertical="center" wrapText="1"/>
    </xf>
    <xf numFmtId="3" fontId="63" fillId="0" borderId="0" xfId="439" applyNumberFormat="1" applyFont="1" applyFill="1" applyAlignment="1" applyProtection="1">
      <alignment horizontal="center" vertical="center" wrapText="1"/>
      <protection locked="0"/>
    </xf>
    <xf numFmtId="174" fontId="63" fillId="29" borderId="0" xfId="439" applyNumberFormat="1" applyFont="1" applyFill="1" applyAlignment="1" applyProtection="1">
      <alignment horizontal="center" vertical="center"/>
      <protection locked="0"/>
    </xf>
    <xf numFmtId="174" fontId="63" fillId="22" borderId="0" xfId="439" applyNumberFormat="1" applyFont="1" applyFill="1" applyAlignment="1" applyProtection="1">
      <alignment horizontal="center" vertical="center"/>
      <protection locked="0"/>
    </xf>
    <xf numFmtId="164" fontId="57" fillId="28" borderId="0" xfId="439" applyNumberFormat="1" applyFont="1" applyFill="1" applyProtection="1">
      <protection locked="0"/>
    </xf>
    <xf numFmtId="41" fontId="116" fillId="28" borderId="0" xfId="439" applyNumberFormat="1" applyFont="1" applyFill="1" applyAlignment="1" applyProtection="1">
      <alignment wrapText="1"/>
      <protection locked="0"/>
    </xf>
    <xf numFmtId="41" fontId="66" fillId="28" borderId="0" xfId="0" applyNumberFormat="1" applyFont="1" applyFill="1" applyAlignment="1" applyProtection="1">
      <alignment wrapText="1"/>
      <protection locked="0"/>
    </xf>
    <xf numFmtId="41" fontId="116" fillId="28" borderId="0" xfId="0" applyNumberFormat="1" applyFont="1" applyFill="1" applyAlignment="1" applyProtection="1">
      <alignment wrapText="1"/>
      <protection locked="0"/>
    </xf>
    <xf numFmtId="0" fontId="174" fillId="28" borderId="0" xfId="0" applyFont="1" applyFill="1" applyAlignment="1" applyProtection="1">
      <protection locked="0"/>
    </xf>
    <xf numFmtId="2" fontId="63" fillId="29" borderId="0" xfId="439" applyNumberFormat="1" applyFont="1" applyFill="1" applyAlignment="1" applyProtection="1">
      <alignment horizontal="center" vertical="center"/>
      <protection locked="0"/>
    </xf>
    <xf numFmtId="175" fontId="63" fillId="29" borderId="0" xfId="439" applyNumberFormat="1" applyFont="1" applyFill="1" applyAlignment="1" applyProtection="1">
      <alignment horizontal="center" vertical="center"/>
      <protection locked="0"/>
    </xf>
    <xf numFmtId="38" fontId="71" fillId="28" borderId="0" xfId="0" applyNumberFormat="1" applyFont="1" applyFill="1" applyAlignment="1" applyProtection="1">
      <alignment horizontal="left" vertical="center"/>
      <protection locked="0"/>
    </xf>
    <xf numFmtId="169" fontId="63" fillId="29" borderId="0" xfId="439" applyNumberFormat="1" applyFont="1" applyFill="1" applyAlignment="1" applyProtection="1">
      <alignment horizontal="center" vertical="center"/>
      <protection locked="0"/>
    </xf>
    <xf numFmtId="14" fontId="65" fillId="29" borderId="0" xfId="439" applyNumberFormat="1" applyFont="1" applyFill="1" applyAlignment="1" applyProtection="1">
      <alignment horizontal="left" vertical="center" wrapText="1"/>
      <protection locked="0"/>
    </xf>
    <xf numFmtId="0" fontId="0" fillId="73" borderId="0" xfId="0" applyFill="1"/>
    <xf numFmtId="0" fontId="186" fillId="80" borderId="57" xfId="0" applyFont="1" applyFill="1" applyBorder="1" applyAlignment="1">
      <alignment horizontal="center" vertical="center"/>
    </xf>
    <xf numFmtId="0" fontId="187" fillId="73" borderId="0" xfId="0" applyFont="1" applyFill="1" applyAlignment="1">
      <alignment vertical="center" wrapText="1"/>
    </xf>
    <xf numFmtId="0" fontId="190" fillId="80" borderId="0" xfId="0" applyFont="1" applyFill="1" applyAlignment="1">
      <alignment horizontal="center" vertical="center" wrapText="1"/>
    </xf>
    <xf numFmtId="0" fontId="73" fillId="73" borderId="0" xfId="0" applyFont="1" applyFill="1" applyAlignment="1">
      <alignment horizontal="justify" vertical="center"/>
    </xf>
    <xf numFmtId="0" fontId="73" fillId="73" borderId="0" xfId="0" applyFont="1" applyFill="1" applyAlignment="1">
      <alignment vertical="center"/>
    </xf>
    <xf numFmtId="0" fontId="73" fillId="73" borderId="0" xfId="0" applyFont="1" applyFill="1" applyAlignment="1">
      <alignment vertical="center" wrapText="1"/>
    </xf>
    <xf numFmtId="0" fontId="191" fillId="80" borderId="0" xfId="0" applyFont="1" applyFill="1" applyAlignment="1">
      <alignment horizontal="center" vertical="center"/>
    </xf>
    <xf numFmtId="0" fontId="68" fillId="73" borderId="0" xfId="0" applyFont="1" applyFill="1" applyAlignment="1">
      <alignment vertical="center"/>
    </xf>
    <xf numFmtId="0" fontId="59" fillId="73" borderId="0" xfId="611" applyFill="1" applyAlignment="1" applyProtection="1">
      <alignment vertical="center"/>
      <protection locked="0"/>
    </xf>
    <xf numFmtId="0" fontId="59" fillId="73" borderId="0" xfId="611" applyFill="1" applyProtection="1">
      <protection locked="0"/>
    </xf>
    <xf numFmtId="0" fontId="192" fillId="80" borderId="0" xfId="0" applyFont="1" applyFill="1" applyAlignment="1">
      <alignment horizontal="center" vertical="center"/>
    </xf>
    <xf numFmtId="0" fontId="193" fillId="80" borderId="0" xfId="0" applyFont="1" applyFill="1" applyAlignment="1">
      <alignment vertical="center"/>
    </xf>
    <xf numFmtId="41" fontId="129" fillId="0" borderId="0" xfId="439" applyNumberFormat="1" applyFont="1" applyAlignment="1">
      <alignment vertical="center"/>
    </xf>
    <xf numFmtId="0" fontId="0" fillId="35" borderId="0" xfId="0" applyFill="1" applyAlignment="1" applyProtection="1">
      <alignment horizontal="center" vertical="center"/>
    </xf>
    <xf numFmtId="0" fontId="0" fillId="75" borderId="25" xfId="0" applyNumberFormat="1" applyFill="1" applyBorder="1" applyAlignment="1" applyProtection="1">
      <alignment horizontal="left" vertical="center" wrapText="1"/>
    </xf>
    <xf numFmtId="0" fontId="103" fillId="75" borderId="25" xfId="0" applyNumberFormat="1" applyFont="1" applyFill="1" applyBorder="1" applyAlignment="1" applyProtection="1">
      <alignment horizontal="left" vertical="center" wrapText="1"/>
    </xf>
    <xf numFmtId="0" fontId="0" fillId="75" borderId="23" xfId="0" applyNumberFormat="1" applyFill="1" applyBorder="1" applyAlignment="1" applyProtection="1">
      <alignment horizontal="left" vertical="center" wrapText="1"/>
    </xf>
    <xf numFmtId="37" fontId="103" fillId="22" borderId="30" xfId="439" applyNumberFormat="1" applyFont="1" applyFill="1" applyBorder="1" applyAlignment="1" applyProtection="1">
      <alignment horizontal="center" vertical="center" wrapText="1"/>
    </xf>
    <xf numFmtId="39" fontId="0" fillId="34" borderId="28" xfId="439" applyNumberFormat="1" applyFont="1" applyFill="1" applyBorder="1" applyAlignment="1" applyProtection="1">
      <alignment horizontal="center" vertical="center" wrapText="1"/>
    </xf>
    <xf numFmtId="37" fontId="57" fillId="34" borderId="28" xfId="439" applyNumberFormat="1" applyFont="1" applyFill="1" applyBorder="1" applyAlignment="1" applyProtection="1">
      <alignment horizontal="center" vertical="center" wrapText="1"/>
    </xf>
    <xf numFmtId="14" fontId="57" fillId="75" borderId="28" xfId="439" applyNumberFormat="1" applyFont="1" applyFill="1" applyBorder="1" applyAlignment="1" applyProtection="1">
      <alignment horizontal="center" vertical="center"/>
    </xf>
    <xf numFmtId="49" fontId="57" fillId="75" borderId="28" xfId="439" applyNumberFormat="1" applyFont="1" applyFill="1" applyBorder="1" applyAlignment="1" applyProtection="1">
      <alignment horizontal="center" vertical="center"/>
    </xf>
    <xf numFmtId="49" fontId="57" fillId="75" borderId="27" xfId="439" applyNumberFormat="1" applyFont="1" applyFill="1" applyBorder="1" applyAlignment="1" applyProtection="1">
      <alignment horizontal="center" vertical="center"/>
    </xf>
    <xf numFmtId="0" fontId="63" fillId="31" borderId="64" xfId="0" applyNumberFormat="1" applyFont="1" applyFill="1" applyBorder="1" applyAlignment="1" applyProtection="1">
      <alignment horizontal="center" vertical="center"/>
    </xf>
    <xf numFmtId="49" fontId="57" fillId="31" borderId="64" xfId="439" applyNumberFormat="1" applyFont="1" applyFill="1" applyBorder="1" applyAlignment="1" applyProtection="1">
      <alignment horizontal="center" vertical="center"/>
    </xf>
    <xf numFmtId="14" fontId="57" fillId="31" borderId="64" xfId="439" applyNumberFormat="1" applyFont="1" applyFill="1" applyBorder="1" applyAlignment="1" applyProtection="1">
      <alignment horizontal="center" vertical="center"/>
    </xf>
    <xf numFmtId="0" fontId="0" fillId="75" borderId="44" xfId="0" applyFont="1" applyFill="1" applyBorder="1" applyAlignment="1" applyProtection="1">
      <alignment vertical="center" wrapText="1"/>
    </xf>
    <xf numFmtId="0" fontId="68" fillId="31" borderId="65" xfId="0" applyFont="1" applyFill="1" applyBorder="1" applyAlignment="1" applyProtection="1">
      <alignment vertical="center" wrapText="1"/>
      <protection locked="0"/>
    </xf>
    <xf numFmtId="0" fontId="0" fillId="75" borderId="24" xfId="0" applyNumberFormat="1" applyFill="1" applyBorder="1" applyAlignment="1" applyProtection="1">
      <alignment horizontal="left" vertical="center" wrapText="1"/>
    </xf>
    <xf numFmtId="0" fontId="103" fillId="75" borderId="24" xfId="0" applyNumberFormat="1" applyFont="1" applyFill="1" applyBorder="1" applyAlignment="1" applyProtection="1">
      <alignment horizontal="left" vertical="center" wrapText="1"/>
    </xf>
    <xf numFmtId="0" fontId="0" fillId="75" borderId="30" xfId="0" applyNumberFormat="1" applyFill="1" applyBorder="1" applyAlignment="1" applyProtection="1">
      <alignment horizontal="left" vertical="center" wrapText="1"/>
    </xf>
    <xf numFmtId="0" fontId="0" fillId="22" borderId="26" xfId="0" applyNumberFormat="1" applyFill="1" applyBorder="1" applyAlignment="1" applyProtection="1">
      <alignment horizontal="left" vertical="center" wrapText="1"/>
    </xf>
    <xf numFmtId="0" fontId="103" fillId="22" borderId="26" xfId="0" applyNumberFormat="1" applyFont="1" applyFill="1" applyBorder="1" applyAlignment="1" applyProtection="1">
      <alignment horizontal="left" vertical="center" wrapText="1"/>
    </xf>
    <xf numFmtId="0" fontId="0" fillId="22" borderId="31" xfId="0" applyNumberFormat="1" applyFill="1" applyBorder="1" applyAlignment="1" applyProtection="1">
      <alignment horizontal="left" vertical="center" wrapText="1"/>
    </xf>
    <xf numFmtId="0" fontId="0" fillId="31" borderId="65" xfId="0" applyFill="1" applyBorder="1" applyAlignment="1">
      <alignment horizontal="center"/>
    </xf>
    <xf numFmtId="0" fontId="103" fillId="31" borderId="65" xfId="0" applyNumberFormat="1" applyFont="1" applyFill="1" applyBorder="1" applyAlignment="1" applyProtection="1">
      <alignment horizontal="left" vertical="center" wrapText="1"/>
    </xf>
    <xf numFmtId="0" fontId="0" fillId="31" borderId="65" xfId="0" applyFill="1" applyBorder="1"/>
    <xf numFmtId="0" fontId="103" fillId="22" borderId="66" xfId="439" applyNumberFormat="1" applyFont="1" applyFill="1" applyBorder="1" applyAlignment="1" applyProtection="1">
      <alignment horizontal="center" vertical="center" wrapText="1"/>
      <protection locked="0"/>
    </xf>
    <xf numFmtId="164" fontId="103" fillId="0" borderId="25" xfId="439" applyNumberFormat="1" applyFont="1" applyFill="1" applyBorder="1" applyAlignment="1" applyProtection="1">
      <alignment horizontal="center" vertical="center" wrapText="1"/>
    </xf>
    <xf numFmtId="0" fontId="0" fillId="22" borderId="44" xfId="0" applyFill="1" applyBorder="1" applyAlignment="1" applyProtection="1">
      <alignment vertical="center"/>
    </xf>
    <xf numFmtId="14" fontId="0" fillId="31" borderId="65" xfId="0" applyNumberFormat="1" applyFill="1" applyBorder="1" applyAlignment="1">
      <alignment horizontal="center" vertical="center"/>
    </xf>
    <xf numFmtId="0" fontId="0" fillId="0" borderId="23" xfId="0" applyNumberFormat="1" applyFill="1" applyBorder="1" applyAlignment="1" applyProtection="1">
      <alignment horizontal="left" vertical="top" wrapText="1"/>
    </xf>
    <xf numFmtId="0" fontId="0" fillId="34" borderId="23" xfId="0" applyNumberFormat="1" applyFill="1" applyBorder="1" applyAlignment="1" applyProtection="1">
      <alignment horizontal="left" vertical="top" wrapText="1"/>
    </xf>
    <xf numFmtId="0" fontId="0" fillId="34" borderId="66" xfId="0" applyNumberFormat="1" applyFont="1" applyFill="1" applyBorder="1" applyAlignment="1" applyProtection="1">
      <alignment horizontal="center" vertical="center" wrapText="1"/>
    </xf>
    <xf numFmtId="37" fontId="57" fillId="34" borderId="66" xfId="439" applyNumberFormat="1" applyFont="1" applyFill="1" applyBorder="1" applyAlignment="1" applyProtection="1">
      <alignment vertical="center"/>
    </xf>
    <xf numFmtId="0" fontId="0" fillId="0" borderId="30" xfId="0" applyFill="1" applyBorder="1" applyAlignment="1">
      <alignment vertical="center" wrapText="1"/>
    </xf>
    <xf numFmtId="0" fontId="0" fillId="34" borderId="65" xfId="0" applyFont="1" applyFill="1" applyBorder="1" applyAlignment="1" applyProtection="1">
      <alignment horizontal="left" vertical="center" wrapText="1"/>
    </xf>
    <xf numFmtId="0" fontId="63" fillId="34" borderId="66" xfId="0" applyNumberFormat="1" applyFont="1" applyFill="1" applyBorder="1" applyAlignment="1" applyProtection="1">
      <alignment horizontal="center" vertical="center"/>
    </xf>
    <xf numFmtId="0" fontId="0" fillId="34" borderId="65" xfId="0" applyFont="1" applyFill="1" applyBorder="1" applyAlignment="1" applyProtection="1">
      <alignment vertical="center" wrapText="1"/>
    </xf>
    <xf numFmtId="164" fontId="103" fillId="34" borderId="28" xfId="439" applyNumberFormat="1" applyFont="1" applyFill="1" applyBorder="1" applyAlignment="1" applyProtection="1">
      <alignment horizontal="center" vertical="center" wrapText="1"/>
      <protection locked="0"/>
    </xf>
    <xf numFmtId="165" fontId="103" fillId="29" borderId="25" xfId="439" applyNumberFormat="1" applyFont="1" applyFill="1" applyBorder="1" applyAlignment="1" applyProtection="1">
      <alignment horizontal="center" vertical="center" wrapText="1"/>
      <protection locked="0"/>
    </xf>
    <xf numFmtId="0" fontId="0" fillId="34" borderId="65" xfId="0" applyFill="1" applyBorder="1" applyAlignment="1">
      <alignment horizontal="left" vertical="center" wrapText="1"/>
    </xf>
    <xf numFmtId="0" fontId="0" fillId="0" borderId="66" xfId="0" applyNumberFormat="1" applyFill="1" applyBorder="1" applyAlignment="1" applyProtection="1">
      <alignment horizontal="center" vertical="center" wrapText="1"/>
    </xf>
    <xf numFmtId="174" fontId="57" fillId="76" borderId="66" xfId="439" applyNumberFormat="1" applyFont="1" applyFill="1" applyBorder="1" applyAlignment="1" applyProtection="1">
      <alignment vertical="center"/>
    </xf>
    <xf numFmtId="39" fontId="0" fillId="34" borderId="29" xfId="439" applyNumberFormat="1" applyFont="1" applyFill="1" applyBorder="1" applyAlignment="1" applyProtection="1">
      <alignment vertical="center" wrapText="1"/>
    </xf>
    <xf numFmtId="0" fontId="0" fillId="0" borderId="65" xfId="0" applyFont="1" applyFill="1" applyBorder="1" applyAlignment="1" applyProtection="1">
      <alignment horizontal="left" vertical="center" wrapText="1"/>
    </xf>
    <xf numFmtId="0" fontId="1" fillId="34" borderId="45" xfId="0" applyNumberFormat="1" applyFont="1" applyFill="1" applyBorder="1" applyAlignment="1" applyProtection="1">
      <alignment horizontal="left" vertical="top" wrapText="1"/>
    </xf>
    <xf numFmtId="49" fontId="0" fillId="29" borderId="0" xfId="0" applyNumberFormat="1" applyFill="1" applyProtection="1">
      <protection locked="0"/>
    </xf>
    <xf numFmtId="49" fontId="103" fillId="0" borderId="23" xfId="439" applyNumberFormat="1" applyFont="1" applyFill="1" applyBorder="1" applyAlignment="1" applyProtection="1">
      <alignment horizontal="center" vertical="center" wrapText="1"/>
    </xf>
    <xf numFmtId="49" fontId="103" fillId="0" borderId="30" xfId="439" applyNumberFormat="1" applyFont="1" applyFill="1" applyBorder="1" applyAlignment="1" applyProtection="1">
      <alignment horizontal="center" vertical="center" wrapText="1"/>
    </xf>
    <xf numFmtId="49" fontId="0" fillId="31" borderId="65" xfId="0" applyNumberFormat="1" applyFill="1" applyBorder="1" applyAlignment="1">
      <alignment horizontal="center" vertical="center"/>
    </xf>
    <xf numFmtId="0" fontId="131" fillId="73" borderId="0" xfId="0" applyFont="1" applyFill="1" applyAlignment="1">
      <alignment horizontal="left" vertical="center" wrapText="1"/>
    </xf>
    <xf numFmtId="0" fontId="59" fillId="73" borderId="0" xfId="611" applyFill="1"/>
    <xf numFmtId="0" fontId="103" fillId="0" borderId="13" xfId="0" applyFont="1" applyBorder="1" applyAlignment="1">
      <alignment horizontal="left" wrapText="1"/>
    </xf>
    <xf numFmtId="0" fontId="103" fillId="0" borderId="16" xfId="0" applyFont="1" applyBorder="1" applyAlignment="1">
      <alignment horizontal="left" wrapText="1"/>
    </xf>
    <xf numFmtId="0" fontId="103" fillId="0" borderId="13" xfId="0" applyFont="1" applyBorder="1" applyAlignment="1">
      <alignment horizontal="left"/>
    </xf>
    <xf numFmtId="0" fontId="103" fillId="0" borderId="16" xfId="0" applyFont="1" applyBorder="1" applyAlignment="1">
      <alignment horizontal="left"/>
    </xf>
    <xf numFmtId="49" fontId="0" fillId="31" borderId="13" xfId="0" applyNumberFormat="1" applyFill="1" applyBorder="1" applyAlignment="1" applyProtection="1">
      <alignment horizontal="center"/>
      <protection locked="0"/>
    </xf>
    <xf numFmtId="49" fontId="0" fillId="31" borderId="11" xfId="0" applyNumberFormat="1" applyFill="1" applyBorder="1" applyAlignment="1" applyProtection="1">
      <alignment horizontal="center"/>
      <protection locked="0"/>
    </xf>
    <xf numFmtId="49" fontId="59" fillId="31" borderId="13" xfId="611" applyNumberFormat="1" applyFill="1" applyBorder="1" applyAlignment="1" applyProtection="1">
      <alignment horizontal="center"/>
      <protection locked="0"/>
    </xf>
    <xf numFmtId="14" fontId="0" fillId="31" borderId="13" xfId="0" applyNumberFormat="1" applyFill="1" applyBorder="1" applyAlignment="1" applyProtection="1">
      <alignment horizontal="center"/>
      <protection locked="0"/>
    </xf>
    <xf numFmtId="14" fontId="0" fillId="31" borderId="11" xfId="0" applyNumberFormat="1" applyFill="1" applyBorder="1" applyAlignment="1" applyProtection="1">
      <alignment horizontal="center"/>
      <protection locked="0"/>
    </xf>
    <xf numFmtId="0" fontId="65" fillId="27" borderId="16" xfId="0" applyFont="1" applyFill="1" applyBorder="1" applyAlignment="1" applyProtection="1">
      <alignment horizontal="center" wrapText="1"/>
      <protection locked="0"/>
    </xf>
    <xf numFmtId="0" fontId="65" fillId="27" borderId="11" xfId="0" applyFont="1" applyFill="1" applyBorder="1" applyAlignment="1" applyProtection="1">
      <alignment horizontal="center" wrapText="1"/>
      <protection locked="0"/>
    </xf>
    <xf numFmtId="0" fontId="85" fillId="21" borderId="13" xfId="0" applyFont="1" applyFill="1" applyBorder="1" applyAlignment="1" applyProtection="1">
      <alignment horizontal="left" vertical="center" wrapText="1"/>
    </xf>
    <xf numFmtId="0" fontId="85" fillId="21" borderId="16" xfId="0" applyFont="1" applyFill="1" applyBorder="1" applyAlignment="1" applyProtection="1">
      <alignment horizontal="left" vertical="center" wrapText="1"/>
    </xf>
    <xf numFmtId="0" fontId="68" fillId="28" borderId="0" xfId="0" applyFont="1" applyFill="1" applyAlignment="1" applyProtection="1">
      <alignment horizontal="left" vertical="center" wrapText="1"/>
    </xf>
    <xf numFmtId="0" fontId="77" fillId="0" borderId="13" xfId="0" applyFont="1" applyBorder="1" applyAlignment="1">
      <alignment horizontal="center"/>
    </xf>
    <xf numFmtId="0" fontId="77" fillId="0" borderId="16" xfId="0" applyFont="1" applyBorder="1" applyAlignment="1">
      <alignment horizontal="center"/>
    </xf>
    <xf numFmtId="0" fontId="77" fillId="0" borderId="11" xfId="0" applyFont="1" applyBorder="1" applyAlignment="1">
      <alignment horizontal="center"/>
    </xf>
    <xf numFmtId="0" fontId="61" fillId="0" borderId="22" xfId="0" applyFont="1" applyBorder="1" applyAlignment="1">
      <alignment horizontal="left" vertical="center" wrapText="1"/>
    </xf>
    <xf numFmtId="0" fontId="61" fillId="0" borderId="0" xfId="0" applyFont="1" applyAlignment="1">
      <alignment horizontal="left" vertical="center" wrapText="1"/>
    </xf>
    <xf numFmtId="0" fontId="64" fillId="31" borderId="37" xfId="0" applyFont="1" applyFill="1" applyBorder="1" applyAlignment="1">
      <alignment horizontal="center" vertical="center" wrapText="1"/>
    </xf>
    <xf numFmtId="0" fontId="64" fillId="31" borderId="39" xfId="0" applyFont="1" applyFill="1" applyBorder="1" applyAlignment="1">
      <alignment horizontal="center" vertical="center" wrapText="1"/>
    </xf>
    <xf numFmtId="0" fontId="39" fillId="28" borderId="0" xfId="0" applyFont="1" applyFill="1" applyAlignment="1">
      <alignment horizontal="left" vertical="center" wrapText="1"/>
    </xf>
    <xf numFmtId="0" fontId="91" fillId="0" borderId="0" xfId="682" applyFont="1" applyAlignment="1">
      <alignment horizontal="left" wrapText="1"/>
    </xf>
    <xf numFmtId="0" fontId="117" fillId="27" borderId="0" xfId="682" applyFont="1" applyFill="1" applyAlignment="1">
      <alignment horizontal="left" vertical="center" wrapText="1"/>
    </xf>
    <xf numFmtId="0" fontId="90" fillId="0" borderId="0" xfId="682" applyFont="1" applyAlignment="1">
      <alignment horizontal="center" vertical="center"/>
    </xf>
    <xf numFmtId="0" fontId="95" fillId="27" borderId="0" xfId="682" applyFont="1" applyFill="1" applyAlignment="1">
      <alignment horizontal="left" wrapText="1"/>
    </xf>
    <xf numFmtId="0" fontId="64" fillId="0" borderId="13" xfId="0" applyFont="1" applyBorder="1" applyAlignment="1" applyProtection="1">
      <alignment horizontal="center"/>
    </xf>
    <xf numFmtId="0" fontId="64" fillId="0" borderId="16" xfId="0" applyFont="1" applyBorder="1" applyAlignment="1" applyProtection="1">
      <alignment horizontal="center"/>
    </xf>
    <xf numFmtId="0" fontId="64" fillId="0" borderId="11" xfId="0" applyFont="1" applyBorder="1" applyAlignment="1" applyProtection="1">
      <alignment horizontal="center"/>
    </xf>
    <xf numFmtId="0" fontId="64" fillId="0" borderId="13" xfId="0" applyFont="1" applyFill="1" applyBorder="1" applyAlignment="1" applyProtection="1">
      <alignment horizontal="center" wrapText="1"/>
    </xf>
    <xf numFmtId="0" fontId="64" fillId="0" borderId="16" xfId="0" applyFont="1" applyFill="1" applyBorder="1" applyAlignment="1" applyProtection="1">
      <alignment horizontal="center" wrapText="1"/>
    </xf>
    <xf numFmtId="0" fontId="64" fillId="0" borderId="11" xfId="0" applyFont="1" applyFill="1" applyBorder="1" applyAlignment="1" applyProtection="1">
      <alignment horizontal="center" wrapText="1"/>
    </xf>
    <xf numFmtId="0" fontId="63" fillId="73" borderId="0" xfId="0" applyFont="1" applyFill="1" applyAlignment="1">
      <alignment horizontal="left" vertical="center" wrapText="1"/>
    </xf>
    <xf numFmtId="0" fontId="64" fillId="0" borderId="0" xfId="0" applyFont="1" applyAlignment="1">
      <alignment horizontal="center" vertical="center" wrapText="1"/>
    </xf>
  </cellXfs>
  <cellStyles count="30774">
    <cellStyle name="20% - Accent1" xfId="29487" builtinId="30" customBuiltin="1"/>
    <cellStyle name="20% - Accent1 2" xfId="29499" xr:uid="{B4D97588-4E6D-4F66-9660-485579464908}"/>
    <cellStyle name="20% - Accent2" xfId="29489" builtinId="34" customBuiltin="1"/>
    <cellStyle name="20% - Accent2 2" xfId="29500" xr:uid="{35B0F212-66A1-472C-9A01-199A3F0DF76E}"/>
    <cellStyle name="20% - Accent3" xfId="29491" builtinId="38" customBuiltin="1"/>
    <cellStyle name="20% - Accent3 2" xfId="29501" xr:uid="{96A9D8D9-2163-4871-AD2A-E6FAD8327E91}"/>
    <cellStyle name="20% - Accent4" xfId="29493" builtinId="42" customBuiltin="1"/>
    <cellStyle name="20% - Accent4 2" xfId="29502" xr:uid="{85AD3608-5EC0-473E-ABF2-FE57FA5CFC47}"/>
    <cellStyle name="20% - Accent5" xfId="29495" builtinId="46" customBuiltin="1"/>
    <cellStyle name="20% - Accent5 2" xfId="29503" xr:uid="{2FAF7B59-7AF2-4277-AFB8-4CED4BCD4AA4}"/>
    <cellStyle name="20% - Accent6" xfId="29497" builtinId="50" customBuiltin="1"/>
    <cellStyle name="20% - Accent6 2" xfId="29504" xr:uid="{FD542BF9-873D-4C28-BB47-353BB6433DA7}"/>
    <cellStyle name="40% - Accent1" xfId="29488" builtinId="31" customBuiltin="1"/>
    <cellStyle name="40% - Accent1 2" xfId="29505" xr:uid="{0AA31246-28F2-4031-B39E-24F57F4DDC66}"/>
    <cellStyle name="40% - Accent2" xfId="29490" builtinId="35" customBuiltin="1"/>
    <cellStyle name="40% - Accent2 2" xfId="29506" xr:uid="{0339A947-B4EF-413F-9CAB-D0CABA162D0E}"/>
    <cellStyle name="40% - Accent3" xfId="29492" builtinId="39" customBuiltin="1"/>
    <cellStyle name="40% - Accent3 2" xfId="29507" xr:uid="{CE323443-EBFB-44AC-8BFD-1096489AD057}"/>
    <cellStyle name="40% - Accent4" xfId="29494" builtinId="43" customBuiltin="1"/>
    <cellStyle name="40% - Accent4 2" xfId="29508" xr:uid="{1DDF968D-ECA9-419B-B4EF-BD60D065FFB9}"/>
    <cellStyle name="40% - Accent5" xfId="29496" builtinId="47" customBuiltin="1"/>
    <cellStyle name="40% - Accent5 2" xfId="29509" xr:uid="{02D52EC3-9136-44C4-ABDC-79A2B992ECE6}"/>
    <cellStyle name="40% - Accent6" xfId="29498" builtinId="51" customBuiltin="1"/>
    <cellStyle name="40% - Accent6 2" xfId="29510" xr:uid="{7AB5FB25-D096-4925-8629-B2984C52A4A8}"/>
    <cellStyle name="60% - Accent1 2" xfId="29512" xr:uid="{7BFD2628-E072-4C2E-A30D-99A65338F113}"/>
    <cellStyle name="60% - Accent1 3" xfId="29511" xr:uid="{BA6653BC-E10F-49F1-922C-B37BD20BEE19}"/>
    <cellStyle name="60% - Accent2 2" xfId="29514" xr:uid="{B882DD0F-CF38-4110-A0B9-6D557E839E6F}"/>
    <cellStyle name="60% - Accent2 3" xfId="29513" xr:uid="{DBBEE3D1-BAA2-420D-AAD0-54977FAFD7AB}"/>
    <cellStyle name="60% - Accent3 2" xfId="29516" xr:uid="{B675D886-1249-408E-9624-ACBD29CE5E3B}"/>
    <cellStyle name="60% - Accent3 3" xfId="29515" xr:uid="{FFB5D201-005A-462D-82FC-535C7CE075BC}"/>
    <cellStyle name="60% - Accent4 2" xfId="29518" xr:uid="{CED353FE-23B8-41C5-8DF6-5B6EF71C5850}"/>
    <cellStyle name="60% - Accent4 3" xfId="29517" xr:uid="{70AF2E1E-CEC4-4808-B667-18848E7B237D}"/>
    <cellStyle name="60% - Accent5 2" xfId="29520" xr:uid="{24EFBFA3-A241-4B03-9CF7-1D6C9FDB8D68}"/>
    <cellStyle name="60% - Accent5 3" xfId="29519" xr:uid="{2FF37EA9-BACD-426F-A9D1-CB53E08211DE}"/>
    <cellStyle name="60% - Accent6 2" xfId="29522" xr:uid="{9E87C1BF-4265-43A7-B9CC-CEB53C8178E0}"/>
    <cellStyle name="60% - Accent6 3" xfId="29521" xr:uid="{ADE31EA4-598F-40AE-8C52-523F301B9003}"/>
    <cellStyle name="Accent1" xfId="4840"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3" xr:uid="{9FFF7FF5-1157-4607-AB6B-BA41FCEAE106}"/>
    <cellStyle name="Accent1 36" xfId="34" xr:uid="{00000000-0005-0000-0000-000021000000}"/>
    <cellStyle name="Accent1 36 2" xfId="29524"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2" xr:uid="{081EF534-E64F-4523-85C5-C52D0496B0C3}"/>
    <cellStyle name="Accent1 7" xfId="70" xr:uid="{00000000-0005-0000-0000-000045000000}"/>
    <cellStyle name="Accent1 70" xfId="22942" xr:uid="{4DC46A14-6FD5-4703-B964-ECA4F0B990BA}"/>
    <cellStyle name="Accent1 71" xfId="23987" xr:uid="{88B3CE1F-60C4-438B-A98E-5663565F73D8}"/>
    <cellStyle name="Accent1 8" xfId="71" xr:uid="{00000000-0005-0000-0000-000046000000}"/>
    <cellStyle name="Accent1 9" xfId="72" xr:uid="{00000000-0005-0000-0000-000047000000}"/>
    <cellStyle name="Accent2" xfId="4841"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5" xr:uid="{FA96348D-F8A4-4421-AC84-88F50463AE41}"/>
    <cellStyle name="Accent2 36" xfId="106" xr:uid="{00000000-0005-0000-0000-000069000000}"/>
    <cellStyle name="Accent2 36 2" xfId="29526"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6" xr:uid="{5182FF0B-24DC-49CB-A283-39402094CB39}"/>
    <cellStyle name="Accent2 7" xfId="142" xr:uid="{00000000-0005-0000-0000-00008D000000}"/>
    <cellStyle name="Accent2 70" xfId="25154" xr:uid="{DB859796-D498-4E56-A125-E2DCDE4C795B}"/>
    <cellStyle name="Accent2 71" xfId="23714" xr:uid="{83A61C3E-87A1-4F6A-8122-B7A001AB4311}"/>
    <cellStyle name="Accent2 8" xfId="143" xr:uid="{00000000-0005-0000-0000-00008E000000}"/>
    <cellStyle name="Accent2 9" xfId="144" xr:uid="{00000000-0005-0000-0000-00008F000000}"/>
    <cellStyle name="Accent3" xfId="4842"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7" xr:uid="{6D42C670-79BA-41D0-B5D2-B979219AF29B}"/>
    <cellStyle name="Accent3 36" xfId="178" xr:uid="{00000000-0005-0000-0000-0000B1000000}"/>
    <cellStyle name="Accent3 36 2" xfId="29528"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6" xr:uid="{0A5F0C95-5616-4611-AF28-AA89E0277EF1}"/>
    <cellStyle name="Accent3 7" xfId="214" xr:uid="{00000000-0005-0000-0000-0000D5000000}"/>
    <cellStyle name="Accent3 70" xfId="25649" xr:uid="{E970874A-57B0-4CBC-9DC1-7D50C0AD51C2}"/>
    <cellStyle name="Accent3 71" xfId="25595" xr:uid="{AF994C2C-841D-49C9-8721-FA9396879B33}"/>
    <cellStyle name="Accent3 8" xfId="215" xr:uid="{00000000-0005-0000-0000-0000D6000000}"/>
    <cellStyle name="Accent3 9" xfId="216" xr:uid="{00000000-0005-0000-0000-0000D7000000}"/>
    <cellStyle name="Accent4" xfId="4843"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9" xr:uid="{10BFA22F-D3BD-4505-8E2E-CD3D2ED897CC}"/>
    <cellStyle name="Accent4 36" xfId="250" xr:uid="{00000000-0005-0000-0000-0000F9000000}"/>
    <cellStyle name="Accent4 36 2" xfId="29530"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4" xr:uid="{AED4E30E-FB92-4A5C-BCC6-8ADCF62D9D7B}"/>
    <cellStyle name="Accent4 7" xfId="286" xr:uid="{00000000-0005-0000-0000-00001D010000}"/>
    <cellStyle name="Accent4 70" xfId="25088" xr:uid="{F41DF068-013E-42BF-8021-6272E34725E0}"/>
    <cellStyle name="Accent4 71" xfId="23848" xr:uid="{5FC22722-3052-4868-94D9-E5570379FEF4}"/>
    <cellStyle name="Accent4 8" xfId="287" xr:uid="{00000000-0005-0000-0000-00001E010000}"/>
    <cellStyle name="Accent4 9" xfId="288" xr:uid="{00000000-0005-0000-0000-00001F010000}"/>
    <cellStyle name="Accent5" xfId="4844"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31" xr:uid="{458CA2AC-D926-4059-8065-048300B70009}"/>
    <cellStyle name="Accent5 36" xfId="322" xr:uid="{00000000-0005-0000-0000-000041010000}"/>
    <cellStyle name="Accent5 36 2" xfId="29532"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7" xr:uid="{26B30322-1C89-49D0-BA3E-F8658C186C8B}"/>
    <cellStyle name="Accent5 7" xfId="358" xr:uid="{00000000-0005-0000-0000-000065010000}"/>
    <cellStyle name="Accent5 70" xfId="25597" xr:uid="{07476C96-5AF1-4461-9D78-20043F9CC41D}"/>
    <cellStyle name="Accent5 71" xfId="23797" xr:uid="{A5A9B84C-234B-4744-B883-15586B3D4CBC}"/>
    <cellStyle name="Accent5 8" xfId="359" xr:uid="{00000000-0005-0000-0000-000066010000}"/>
    <cellStyle name="Accent5 9" xfId="360" xr:uid="{00000000-0005-0000-0000-000067010000}"/>
    <cellStyle name="Accent6" xfId="4845"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3" xr:uid="{DF070521-6078-474F-9C65-EEACD7551C73}"/>
    <cellStyle name="Accent6 36" xfId="394" xr:uid="{00000000-0005-0000-0000-000089010000}"/>
    <cellStyle name="Accent6 36 2" xfId="29534"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3" xr:uid="{893BB9CA-356D-471A-AD5F-9495431F0EFC}"/>
    <cellStyle name="Accent6 7" xfId="430" xr:uid="{00000000-0005-0000-0000-0000AD010000}"/>
    <cellStyle name="Accent6 70" xfId="23392" xr:uid="{600A1D35-8915-4E4F-910E-44B8813D2433}"/>
    <cellStyle name="Accent6 71" xfId="24895" xr:uid="{E9DA2F1C-4737-4689-9B35-D336BD388C4B}"/>
    <cellStyle name="Accent6 8" xfId="431" xr:uid="{00000000-0005-0000-0000-0000AE010000}"/>
    <cellStyle name="Accent6 9" xfId="432" xr:uid="{00000000-0005-0000-0000-0000AF010000}"/>
    <cellStyle name="AccountClassificationTotalRowBalanceCol" xfId="12256" xr:uid="{EC67F07D-7951-469F-8170-F5D0EECEF2B9}"/>
    <cellStyle name="AccountClassificationTotalRowDescCol" xfId="12257" xr:uid="{58C315D6-5F7A-4069-8511-56264FEB55D8}"/>
    <cellStyle name="AccountClassificationTotalRowJERefCol" xfId="12258" xr:uid="{A31CFF99-3CB9-4CA9-96B5-9617F3D74581}"/>
    <cellStyle name="AccountClassificationTotalRowNameCol" xfId="12259" xr:uid="{D8403E05-910B-416C-84D7-F4A4937E4F4E}"/>
    <cellStyle name="AccountClassificationTotalRowVarPectCol" xfId="12260" xr:uid="{0BE0B926-9C35-48BC-B042-7CE47D3A1851}"/>
    <cellStyle name="AccountClassificationTotalRowWPRefCol" xfId="12261" xr:uid="{925C4963-1C84-45C3-8947-534838B1E866}"/>
    <cellStyle name="AccountDetailRowBalanceCol" xfId="12262" xr:uid="{77667C83-8EFE-4812-AE3D-73F088645F26}"/>
    <cellStyle name="AccountDetailRowDescCol" xfId="12263" xr:uid="{F920A0ED-4A8B-4F46-8AB2-76F71763D448}"/>
    <cellStyle name="AccountDetailRowJERefCol" xfId="12264" xr:uid="{9813E5D3-12DB-437B-B303-16516C42BCDD}"/>
    <cellStyle name="AccountDetailRowNameCol" xfId="12265" xr:uid="{426F538C-E9A9-467F-B29B-D74FFDD9B789}"/>
    <cellStyle name="AccountDetailRowVarPectCol" xfId="12266" xr:uid="{07328471-F285-4FE4-A039-12C2FC29E23C}"/>
    <cellStyle name="AccountDetailRowWPRefCol" xfId="12267" xr:uid="{63D4C9A4-BEB1-48C5-9B6B-F97E2C59B285}"/>
    <cellStyle name="AccountNetIncomeLossRowBalanceCol" xfId="12268" xr:uid="{F448CEAA-67FF-4FC0-96A1-6BAFFBD6B911}"/>
    <cellStyle name="AccountNetIncomeLossRowDescCol" xfId="12269" xr:uid="{907304E3-D678-4386-80CB-0AE41803742B}"/>
    <cellStyle name="AccountNetIncomeLossRowJERefCol" xfId="12270" xr:uid="{4AD86227-B1E6-42D5-AC15-93DF6FB098AE}"/>
    <cellStyle name="AccountNetIncomeLossRowNameCol" xfId="12271" xr:uid="{6F1446DA-34A4-4BAF-AE61-E09B1700FDA3}"/>
    <cellStyle name="AccountNetIncomeLossRowWPRefCol" xfId="12272" xr:uid="{FB9B068C-3426-4FEC-9BCE-53BA3852EC52}"/>
    <cellStyle name="AccountTotalBalanceCol" xfId="12273" xr:uid="{62D17BB6-FF13-418C-9803-BAB02AACCA66}"/>
    <cellStyle name="AccountTotalDescCol" xfId="12274" xr:uid="{8B64D827-7F09-462E-AD85-47BFF4D4EC5F}"/>
    <cellStyle name="AccountTotalDetailRowBalanceCol" xfId="12275" xr:uid="{02C688DB-A53F-4634-A6D5-064A9432EEEE}"/>
    <cellStyle name="AccountTotalDetailRowDescCol" xfId="12276" xr:uid="{25B3EB54-7A7F-4CD3-885F-515F18EF8361}"/>
    <cellStyle name="AccountTotalDetailRowJERefCol" xfId="12277" xr:uid="{A63BC09C-87DF-40A4-B111-508D606087AE}"/>
    <cellStyle name="AccountTotalDetailRowNameCol" xfId="12278" xr:uid="{C8A154E5-6A0E-4713-A17B-7221D101338A}"/>
    <cellStyle name="AccountTotalDetailRowVarPectCol" xfId="12279" xr:uid="{84F7299E-C6F5-432C-BFBD-4CB12B0F8443}"/>
    <cellStyle name="AccountTotalDetailRowWPRefCol" xfId="12280" xr:uid="{3D152E01-12CD-4572-9BD1-848122C74E29}"/>
    <cellStyle name="AccountTotalJERefCol" xfId="12281" xr:uid="{D4B3EF14-29B4-479B-8ECA-AB86C6F7F9A7}"/>
    <cellStyle name="AccountTotalNameCol" xfId="12282" xr:uid="{2F9ADDFE-9B68-4482-9348-CA077A3EDE31}"/>
    <cellStyle name="AccountTotalVarPectCol" xfId="12283" xr:uid="{2442709C-27F3-4DDE-9EB7-6134EC287E40}"/>
    <cellStyle name="AccountTotalWPRefCol" xfId="12284" xr:uid="{7BE54512-808B-4A68-AD7A-9125B24E1990}"/>
    <cellStyle name="AccountTypeTotalRowBalanceCol" xfId="12285" xr:uid="{0BE8223E-693B-4C56-8A0A-753CB23F8E77}"/>
    <cellStyle name="AccountTypeTotalRowDescCol" xfId="12286" xr:uid="{E58BB922-D13D-408F-9FA2-B8C0E81CB2A6}"/>
    <cellStyle name="AccountTypeTotalRowJERefCol" xfId="12287" xr:uid="{E085CEA1-A898-4643-8859-2EC469AADDC6}"/>
    <cellStyle name="AccountTypeTotalRowNameCol" xfId="12288" xr:uid="{08BD6057-9984-4D2B-8FE3-BE14D7F0A517}"/>
    <cellStyle name="AccountTypeTotalRowVarPectCol" xfId="12289" xr:uid="{61376634-7F9D-4EE6-9142-386C6055B159}"/>
    <cellStyle name="AccountTypeTotalRowWPRefCol" xfId="12290" xr:uid="{48EB2C52-C95F-433B-AFFA-186036549B8C}"/>
    <cellStyle name="Bad" xfId="4832" builtinId="27" customBuiltin="1"/>
    <cellStyle name="Bad 2" xfId="433" xr:uid="{00000000-0005-0000-0000-0000B0010000}"/>
    <cellStyle name="Bad 3" xfId="434" xr:uid="{00000000-0005-0000-0000-0000B1010000}"/>
    <cellStyle name="Bad 4" xfId="29535" xr:uid="{9B249360-0FC1-414C-A036-E5117C73CAB0}"/>
    <cellStyle name="BlankRow" xfId="12291" xr:uid="{4121281A-F746-4EB3-9299-49886C4F50B5}"/>
    <cellStyle name="BlankRowJERefCol" xfId="12292" xr:uid="{4A2DC9E7-D0E0-4E32-854E-FD699096895D}"/>
    <cellStyle name="Calculation" xfId="4835" builtinId="22" customBuiltin="1"/>
    <cellStyle name="Calculation 2" xfId="435" xr:uid="{00000000-0005-0000-0000-0000B2010000}"/>
    <cellStyle name="Calculation 3" xfId="436" xr:uid="{00000000-0005-0000-0000-0000B3010000}"/>
    <cellStyle name="Calculation 4" xfId="29536" xr:uid="{69B00D0E-0C4F-4265-91AD-F9F8D74D5F25}"/>
    <cellStyle name="Check Cell" xfId="4837" builtinId="23" customBuiltin="1"/>
    <cellStyle name="Check Cell 2" xfId="437" xr:uid="{00000000-0005-0000-0000-0000B4010000}"/>
    <cellStyle name="Check Cell 3" xfId="438" xr:uid="{00000000-0005-0000-0000-0000B5010000}"/>
    <cellStyle name="Check Cell 4" xfId="29537" xr:uid="{6A797CFE-E1DB-4032-9CC3-6FDB2D608719}"/>
    <cellStyle name="ClassifiedGroupTotalRowBalanceCol" xfId="12293" xr:uid="{405D37AD-B4DC-4C92-8C46-7F7CFC07CBA4}"/>
    <cellStyle name="ClassifiedGroupTotalRowDescCol" xfId="12294" xr:uid="{E7D38FB1-798D-4C3C-98C6-838D02791D3A}"/>
    <cellStyle name="ClassifiedGroupTotalRowJERefCol" xfId="12295" xr:uid="{831BE3B0-EE1F-454E-B64E-69F4567A1AA3}"/>
    <cellStyle name="ClassifiedGroupTotalRowNameCol" xfId="12296" xr:uid="{C1AEECDB-0357-45C3-952A-630997EAB411}"/>
    <cellStyle name="ClassifiedGroupTotalRowVarPectCol" xfId="12297" xr:uid="{583C6BED-AEC6-4E68-A275-BAA2A7E3AB58}"/>
    <cellStyle name="ClassifiedGroupTotalRowWPRefCol" xfId="12298" xr:uid="{8A9A7AF6-C911-4BCB-89E3-3FDD97F991BE}"/>
    <cellStyle name="ColumnHeaderRowBalanceCol" xfId="12299" xr:uid="{7C7DE4C8-68BF-44E9-A73B-4EBD6CB0FF08}"/>
    <cellStyle name="ColumnHeaderRowBlankCol" xfId="12300" xr:uid="{2A222394-1C2F-4DA9-8F07-F4AD3EEF3074}"/>
    <cellStyle name="ColumnHeaderRowCreditCol" xfId="12301" xr:uid="{AB01A784-B20C-4530-8AB5-58C870EDC31F}"/>
    <cellStyle name="ColumnHeaderRowDebitCol" xfId="12302" xr:uid="{AA9769CB-8B00-4E2B-BB96-3990F105FE8C}"/>
    <cellStyle name="ColumnHeaderRowDescCol" xfId="12303" xr:uid="{068AC2D8-5FEE-4BA6-B901-D215B616B4D4}"/>
    <cellStyle name="ColumnHeaderRowJERefCol" xfId="12304" xr:uid="{C7181AB7-6507-49C6-928A-F0C56630FBFB}"/>
    <cellStyle name="ColumnHeaderRowNameCol" xfId="12305" xr:uid="{612FAA23-FF0B-4E7C-B59D-3FEBA5E19728}"/>
    <cellStyle name="ColumnHeaderRowVarPectCol" xfId="12306" xr:uid="{DEF1BC8B-0512-4843-AEB1-DB90351FCA08}"/>
    <cellStyle name="ColumnHeaderRowWPRefCol" xfId="12307" xr:uid="{FFAAEFC1-DBE6-4623-B0DF-2317B9F4CA0B}"/>
    <cellStyle name="ColumnMetadataRowBalanceCol" xfId="12308" xr:uid="{04DA5B81-7D03-4BE8-99F1-0766EFD488E2}"/>
    <cellStyle name="ColumnMetadataRowDescCol" xfId="12309" xr:uid="{13DB7B1F-19D8-432A-9D4E-1D5AF44731B8}"/>
    <cellStyle name="ColumnMetadataRowJERefCol" xfId="12310" xr:uid="{DBDAF870-853B-4BCC-BD1D-94D1E72596D5}"/>
    <cellStyle name="ColumnMetadataRowNameCol" xfId="12311" xr:uid="{40E06265-6E66-4B92-B6E2-3B3B201B073D}"/>
    <cellStyle name="ColumnMetadataRowVarPectCol" xfId="12312" xr:uid="{DDEC6B24-578F-4BEC-8F1B-38AD75381ACE}"/>
    <cellStyle name="ColumnMetadataRowWPRefCol" xfId="12313" xr:uid="{D32F0F8B-6E9B-454B-A50A-8D99187F6004}"/>
    <cellStyle name="Comma" xfId="439" builtinId="3"/>
    <cellStyle name="Comma 10" xfId="440" xr:uid="{00000000-0005-0000-0000-0000B7010000}"/>
    <cellStyle name="Comma 10 10" xfId="12490" xr:uid="{29AC07E5-A76C-458E-B700-07D379D9F7B0}"/>
    <cellStyle name="Comma 10 2" xfId="441" xr:uid="{00000000-0005-0000-0000-0000B8010000}"/>
    <cellStyle name="Comma 10 2 2" xfId="442" xr:uid="{00000000-0005-0000-0000-0000B9010000}"/>
    <cellStyle name="Comma 10 2 2 2" xfId="1562" xr:uid="{00000000-0005-0000-0000-0000BA010000}"/>
    <cellStyle name="Comma 10 2 2 2 2" xfId="23258" xr:uid="{D9BB79B8-EC73-46E8-8D77-2E16F508B2FE}"/>
    <cellStyle name="Comma 10 2 2 2 2 2" xfId="30301" xr:uid="{645B2A2D-4F03-4CFA-BF08-E7F9481C304C}"/>
    <cellStyle name="Comma 10 2 2 2 3" xfId="24673" xr:uid="{DDF8ACA5-2AFD-4024-B635-F103D987427D}"/>
    <cellStyle name="Comma 10 2 2 2 4" xfId="30030" xr:uid="{D2303DB9-4AC3-469D-BA5E-3C3261DDA87C}"/>
    <cellStyle name="Comma 10 2 2 3" xfId="4848" xr:uid="{8F94D0E0-B6FC-4A5A-96EA-540CD9CE6C5C}"/>
    <cellStyle name="Comma 10 2 2 3 2" xfId="28026" xr:uid="{9E108CF4-A88E-4CA8-B7DD-2946C5BBAD03}"/>
    <cellStyle name="Comma 10 2 2 3 3" xfId="27612" xr:uid="{6FAB1EFE-AC33-4147-AFD2-28C5CB62D791}"/>
    <cellStyle name="Comma 10 2 2 3 4" xfId="14136" xr:uid="{F3B714C7-5286-4F66-BD1E-FB5924FE93A4}"/>
    <cellStyle name="Comma 10 2 2 4" xfId="6589" xr:uid="{9056E6DA-5EE2-4826-8E91-19EEF6F31924}"/>
    <cellStyle name="Comma 10 2 2 4 2" xfId="16969" xr:uid="{DDBF2E34-1085-47E9-99D9-AA0D68F84FEB}"/>
    <cellStyle name="Comma 10 2 2 5" xfId="9422" xr:uid="{2BD3351E-5285-4068-A1CD-BDB9D3138106}"/>
    <cellStyle name="Comma 10 2 2 5 2" xfId="19802" xr:uid="{61E9841B-2269-452F-80E0-AFED4E54080A}"/>
    <cellStyle name="Comma 10 2 2 6" xfId="24958" xr:uid="{A4F3E5C3-5BA0-421D-8D09-1134D3D9172B}"/>
    <cellStyle name="Comma 10 2 2 7" xfId="13511" xr:uid="{CB1A8726-DCC6-4716-969A-F4081216B883}"/>
    <cellStyle name="Comma 10 2 3" xfId="1563" xr:uid="{00000000-0005-0000-0000-0000BB010000}"/>
    <cellStyle name="Comma 10 2 3 2" xfId="2663" xr:uid="{00000000-0005-0000-0000-000078010000}"/>
    <cellStyle name="Comma 10 2 3 2 2" xfId="7787" xr:uid="{5F8EE468-F6B4-4573-B120-25BA1906DD12}"/>
    <cellStyle name="Comma 10 2 3 2 2 2" xfId="18167" xr:uid="{176782E4-13ED-4672-B2E4-6297AD0C978B}"/>
    <cellStyle name="Comma 10 2 3 2 3" xfId="10620" xr:uid="{6A628ADD-E2E1-48FC-8D32-29571B3F0AC6}"/>
    <cellStyle name="Comma 10 2 3 2 3 2" xfId="21000" xr:uid="{DBA562FE-9BE1-4D99-B41E-9E56D35F26A8}"/>
    <cellStyle name="Comma 10 2 3 2 4" xfId="28610" xr:uid="{35C489F4-22D2-407C-B5BF-F853F4F9D7A3}"/>
    <cellStyle name="Comma 10 2 3 2 5" xfId="27160" xr:uid="{74CEBE64-5A54-4301-858A-2278E6D1CEE1}"/>
    <cellStyle name="Comma 10 2 3 2 6" xfId="15334" xr:uid="{59487802-4CB8-4A0C-A2FD-39623F13DE8E}"/>
    <cellStyle name="Comma 10 2 3 3" xfId="3641" xr:uid="{00000000-0005-0000-0000-0000BB010000}"/>
    <cellStyle name="Comma 10 2 3 3 2" xfId="30153" xr:uid="{6BD7422C-5578-4D0E-84AC-D4696569370F}"/>
    <cellStyle name="Comma 10 2 3 4" xfId="5535" xr:uid="{2DF98002-6EFF-4F85-A30A-8AA3CBFF876D}"/>
    <cellStyle name="Comma 10 2 3 4 2" xfId="30507" xr:uid="{FCFE45D9-6DF0-4281-9371-4309422CEEBF}"/>
    <cellStyle name="Comma 10 2 3 5" xfId="23967" xr:uid="{872D2A5E-2248-4DBD-A4C8-F9817C8FE0C9}"/>
    <cellStyle name="Comma 10 2 3 6" xfId="25642" xr:uid="{37760901-87CF-4549-AF24-A8609D3586EE}"/>
    <cellStyle name="Comma 10 2 3 7" xfId="13064" xr:uid="{11E1BAD5-65BA-4AE4-965F-56AA1D657AA5}"/>
    <cellStyle name="Comma 10 2 4" xfId="1561" xr:uid="{00000000-0005-0000-0000-0000BC010000}"/>
    <cellStyle name="Comma 10 2 4 2" xfId="4675" xr:uid="{76A30654-04E8-43F3-9BD2-5D61777624B5}"/>
    <cellStyle name="Comma 10 2 4 2 2" xfId="29954" xr:uid="{BD272933-E7F4-460F-8885-F6C2FF7477D5}"/>
    <cellStyle name="Comma 10 2 4 3" xfId="24996" xr:uid="{BCC21D0C-6164-4C0C-BE9D-19D73485CCD6}"/>
    <cellStyle name="Comma 10 2 4 3 2" xfId="30226" xr:uid="{77AB020F-DBF6-4260-A9FE-1D7965FA04AF}"/>
    <cellStyle name="Comma 10 2 4 4" xfId="24681" xr:uid="{6007113F-9924-4D05-9E4A-D2077AEB8462}"/>
    <cellStyle name="Comma 10 2 4 5" xfId="26743" xr:uid="{77397AB9-4755-44AE-AC6E-A2E289AE7EE8}"/>
    <cellStyle name="Comma 10 2 4 5 2" xfId="29680" xr:uid="{08BB0870-3FC6-4D73-9B28-0608129D61E2}"/>
    <cellStyle name="Comma 10 2 5" xfId="3811" xr:uid="{A83598A2-AE72-45A7-B601-A55EF01150CB}"/>
    <cellStyle name="Comma 10 2 5 2" xfId="25194" xr:uid="{207B08F6-F371-4D90-A4E2-3906049E9723}"/>
    <cellStyle name="Comma 10 2 5 2 2" xfId="29959" xr:uid="{4FC7971B-8314-437C-8242-45272C687C89}"/>
    <cellStyle name="Comma 10 2 5 3" xfId="25744" xr:uid="{0CB8BCFE-C336-455F-AB49-F3C7B1BC9CDD}"/>
    <cellStyle name="Comma 10 2 5 4" xfId="26726" xr:uid="{E10D12CB-9FC4-43DF-9506-CC26BADEEDA0}"/>
    <cellStyle name="Comma 10 2 6" xfId="22924" xr:uid="{6875A78D-7D82-435D-82A6-AE342806D5C5}"/>
    <cellStyle name="Comma 10 2 6 2" xfId="30247" xr:uid="{73A8D7D7-CC66-404B-9AAB-517D9FE3F8AF}"/>
    <cellStyle name="Comma 10 2 6 3" xfId="30648" xr:uid="{4C1E2EC0-CF0C-4AC5-AB7E-34FCC3DCF5B8}"/>
    <cellStyle name="Comma 10 2 6 4" xfId="30005" xr:uid="{74F186B5-AB88-428C-8BAF-691C7D314DBA}"/>
    <cellStyle name="Comma 10 2 7" xfId="28538" xr:uid="{DC7A2659-338F-45FE-B0DB-9DBBE3311BDD}"/>
    <cellStyle name="Comma 10 3" xfId="443" xr:uid="{00000000-0005-0000-0000-0000BD010000}"/>
    <cellStyle name="Comma 10 3 2" xfId="1564" xr:uid="{00000000-0005-0000-0000-0000BE010000}"/>
    <cellStyle name="Comma 10 3 2 2" xfId="2662" xr:uid="{00000000-0005-0000-0000-000079010000}"/>
    <cellStyle name="Comma 10 3 2 2 2" xfId="26600" xr:uid="{8D6FBC3B-4AE4-4914-9366-0DFD7FECC23F}"/>
    <cellStyle name="Comma 10 3 2 2 2 2" xfId="29960" xr:uid="{4D0F25F4-935E-49BA-8AD5-B07D16583000}"/>
    <cellStyle name="Comma 10 3 2 2 3" xfId="26096" xr:uid="{327F2421-D34A-4BF2-8FAF-3BEE61ADE475}"/>
    <cellStyle name="Comma 10 3 2 3" xfId="2056" xr:uid="{00000000-0005-0000-0000-0000BE010000}"/>
    <cellStyle name="Comma 10 3 2 4" xfId="23889" xr:uid="{AAA2E3EE-1A35-4B5E-8F80-42D80BD38AF3}"/>
    <cellStyle name="Comma 10 3 3" xfId="3710" xr:uid="{00000000-0005-0000-0000-0000BD010000}"/>
    <cellStyle name="Comma 10 3 3 2" xfId="8613" xr:uid="{2A78C46A-E05F-438C-BA51-FBD76F44447E}"/>
    <cellStyle name="Comma 10 3 3 2 2" xfId="18993" xr:uid="{010FD0E0-CF72-419E-8CF2-96500DC79564}"/>
    <cellStyle name="Comma 10 3 3 3" xfId="11446" xr:uid="{63F0ACF9-6F3B-49A6-8C71-695A93F58B79}"/>
    <cellStyle name="Comma 10 3 3 3 2" xfId="21826" xr:uid="{784215F6-1FD0-4B50-B45F-E127D94D8A4B}"/>
    <cellStyle name="Comma 10 3 3 4" xfId="28012" xr:uid="{2DC75837-1CB4-452D-A541-699F806A60CA}"/>
    <cellStyle name="Comma 10 3 3 5" xfId="26711" xr:uid="{7ED3D6DD-A23C-49A8-BB74-986A9754EE9B}"/>
    <cellStyle name="Comma 10 3 3 6" xfId="16160" xr:uid="{36F2651F-7F03-4479-9E44-CF2351D6B5C7}"/>
    <cellStyle name="Comma 10 3 4" xfId="3807" xr:uid="{EAE0A1BB-398B-4B0E-97CB-A6B937EE0D30}"/>
    <cellStyle name="Comma 10 3 4 2" xfId="8643" xr:uid="{B77E9739-E0B6-4CB6-A8E3-908742B6A29E}"/>
    <cellStyle name="Comma 10 3 4 2 2" xfId="19023" xr:uid="{EA9B0E7B-2A96-4591-9E19-673D8E0FF155}"/>
    <cellStyle name="Comma 10 3 4 3" xfId="11476" xr:uid="{DD48EF75-8BB0-47E0-81A4-D35EC994FA2A}"/>
    <cellStyle name="Comma 10 3 4 3 2" xfId="21856" xr:uid="{B57C2FB3-340F-48A5-A7EF-B586DF7D40CF}"/>
    <cellStyle name="Comma 10 3 4 4" xfId="27990" xr:uid="{7D85175A-C573-446F-ACB0-0B75D0B2CB77}"/>
    <cellStyle name="Comma 10 3 4 5" xfId="26389" xr:uid="{A7958FA7-1C14-404A-B491-C01E167E4EDE}"/>
    <cellStyle name="Comma 10 3 4 6" xfId="16190" xr:uid="{A48C4FDC-3452-4999-A7E2-7585CD56C584}"/>
    <cellStyle name="Comma 10 3 5" xfId="4849" xr:uid="{A822458D-70D9-4B97-A615-B507EC140565}"/>
    <cellStyle name="Comma 10 3 5 2" xfId="14137" xr:uid="{73B791F9-DE67-4FFD-8BCD-ED93836E3ECA}"/>
    <cellStyle name="Comma 10 3 6" xfId="6590" xr:uid="{71392CA9-A50D-40B1-8EC0-5A00FF867C5C}"/>
    <cellStyle name="Comma 10 3 6 2" xfId="16970" xr:uid="{A3E61896-2352-411B-81DF-5E56AC748DE4}"/>
    <cellStyle name="Comma 10 3 7" xfId="9423" xr:uid="{9C025ABB-A3AD-49D7-B597-25A86D774F06}"/>
    <cellStyle name="Comma 10 3 7 2" xfId="19803" xr:uid="{45E9E58C-247D-4648-BCB9-2A448034C4E9}"/>
    <cellStyle name="Comma 10 3 8" xfId="26872" xr:uid="{DF5E808F-39A0-46CE-975A-3BD5A16775B2}"/>
    <cellStyle name="Comma 10 4" xfId="1565" xr:uid="{00000000-0005-0000-0000-0000BF010000}"/>
    <cellStyle name="Comma 10 4 2" xfId="3009" xr:uid="{00000000-0005-0000-0000-00007A010000}"/>
    <cellStyle name="Comma 10 4 2 2" xfId="8089" xr:uid="{6B599C17-3F10-44EB-ACDF-6655006877DD}"/>
    <cellStyle name="Comma 10 4 2 2 2" xfId="28776" xr:uid="{18929A66-F6E2-4BC7-8032-BFA3FDC7C4E0}"/>
    <cellStyle name="Comma 10 4 2 2 3" xfId="27978" xr:uid="{EFE62449-1A0E-4B62-8359-06E7D869BAD5}"/>
    <cellStyle name="Comma 10 4 2 2 4" xfId="18469" xr:uid="{25D77FA2-7C98-4FC0-A588-80542FA22A9C}"/>
    <cellStyle name="Comma 10 4 2 3" xfId="10922" xr:uid="{3FF7D1D0-68C6-450B-8AEA-D136634A982B}"/>
    <cellStyle name="Comma 10 4 2 3 2" xfId="21302" xr:uid="{74F8CD23-12B9-4D52-9DD7-0188402C3A27}"/>
    <cellStyle name="Comma 10 4 2 4" xfId="23349" xr:uid="{0701B39B-16D4-4865-88AD-B061959F9C6E}"/>
    <cellStyle name="Comma 10 4 2 5" xfId="15636" xr:uid="{E41A848A-7876-4931-BCCB-1E3B4ADCEA7E}"/>
    <cellStyle name="Comma 10 4 3" xfId="3562" xr:uid="{00000000-0005-0000-0000-0000BF010000}"/>
    <cellStyle name="Comma 10 4 3 2" xfId="30302" xr:uid="{8E71120B-F9AC-413B-8106-CE5953B90352}"/>
    <cellStyle name="Comma 10 4 4" xfId="4391" xr:uid="{7996377A-9016-4AC6-B865-6A69B11B069A}"/>
    <cellStyle name="Comma 10 4 4 2" xfId="9163" xr:uid="{6CB582D5-41FF-4944-A280-0C4FE6078316}"/>
    <cellStyle name="Comma 10 4 4 2 2" xfId="19543" xr:uid="{27CC5494-322D-423C-BB28-E0A60C6110ED}"/>
    <cellStyle name="Comma 10 4 4 3" xfId="11996" xr:uid="{09335994-8589-48E4-BFD4-26A50FF5AEA9}"/>
    <cellStyle name="Comma 10 4 4 3 2" xfId="22376" xr:uid="{4E488CB3-397C-426B-8403-440D39849D2B}"/>
    <cellStyle name="Comma 10 4 4 4" xfId="16710" xr:uid="{EA03CA2C-0671-499D-9482-3DE8228D1A5C}"/>
    <cellStyle name="Comma 10 4 5" xfId="5536" xr:uid="{1D2D61F4-F238-4E1D-88C6-0799050F2FDF}"/>
    <cellStyle name="Comma 10 4 6" xfId="23440" xr:uid="{1F415D9E-3343-4E70-B374-BF0C57340358}"/>
    <cellStyle name="Comma 10 4 7" xfId="13512" xr:uid="{93743F2C-543A-4E49-962E-7031F9E8B708}"/>
    <cellStyle name="Comma 10 5" xfId="1560" xr:uid="{00000000-0005-0000-0000-0000C0010000}"/>
    <cellStyle name="Comma 10 5 2" xfId="2653" xr:uid="{00000000-0005-0000-0000-00007B010000}"/>
    <cellStyle name="Comma 10 5 2 2" xfId="7778" xr:uid="{3DDBC7BE-A901-4188-A6BB-7D69CE764B7E}"/>
    <cellStyle name="Comma 10 5 2 2 2" xfId="18158" xr:uid="{3ED9956B-D763-45F4-8810-5149FC019E26}"/>
    <cellStyle name="Comma 10 5 2 3" xfId="10611" xr:uid="{26CDDB55-8FA7-4025-BB81-275208F0AB70}"/>
    <cellStyle name="Comma 10 5 2 3 2" xfId="20991" xr:uid="{1E7F1251-82E9-4624-8768-E0561EC9A6DC}"/>
    <cellStyle name="Comma 10 5 2 4" xfId="26074" xr:uid="{6532C758-C682-48C3-80A1-115C9B6CE70D}"/>
    <cellStyle name="Comma 10 5 2 5" xfId="26036" xr:uid="{851D1FE5-262F-47BB-AD32-6D95B7DB359F}"/>
    <cellStyle name="Comma 10 5 2 6" xfId="15325" xr:uid="{FCD4C034-6120-4AD9-ACB0-C0939607C6F5}"/>
    <cellStyle name="Comma 10 5 3" xfId="3591" xr:uid="{00000000-0005-0000-0000-0000C0010000}"/>
    <cellStyle name="Comma 10 5 3 2" xfId="30647" xr:uid="{BA65634C-E4D8-4D2D-90C2-6F5522E8466E}"/>
    <cellStyle name="Comma 10 5 4" xfId="5534" xr:uid="{3F9AD292-BB2B-40F9-81C9-C3017D3D9A9A}"/>
    <cellStyle name="Comma 10 5 5" xfId="23510" xr:uid="{F5391CC6-5F30-4E97-9853-0F67AF53CB19}"/>
    <cellStyle name="Comma 10 5 6" xfId="13055" xr:uid="{1711E3F4-ACE1-48FA-B5A8-3DBD139B8694}"/>
    <cellStyle name="Comma 10 6" xfId="2258" xr:uid="{00000000-0005-0000-0000-000075010000}"/>
    <cellStyle name="Comma 10 6 2" xfId="7385" xr:uid="{15130742-8A67-4621-8C40-0F3D4163C394}"/>
    <cellStyle name="Comma 10 6 2 2" xfId="26687" xr:uid="{79E726A4-9DA0-4DB0-B8E9-51BBC7EE02CC}"/>
    <cellStyle name="Comma 10 6 2 3" xfId="27825" xr:uid="{6FB07B07-2819-4851-9DF7-BD0DC7F568D1}"/>
    <cellStyle name="Comma 10 6 2 4" xfId="17765" xr:uid="{BB4334E2-C445-431B-8CDB-15B1B429D13F}"/>
    <cellStyle name="Comma 10 6 3" xfId="10218" xr:uid="{409859B8-66F3-45FA-80D9-F842B6ED1FC4}"/>
    <cellStyle name="Comma 10 6 3 2" xfId="20598" xr:uid="{CA42B181-1791-4D7F-BF63-367EF25451CB}"/>
    <cellStyle name="Comma 10 6 4" xfId="24019" xr:uid="{0581061B-923C-4723-8DC5-744752E54B59}"/>
    <cellStyle name="Comma 10 6 5" xfId="14932" xr:uid="{21E70192-B4A2-4CBD-B626-EC891C8A1715}"/>
    <cellStyle name="Comma 10 7" xfId="24295" xr:uid="{344DCAF3-DA96-45E3-9F88-C607554C61E4}"/>
    <cellStyle name="Comma 10 7 2" xfId="27814" xr:uid="{1067AA7F-8FEA-4C90-923A-936739E57666}"/>
    <cellStyle name="Comma 10 8" xfId="28005" xr:uid="{E7712595-FDE1-4527-8110-F08C9BD2B4D5}"/>
    <cellStyle name="Comma 10 9" xfId="26457" xr:uid="{34BF2C5E-A5C7-4A84-AB73-BFB00FFDC39F}"/>
    <cellStyle name="Comma 11" xfId="444" xr:uid="{00000000-0005-0000-0000-0000C1010000}"/>
    <cellStyle name="Comma 11 10" xfId="13063" xr:uid="{8E0C7017-8DEA-40FD-985D-56991F403A78}"/>
    <cellStyle name="Comma 11 2" xfId="1567" xr:uid="{00000000-0005-0000-0000-0000C2010000}"/>
    <cellStyle name="Comma 11 2 2" xfId="3010" xr:uid="{00000000-0005-0000-0000-00007D010000}"/>
    <cellStyle name="Comma 11 2 2 2" xfId="8090" xr:uid="{5E38C6F0-92BC-4BB2-8A3E-EF11FEAFB91D}"/>
    <cellStyle name="Comma 11 2 2 2 2" xfId="18470" xr:uid="{FE827749-6B5E-41A8-9133-64CB55FDF8C5}"/>
    <cellStyle name="Comma 11 2 2 3" xfId="10923" xr:uid="{9525CB18-BD40-411F-A372-A378C8366764}"/>
    <cellStyle name="Comma 11 2 2 3 2" xfId="21303" xr:uid="{F204682C-033C-4E07-8752-E0A3AEBC9438}"/>
    <cellStyle name="Comma 11 2 2 4" xfId="23813" xr:uid="{6A8EB896-DA9B-42D5-92D6-733F06FBEA09}"/>
    <cellStyle name="Comma 11 2 2 5" xfId="27885" xr:uid="{B1387E97-B750-4462-BB42-E88FFD7D461E}"/>
    <cellStyle name="Comma 11 2 2 6" xfId="15637" xr:uid="{E2FD8341-04B0-40C5-A8B9-54B1723D69C1}"/>
    <cellStyle name="Comma 11 2 3" xfId="3634" xr:uid="{00000000-0005-0000-0000-0000C2010000}"/>
    <cellStyle name="Comma 11 2 3 2" xfId="27537" xr:uid="{9BF0D002-54D6-4672-940C-F391892866FB}"/>
    <cellStyle name="Comma 11 2 3 2 2" xfId="29676" xr:uid="{ED75F2AD-1654-4A8E-846E-C99AAC9AE10E}"/>
    <cellStyle name="Comma 11 2 3 3" xfId="26789" xr:uid="{A21B1388-6E7D-4F54-BDEC-8951FFA22EF9}"/>
    <cellStyle name="Comma 11 2 4" xfId="5537" xr:uid="{85BC976A-D6DF-449B-8068-72E3AB781163}"/>
    <cellStyle name="Comma 11 2 4 2" xfId="30076" xr:uid="{5A8F8E98-99DD-4120-B4A8-6B0B59D0936C}"/>
    <cellStyle name="Comma 11 2 5" xfId="22658" xr:uid="{DF261529-5CBF-48FF-B11A-E4B73E8CE065}"/>
    <cellStyle name="Comma 11 2 5 2" xfId="27551" xr:uid="{19A3B2B9-8360-426E-920F-84472F4A25EE}"/>
    <cellStyle name="Comma 11 2 6" xfId="26591" xr:uid="{3DB6BBCB-30C4-456B-A531-F9B69381489D}"/>
    <cellStyle name="Comma 11 2 7" xfId="13513" xr:uid="{DFAE0D5A-3432-47A7-A8E2-7C9EDC2E8E11}"/>
    <cellStyle name="Comma 11 3" xfId="1568" xr:uid="{00000000-0005-0000-0000-0000C3010000}"/>
    <cellStyle name="Comma 11 3 2" xfId="2661" xr:uid="{00000000-0005-0000-0000-00007C010000}"/>
    <cellStyle name="Comma 11 3 2 2" xfId="7786" xr:uid="{B14EA288-52E0-47EB-9BA0-0823C2B83AE7}"/>
    <cellStyle name="Comma 11 3 2 2 2" xfId="18166" xr:uid="{0560D247-EB78-4545-81F1-4CAC6A923728}"/>
    <cellStyle name="Comma 11 3 2 3" xfId="10619" xr:uid="{8C430740-2DF2-47C0-ACE1-E0BCCC781C97}"/>
    <cellStyle name="Comma 11 3 2 3 2" xfId="20999" xr:uid="{391174CF-9412-4F8D-83DA-B4AE726E63DD}"/>
    <cellStyle name="Comma 11 3 2 4" xfId="15333" xr:uid="{C7E7A183-9066-4D98-BC1A-4F0C03C272B4}"/>
    <cellStyle name="Comma 11 3 3" xfId="3625" xr:uid="{00000000-0005-0000-0000-0000C3010000}"/>
    <cellStyle name="Comma 11 3 3 2" xfId="30119" xr:uid="{2CF7111E-FB86-439C-B764-067EA1119A2D}"/>
    <cellStyle name="Comma 11 3 4" xfId="24017" xr:uid="{14E1B29C-AAA1-44F5-AD07-8E4FC697E6A9}"/>
    <cellStyle name="Comma 11 3 4 2" xfId="30461" xr:uid="{C2C2C739-CA1B-449F-9EA7-4FE236F0AC67}"/>
    <cellStyle name="Comma 11 4" xfId="1566" xr:uid="{00000000-0005-0000-0000-0000C4010000}"/>
    <cellStyle name="Comma 11 4 2" xfId="25795" xr:uid="{0F4819E6-8400-47DB-97BA-E4B83CC33474}"/>
    <cellStyle name="Comma 11 4 2 2" xfId="29913" xr:uid="{23A0CB52-3813-4520-8AE3-1454FE5DD72C}"/>
    <cellStyle name="Comma 11 4 3" xfId="25826" xr:uid="{DEC04C91-C7FF-4AB4-AC6A-E34F8FE67955}"/>
    <cellStyle name="Comma 11 4 4" xfId="30533" xr:uid="{F7E52E9C-A8C7-4392-AAD2-1A3FE8CA3C93}"/>
    <cellStyle name="Comma 11 4 5" xfId="29686" xr:uid="{F2BDA7EE-EBE4-4998-8AC4-838DC1CBD2B0}"/>
    <cellStyle name="Comma 11 5" xfId="3857" xr:uid="{7F0E7226-DA02-4733-8EBF-63018CAE8A3E}"/>
    <cellStyle name="Comma 11 5 2" xfId="8689" xr:uid="{5F3D2954-FB8A-439F-9177-4FD20B4F2B0A}"/>
    <cellStyle name="Comma 11 5 2 2" xfId="28962" xr:uid="{4C38B510-AA8A-403A-83C8-5A36A526E45D}"/>
    <cellStyle name="Comma 11 5 2 3" xfId="26833" xr:uid="{3CC9D476-57D4-4B26-AE9D-90E08D6CEE9E}"/>
    <cellStyle name="Comma 11 5 2 4" xfId="19069" xr:uid="{0AAF2DCD-0D2C-4985-8C76-77EFB4A5B856}"/>
    <cellStyle name="Comma 11 5 3" xfId="11522" xr:uid="{47F4E3D0-6E38-41CF-9E68-F0F1D2FCCC94}"/>
    <cellStyle name="Comma 11 5 3 2" xfId="21902" xr:uid="{2979FF1F-472C-4BE4-BBDB-9AE771FC2A2C}"/>
    <cellStyle name="Comma 11 5 4" xfId="25594" xr:uid="{8D907E07-DE0C-4EDB-A0C7-6D9DE2F35032}"/>
    <cellStyle name="Comma 11 5 5" xfId="16236" xr:uid="{58573940-3348-4AB4-BBD9-129E6CEA779B}"/>
    <cellStyle name="Comma 11 6" xfId="4850" xr:uid="{30A0D8D8-AAC0-467E-9791-B3C455F4C1A4}"/>
    <cellStyle name="Comma 11 6 2" xfId="28273" xr:uid="{6562DD5C-4E16-4F3E-BC7C-66B493874D9A}"/>
    <cellStyle name="Comma 11 6 3" xfId="26929" xr:uid="{D855C903-C8BC-4A7D-9D46-3B23F79B168B}"/>
    <cellStyle name="Comma 11 6 4" xfId="14138" xr:uid="{5A976A06-FC93-43F2-8D4C-DDDEFB6F70A4}"/>
    <cellStyle name="Comma 11 7" xfId="6591" xr:uid="{08C67E51-6066-46B6-8950-5C0747CE3E4F}"/>
    <cellStyle name="Comma 11 7 2" xfId="28655" xr:uid="{307FD33C-7482-47CA-958F-8E6E6255834A}"/>
    <cellStyle name="Comma 11 7 3" xfId="26370" xr:uid="{22241822-40B9-4C5F-BAA0-B4CEAA37248D}"/>
    <cellStyle name="Comma 11 7 4" xfId="16971" xr:uid="{6B3ADD83-2086-461E-A828-27C6E15B426B}"/>
    <cellStyle name="Comma 11 8" xfId="9424" xr:uid="{5BB44A02-409B-4D3D-9AF2-34F5E446AAE9}"/>
    <cellStyle name="Comma 11 8 2" xfId="19804" xr:uid="{8B3A9F9A-552F-4463-A641-D012EF865F7E}"/>
    <cellStyle name="Comma 11 9" xfId="23916" xr:uid="{E9B33E42-C20B-4F5B-97F7-8246E8E5F0E7}"/>
    <cellStyle name="Comma 12" xfId="1569" xr:uid="{00000000-0005-0000-0000-0000C5010000}"/>
    <cellStyle name="Comma 12 2" xfId="2428" xr:uid="{00000000-0005-0000-0000-00007E010000}"/>
    <cellStyle name="Comma 12 2 2" xfId="28671" xr:uid="{A187235A-CD3F-4FC3-B4B6-59B86A837F9C}"/>
    <cellStyle name="Comma 12 2 2 2" xfId="30230" xr:uid="{D29935BB-5DD9-49C1-8F92-6C7C6A59D974}"/>
    <cellStyle name="Comma 12 3" xfId="3626" xr:uid="{00000000-0005-0000-0000-0000C5010000}"/>
    <cellStyle name="Comma 12 3 2" xfId="30624" xr:uid="{16D36282-5FF1-4DF1-9C34-D85E8BF860B2}"/>
    <cellStyle name="Comma 12 4" xfId="5538" xr:uid="{A85C391B-D1F2-4216-9318-8F0D3F6AE60C}"/>
    <cellStyle name="Comma 12 4 2" xfId="29958" xr:uid="{1C3B5249-C826-4184-9E81-7291FAB59CE8}"/>
    <cellStyle name="Comma 12 5" xfId="23517" xr:uid="{07A7475F-DD9D-4311-BCE3-CDFB929ABEC3}"/>
    <cellStyle name="Comma 12 5 2" xfId="24228" xr:uid="{737B9A1D-50A5-487A-9FD7-3644CCD4DE49}"/>
    <cellStyle name="Comma 13" xfId="4847" xr:uid="{98FB8AE3-8A74-4A04-B00D-D9411690E8F8}"/>
    <cellStyle name="Comma 13 2" xfId="23769" xr:uid="{8137F544-9DC0-4A1D-A743-03E39E4E26C7}"/>
    <cellStyle name="Comma 13 3" xfId="27979" xr:uid="{280881A1-6BC3-460B-B930-F17C044447D4}"/>
    <cellStyle name="Comma 13 4" xfId="14135" xr:uid="{B486616B-8B26-4DA6-8C53-0516518C48A3}"/>
    <cellStyle name="Comma 13 5" xfId="29615" xr:uid="{5F5E5C0E-EC18-477B-9B73-CD31B3561E61}"/>
    <cellStyle name="Comma 13 6" xfId="29590" xr:uid="{FB89F83E-E37C-4FFC-BA48-F04575448186}"/>
    <cellStyle name="Comma 14" xfId="6588" xr:uid="{086E4094-57BE-4FBE-A027-7BD0633E7C70}"/>
    <cellStyle name="Comma 14 2" xfId="16968" xr:uid="{1C47D78A-B6CF-4848-A816-4A799DD1F553}"/>
    <cellStyle name="Comma 15" xfId="9421" xr:uid="{A0D8A4E9-D361-4A4A-8D75-1F990BAA461F}"/>
    <cellStyle name="Comma 15 2" xfId="19801" xr:uid="{FFB068F8-D4CF-4B27-B252-D1FE2AC55C26}"/>
    <cellStyle name="Comma 16" xfId="12385" xr:uid="{2F36D744-A70D-4E96-A859-6F4569883850}"/>
    <cellStyle name="Comma 2" xfId="445" xr:uid="{00000000-0005-0000-0000-0000C6010000}"/>
    <cellStyle name="Comma 2 2" xfId="446" xr:uid="{00000000-0005-0000-0000-0000C7010000}"/>
    <cellStyle name="Comma 2 3" xfId="29539" xr:uid="{FF87FE22-8FF9-4CB2-B9A9-1CAE3BE8240A}"/>
    <cellStyle name="Comma 2 3 2" xfId="29627" xr:uid="{2FF2A936-0949-457A-B26A-E82D4DE91561}"/>
    <cellStyle name="Comma 2 3 3" xfId="29593" xr:uid="{9BDAE080-E5CC-418E-BF83-F4564BF71D85}"/>
    <cellStyle name="Comma 2 4" xfId="29540" xr:uid="{0E168A37-ECE3-4667-8B8B-59B3E1739C89}"/>
    <cellStyle name="Comma 2 5" xfId="29538" xr:uid="{9ACEBE5C-D959-4C0C-A362-D59AF18CF135}"/>
    <cellStyle name="Comma 3" xfId="447" xr:uid="{00000000-0005-0000-0000-0000C8010000}"/>
    <cellStyle name="Comma 3 2" xfId="448" xr:uid="{00000000-0005-0000-0000-0000C9010000}"/>
    <cellStyle name="Comma 3 2 2" xfId="29543" xr:uid="{84078DAF-EDCF-43CD-A64E-B780C7ADCCE3}"/>
    <cellStyle name="Comma 3 2 3" xfId="29542" xr:uid="{DDC3946A-F2B9-4B36-9F41-40F85EB2CBF2}"/>
    <cellStyle name="Comma 3 3" xfId="29544" xr:uid="{726CE31D-47C0-45A4-96F4-B60799298749}"/>
    <cellStyle name="Comma 3 3 2" xfId="29545" xr:uid="{C47C2F46-260D-4FDA-B2BD-10D1DFFEADB2}"/>
    <cellStyle name="Comma 3 3 3" xfId="29628" xr:uid="{CD3D052F-7127-4DEA-B161-3FEA76DFD702}"/>
    <cellStyle name="Comma 3 3 4" xfId="29594" xr:uid="{FABAFEB5-8032-4CAD-A462-DBE7A0863887}"/>
    <cellStyle name="Comma 3 4" xfId="29546" xr:uid="{EDEB217D-7C84-460A-8AD2-0CDC04253245}"/>
    <cellStyle name="Comma 3 5" xfId="29541" xr:uid="{B6A315B6-6A4C-4F1E-B295-BC34428F9581}"/>
    <cellStyle name="Comma 4" xfId="449" xr:uid="{00000000-0005-0000-0000-0000CA010000}"/>
    <cellStyle name="Comma 4 2" xfId="450" xr:uid="{00000000-0005-0000-0000-0000CB010000}"/>
    <cellStyle name="Comma 4 2 2" xfId="1571" xr:uid="{00000000-0005-0000-0000-0000CC010000}"/>
    <cellStyle name="Comma 4 2 2 2" xfId="25800" xr:uid="{6C936276-319B-4783-84AB-EFE78A676F45}"/>
    <cellStyle name="Comma 4 2 2 2 2" xfId="29961" xr:uid="{CF6F10A0-212B-4BA6-8E06-7D9F79F11F24}"/>
    <cellStyle name="Comma 4 2 2 2 3" xfId="29770" xr:uid="{180D2424-BF1A-4897-BF11-D6194D7BE74D}"/>
    <cellStyle name="Comma 4 2 2 3" xfId="23122" xr:uid="{ECBCBC83-1276-4F3B-90ED-6EB6B5E3BEE4}"/>
    <cellStyle name="Comma 4 2 3" xfId="1572" xr:uid="{00000000-0005-0000-0000-0000CD010000}"/>
    <cellStyle name="Comma 4 2 4" xfId="1570" xr:uid="{00000000-0005-0000-0000-0000CE010000}"/>
    <cellStyle name="Comma 4 3" xfId="451" xr:uid="{00000000-0005-0000-0000-0000CF010000}"/>
    <cellStyle name="Comma 4 4" xfId="452" xr:uid="{00000000-0005-0000-0000-0000D0010000}"/>
    <cellStyle name="Comma 4 4 10" xfId="28449" xr:uid="{A9DC37B0-8CFA-4310-AAFD-BCD159EA3EDD}"/>
    <cellStyle name="Comma 4 4 11" xfId="14139" xr:uid="{8250F2EE-509B-49F5-8FBF-2BD44CC06118}"/>
    <cellStyle name="Comma 4 4 2" xfId="453" xr:uid="{00000000-0005-0000-0000-0000D1010000}"/>
    <cellStyle name="Comma 4 4 2 2" xfId="1575" xr:uid="{00000000-0005-0000-0000-0000D2010000}"/>
    <cellStyle name="Comma 4 4 2 2 2" xfId="29689" xr:uid="{50666036-0738-4AD4-AC0B-EDFB41221BCC}"/>
    <cellStyle name="Comma 4 4 2 3" xfId="1576" xr:uid="{00000000-0005-0000-0000-0000D3010000}"/>
    <cellStyle name="Comma 4 4 2 3 2" xfId="30074" xr:uid="{1C79D342-B94C-4CE7-893F-C5EC370DC94A}"/>
    <cellStyle name="Comma 4 4 2 4" xfId="1574" xr:uid="{00000000-0005-0000-0000-0000D4010000}"/>
    <cellStyle name="Comma 4 4 2 4 2" xfId="30368" xr:uid="{C99FA101-C0C3-4633-971A-EBB484DA2F7C}"/>
    <cellStyle name="Comma 4 4 2 5" xfId="6593" xr:uid="{610E9AB1-2307-4BBC-B77C-E877CA94AFC9}"/>
    <cellStyle name="Comma 4 4 2 5 2" xfId="16973" xr:uid="{0E82BE4F-B5B2-4C44-AEA4-E1860FE489C9}"/>
    <cellStyle name="Comma 4 4 2 6" xfId="9426" xr:uid="{C6BC21DB-B339-438F-A7ED-DD39A84D8F20}"/>
    <cellStyle name="Comma 4 4 2 6 2" xfId="19806" xr:uid="{860E20B2-5597-4943-816C-C02653EE99BB}"/>
    <cellStyle name="Comma 4 4 2 7" xfId="23638" xr:uid="{F00C2900-4C79-4650-9AB3-12D69A75DB55}"/>
    <cellStyle name="Comma 4 4 2 8" xfId="14140" xr:uid="{B456A1BF-4F23-4795-94B8-D827D09E4DA1}"/>
    <cellStyle name="Comma 4 4 3" xfId="1577" xr:uid="{00000000-0005-0000-0000-0000D5010000}"/>
    <cellStyle name="Comma 4 4 3 2" xfId="29834" xr:uid="{3F4D0D54-9FC1-4D1E-950A-738C2A8CE821}"/>
    <cellStyle name="Comma 4 4 3 3" xfId="30117" xr:uid="{E8600126-E409-47A5-BD1D-10EC3D7DEDF8}"/>
    <cellStyle name="Comma 4 4 3 4" xfId="30459" xr:uid="{108F06F2-8F7B-48A4-8EC0-EFB87E3B5E83}"/>
    <cellStyle name="Comma 4 4 3 5" xfId="29771" xr:uid="{0430B3B3-81C2-4121-B466-206BF459DE7A}"/>
    <cellStyle name="Comma 4 4 4" xfId="1578" xr:uid="{00000000-0005-0000-0000-0000D6010000}"/>
    <cellStyle name="Comma 4 4 4 2" xfId="29911" xr:uid="{86D77808-40C4-49F2-AE1D-925AF277DA5B}"/>
    <cellStyle name="Comma 4 4 4 3" xfId="30181" xr:uid="{7E413608-DAE5-4406-B227-C3324DA2D6AE}"/>
    <cellStyle name="Comma 4 4 4 4" xfId="30531" xr:uid="{AD38036D-6761-4545-BB8F-C8D662E32885}"/>
    <cellStyle name="Comma 4 4 4 5" xfId="29779" xr:uid="{0FE8931B-6605-4DAA-8E00-7EBE60DAA0FE}"/>
    <cellStyle name="Comma 4 4 5" xfId="1573" xr:uid="{00000000-0005-0000-0000-0000D7010000}"/>
    <cellStyle name="Comma 4 4 5 2" xfId="29962" xr:uid="{5303CFC5-A4A8-4426-90D5-9632B3D99314}"/>
    <cellStyle name="Comma 4 4 5 3" xfId="29753" xr:uid="{F782C97C-6BB4-440C-9FD0-53038E7C09D9}"/>
    <cellStyle name="Comma 4 4 6" xfId="6592" xr:uid="{0A8D3A67-A64F-4F53-AF0B-B594D2086FBC}"/>
    <cellStyle name="Comma 4 4 6 2" xfId="16972" xr:uid="{7B67508C-5F76-4FE1-BF6B-9F15A2B0DB00}"/>
    <cellStyle name="Comma 4 4 6 2 2" xfId="29768" xr:uid="{A3F4331B-6BA8-4A66-8A5C-632634780FBD}"/>
    <cellStyle name="Comma 4 4 7" xfId="9425" xr:uid="{566C6727-3490-4DCA-972B-8B31A47A8CF6}"/>
    <cellStyle name="Comma 4 4 7 2" xfId="19805" xr:uid="{6359102D-085E-4127-BB07-F596F983F298}"/>
    <cellStyle name="Comma 4 4 8" xfId="25495" xr:uid="{6D6D912C-EA9B-4831-9BCB-63F7FB0B1EA0}"/>
    <cellStyle name="Comma 4 4 9" xfId="23347" xr:uid="{088E0EFF-890F-451E-B14F-29F2F5D0498C}"/>
    <cellStyle name="Comma 4 4 9 2" xfId="30361" xr:uid="{898E802F-C66F-4E93-88D3-68B4AC89AD00}"/>
    <cellStyle name="Comma 4 5" xfId="454" xr:uid="{00000000-0005-0000-0000-0000D8010000}"/>
    <cellStyle name="Comma 4 5 2" xfId="1580" xr:uid="{00000000-0005-0000-0000-0000D9010000}"/>
    <cellStyle name="Comma 4 5 2 2" xfId="29760" xr:uid="{7E619A41-38AB-463B-9516-5EA579D07813}"/>
    <cellStyle name="Comma 4 5 3" xfId="1581" xr:uid="{00000000-0005-0000-0000-0000DA010000}"/>
    <cellStyle name="Comma 4 5 4" xfId="1579" xr:uid="{00000000-0005-0000-0000-0000DB010000}"/>
    <cellStyle name="Comma 4 5 5" xfId="6594" xr:uid="{8A35B263-6F7A-49AC-8E7A-20930DCA1217}"/>
    <cellStyle name="Comma 4 5 5 2" xfId="16974" xr:uid="{9E7A9994-646C-4A7E-83E3-D82D76F3A78D}"/>
    <cellStyle name="Comma 4 5 6" xfId="9427" xr:uid="{1531D1A5-9674-41AD-95ED-44F3749628F4}"/>
    <cellStyle name="Comma 4 5 6 2" xfId="19807" xr:uid="{249AEF1A-76CC-48B8-9873-7EEABD898AE0}"/>
    <cellStyle name="Comma 4 5 7" xfId="25515" xr:uid="{0DEAA704-F95C-4E87-9110-9FD463A997C0}"/>
    <cellStyle name="Comma 4 5 8" xfId="14141" xr:uid="{A3A65910-F8AA-4619-B243-F249B19835F3}"/>
    <cellStyle name="Comma 4 6" xfId="1582" xr:uid="{00000000-0005-0000-0000-0000DC010000}"/>
    <cellStyle name="Comma 4 7" xfId="29547" xr:uid="{B78349B5-AC35-4642-873C-F8F50234A6AC}"/>
    <cellStyle name="Comma 5" xfId="455" xr:uid="{00000000-0005-0000-0000-0000DD010000}"/>
    <cellStyle name="Comma 5 10" xfId="456" xr:uid="{00000000-0005-0000-0000-0000DE010000}"/>
    <cellStyle name="Comma 5 10 10" xfId="12503" xr:uid="{A85F005E-B09D-4C3C-B6DC-D559A6ED639C}"/>
    <cellStyle name="Comma 5 10 2" xfId="1584" xr:uid="{00000000-0005-0000-0000-0000DF010000}"/>
    <cellStyle name="Comma 5 10 2 2" xfId="3011" xr:uid="{00000000-0005-0000-0000-000088010000}"/>
    <cellStyle name="Comma 5 10 2 2 2" xfId="8091" xr:uid="{F1C70A20-B2B4-48DD-B456-14BC0DB6DEE9}"/>
    <cellStyle name="Comma 5 10 2 2 2 2" xfId="18471" xr:uid="{D65F5C81-3178-4486-8000-FCF3BEE00980}"/>
    <cellStyle name="Comma 5 10 2 2 3" xfId="10924" xr:uid="{B5528361-C365-4949-B220-3DC910C95B2B}"/>
    <cellStyle name="Comma 5 10 2 2 3 2" xfId="21304" xr:uid="{03F24B28-9B30-484A-95F2-76CD18C333A5}"/>
    <cellStyle name="Comma 5 10 2 2 4" xfId="23027" xr:uid="{6ED6C659-6C8B-4E98-AD16-21CAEAAA3990}"/>
    <cellStyle name="Comma 5 10 2 2 5" xfId="28262" xr:uid="{0E89BC2C-AAC0-4BAF-90DA-612E91064FF9}"/>
    <cellStyle name="Comma 5 10 2 2 6" xfId="15638" xr:uid="{3D955D92-2834-48F1-81DE-3F0910DB23C3}"/>
    <cellStyle name="Comma 5 10 2 3" xfId="3683" xr:uid="{00000000-0005-0000-0000-0000DF010000}"/>
    <cellStyle name="Comma 5 10 2 3 2" xfId="27096" xr:uid="{A08B0E6B-8819-4B03-BF4E-42DDA3B90808}"/>
    <cellStyle name="Comma 5 10 2 3 2 2" xfId="29675" xr:uid="{D25712BF-8ED7-42EA-B90C-84A330FC7072}"/>
    <cellStyle name="Comma 5 10 2 3 3" xfId="26278" xr:uid="{D8061839-6EED-4DBC-8891-D026AE25DEC1}"/>
    <cellStyle name="Comma 5 10 2 4" xfId="5539" xr:uid="{6282514B-C4EC-426C-83CA-45A820F60EA8}"/>
    <cellStyle name="Comma 5 10 2 4 2" xfId="30077" xr:uid="{891C7485-FD3D-41B9-A1AC-1C9AF764C81B}"/>
    <cellStyle name="Comma 5 10 2 5" xfId="23292" xr:uid="{0EAE3213-47AE-4FC6-89F7-5549C8EC9759}"/>
    <cellStyle name="Comma 5 10 2 5 2" xfId="25832" xr:uid="{C3EB4B5C-4375-4089-99BE-C914117611CD}"/>
    <cellStyle name="Comma 5 10 2 6" xfId="26814" xr:uid="{5CB19104-F3F2-4DE7-808E-E41D689C1F77}"/>
    <cellStyle name="Comma 5 10 2 7" xfId="13514" xr:uid="{4AFFE940-20D3-42F6-9C7D-82F9186E7D63}"/>
    <cellStyle name="Comma 5 10 3" xfId="1585" xr:uid="{00000000-0005-0000-0000-0000E0010000}"/>
    <cellStyle name="Comma 5 10 3 2" xfId="2664" xr:uid="{00000000-0005-0000-0000-000089010000}"/>
    <cellStyle name="Comma 5 10 3 2 2" xfId="7788" xr:uid="{D863A7D1-FDB3-4B9D-BAAD-9D7D509DDC5B}"/>
    <cellStyle name="Comma 5 10 3 2 2 2" xfId="18168" xr:uid="{2A823F66-1FDA-4DB6-90BA-52A796C69F02}"/>
    <cellStyle name="Comma 5 10 3 2 3" xfId="10621" xr:uid="{B59C76FD-A4E9-4866-9F1E-6518BC0C5396}"/>
    <cellStyle name="Comma 5 10 3 2 3 2" xfId="21001" xr:uid="{47E7FFC6-63B5-4650-B36B-84C80C2755B8}"/>
    <cellStyle name="Comma 5 10 3 2 4" xfId="15335" xr:uid="{62DDD7AA-A1D8-420F-846E-73F0CBC3D630}"/>
    <cellStyle name="Comma 5 10 3 3" xfId="3623" xr:uid="{00000000-0005-0000-0000-0000E0010000}"/>
    <cellStyle name="Comma 5 10 3 3 2" xfId="30120" xr:uid="{B5C95C43-8861-4A82-91E7-2B19560A59C1}"/>
    <cellStyle name="Comma 5 10 3 4" xfId="5540" xr:uid="{2F4176BB-1147-4705-9BF5-3478E814BF1F}"/>
    <cellStyle name="Comma 5 10 3 4 2" xfId="30462" xr:uid="{2DFC14A2-2EAE-43A4-820E-770AB16C1D44}"/>
    <cellStyle name="Comma 5 10 3 5" xfId="24425" xr:uid="{440A3D29-60C1-4AFD-B777-DEDEC2F90CDC}"/>
    <cellStyle name="Comma 5 10 3 6" xfId="13065" xr:uid="{4A179273-1E94-4440-A91B-D0CE1562A50D}"/>
    <cellStyle name="Comma 5 10 4" xfId="1583" xr:uid="{00000000-0005-0000-0000-0000E1010000}"/>
    <cellStyle name="Comma 5 10 4 2" xfId="2271" xr:uid="{00000000-0005-0000-0000-000087010000}"/>
    <cellStyle name="Comma 5 10 4 2 2" xfId="7398" xr:uid="{2C0DCA8C-6BD6-4848-A250-23AB56676728}"/>
    <cellStyle name="Comma 5 10 4 2 2 2" xfId="17778" xr:uid="{B21D7D75-3244-4F26-B490-5EC2650D1448}"/>
    <cellStyle name="Comma 5 10 4 2 3" xfId="10231" xr:uid="{6B2CC225-FDF3-4BE5-9315-88A728D24FD6}"/>
    <cellStyle name="Comma 5 10 4 2 3 2" xfId="20611" xr:uid="{6E6A4E4B-61FB-458D-A4B9-C9CB4689F4FD}"/>
    <cellStyle name="Comma 5 10 4 2 4" xfId="28324" xr:uid="{7695E883-6177-431C-8532-EA8870BB0990}"/>
    <cellStyle name="Comma 5 10 4 2 5" xfId="28329" xr:uid="{FC723014-751A-4A40-BE67-D3567892532F}"/>
    <cellStyle name="Comma 5 10 4 2 6" xfId="14945" xr:uid="{352031EF-2D57-4537-BD5B-0BDF6743C8E4}"/>
    <cellStyle name="Comma 5 10 4 3" xfId="3577" xr:uid="{00000000-0005-0000-0000-0000E1010000}"/>
    <cellStyle name="Comma 5 10 4 3 2" xfId="30183" xr:uid="{118A841E-8DA1-491E-B306-F81B48DE6E4A}"/>
    <cellStyle name="Comma 5 10 4 4" xfId="23912" xr:uid="{A0E22693-D6AA-4593-989F-35C45B43184B}"/>
    <cellStyle name="Comma 5 10 4 4 2" xfId="30534" xr:uid="{374550E2-4AE4-4441-93C0-40FF407C3F0F}"/>
    <cellStyle name="Comma 5 10 5" xfId="3859" xr:uid="{F8C8D734-DCC5-4C88-B842-664E1299CBF0}"/>
    <cellStyle name="Comma 5 10 5 2" xfId="8691" xr:uid="{5E5913C1-036C-42F6-8350-C4BD4BAE9EF4}"/>
    <cellStyle name="Comma 5 10 5 2 2" xfId="28963" xr:uid="{7ED6E5D1-F2F9-47D7-B3B9-B23DAC9DEA56}"/>
    <cellStyle name="Comma 5 10 5 2 3" xfId="26070" xr:uid="{0A54DC91-F591-42A2-BA5E-7276541616CC}"/>
    <cellStyle name="Comma 5 10 5 2 4" xfId="19071" xr:uid="{273ED19A-6305-4A08-8B50-05B302DCC7A3}"/>
    <cellStyle name="Comma 5 10 5 3" xfId="11524" xr:uid="{0C78AAE6-034A-4A1B-8A3F-C1AD74B711C7}"/>
    <cellStyle name="Comma 5 10 5 3 2" xfId="21904" xr:uid="{3ACF1F89-59B6-459B-A2BF-64F748857E3F}"/>
    <cellStyle name="Comma 5 10 5 4" xfId="25303" xr:uid="{C0390E66-4C52-4772-BEDB-6D55E1EA2350}"/>
    <cellStyle name="Comma 5 10 5 5" xfId="16238" xr:uid="{7AC3AC5A-1212-49EF-A828-8E7C20DAFED6}"/>
    <cellStyle name="Comma 5 10 6" xfId="4852" xr:uid="{B5AA8CEF-C25B-4DA3-B914-31CD98DD93BF}"/>
    <cellStyle name="Comma 5 10 6 2" xfId="28046" xr:uid="{FD1B2980-5F21-4760-88F9-92CC3E105641}"/>
    <cellStyle name="Comma 5 10 6 3" xfId="26553" xr:uid="{EF223D4E-E1BC-4881-ABF4-3BBB515CECFC}"/>
    <cellStyle name="Comma 5 10 6 4" xfId="14143" xr:uid="{140302DF-BE3B-4369-92CC-B67CEE834879}"/>
    <cellStyle name="Comma 5 10 7" xfId="6596" xr:uid="{C3AD3989-BC4A-4AAA-AEC2-B08705FCE9B0}"/>
    <cellStyle name="Comma 5 10 7 2" xfId="28029" xr:uid="{B837468C-BEBF-4CEC-ADE2-12B1FCAED4F9}"/>
    <cellStyle name="Comma 5 10 7 3" xfId="27371" xr:uid="{8EED9F44-3498-430B-BC6B-CC256C591A9F}"/>
    <cellStyle name="Comma 5 10 7 4" xfId="16976" xr:uid="{75EEF300-26D6-4B14-B5AF-ECB65CBCCB05}"/>
    <cellStyle name="Comma 5 10 8" xfId="9429" xr:uid="{5484C410-9246-4841-A9A7-890E6C7CA77F}"/>
    <cellStyle name="Comma 5 10 8 2" xfId="19809" xr:uid="{FC6C34CB-2ADD-4980-9E17-6E4E388A755C}"/>
    <cellStyle name="Comma 5 10 9" xfId="23859" xr:uid="{2F610054-85E4-42A4-90E0-D52A865C355A}"/>
    <cellStyle name="Comma 5 11" xfId="457" xr:uid="{00000000-0005-0000-0000-0000E2010000}"/>
    <cellStyle name="Comma 5 11 10" xfId="12661" xr:uid="{1966AA8B-6911-4191-8EF9-D4B44BA16B12}"/>
    <cellStyle name="Comma 5 11 2" xfId="1587" xr:uid="{00000000-0005-0000-0000-0000E3010000}"/>
    <cellStyle name="Comma 5 11 2 2" xfId="3012" xr:uid="{00000000-0005-0000-0000-00008B010000}"/>
    <cellStyle name="Comma 5 11 2 2 2" xfId="8092" xr:uid="{A686F410-99C8-4E53-A4B9-F200FED0F5FE}"/>
    <cellStyle name="Comma 5 11 2 2 2 2" xfId="18472" xr:uid="{5B5E9A11-8327-49C7-852B-1B0EC750B7F4}"/>
    <cellStyle name="Comma 5 11 2 2 3" xfId="10925" xr:uid="{8C6A2058-F80A-4732-A1AD-C675F255A21E}"/>
    <cellStyle name="Comma 5 11 2 2 3 2" xfId="21305" xr:uid="{9A7CB507-8DF3-4257-9E46-9E278E1B8C79}"/>
    <cellStyle name="Comma 5 11 2 2 4" xfId="26965" xr:uid="{CDD14B4E-3B05-4D91-99DD-069BE67AF33A}"/>
    <cellStyle name="Comma 5 11 2 2 5" xfId="27153" xr:uid="{DB84D4BF-7756-42ED-91FF-484D48E26118}"/>
    <cellStyle name="Comma 5 11 2 2 6" xfId="15639" xr:uid="{246F413A-E2AF-4FA9-B3F2-1839EB858537}"/>
    <cellStyle name="Comma 5 11 2 3" xfId="3667" xr:uid="{00000000-0005-0000-0000-0000E3010000}"/>
    <cellStyle name="Comma 5 11 2 3 2" xfId="30091" xr:uid="{458CCB4B-27B7-4ECD-93CD-6657C346379D}"/>
    <cellStyle name="Comma 5 11 2 4" xfId="5541" xr:uid="{4A98B1E2-1852-47FD-B8E3-2DAC983AEE30}"/>
    <cellStyle name="Comma 5 11 2 4 2" xfId="30402" xr:uid="{D877C6DB-02E5-4665-95DE-723DD49FD0F3}"/>
    <cellStyle name="Comma 5 11 2 5" xfId="22728" xr:uid="{8D9ECDAE-292F-46A0-BFD2-DA9957370FAD}"/>
    <cellStyle name="Comma 5 11 2 6" xfId="13515" xr:uid="{39ABB685-FAC4-4C1E-B36A-85BFF7734362}"/>
    <cellStyle name="Comma 5 11 3" xfId="1588" xr:uid="{00000000-0005-0000-0000-0000E4010000}"/>
    <cellStyle name="Comma 5 11 3 2" xfId="23724" xr:uid="{DE4AAC3D-5400-4129-ACD2-D8964E8AE622}"/>
    <cellStyle name="Comma 5 11 3 2 2" xfId="29874" xr:uid="{3646F0AD-A6AC-4987-AD84-69354FD09684}"/>
    <cellStyle name="Comma 5 11 3 3" xfId="25078" xr:uid="{C5B7A41E-9D71-47D2-9EF7-127D9DBA2D47}"/>
    <cellStyle name="Comma 5 11 3 4" xfId="30498" xr:uid="{599968A1-D2B7-46F5-946B-EB20FDBD503F}"/>
    <cellStyle name="Comma 5 11 3 5" xfId="29662" xr:uid="{6074E1CC-2493-4B33-8C1F-270AC72D668B}"/>
    <cellStyle name="Comma 5 11 4" xfId="1586" xr:uid="{00000000-0005-0000-0000-0000E5010000}"/>
    <cellStyle name="Comma 5 11 4 2" xfId="25781" xr:uid="{DBEBD298-D49E-492E-82DD-D45AE9C70099}"/>
    <cellStyle name="Comma 5 11 4 2 2" xfId="29945" xr:uid="{284071E6-30F1-40E3-8CC0-C32DE729A7EB}"/>
    <cellStyle name="Comma 5 11 4 3" xfId="25812" xr:uid="{3DDE5F0F-E80C-49A7-A2F9-760F7B731187}"/>
    <cellStyle name="Comma 5 11 4 4" xfId="30596" xr:uid="{B9EF46DB-9AC9-4152-80CB-A4BB801ED98C}"/>
    <cellStyle name="Comma 5 11 4 5" xfId="29726" xr:uid="{A4E73E71-BCCA-4F46-8010-068DC3B6F9A3}"/>
    <cellStyle name="Comma 5 11 5" xfId="4118" xr:uid="{326795D2-3CE4-4B44-9613-7463CD743D12}"/>
    <cellStyle name="Comma 5 11 5 2" xfId="8890" xr:uid="{ECCB6D7E-C429-4896-A166-281E63951623}"/>
    <cellStyle name="Comma 5 11 5 2 2" xfId="19270" xr:uid="{C44CDE0A-5662-497E-A88C-E6558F00915E}"/>
    <cellStyle name="Comma 5 11 5 3" xfId="11723" xr:uid="{9AAE4BD8-E8D5-4F67-964B-77E7561EB31F}"/>
    <cellStyle name="Comma 5 11 5 3 2" xfId="22103" xr:uid="{C0BEB642-CEF7-49CD-A5E0-AF132CFA3016}"/>
    <cellStyle name="Comma 5 11 5 4" xfId="26947" xr:uid="{8FCFEBD1-9C61-417C-9361-BA6BACD9EE18}"/>
    <cellStyle name="Comma 5 11 5 5" xfId="26068" xr:uid="{A550E6A6-0D23-4FF4-817E-3EF3384416BB}"/>
    <cellStyle name="Comma 5 11 5 6" xfId="16437" xr:uid="{C1A61E72-5B41-4C1D-93D9-C0FF857E260F}"/>
    <cellStyle name="Comma 5 11 6" xfId="4853" xr:uid="{7F35F456-CEA9-47F3-ACCB-BB64D045948A}"/>
    <cellStyle name="Comma 5 11 6 2" xfId="27442" xr:uid="{1ACF7B3B-8BF9-4617-AFD7-425DDFC57C66}"/>
    <cellStyle name="Comma 5 11 6 3" xfId="27439" xr:uid="{FDE17731-3386-4AC0-A1F8-63BB2D8DAC43}"/>
    <cellStyle name="Comma 5 11 6 4" xfId="14144" xr:uid="{4AD93818-DB36-44F7-BA3F-4C514E4885F1}"/>
    <cellStyle name="Comma 5 11 7" xfId="6597" xr:uid="{E603367D-691C-488F-8700-9B7F21B923E4}"/>
    <cellStyle name="Comma 5 11 7 2" xfId="16977" xr:uid="{F038355B-C278-4949-A2DC-F6D04B005AFA}"/>
    <cellStyle name="Comma 5 11 8" xfId="9430" xr:uid="{43960141-1975-43C7-BB87-1966EFE5FC2B}"/>
    <cellStyle name="Comma 5 11 8 2" xfId="19810" xr:uid="{0AFB9F97-FB29-46DD-B839-C554FF6E03EE}"/>
    <cellStyle name="Comma 5 11 9" xfId="25325" xr:uid="{D9CE3968-1E51-41A1-A7DC-42C9DD7789D6}"/>
    <cellStyle name="Comma 5 12" xfId="458" xr:uid="{00000000-0005-0000-0000-0000E6010000}"/>
    <cellStyle name="Comma 5 12 2" xfId="1590" xr:uid="{00000000-0005-0000-0000-0000E7010000}"/>
    <cellStyle name="Comma 5 12 2 2" xfId="23644" xr:uid="{EF680471-4A71-491B-8847-27ACE345D225}"/>
    <cellStyle name="Comma 5 12 2 2 2" xfId="30292" xr:uid="{6E2F545E-360F-4A40-B8C5-60CB57D1D38E}"/>
    <cellStyle name="Comma 5 12 2 3" xfId="25392" xr:uid="{743C3469-6FF5-41E6-ABC2-03AE1A3F0028}"/>
    <cellStyle name="Comma 5 12 2 4" xfId="30019" xr:uid="{7AF26A72-68C3-4EA5-8EE9-FA00FD5CCF82}"/>
    <cellStyle name="Comma 5 12 3" xfId="1591" xr:uid="{00000000-0005-0000-0000-0000E8010000}"/>
    <cellStyle name="Comma 5 12 3 2" xfId="23256" xr:uid="{6D57B10A-6741-4069-93BF-29EFDF4F6C0B}"/>
    <cellStyle name="Comma 5 12 3 2 2" xfId="29692" xr:uid="{6910569C-475E-4392-A954-40B5FB58FA2E}"/>
    <cellStyle name="Comma 5 12 3 3" xfId="24384" xr:uid="{F61EDBCB-4E7F-4373-BBB6-91316B7F1263}"/>
    <cellStyle name="Comma 5 12 4" xfId="1589" xr:uid="{00000000-0005-0000-0000-0000E9010000}"/>
    <cellStyle name="Comma 5 12 4 2" xfId="30052" xr:uid="{1EDA61A8-4616-44AB-BC97-207E3F498360}"/>
    <cellStyle name="Comma 5 12 5" xfId="4854" xr:uid="{F159FDFA-5E1D-4A42-9FB3-8400939452AE}"/>
    <cellStyle name="Comma 5 12 5 2" xfId="14145" xr:uid="{6CAB6457-CDF0-43E9-8573-01A4850CBF99}"/>
    <cellStyle name="Comma 5 12 6" xfId="6598" xr:uid="{3A255307-572F-4096-BE3B-A84D759EBA98}"/>
    <cellStyle name="Comma 5 12 6 2" xfId="16978" xr:uid="{C2E33B45-1448-434C-98E9-36181F6C14F8}"/>
    <cellStyle name="Comma 5 12 7" xfId="9431" xr:uid="{DE176410-6284-42C9-B0CF-A8C658E03F46}"/>
    <cellStyle name="Comma 5 12 7 2" xfId="19811" xr:uid="{DB459E27-E6F7-4C87-A63E-D5F7A6CC076E}"/>
    <cellStyle name="Comma 5 12 8" xfId="24809" xr:uid="{90958A69-207E-4B87-B4BE-8D883B54759B}"/>
    <cellStyle name="Comma 5 12 9" xfId="13359" xr:uid="{19A90194-FA7E-440E-AF4A-92CD549DEC9F}"/>
    <cellStyle name="Comma 5 13" xfId="1592" xr:uid="{00000000-0005-0000-0000-0000EA010000}"/>
    <cellStyle name="Comma 5 13 2" xfId="2429" xr:uid="{00000000-0005-0000-0000-00008D010000}"/>
    <cellStyle name="Comma 5 13 2 2" xfId="7554" xr:uid="{B91CD4AA-AFD9-47AC-B12D-1B567D59EEF3}"/>
    <cellStyle name="Comma 5 13 2 2 2" xfId="17934" xr:uid="{E8437ED8-2295-4E8E-BDF0-609A90FEDE0F}"/>
    <cellStyle name="Comma 5 13 2 3" xfId="10387" xr:uid="{BFE02990-9404-4EE5-99FB-5B33B4DA9EDF}"/>
    <cellStyle name="Comma 5 13 2 3 2" xfId="20767" xr:uid="{2A4646E5-E7C9-419B-BD7A-C79F73C315A2}"/>
    <cellStyle name="Comma 5 13 2 4" xfId="27801" xr:uid="{5006A1E1-AA79-4A0C-B7B1-2FEC3203E50F}"/>
    <cellStyle name="Comma 5 13 2 5" xfId="26644" xr:uid="{B9000EF6-D70E-4F90-9CE9-E75B119014F2}"/>
    <cellStyle name="Comma 5 13 2 6" xfId="15101" xr:uid="{508A87DE-C77E-4F26-8878-27C69F773A5A}"/>
    <cellStyle name="Comma 5 13 3" xfId="3576" xr:uid="{00000000-0005-0000-0000-0000EA010000}"/>
    <cellStyle name="Comma 5 13 3 2" xfId="30095" xr:uid="{6499B991-0A52-4551-8674-80CA09359E42}"/>
    <cellStyle name="Comma 5 13 4" xfId="5542" xr:uid="{EA1DAE49-7147-4C06-8D39-0EAFAC4C7544}"/>
    <cellStyle name="Comma 5 13 4 2" xfId="30436" xr:uid="{ACE48D6F-64A3-4EA6-8BC2-FBA928176B24}"/>
    <cellStyle name="Comma 5 13 5" xfId="25275" xr:uid="{25255301-425F-471E-91E5-8CA85BD8C643}"/>
    <cellStyle name="Comma 5 13 6" xfId="12814" xr:uid="{04EED2F0-E263-4E01-BB71-1A5052885D35}"/>
    <cellStyle name="Comma 5 14" xfId="2156" xr:uid="{00000000-0005-0000-0000-000086010000}"/>
    <cellStyle name="Comma 5 14 2" xfId="7283" xr:uid="{822762EF-D3DA-4F0E-A147-996E17AEA36E}"/>
    <cellStyle name="Comma 5 14 2 2" xfId="27689" xr:uid="{0256D1D7-ED9F-4C82-97E0-9170310A5329}"/>
    <cellStyle name="Comma 5 14 2 3" xfId="28280" xr:uid="{3C9C4E2E-B9DF-4364-90C5-E2FDD470EA95}"/>
    <cellStyle name="Comma 5 14 2 4" xfId="17663" xr:uid="{3738291B-0565-419F-B166-FACBBDEE0D75}"/>
    <cellStyle name="Comma 5 14 3" xfId="10116" xr:uid="{65636AD0-40EA-4BAF-9ABF-40BCE104B2C9}"/>
    <cellStyle name="Comma 5 14 3 2" xfId="20496" xr:uid="{6F491D37-1CB8-413E-A52B-4D7C95D189A8}"/>
    <cellStyle name="Comma 5 14 4" xfId="24735" xr:uid="{C9CBED3C-72E0-4E12-887C-B3DEBF97CEC8}"/>
    <cellStyle name="Comma 5 14 5" xfId="14830" xr:uid="{9DAB25E0-335E-450D-B4EF-01133EEBCC53}"/>
    <cellStyle name="Comma 5 15" xfId="3777" xr:uid="{027FE1B2-BC1A-461C-BAA0-62514BD1464F}"/>
    <cellStyle name="Comma 5 15 2" xfId="8618" xr:uid="{F937F0BE-13DB-4336-9B90-88F49A5B7AED}"/>
    <cellStyle name="Comma 5 15 2 2" xfId="18998" xr:uid="{406AA88D-B0B1-4594-932D-2CCB31970E22}"/>
    <cellStyle name="Comma 5 15 3" xfId="11451" xr:uid="{61CAAD24-E5D7-4864-B98A-9508BBD6E09F}"/>
    <cellStyle name="Comma 5 15 3 2" xfId="21831" xr:uid="{6D8E4531-45E2-4E20-86E7-0D1E6B5CA0F6}"/>
    <cellStyle name="Comma 5 15 4" xfId="23604" xr:uid="{EF87A7D9-884A-4F64-B1B7-C8CC7C6997AF}"/>
    <cellStyle name="Comma 5 15 5" xfId="27458" xr:uid="{89903692-C0B4-4F40-89C4-C75A817A2DC4}"/>
    <cellStyle name="Comma 5 15 6" xfId="16165" xr:uid="{4DDC0FBF-B94A-4F81-BE4B-8A9FFDB8C8BD}"/>
    <cellStyle name="Comma 5 16" xfId="4851" xr:uid="{AAA3F902-D68A-45E2-99C8-03FE656262D7}"/>
    <cellStyle name="Comma 5 16 2" xfId="14142" xr:uid="{D008B574-2BA2-43A2-880B-6754BDBFEAFF}"/>
    <cellStyle name="Comma 5 17" xfId="6595" xr:uid="{EE2E808B-4607-4A07-9806-599DB57C2243}"/>
    <cellStyle name="Comma 5 17 2" xfId="16975" xr:uid="{B081372B-6E11-43A4-9C57-E86647752419}"/>
    <cellStyle name="Comma 5 18" xfId="9428" xr:uid="{D1DEE1ED-E00D-45EE-88AE-80066179EB47}"/>
    <cellStyle name="Comma 5 18 2" xfId="19808" xr:uid="{957E1A22-9D68-491A-BBAD-B4FA4FDEB1B3}"/>
    <cellStyle name="Comma 5 19" xfId="24648" xr:uid="{9055C8F1-409E-4A3A-8DD3-7D0245A6EEF9}"/>
    <cellStyle name="Comma 5 2" xfId="459" xr:uid="{00000000-0005-0000-0000-0000EB010000}"/>
    <cellStyle name="Comma 5 2 2" xfId="460" xr:uid="{00000000-0005-0000-0000-0000EC010000}"/>
    <cellStyle name="Comma 5 2 2 2" xfId="1594" xr:uid="{00000000-0005-0000-0000-0000ED010000}"/>
    <cellStyle name="Comma 5 2 2 3" xfId="1595" xr:uid="{00000000-0005-0000-0000-0000EE010000}"/>
    <cellStyle name="Comma 5 2 2 4" xfId="1593" xr:uid="{00000000-0005-0000-0000-0000EF010000}"/>
    <cellStyle name="Comma 5 2 2 5" xfId="6599" xr:uid="{273D3645-09BF-4A18-A4AB-EDE25B05A3A6}"/>
    <cellStyle name="Comma 5 2 2 5 2" xfId="16979" xr:uid="{2C95035C-ACBA-47B5-BDB7-B687EB0B1702}"/>
    <cellStyle name="Comma 5 2 2 6" xfId="9432" xr:uid="{FAAC16A9-4153-4AFD-B1F8-20E8F3A87C8C}"/>
    <cellStyle name="Comma 5 2 2 6 2" xfId="19812" xr:uid="{145F7030-0050-4EBD-8D41-3709A9B0904C}"/>
    <cellStyle name="Comma 5 2 2 7" xfId="25027" xr:uid="{DE75B844-EBEC-4A64-A7E9-57FF65839502}"/>
    <cellStyle name="Comma 5 2 2 8" xfId="14146" xr:uid="{58BAEC72-D61F-4682-9993-3944940B8945}"/>
    <cellStyle name="Comma 5 2 2 9" xfId="29549" xr:uid="{D4CDF6AA-3C1C-45DB-BF23-683A3F5A2E8F}"/>
    <cellStyle name="Comma 5 2 3" xfId="29550" xr:uid="{FF57FBA9-0AC5-4F16-B51E-CE304EC6B7FE}"/>
    <cellStyle name="Comma 5 2 3 2" xfId="29963" xr:uid="{633F44FE-860C-4C4E-A063-4C877E2BD10A}"/>
    <cellStyle name="Comma 5 2 3 3" xfId="29654" xr:uid="{C0C0810D-AAF6-4584-B3D1-924BDA6E2166}"/>
    <cellStyle name="Comma 5 2 4" xfId="29548" xr:uid="{508F08B6-13CA-453B-BC60-59F1E4465DDC}"/>
    <cellStyle name="Comma 5 20" xfId="12386" xr:uid="{302159E2-6CC0-46FF-9364-3A8433ED91B2}"/>
    <cellStyle name="Comma 5 3" xfId="461" xr:uid="{00000000-0005-0000-0000-0000F0010000}"/>
    <cellStyle name="Comma 5 3 10" xfId="4855" xr:uid="{2846F87B-F3CD-4BF8-9488-62CC1D0AA1F2}"/>
    <cellStyle name="Comma 5 3 10 2" xfId="14147" xr:uid="{50684423-3D64-4A82-B41B-9419936B23DE}"/>
    <cellStyle name="Comma 5 3 11" xfId="6600" xr:uid="{693DB301-C91E-4232-BB0E-39CDBBE5076F}"/>
    <cellStyle name="Comma 5 3 11 2" xfId="16980" xr:uid="{3AE9192F-FC94-46DB-A683-7733A5EFF8B5}"/>
    <cellStyle name="Comma 5 3 12" xfId="9433" xr:uid="{34D918AF-B59B-4DA7-96F7-480CE83D0911}"/>
    <cellStyle name="Comma 5 3 12 2" xfId="19813" xr:uid="{1F161FA1-6088-47C1-BDE8-F54460BB08FE}"/>
    <cellStyle name="Comma 5 3 13" xfId="25309" xr:uid="{D7859DD7-1B89-4767-A0D2-196C4B8D2D83}"/>
    <cellStyle name="Comma 5 3 14" xfId="12412" xr:uid="{9909FE86-2089-41F8-9D0E-7276470C2221}"/>
    <cellStyle name="Comma 5 3 2" xfId="462" xr:uid="{00000000-0005-0000-0000-0000F1010000}"/>
    <cellStyle name="Comma 5 3 2 10" xfId="6601" xr:uid="{82695B62-7D76-42AB-BEFC-75E567F2A3C5}"/>
    <cellStyle name="Comma 5 3 2 10 2" xfId="16981" xr:uid="{9AD20C4B-E731-46C2-8BEC-0FFD687EC178}"/>
    <cellStyle name="Comma 5 3 2 11" xfId="9434" xr:uid="{AED80BCA-D092-4C6C-971E-3050E72CFF57}"/>
    <cellStyle name="Comma 5 3 2 11 2" xfId="19814" xr:uid="{987CAEBC-5AB8-49B8-B758-D587955279AF}"/>
    <cellStyle name="Comma 5 3 2 12" xfId="23920" xr:uid="{56197C97-EB7B-40EC-AFA2-7AEAB10C8886}"/>
    <cellStyle name="Comma 5 3 2 13" xfId="12472" xr:uid="{EFBC7B92-3047-49CF-805D-2C6A6223921F}"/>
    <cellStyle name="Comma 5 3 2 2" xfId="463" xr:uid="{00000000-0005-0000-0000-0000F2010000}"/>
    <cellStyle name="Comma 5 3 2 2 10" xfId="13037" xr:uid="{86B57A63-967D-49F1-9028-3928CA4FAF65}"/>
    <cellStyle name="Comma 5 3 2 2 2" xfId="1599" xr:uid="{00000000-0005-0000-0000-0000F3010000}"/>
    <cellStyle name="Comma 5 3 2 2 2 2" xfId="3015" xr:uid="{00000000-0005-0000-0000-000093010000}"/>
    <cellStyle name="Comma 5 3 2 2 2 2 2" xfId="6158" xr:uid="{4ACBE935-4C4A-4B58-AA67-CBC1AD567848}"/>
    <cellStyle name="Comma 5 3 2 2 2 2 2 2" xfId="25952" xr:uid="{A03F8AD1-6D73-462F-AC3F-273225650954}"/>
    <cellStyle name="Comma 5 3 2 2 2 2 2 3" xfId="25885" xr:uid="{4BB2DC81-1E90-4372-9987-27A20831971A}"/>
    <cellStyle name="Comma 5 3 2 2 2 2 2 4" xfId="15642" xr:uid="{4AF74E66-2D4F-40C8-B6A6-07DB4000C240}"/>
    <cellStyle name="Comma 5 3 2 2 2 2 3" xfId="8095" xr:uid="{9E795528-EFE8-49EC-A3CC-54ADBF1342DE}"/>
    <cellStyle name="Comma 5 3 2 2 2 2 3 2" xfId="28777" xr:uid="{0CBF15F0-D411-4526-93F7-EFED3C06D888}"/>
    <cellStyle name="Comma 5 3 2 2 2 2 3 3" xfId="27265" xr:uid="{4C183DF4-8D04-46F2-A7C1-5EE37A5A7CDB}"/>
    <cellStyle name="Comma 5 3 2 2 2 2 3 4" xfId="18475" xr:uid="{18E6D797-2AE3-43E1-A6BE-04E5FC2EB0F6}"/>
    <cellStyle name="Comma 5 3 2 2 2 2 4" xfId="10928" xr:uid="{AFB79152-8464-4800-9AF1-921E7BAF005A}"/>
    <cellStyle name="Comma 5 3 2 2 2 2 4 2" xfId="21308" xr:uid="{39BF4066-2DEB-466C-B501-D053D1037734}"/>
    <cellStyle name="Comma 5 3 2 2 2 2 5" xfId="24319" xr:uid="{E61FFCE0-15C8-4B0D-A412-90E5D4DF8AD6}"/>
    <cellStyle name="Comma 5 3 2 2 2 2 6" xfId="13518" xr:uid="{4E597990-8807-4D77-97E7-E28E02E3D3DD}"/>
    <cellStyle name="Comma 5 3 2 2 2 3" xfId="2667" xr:uid="{00000000-0005-0000-0000-000092010000}"/>
    <cellStyle name="Comma 5 3 2 2 2 3 2" xfId="7791" xr:uid="{A991F633-EC7B-4AE2-AF36-3AFF910B0ED8}"/>
    <cellStyle name="Comma 5 3 2 2 2 3 2 2" xfId="27575" xr:uid="{55463535-088B-4D65-8D51-0F8E527C73E6}"/>
    <cellStyle name="Comma 5 3 2 2 2 3 2 3" xfId="27858" xr:uid="{520E163C-1648-451D-9381-D1B444BA6975}"/>
    <cellStyle name="Comma 5 3 2 2 2 3 2 4" xfId="18171" xr:uid="{D8D0AAD4-15A0-4209-9D40-CC4375AD633E}"/>
    <cellStyle name="Comma 5 3 2 2 2 3 3" xfId="10624" xr:uid="{23424A55-1186-4AE1-8B15-D60B73FB2413}"/>
    <cellStyle name="Comma 5 3 2 2 2 3 3 2" xfId="21004" xr:uid="{D45E85F7-0528-446F-8AEF-F2444471BE38}"/>
    <cellStyle name="Comma 5 3 2 2 2 3 4" xfId="24773" xr:uid="{F6C426D8-D850-4C02-A12E-6C68D7A11502}"/>
    <cellStyle name="Comma 5 3 2 2 2 3 5" xfId="15338" xr:uid="{16A4BAA9-88C4-414D-BFF5-062C8FED3C61}"/>
    <cellStyle name="Comma 5 3 2 2 2 4" xfId="3630" xr:uid="{00000000-0005-0000-0000-0000F3010000}"/>
    <cellStyle name="Comma 5 3 2 2 2 4 2" xfId="29881" xr:uid="{6F19F2D6-5874-4BAA-A8A8-A368C993DEA7}"/>
    <cellStyle name="Comma 5 3 2 2 2 5" xfId="4252" xr:uid="{9B0E90D9-C0F7-49FF-A548-FF90C88E6C49}"/>
    <cellStyle name="Comma 5 3 2 2 2 5 2" xfId="9024" xr:uid="{DB214821-C42B-4F8D-9BBF-71FC6C4AEED3}"/>
    <cellStyle name="Comma 5 3 2 2 2 5 2 2" xfId="19404" xr:uid="{3CCFE505-B22F-4BE5-BFD5-27F625009463}"/>
    <cellStyle name="Comma 5 3 2 2 2 5 3" xfId="11857" xr:uid="{879F1394-5F75-4E90-ACCF-2DB416637DF2}"/>
    <cellStyle name="Comma 5 3 2 2 2 5 3 2" xfId="22237" xr:uid="{A8BFC29A-4346-4751-A9D7-8EBC270E9334}"/>
    <cellStyle name="Comma 5 3 2 2 2 5 4" xfId="16571" xr:uid="{3BACECC7-6A25-4BBD-A5D0-C82353F7F629}"/>
    <cellStyle name="Comma 5 3 2 2 2 6" xfId="5546" xr:uid="{4AA9B774-4921-4980-9DB7-0CEF866568F6}"/>
    <cellStyle name="Comma 5 3 2 2 2 6 2" xfId="30501" xr:uid="{76756D4E-412F-4809-9F0F-09CB3D58A8DD}"/>
    <cellStyle name="Comma 5 3 2 2 2 7" xfId="23725" xr:uid="{8A8F9509-66DC-46AC-A9A7-817B49144E49}"/>
    <cellStyle name="Comma 5 3 2 2 2 8" xfId="13068" xr:uid="{B50D4B53-697A-42B9-9F93-70A744787325}"/>
    <cellStyle name="Comma 5 3 2 2 3" xfId="1600" xr:uid="{00000000-0005-0000-0000-0000F4010000}"/>
    <cellStyle name="Comma 5 3 2 2 3 2" xfId="3016" xr:uid="{00000000-0005-0000-0000-000094010000}"/>
    <cellStyle name="Comma 5 3 2 2 3 2 2" xfId="8096" xr:uid="{7BF9BB9B-26F6-4A7B-B741-6401840D44C4}"/>
    <cellStyle name="Comma 5 3 2 2 3 2 2 2" xfId="28778" xr:uid="{97F5D130-40E9-49C6-BF88-F44C1C5917AA}"/>
    <cellStyle name="Comma 5 3 2 2 3 2 2 3" xfId="27874" xr:uid="{1C2254A3-A181-4089-A9AD-37492C817900}"/>
    <cellStyle name="Comma 5 3 2 2 3 2 2 4" xfId="18476" xr:uid="{EF665B60-996B-4090-9883-5AF6CE2B9F40}"/>
    <cellStyle name="Comma 5 3 2 2 3 2 3" xfId="10929" xr:uid="{F7202109-0539-401A-8DA8-FE6FE6E715B4}"/>
    <cellStyle name="Comma 5 3 2 2 3 2 3 2" xfId="21309" xr:uid="{7E1FA1D7-80F6-4007-BA48-786A08D6E488}"/>
    <cellStyle name="Comma 5 3 2 2 3 2 4" xfId="23283" xr:uid="{E29E3FB4-1142-46D5-B9BC-FBCC0D3E4AF6}"/>
    <cellStyle name="Comma 5 3 2 2 3 2 5" xfId="15643" xr:uid="{F739DFD7-5A02-4961-B2FF-23F1CB84962A}"/>
    <cellStyle name="Comma 5 3 2 2 3 3" xfId="2083" xr:uid="{00000000-0005-0000-0000-0000F4010000}"/>
    <cellStyle name="Comma 5 3 2 2 3 3 2" xfId="29948" xr:uid="{161E4B03-CDE7-4A03-992F-F9493EEAB05C}"/>
    <cellStyle name="Comma 5 3 2 2 3 4" xfId="4392" xr:uid="{933C8226-C46F-4342-AB1B-1DC1B1F37B70}"/>
    <cellStyle name="Comma 5 3 2 2 3 4 2" xfId="9164" xr:uid="{08B4E032-80CB-4825-8075-E7E720E1D674}"/>
    <cellStyle name="Comma 5 3 2 2 3 4 2 2" xfId="19544" xr:uid="{5E6B521C-CC61-48D2-A240-A3DE4FF65289}"/>
    <cellStyle name="Comma 5 3 2 2 3 4 3" xfId="11997" xr:uid="{86F94323-154D-4FD7-B637-754FD397809D}"/>
    <cellStyle name="Comma 5 3 2 2 3 4 3 2" xfId="22377" xr:uid="{6E1276EF-499F-4B69-A23D-99DCD957C31B}"/>
    <cellStyle name="Comma 5 3 2 2 3 4 4" xfId="16711" xr:uid="{BFA2BFEE-AA3F-48EB-B522-19E3AA60155E}"/>
    <cellStyle name="Comma 5 3 2 2 3 5" xfId="5547" xr:uid="{87BB5A44-0A84-4354-8A20-3DE740BDB9D5}"/>
    <cellStyle name="Comma 5 3 2 2 3 5 2" xfId="30603" xr:uid="{91C74AA4-C879-4D0B-A5D1-941558BE2414}"/>
    <cellStyle name="Comma 5 3 2 2 3 6" xfId="25168" xr:uid="{35E2B19E-F3CF-4FCD-A416-6AA019C43B9E}"/>
    <cellStyle name="Comma 5 3 2 2 3 7" xfId="13519" xr:uid="{81206A3F-C747-4698-B559-B3F885CD8D9A}"/>
    <cellStyle name="Comma 5 3 2 2 4" xfId="1598" xr:uid="{00000000-0005-0000-0000-0000F5010000}"/>
    <cellStyle name="Comma 5 3 2 2 4 2" xfId="3014" xr:uid="{00000000-0005-0000-0000-000095010000}"/>
    <cellStyle name="Comma 5 3 2 2 4 2 2" xfId="8094" xr:uid="{E89D21E1-B455-4D7D-9B2F-B8E34618380A}"/>
    <cellStyle name="Comma 5 3 2 2 4 2 2 2" xfId="18474" xr:uid="{F97B71C0-7501-4349-B040-6C9E49273439}"/>
    <cellStyle name="Comma 5 3 2 2 4 2 3" xfId="10927" xr:uid="{080E1EBD-51A9-4D41-8C45-D42D6FC9F519}"/>
    <cellStyle name="Comma 5 3 2 2 4 2 3 2" xfId="21307" xr:uid="{113E7A58-A99D-4BCF-A0FB-13EB1CE0409A}"/>
    <cellStyle name="Comma 5 3 2 2 4 2 4" xfId="28675" xr:uid="{8DE688C5-537B-47A8-AE3F-35341CEE66EF}"/>
    <cellStyle name="Comma 5 3 2 2 4 2 5" xfId="25944" xr:uid="{AAFF93DB-5388-405A-A1AD-12F8FD651DE5}"/>
    <cellStyle name="Comma 5 3 2 2 4 2 6" xfId="15641" xr:uid="{FDB837A0-16E1-4F02-98AD-01678890DB27}"/>
    <cellStyle name="Comma 5 3 2 2 4 3" xfId="3652" xr:uid="{00000000-0005-0000-0000-0000F5010000}"/>
    <cellStyle name="Comma 5 3 2 2 4 3 2" xfId="30303" xr:uid="{5D4748E4-4F2E-4D2C-9F83-E75B85E6E4BD}"/>
    <cellStyle name="Comma 5 3 2 2 4 4" xfId="5545" xr:uid="{A02B8927-C6C9-4981-8371-BC5F4FFB90CF}"/>
    <cellStyle name="Comma 5 3 2 2 4 4 2" xfId="30739" xr:uid="{03123D3A-0579-4ADD-BF3B-B75F630B8FF2}"/>
    <cellStyle name="Comma 5 3 2 2 4 5" xfId="24206" xr:uid="{EA34B4EF-3E9F-4C0B-9FF3-F638CFE397CA}"/>
    <cellStyle name="Comma 5 3 2 2 4 6" xfId="13517" xr:uid="{970BC1FE-57FD-4E25-9E11-06B96A5F0C91}"/>
    <cellStyle name="Comma 5 3 2 2 5" xfId="4238" xr:uid="{8B6E58F7-0192-48F8-B6FC-70C1E0C133D5}"/>
    <cellStyle name="Comma 5 3 2 2 5 2" xfId="9010" xr:uid="{55FBEF45-EC69-4E11-8A17-A2E69465326C}"/>
    <cellStyle name="Comma 5 3 2 2 5 2 2" xfId="29081" xr:uid="{2407A847-EA3F-4F61-90DC-C97610FFA662}"/>
    <cellStyle name="Comma 5 3 2 2 5 2 3" xfId="28458" xr:uid="{B7915A89-7465-4B46-84A0-1E8D8551BF38}"/>
    <cellStyle name="Comma 5 3 2 2 5 2 4" xfId="19390" xr:uid="{3D06A3B1-A1DD-475F-9DD4-C89790FEBBE5}"/>
    <cellStyle name="Comma 5 3 2 2 5 3" xfId="11843" xr:uid="{E403C161-1D3D-4082-B650-A1F1DFC3CB8D}"/>
    <cellStyle name="Comma 5 3 2 2 5 3 2" xfId="22223" xr:uid="{1AA8CE2E-465D-43DC-B1AC-5FDDB5246458}"/>
    <cellStyle name="Comma 5 3 2 2 5 4" xfId="22671" xr:uid="{3AD68E01-C7E2-4706-BA90-4956E1ADB08D}"/>
    <cellStyle name="Comma 5 3 2 2 5 5" xfId="16557" xr:uid="{EE68A2B4-8AF6-4162-878E-A65980BC098E}"/>
    <cellStyle name="Comma 5 3 2 2 6" xfId="4857" xr:uid="{708195BE-D60E-45FC-849B-1AAC97801F00}"/>
    <cellStyle name="Comma 5 3 2 2 6 2" xfId="28559" xr:uid="{BD568B2A-F9B1-4D17-B640-3623EE7CAC30}"/>
    <cellStyle name="Comma 5 3 2 2 6 3" xfId="26166" xr:uid="{27C47F0C-B9F6-4597-822F-2C5F7C5FB64F}"/>
    <cellStyle name="Comma 5 3 2 2 6 4" xfId="14149" xr:uid="{63953720-10EC-4643-9AEE-69438185FB2A}"/>
    <cellStyle name="Comma 5 3 2 2 7" xfId="6602" xr:uid="{98B5AC0E-D832-4D8B-A0D5-351EC6061F08}"/>
    <cellStyle name="Comma 5 3 2 2 7 2" xfId="28195" xr:uid="{263BDD9F-C289-4B89-BC07-2907BA8F8736}"/>
    <cellStyle name="Comma 5 3 2 2 7 3" xfId="26026" xr:uid="{1E22E622-71C9-4916-8A9F-4FB5D10C03E0}"/>
    <cellStyle name="Comma 5 3 2 2 7 4" xfId="16982" xr:uid="{F96EF380-ECEA-4B8A-B4D9-F0425A7C9CFC}"/>
    <cellStyle name="Comma 5 3 2 2 8" xfId="9435" xr:uid="{112738C0-1CC2-44AE-AF8B-F23ECC39055F}"/>
    <cellStyle name="Comma 5 3 2 2 8 2" xfId="19815" xr:uid="{49B65756-72B0-4442-A8AC-48CA29401AB9}"/>
    <cellStyle name="Comma 5 3 2 2 9" xfId="23279" xr:uid="{EA252DCF-1D4A-43F0-A927-AF12D7AE13F8}"/>
    <cellStyle name="Comma 5 3 2 3" xfId="1601" xr:uid="{00000000-0005-0000-0000-0000F6010000}"/>
    <cellStyle name="Comma 5 3 2 3 2" xfId="3017" xr:uid="{00000000-0005-0000-0000-000097010000}"/>
    <cellStyle name="Comma 5 3 2 3 2 2" xfId="6159" xr:uid="{61D413E5-DB6E-492C-8B47-02BFADD98E21}"/>
    <cellStyle name="Comma 5 3 2 3 2 2 2" xfId="25667" xr:uid="{ECD3007B-AB55-4924-8E44-EED1B3DC4895}"/>
    <cellStyle name="Comma 5 3 2 3 2 2 2 2" xfId="26049" xr:uid="{36AB2384-EEB9-48E6-9997-4A4F24685914}"/>
    <cellStyle name="Comma 5 3 2 3 2 2 3" xfId="28228" xr:uid="{63A53D60-5E09-4E12-ACDB-9B7AC43BF2CD}"/>
    <cellStyle name="Comma 5 3 2 3 2 2 4" xfId="15644" xr:uid="{EFA7C0C6-9201-495A-A865-995833A44D24}"/>
    <cellStyle name="Comma 5 3 2 3 2 3" xfId="8097" xr:uid="{B86FB38A-9BC1-4484-8EA8-4961DCEEA2B6}"/>
    <cellStyle name="Comma 5 3 2 3 2 3 2" xfId="28779" xr:uid="{8E8F1AE3-0968-4CC5-8846-550B57BF6B4B}"/>
    <cellStyle name="Comma 5 3 2 3 2 3 3" xfId="26722" xr:uid="{0D322364-39A8-470B-B24C-D568B9D2FEC7}"/>
    <cellStyle name="Comma 5 3 2 3 2 3 4" xfId="18477" xr:uid="{E0830030-E6EA-49BD-9317-AC595E66A444}"/>
    <cellStyle name="Comma 5 3 2 3 2 4" xfId="10930" xr:uid="{FE919D4E-E0F3-474A-AE0E-73AD100D68B2}"/>
    <cellStyle name="Comma 5 3 2 3 2 4 2" xfId="21310" xr:uid="{40EFF97C-5646-4488-A410-46C0045165E4}"/>
    <cellStyle name="Comma 5 3 2 3 2 5" xfId="24028" xr:uid="{CD10D5B4-473A-4837-9D31-ADDEF8B2B89E}"/>
    <cellStyle name="Comma 5 3 2 3 2 6" xfId="13520" xr:uid="{F2D4A119-DAE8-4320-9336-1EC7D87368E9}"/>
    <cellStyle name="Comma 5 3 2 3 3" xfId="2666" xr:uid="{00000000-0005-0000-0000-000096010000}"/>
    <cellStyle name="Comma 5 3 2 3 3 2" xfId="7790" xr:uid="{9AACB940-3DD7-460F-BF72-CB1198BE3E42}"/>
    <cellStyle name="Comma 5 3 2 3 3 2 2" xfId="28428" xr:uid="{1023DED4-034C-46C0-85AC-E55C64504142}"/>
    <cellStyle name="Comma 5 3 2 3 3 2 3" xfId="27883" xr:uid="{0134A244-51A5-4514-91B5-7BF4B14291DF}"/>
    <cellStyle name="Comma 5 3 2 3 3 2 4" xfId="18170" xr:uid="{CD83C855-375E-42AB-82A6-EC06AC3537AF}"/>
    <cellStyle name="Comma 5 3 2 3 3 3" xfId="10623" xr:uid="{7D0E0F47-584A-4397-86E5-2949A996BB3E}"/>
    <cellStyle name="Comma 5 3 2 3 3 3 2" xfId="21003" xr:uid="{ADF39D8E-AE79-4AB7-AD70-FF8655E0AFED}"/>
    <cellStyle name="Comma 5 3 2 3 3 4" xfId="25383" xr:uid="{D656B3E5-9EF2-4DD3-BA23-B63C217627B7}"/>
    <cellStyle name="Comma 5 3 2 3 3 5" xfId="15337" xr:uid="{893B97A2-BE70-498A-8C77-CAFC1444F47C}"/>
    <cellStyle name="Comma 5 3 2 3 4" xfId="3611" xr:uid="{00000000-0005-0000-0000-0000F6010000}"/>
    <cellStyle name="Comma 5 3 2 3 4 2" xfId="29801" xr:uid="{4BA44C22-B38A-4C23-A19B-7296BBA50835}"/>
    <cellStyle name="Comma 5 3 2 3 5" xfId="4251" xr:uid="{44E3EAE7-C7AC-466B-AE28-FC315EF010FC}"/>
    <cellStyle name="Comma 5 3 2 3 5 2" xfId="9023" xr:uid="{889AFE3D-6BB3-4C48-92E0-0E45863380EE}"/>
    <cellStyle name="Comma 5 3 2 3 5 2 2" xfId="19403" xr:uid="{E5D4D153-2C86-4B7D-9F94-8A5AD69EF39D}"/>
    <cellStyle name="Comma 5 3 2 3 5 3" xfId="11856" xr:uid="{DADCD709-37B4-4618-B5FD-4AE2F0C1050E}"/>
    <cellStyle name="Comma 5 3 2 3 5 3 2" xfId="22236" xr:uid="{CB66ED33-56C5-423C-9D31-29B86F28C6AA}"/>
    <cellStyle name="Comma 5 3 2 3 5 4" xfId="16570" xr:uid="{C5B36E00-2B2E-4003-81E3-B89E0D229188}"/>
    <cellStyle name="Comma 5 3 2 3 6" xfId="5548" xr:uid="{B675D260-A30F-4DB2-8CCD-E217F8346325}"/>
    <cellStyle name="Comma 5 3 2 3 6 2" xfId="30383" xr:uid="{6468BD0B-0CD9-4C37-B4E0-9C8B3843CCBE}"/>
    <cellStyle name="Comma 5 3 2 3 7" xfId="25269" xr:uid="{3CB50019-DC2C-4BE2-BB7E-167334EBA095}"/>
    <cellStyle name="Comma 5 3 2 3 8" xfId="13067" xr:uid="{C7A9DA37-CC33-48B6-8AFD-0CC48BE10F24}"/>
    <cellStyle name="Comma 5 3 2 4" xfId="1602" xr:uid="{00000000-0005-0000-0000-0000F7010000}"/>
    <cellStyle name="Comma 5 3 2 4 2" xfId="3018" xr:uid="{00000000-0005-0000-0000-000098010000}"/>
    <cellStyle name="Comma 5 3 2 4 2 2" xfId="8098" xr:uid="{C7649695-9281-40EA-BB91-55CC922A7359}"/>
    <cellStyle name="Comma 5 3 2 4 2 2 2" xfId="28780" xr:uid="{73990E74-1063-4255-A950-145D40281FFC}"/>
    <cellStyle name="Comma 5 3 2 4 2 2 3" xfId="28348" xr:uid="{6684CE6F-2062-42C8-A041-7C5C9ADAC89D}"/>
    <cellStyle name="Comma 5 3 2 4 2 2 4" xfId="18478" xr:uid="{A58B8445-4EA5-4F14-B674-E98BB3523479}"/>
    <cellStyle name="Comma 5 3 2 4 2 3" xfId="10931" xr:uid="{170AFC33-D754-4BB6-ADAD-71308ACC902B}"/>
    <cellStyle name="Comma 5 3 2 4 2 3 2" xfId="21311" xr:uid="{382608E5-F476-4240-AC66-B91D74DE86B0}"/>
    <cellStyle name="Comma 5 3 2 4 2 4" xfId="25771" xr:uid="{732E71AD-9C09-4D82-AB83-AE567D70BE03}"/>
    <cellStyle name="Comma 5 3 2 4 2 5" xfId="15645" xr:uid="{CDBE3585-32BB-4492-839A-0E8CFA0B33E5}"/>
    <cellStyle name="Comma 5 3 2 4 3" xfId="2155" xr:uid="{00000000-0005-0000-0000-0000F7010000}"/>
    <cellStyle name="Comma 5 3 2 4 3 2" xfId="29844" xr:uid="{EE490874-3834-470A-A09E-AF4340C86FD1}"/>
    <cellStyle name="Comma 5 3 2 4 4" xfId="4393" xr:uid="{A11BE978-7C2A-4394-B26B-C7F4156424D0}"/>
    <cellStyle name="Comma 5 3 2 4 4 2" xfId="9165" xr:uid="{ABCD93B8-6116-4838-BC4E-BD3F86BD9464}"/>
    <cellStyle name="Comma 5 3 2 4 4 2 2" xfId="19545" xr:uid="{7303CAFF-93EF-4D28-99B6-A7799A67C027}"/>
    <cellStyle name="Comma 5 3 2 4 4 3" xfId="11998" xr:uid="{F2C5D82A-3446-44EE-ADA2-622A64BC7972}"/>
    <cellStyle name="Comma 5 3 2 4 4 3 2" xfId="22378" xr:uid="{D3A438AE-22B9-4BF7-9A7E-B7A500B209C5}"/>
    <cellStyle name="Comma 5 3 2 4 4 4" xfId="16712" xr:uid="{688E38BA-6390-4979-8098-4A0E3F26AF46}"/>
    <cellStyle name="Comma 5 3 2 4 5" xfId="5549" xr:uid="{24FE49EC-6989-4913-AFE3-094A4DA83C58}"/>
    <cellStyle name="Comma 5 3 2 4 5 2" xfId="30468" xr:uid="{42A97BCE-6920-4469-BEED-57E910B74DAD}"/>
    <cellStyle name="Comma 5 3 2 4 6" xfId="23774" xr:uid="{CCFD7A9C-E3C1-4C88-93AF-DC3BE8DD6499}"/>
    <cellStyle name="Comma 5 3 2 4 7" xfId="13521" xr:uid="{2C9F4BCD-5F48-4543-A7F2-D47531FE48C9}"/>
    <cellStyle name="Comma 5 3 2 5" xfId="1597" xr:uid="{00000000-0005-0000-0000-0000F8010000}"/>
    <cellStyle name="Comma 5 3 2 5 2" xfId="3013" xr:uid="{00000000-0005-0000-0000-000099010000}"/>
    <cellStyle name="Comma 5 3 2 5 2 2" xfId="8093" xr:uid="{C79E0C8B-DE33-4890-BAA4-05C189D1E714}"/>
    <cellStyle name="Comma 5 3 2 5 2 2 2" xfId="18473" xr:uid="{7EF0285E-B82D-4ADC-AE91-8D0851496857}"/>
    <cellStyle name="Comma 5 3 2 5 2 3" xfId="10926" xr:uid="{A9FFAA07-10E2-4625-9206-79875381F6C4}"/>
    <cellStyle name="Comma 5 3 2 5 2 3 2" xfId="21306" xr:uid="{3ABF3A2F-5123-4D62-A035-B10E9ECD90ED}"/>
    <cellStyle name="Comma 5 3 2 5 2 4" xfId="28563" xr:uid="{0471347A-EF47-40DE-B68E-DDD0854A5373}"/>
    <cellStyle name="Comma 5 3 2 5 2 5" xfId="27095" xr:uid="{58216308-30EB-43DB-A323-330DCF8340DF}"/>
    <cellStyle name="Comma 5 3 2 5 2 6" xfId="15640" xr:uid="{A31B7C43-EE6B-4F45-9CDF-31D1101A763E}"/>
    <cellStyle name="Comma 5 3 2 5 3" xfId="3629" xr:uid="{00000000-0005-0000-0000-0000F8010000}"/>
    <cellStyle name="Comma 5 3 2 5 3 2" xfId="29919" xr:uid="{FD785D9B-E817-42B2-8263-B6D8EAB0C913}"/>
    <cellStyle name="Comma 5 3 2 5 4" xfId="5544" xr:uid="{FAF9A496-4265-4C3D-953B-05827F327311}"/>
    <cellStyle name="Comma 5 3 2 5 4 2" xfId="30192" xr:uid="{3B98D7A5-8466-4FEE-A3FB-E12304D64692}"/>
    <cellStyle name="Comma 5 3 2 5 5" xfId="24469" xr:uid="{AFB6647A-227D-41B4-B74F-6277070C58F5}"/>
    <cellStyle name="Comma 5 3 2 5 6" xfId="13516" xr:uid="{8580C680-8BC7-47F0-9872-44A355965C65}"/>
    <cellStyle name="Comma 5 3 2 6" xfId="2546" xr:uid="{00000000-0005-0000-0000-00009A010000}"/>
    <cellStyle name="Comma 5 3 2 6 2" xfId="5818" xr:uid="{B42CD3E3-B5A0-4D7F-8ED6-F0A83CF718C6}"/>
    <cellStyle name="Comma 5 3 2 6 2 2" xfId="28226" xr:uid="{A3F780B0-638F-4FD6-864E-68C5B39D6DCA}"/>
    <cellStyle name="Comma 5 3 2 6 2 3" xfId="26315" xr:uid="{B534AB36-6FE0-4D08-B9F6-3B18A67C9BC7}"/>
    <cellStyle name="Comma 5 3 2 6 2 4" xfId="15218" xr:uid="{19F8B05B-7B1B-413C-8AEF-99A00CA1990A}"/>
    <cellStyle name="Comma 5 3 2 6 3" xfId="7671" xr:uid="{B119D217-FEE9-4F39-9C46-B07449B1D556}"/>
    <cellStyle name="Comma 5 3 2 6 3 2" xfId="18051" xr:uid="{8137A127-67FA-4FC0-9A4B-CF57A49A2EA3}"/>
    <cellStyle name="Comma 5 3 2 6 4" xfId="10504" xr:uid="{AFE80641-2117-4BB7-8F7D-9121896F10AB}"/>
    <cellStyle name="Comma 5 3 2 6 4 2" xfId="20884" xr:uid="{2522E95E-9C3D-499A-8E4E-9A06D5634F9F}"/>
    <cellStyle name="Comma 5 3 2 6 5" xfId="22987" xr:uid="{49B7F587-D701-4986-A250-A409BE3237B0}"/>
    <cellStyle name="Comma 5 3 2 6 6" xfId="12934" xr:uid="{5B135D3C-09AD-4E30-BB6B-60138CF8FFB5}"/>
    <cellStyle name="Comma 5 3 2 7" xfId="2240" xr:uid="{00000000-0005-0000-0000-000090010000}"/>
    <cellStyle name="Comma 5 3 2 7 2" xfId="7367" xr:uid="{EBB7595B-8065-4FFE-912A-3A960CFAF648}"/>
    <cellStyle name="Comma 5 3 2 7 2 2" xfId="17747" xr:uid="{F4A253BF-AA6D-44B8-88D2-5771908DBA10}"/>
    <cellStyle name="Comma 5 3 2 7 3" xfId="10200" xr:uid="{08E08A14-B7D5-4DC3-8546-79A2B7CA1538}"/>
    <cellStyle name="Comma 5 3 2 7 3 2" xfId="20580" xr:uid="{19789572-D886-48F5-AF6F-5C39143B76A0}"/>
    <cellStyle name="Comma 5 3 2 7 4" xfId="25551" xr:uid="{3905059D-883A-43CF-8FD1-2A2577249EE8}"/>
    <cellStyle name="Comma 5 3 2 7 5" xfId="27770" xr:uid="{5536DCEE-0E1D-4E26-B20B-64C6BD9A4356}"/>
    <cellStyle name="Comma 5 3 2 7 6" xfId="14914" xr:uid="{39D80824-8F21-4CB3-9694-DB4CEDD343F5}"/>
    <cellStyle name="Comma 5 3 2 8" xfId="3793" xr:uid="{819F03ED-7C8B-456D-823F-A9502DAE0057}"/>
    <cellStyle name="Comma 5 3 2 8 2" xfId="8629" xr:uid="{E4B0903F-6E6F-4A8E-B1B9-EE2A8455EE72}"/>
    <cellStyle name="Comma 5 3 2 8 2 2" xfId="19009" xr:uid="{8DB4F203-1121-416C-B01F-9F2B947A4396}"/>
    <cellStyle name="Comma 5 3 2 8 3" xfId="11462" xr:uid="{A35D6D00-4B8A-4B1E-8343-7C9D122B4970}"/>
    <cellStyle name="Comma 5 3 2 8 3 2" xfId="21842" xr:uid="{7A10F71C-48B8-4D48-B76C-C08E02C7E26E}"/>
    <cellStyle name="Comma 5 3 2 8 4" xfId="26924" xr:uid="{81ED6D7E-DED7-4A6D-950B-948283FEF26C}"/>
    <cellStyle name="Comma 5 3 2 8 5" xfId="27135" xr:uid="{FA637432-DA40-4BB9-A677-FFE8F7735C16}"/>
    <cellStyle name="Comma 5 3 2 8 6" xfId="16176" xr:uid="{22A43F48-9D88-40D3-91A0-EBEB420A8735}"/>
    <cellStyle name="Comma 5 3 2 9" xfId="4856" xr:uid="{D5470E20-D035-4D15-BFDA-251B57D6DBDA}"/>
    <cellStyle name="Comma 5 3 2 9 2" xfId="14148" xr:uid="{3FA9249D-3FC7-4517-AC59-94301A61B933}"/>
    <cellStyle name="Comma 5 3 3" xfId="464" xr:uid="{00000000-0005-0000-0000-0000F9010000}"/>
    <cellStyle name="Comma 5 3 3 10" xfId="9436" xr:uid="{21C97C8C-6484-4207-9292-8BAD5BA7D5B0}"/>
    <cellStyle name="Comma 5 3 3 10 2" xfId="19816" xr:uid="{DC75FED8-810B-4248-890D-5DD7BA087CF4}"/>
    <cellStyle name="Comma 5 3 3 11" xfId="22999" xr:uid="{EF9388E6-D73B-48FD-8E97-5A2B90364689}"/>
    <cellStyle name="Comma 5 3 3 12" xfId="12505" xr:uid="{69B7EA0F-CE62-4329-AF05-BA99CE648FEA}"/>
    <cellStyle name="Comma 5 3 3 2" xfId="1604" xr:uid="{00000000-0005-0000-0000-0000FA010000}"/>
    <cellStyle name="Comma 5 3 3 2 2" xfId="3020" xr:uid="{00000000-0005-0000-0000-00009D010000}"/>
    <cellStyle name="Comma 5 3 3 2 2 2" xfId="6160" xr:uid="{F0378657-A031-41C3-8F41-6A3B1C9D7262}"/>
    <cellStyle name="Comma 5 3 3 2 2 2 2" xfId="24487" xr:uid="{83A5BCE7-FA93-4046-B93F-7DBF3B6AB5B0}"/>
    <cellStyle name="Comma 5 3 3 2 2 2 2 2" xfId="28429" xr:uid="{736DE6AB-161D-4636-A9C4-28D443D12817}"/>
    <cellStyle name="Comma 5 3 3 2 2 2 3" xfId="25862" xr:uid="{EF41CB2E-81DC-4902-9327-C9A51BC071F7}"/>
    <cellStyle name="Comma 5 3 3 2 2 2 4" xfId="15647" xr:uid="{C0FB2A2C-4C20-4F64-9D84-D761A735928E}"/>
    <cellStyle name="Comma 5 3 3 2 2 3" xfId="8100" xr:uid="{B2675BE1-25A0-44ED-A687-FABA010D7052}"/>
    <cellStyle name="Comma 5 3 3 2 2 3 2" xfId="28782" xr:uid="{CD187FE2-8FC9-4015-BA37-C9208C8B8BCD}"/>
    <cellStyle name="Comma 5 3 3 2 2 3 3" xfId="27515" xr:uid="{A9561C34-DD72-4C66-8DF2-57C9CBED73B7}"/>
    <cellStyle name="Comma 5 3 3 2 2 3 4" xfId="18480" xr:uid="{79D6A84A-3C44-4127-B3BE-F560C8722588}"/>
    <cellStyle name="Comma 5 3 3 2 2 4" xfId="10933" xr:uid="{FC1448B2-004C-4E12-9A63-CEFA1F59C4C9}"/>
    <cellStyle name="Comma 5 3 3 2 2 4 2" xfId="21313" xr:uid="{7117E778-8A37-419F-9809-286168CEAAF0}"/>
    <cellStyle name="Comma 5 3 3 2 2 5" xfId="24861" xr:uid="{B51606ED-93C3-4546-96D3-BF8C0BF40DBF}"/>
    <cellStyle name="Comma 5 3 3 2 2 6" xfId="13523" xr:uid="{D52808DA-9BA2-40FA-B25F-1CE8A6D6144A}"/>
    <cellStyle name="Comma 5 3 3 2 3" xfId="2668" xr:uid="{00000000-0005-0000-0000-00009C010000}"/>
    <cellStyle name="Comma 5 3 3 2 3 2" xfId="7792" xr:uid="{BA0259BC-20EC-4EC6-A19B-378E2BF4E5BD}"/>
    <cellStyle name="Comma 5 3 3 2 3 2 2" xfId="26041" xr:uid="{6782B069-944B-4921-902D-DAC3C150A5C8}"/>
    <cellStyle name="Comma 5 3 3 2 3 2 3" xfId="27403" xr:uid="{AB192F4A-9390-4A16-84D9-2950F8504D98}"/>
    <cellStyle name="Comma 5 3 3 2 3 2 4" xfId="18172" xr:uid="{D16734CC-6C0E-4BC9-A5A0-189B1E08715C}"/>
    <cellStyle name="Comma 5 3 3 2 3 3" xfId="10625" xr:uid="{32D673C7-F16B-40F9-AC5C-B8145FC66C24}"/>
    <cellStyle name="Comma 5 3 3 2 3 3 2" xfId="21005" xr:uid="{B3228333-204B-4211-857B-61CFE09A4DD0}"/>
    <cellStyle name="Comma 5 3 3 2 3 4" xfId="24832" xr:uid="{E9D5CFD3-D44C-4075-AD3A-C62EE31B5ADB}"/>
    <cellStyle name="Comma 5 3 3 2 3 5" xfId="15339" xr:uid="{2B66F20E-EAA4-4812-8730-8E1672063F27}"/>
    <cellStyle name="Comma 5 3 3 2 4" xfId="3581" xr:uid="{00000000-0005-0000-0000-0000FA010000}"/>
    <cellStyle name="Comma 5 3 3 2 4 2" xfId="29802" xr:uid="{9B006483-E8FD-4E5C-ABC0-A87AEF919373}"/>
    <cellStyle name="Comma 5 3 3 2 5" xfId="4253" xr:uid="{A5CF6D28-9ECD-4973-BC14-8B113A41CBB2}"/>
    <cellStyle name="Comma 5 3 3 2 5 2" xfId="9025" xr:uid="{81DA8887-A952-4CB5-B5A0-720526160502}"/>
    <cellStyle name="Comma 5 3 3 2 5 2 2" xfId="19405" xr:uid="{9F87F3FB-8163-420F-AF07-B1B25D8E6B97}"/>
    <cellStyle name="Comma 5 3 3 2 5 3" xfId="11858" xr:uid="{39BC5741-8C7C-4596-95A7-4B99CB39F1EF}"/>
    <cellStyle name="Comma 5 3 3 2 5 3 2" xfId="22238" xr:uid="{02B4F7AC-9C43-4DF6-B35E-A78401953B0E}"/>
    <cellStyle name="Comma 5 3 3 2 5 4" xfId="26577" xr:uid="{715E5C5C-3872-4D4B-8066-80917DA2B00F}"/>
    <cellStyle name="Comma 5 3 3 2 5 5" xfId="26522" xr:uid="{DD64C3BF-EB63-4953-9816-A8B3F2938B93}"/>
    <cellStyle name="Comma 5 3 3 2 5 6" xfId="16572" xr:uid="{C7F6F558-EB37-4FA6-8D0D-9C76D89D3C31}"/>
    <cellStyle name="Comma 5 3 3 2 6" xfId="5551" xr:uid="{4187F2AE-FC25-459C-94F0-C08F8C49EAB6}"/>
    <cellStyle name="Comma 5 3 3 2 6 2" xfId="30384" xr:uid="{69FC0825-80CA-4023-B025-26E9ABA61207}"/>
    <cellStyle name="Comma 5 3 3 2 7" xfId="23667" xr:uid="{91BF73DA-EC0B-44F2-A377-D678D1D931C6}"/>
    <cellStyle name="Comma 5 3 3 2 8" xfId="13069" xr:uid="{5A1B561C-420F-4222-BE17-44FB8D23587F}"/>
    <cellStyle name="Comma 5 3 3 3" xfId="1605" xr:uid="{00000000-0005-0000-0000-0000FB010000}"/>
    <cellStyle name="Comma 5 3 3 3 2" xfId="3021" xr:uid="{00000000-0005-0000-0000-00009E010000}"/>
    <cellStyle name="Comma 5 3 3 3 2 2" xfId="8101" xr:uid="{71351A0E-9600-4E72-9840-11F6678BBA7E}"/>
    <cellStyle name="Comma 5 3 3 3 2 2 2" xfId="28783" xr:uid="{9AF95032-FDC7-426E-9FA5-3DDF7531EC3F}"/>
    <cellStyle name="Comma 5 3 3 3 2 2 3" xfId="27359" xr:uid="{AF8FC180-40A7-4467-8461-0F02DD4D3C6E}"/>
    <cellStyle name="Comma 5 3 3 3 2 2 4" xfId="18481" xr:uid="{BAF314CE-CF4C-437D-A00F-570FFE58EC30}"/>
    <cellStyle name="Comma 5 3 3 3 2 3" xfId="10934" xr:uid="{9B76D318-B1E9-436A-B992-2D64252C7AAD}"/>
    <cellStyle name="Comma 5 3 3 3 2 3 2" xfId="21314" xr:uid="{AE67A613-5087-430B-B428-D0B0FF8BF451}"/>
    <cellStyle name="Comma 5 3 3 3 2 4" xfId="25807" xr:uid="{2996B49C-510E-4B6E-8C70-DF8541473783}"/>
    <cellStyle name="Comma 5 3 3 3 2 5" xfId="15648" xr:uid="{439D8AF1-C819-4298-9444-E5ED4AB96272}"/>
    <cellStyle name="Comma 5 3 3 3 3" xfId="2055" xr:uid="{00000000-0005-0000-0000-0000FB010000}"/>
    <cellStyle name="Comma 5 3 3 3 3 2" xfId="29845" xr:uid="{DCCB69C4-4E9D-47D3-A210-CCA0F39EAE15}"/>
    <cellStyle name="Comma 5 3 3 3 4" xfId="4394" xr:uid="{E89B999B-B3E7-4A73-B66A-50781482C73F}"/>
    <cellStyle name="Comma 5 3 3 3 4 2" xfId="9166" xr:uid="{0A5DB9DD-14BB-4F28-A06E-2A646C46ABCE}"/>
    <cellStyle name="Comma 5 3 3 3 4 2 2" xfId="19546" xr:uid="{581AD4F7-33A4-49D4-A773-0A7A76E058D0}"/>
    <cellStyle name="Comma 5 3 3 3 4 3" xfId="11999" xr:uid="{ECEED630-A621-4A01-985D-EC78683A2B49}"/>
    <cellStyle name="Comma 5 3 3 3 4 3 2" xfId="22379" xr:uid="{8BB66300-1C6C-4C6D-A151-2182056A2E3F}"/>
    <cellStyle name="Comma 5 3 3 3 4 4" xfId="16713" xr:uid="{F9F95F45-93EF-40F5-AC66-AD859F54452C}"/>
    <cellStyle name="Comma 5 3 3 3 5" xfId="5552" xr:uid="{852AF332-CD15-420F-91F8-CD9F12875AF9}"/>
    <cellStyle name="Comma 5 3 3 3 5 2" xfId="30469" xr:uid="{CB11EE97-850C-4FAB-BF69-D577A8712F40}"/>
    <cellStyle name="Comma 5 3 3 3 6" xfId="24382" xr:uid="{6D46F744-F4D0-4A9F-9F98-39B09CFF4FD0}"/>
    <cellStyle name="Comma 5 3 3 3 7" xfId="13524" xr:uid="{40CE92C6-202E-42EA-AB24-0F2B6A178776}"/>
    <cellStyle name="Comma 5 3 3 4" xfId="1603" xr:uid="{00000000-0005-0000-0000-0000FC010000}"/>
    <cellStyle name="Comma 5 3 3 4 2" xfId="3019" xr:uid="{00000000-0005-0000-0000-00009F010000}"/>
    <cellStyle name="Comma 5 3 3 4 2 2" xfId="8099" xr:uid="{544E758B-4173-4486-A0FD-B7C1D5A3EED0}"/>
    <cellStyle name="Comma 5 3 3 4 2 2 2" xfId="28781" xr:uid="{A34ACBBC-9EE0-472C-9E4A-0F0C3102D445}"/>
    <cellStyle name="Comma 5 3 3 4 2 2 3" xfId="26393" xr:uid="{8094F510-7D49-4500-B375-D05024E145D1}"/>
    <cellStyle name="Comma 5 3 3 4 2 2 4" xfId="18479" xr:uid="{DE0004DC-80FC-462D-ADDF-B69BDB1B718B}"/>
    <cellStyle name="Comma 5 3 3 4 2 3" xfId="10932" xr:uid="{B25731BD-804C-4A9E-94AD-51A601972723}"/>
    <cellStyle name="Comma 5 3 3 4 2 3 2" xfId="21312" xr:uid="{63806544-5C9C-47C4-A9F0-C8C812469FC6}"/>
    <cellStyle name="Comma 5 3 3 4 2 4" xfId="24979" xr:uid="{DD48F4C4-F4A9-4991-A28A-CF8D24A7DB4B}"/>
    <cellStyle name="Comma 5 3 3 4 2 5" xfId="15646" xr:uid="{A4823BE1-F88F-4F66-8ABE-6DCF50AEBAD5}"/>
    <cellStyle name="Comma 5 3 3 4 3" xfId="3704" xr:uid="{00000000-0005-0000-0000-0000FC010000}"/>
    <cellStyle name="Comma 5 3 3 4 3 2" xfId="29920" xr:uid="{DF870B01-DBA4-4B92-BEFB-6E1B8D335EC2}"/>
    <cellStyle name="Comma 5 3 3 4 4" xfId="5550" xr:uid="{5EA18817-182A-4DFF-8D89-0C3B4AD4769E}"/>
    <cellStyle name="Comma 5 3 3 4 4 2" xfId="30193" xr:uid="{4941C576-61A9-49E9-AC4F-27DC1BFF3EA4}"/>
    <cellStyle name="Comma 5 3 3 4 5" xfId="22784" xr:uid="{28BD268A-AF7A-4331-B04E-590DC67114E4}"/>
    <cellStyle name="Comma 5 3 3 4 6" xfId="13522" xr:uid="{D513B4F0-EF6D-4187-B69B-9D767B48BF27}"/>
    <cellStyle name="Comma 5 3 3 5" xfId="2589" xr:uid="{00000000-0005-0000-0000-0000A0010000}"/>
    <cellStyle name="Comma 5 3 3 5 2" xfId="5854" xr:uid="{F93E9B1A-A474-44AD-9395-8F643A337802}"/>
    <cellStyle name="Comma 5 3 3 5 2 2" xfId="28752" xr:uid="{AD7343D1-0323-418F-966B-5DFEE866B907}"/>
    <cellStyle name="Comma 5 3 3 5 2 3" xfId="28710" xr:uid="{DBB1E1D6-6DF3-4BDF-8453-31841EAB8F09}"/>
    <cellStyle name="Comma 5 3 3 5 2 4" xfId="15261" xr:uid="{C78FEB5F-3916-4BD9-B5FF-ADF57A710E6D}"/>
    <cellStyle name="Comma 5 3 3 5 3" xfId="7714" xr:uid="{81760B78-A9B0-4018-A496-74E26CE4CD25}"/>
    <cellStyle name="Comma 5 3 3 5 3 2" xfId="18094" xr:uid="{BCD8DF04-D3F8-4C0A-8D37-D472ED1AA488}"/>
    <cellStyle name="Comma 5 3 3 5 4" xfId="10547" xr:uid="{8670A055-8060-4167-93CD-3AAB90DF24CC}"/>
    <cellStyle name="Comma 5 3 3 5 4 2" xfId="20927" xr:uid="{493FCFEE-0696-4A32-8BAC-C911CA24105A}"/>
    <cellStyle name="Comma 5 3 3 5 5" xfId="25161" xr:uid="{F2723F95-640E-438A-8BEA-F437A339DAA5}"/>
    <cellStyle name="Comma 5 3 3 5 6" xfId="12977" xr:uid="{C6C066F2-0406-4047-A8EC-2FB91660F9AE}"/>
    <cellStyle name="Comma 5 3 3 6" xfId="2273" xr:uid="{00000000-0005-0000-0000-00009B010000}"/>
    <cellStyle name="Comma 5 3 3 6 2" xfId="7400" xr:uid="{FAB0EE96-DD8A-40E2-B692-599100EC51FB}"/>
    <cellStyle name="Comma 5 3 3 6 2 2" xfId="17780" xr:uid="{0F830196-7FD9-443B-B78A-D7133708C2FC}"/>
    <cellStyle name="Comma 5 3 3 6 3" xfId="10233" xr:uid="{67535CCC-4C98-40AE-B35C-FD216819F253}"/>
    <cellStyle name="Comma 5 3 3 6 3 2" xfId="20613" xr:uid="{2D325197-2147-4F08-912E-F2E8AA980477}"/>
    <cellStyle name="Comma 5 3 3 6 4" xfId="23544" xr:uid="{1042610D-7F33-4480-B089-520213FF025D}"/>
    <cellStyle name="Comma 5 3 3 6 5" xfId="27225" xr:uid="{B1BAB9D3-0C62-4C88-849A-8A400AC682EA}"/>
    <cellStyle name="Comma 5 3 3 6 6" xfId="14947" xr:uid="{AB5082DF-CE94-4F51-916D-22419B9D714A}"/>
    <cellStyle name="Comma 5 3 3 7" xfId="3812" xr:uid="{BC3C2040-D90E-4060-AED6-93DE29ED2268}"/>
    <cellStyle name="Comma 5 3 3 7 2" xfId="8646" xr:uid="{71EDDCD3-CC4F-4D95-B169-0A01B59DB261}"/>
    <cellStyle name="Comma 5 3 3 7 2 2" xfId="19026" xr:uid="{175A5B1F-63F3-43FA-9B65-558145EB4872}"/>
    <cellStyle name="Comma 5 3 3 7 3" xfId="11479" xr:uid="{EAD417FE-C5D1-4E96-857A-95331B6CD7F4}"/>
    <cellStyle name="Comma 5 3 3 7 3 2" xfId="21859" xr:uid="{D52723FC-C70A-485A-891B-DE707F47651B}"/>
    <cellStyle name="Comma 5 3 3 7 4" xfId="27876" xr:uid="{8C26BB6C-E7A8-4A15-AC6D-0A61A02A7810}"/>
    <cellStyle name="Comma 5 3 3 7 5" xfId="27704" xr:uid="{2A29C485-21F3-42A8-B796-D0BF79DF086E}"/>
    <cellStyle name="Comma 5 3 3 7 6" xfId="16193" xr:uid="{26DB009D-FA95-4A62-A9AC-DBEF575AF7B8}"/>
    <cellStyle name="Comma 5 3 3 8" xfId="4858" xr:uid="{1DAA2A46-40FE-4552-920E-DD12D41D0ABB}"/>
    <cellStyle name="Comma 5 3 3 8 2" xfId="14150" xr:uid="{0EA1FB59-CBD9-436C-BF4A-2E2AF687C5E1}"/>
    <cellStyle name="Comma 5 3 3 9" xfId="6603" xr:uid="{35DA5AA4-DCFA-4B61-A537-26CFA0B983D5}"/>
    <cellStyle name="Comma 5 3 3 9 2" xfId="16983" xr:uid="{383A706C-65B6-4384-93C8-AEA46C24A694}"/>
    <cellStyle name="Comma 5 3 4" xfId="465" xr:uid="{00000000-0005-0000-0000-0000FD010000}"/>
    <cellStyle name="Comma 5 3 4 10" xfId="12663" xr:uid="{E3A457C5-1DC6-4D31-B493-CEB14676FFE2}"/>
    <cellStyle name="Comma 5 3 4 2" xfId="1607" xr:uid="{00000000-0005-0000-0000-0000FE010000}"/>
    <cellStyle name="Comma 5 3 4 2 2" xfId="3022" xr:uid="{00000000-0005-0000-0000-0000A2010000}"/>
    <cellStyle name="Comma 5 3 4 2 2 2" xfId="8102" xr:uid="{0331F688-59BC-4FE3-B4ED-DBDE87F225FE}"/>
    <cellStyle name="Comma 5 3 4 2 2 2 2" xfId="28784" xr:uid="{6A7DE4A5-9E82-4180-A907-2CFB72549A4D}"/>
    <cellStyle name="Comma 5 3 4 2 2 2 3" xfId="27842" xr:uid="{A8F0501A-D808-4877-8417-EE54528C2650}"/>
    <cellStyle name="Comma 5 3 4 2 2 2 4" xfId="18482" xr:uid="{3BD662D0-16FB-49C2-BF66-E642E1206413}"/>
    <cellStyle name="Comma 5 3 4 2 2 3" xfId="10935" xr:uid="{B20721C7-DD83-4D5E-95AF-810D14072C7F}"/>
    <cellStyle name="Comma 5 3 4 2 2 3 2" xfId="21315" xr:uid="{4C747FC6-9EE2-4CFE-A9AA-C0B508C14E23}"/>
    <cellStyle name="Comma 5 3 4 2 2 4" xfId="22881" xr:uid="{88E6124C-4E8C-4A16-949E-CBE25C6106E4}"/>
    <cellStyle name="Comma 5 3 4 2 2 5" xfId="15649" xr:uid="{D90D7B85-E6F5-4A2B-97FA-EA362F3F6127}"/>
    <cellStyle name="Comma 5 3 4 2 3" xfId="3596" xr:uid="{00000000-0005-0000-0000-0000FE010000}"/>
    <cellStyle name="Comma 5 3 4 2 3 2" xfId="30304" xr:uid="{54088FD7-7201-46D4-95A3-3B5521358378}"/>
    <cellStyle name="Comma 5 3 4 2 4" xfId="5553" xr:uid="{35E0FB29-70AE-49EE-AD4C-77EC9E6EEAEA}"/>
    <cellStyle name="Comma 5 3 4 2 4 2" xfId="30740" xr:uid="{2A812AE9-9E11-4599-B62C-E6854FD03823}"/>
    <cellStyle name="Comma 5 3 4 2 5" xfId="22938" xr:uid="{582C414B-198D-4637-B347-4B42CEFBB74A}"/>
    <cellStyle name="Comma 5 3 4 2 6" xfId="13525" xr:uid="{D84DC151-B278-47F9-B950-3A81B18250F8}"/>
    <cellStyle name="Comma 5 3 4 3" xfId="1608" xr:uid="{00000000-0005-0000-0000-0000FF010000}"/>
    <cellStyle name="Comma 5 3 4 3 2" xfId="2665" xr:uid="{00000000-0005-0000-0000-0000A3010000}"/>
    <cellStyle name="Comma 5 3 4 3 2 2" xfId="7789" xr:uid="{8AA74F61-6495-4F7E-A39B-B89DFF004744}"/>
    <cellStyle name="Comma 5 3 4 3 2 2 2" xfId="18169" xr:uid="{0E429779-8103-4747-B43C-F6EBCB513CD7}"/>
    <cellStyle name="Comma 5 3 4 3 2 3" xfId="10622" xr:uid="{A45B6330-0CC5-40C8-A69D-6E85EF031BC0}"/>
    <cellStyle name="Comma 5 3 4 3 2 3 2" xfId="21002" xr:uid="{2F0E2A0C-09FF-4E44-858C-81BB4579D738}"/>
    <cellStyle name="Comma 5 3 4 3 2 4" xfId="28634" xr:uid="{CE7A6B10-8A87-4297-BEC1-DA9E42555B67}"/>
    <cellStyle name="Comma 5 3 4 3 2 5" xfId="27180" xr:uid="{046E0A85-377B-433E-A7F9-442127F24884}"/>
    <cellStyle name="Comma 5 3 4 3 2 6" xfId="15336" xr:uid="{0FA2FB61-1314-4E5D-8D6A-EFBD4F4D6146}"/>
    <cellStyle name="Comma 5 3 4 3 3" xfId="2864" xr:uid="{00000000-0005-0000-0000-0000FF010000}"/>
    <cellStyle name="Comma 5 3 4 3 3 2" xfId="30649" xr:uid="{A88FD204-5A76-4772-98D0-2FCC6BC04FD1}"/>
    <cellStyle name="Comma 5 3 4 3 4" xfId="5554" xr:uid="{4D8E9BD3-63C9-4A5A-A1CD-7F725C1BEB6C}"/>
    <cellStyle name="Comma 5 3 4 3 5" xfId="22739" xr:uid="{F2E0233A-5D31-42C9-8526-FBEE444B357C}"/>
    <cellStyle name="Comma 5 3 4 3 6" xfId="13066" xr:uid="{3A9E7DDA-C199-40C1-A7A4-35AB462E9097}"/>
    <cellStyle name="Comma 5 3 4 4" xfId="1606" xr:uid="{00000000-0005-0000-0000-000000020000}"/>
    <cellStyle name="Comma 5 3 4 4 2" xfId="4651" xr:uid="{3114D812-06FF-427C-8717-B5A3AE78D681}"/>
    <cellStyle name="Comma 5 3 4 4 2 2" xfId="9404" xr:uid="{755A4772-9956-4090-86E0-B56777673956}"/>
    <cellStyle name="Comma 5 3 4 4 2 2 2" xfId="19784" xr:uid="{7E46F6B6-485C-498F-B613-E1BEAF63E804}"/>
    <cellStyle name="Comma 5 3 4 4 2 3" xfId="12237" xr:uid="{AF7D70A5-A9E3-4116-AC18-EF98F134E557}"/>
    <cellStyle name="Comma 5 3 4 4 2 3 2" xfId="22617" xr:uid="{684292E3-A794-4384-9C3E-1EE9BE35DE1E}"/>
    <cellStyle name="Comma 5 3 4 4 2 4" xfId="16951" xr:uid="{080785A3-86CC-4292-8712-52952C8DFA39}"/>
    <cellStyle name="Comma 5 3 4 4 3" xfId="23069" xr:uid="{E1AC5A32-0335-49F7-8FAA-551698E3F7C0}"/>
    <cellStyle name="Comma 5 3 4 5" xfId="4120" xr:uid="{50AC6762-96F6-4507-990A-01F8DAFEBCCF}"/>
    <cellStyle name="Comma 5 3 4 5 2" xfId="8892" xr:uid="{568733DA-31B9-473C-B8A9-922D2E52570C}"/>
    <cellStyle name="Comma 5 3 4 5 2 2" xfId="19272" xr:uid="{4A7D6035-9E3D-47C7-8510-0B6ABD285CE8}"/>
    <cellStyle name="Comma 5 3 4 5 3" xfId="11725" xr:uid="{DBFF6D81-ADC5-48C1-98D0-A780BD9804B3}"/>
    <cellStyle name="Comma 5 3 4 5 3 2" xfId="22105" xr:uid="{DC651E95-936F-4B8A-9A96-1B6E764FEFB6}"/>
    <cellStyle name="Comma 5 3 4 5 4" xfId="26229" xr:uid="{DE9C6979-592B-4537-ABBE-3101AFB3908B}"/>
    <cellStyle name="Comma 5 3 4 5 5" xfId="27930" xr:uid="{A867C619-3AC0-4C8E-BC10-124D5F1A6923}"/>
    <cellStyle name="Comma 5 3 4 5 6" xfId="16439" xr:uid="{65CAFCD8-BCF5-48B5-A2F6-7B51FAB9BE2C}"/>
    <cellStyle name="Comma 5 3 4 6" xfId="4859" xr:uid="{9A11D7C7-2F2C-4554-B860-DA57FB9EC9B5}"/>
    <cellStyle name="Comma 5 3 4 6 2" xfId="14151" xr:uid="{03648C94-FD9A-4DAD-908E-CDC4D8281447}"/>
    <cellStyle name="Comma 5 3 4 7" xfId="6604" xr:uid="{B417F8B8-E539-4FE6-92B7-7D34C566A5B1}"/>
    <cellStyle name="Comma 5 3 4 7 2" xfId="16984" xr:uid="{0B3709B3-08A6-4B88-B474-2A383A7BD0EE}"/>
    <cellStyle name="Comma 5 3 4 8" xfId="9437" xr:uid="{CEA750C3-DF05-411F-9FD7-5AC383E5B8BD}"/>
    <cellStyle name="Comma 5 3 4 8 2" xfId="19817" xr:uid="{56B0C3E0-9D69-47D7-A834-6A8D51E2137E}"/>
    <cellStyle name="Comma 5 3 4 9" xfId="25174" xr:uid="{5AA03A37-5A4A-404D-A0C2-D2A1B9AEEB9F}"/>
    <cellStyle name="Comma 5 3 5" xfId="1609" xr:uid="{00000000-0005-0000-0000-000001020000}"/>
    <cellStyle name="Comma 5 3 5 2" xfId="3023" xr:uid="{00000000-0005-0000-0000-0000A4010000}"/>
    <cellStyle name="Comma 5 3 5 2 2" xfId="8103" xr:uid="{758D0A3D-DAE7-44D0-A070-611359FDD246}"/>
    <cellStyle name="Comma 5 3 5 2 2 2" xfId="28785" xr:uid="{9062B341-5510-4E13-B903-2662C3340177}"/>
    <cellStyle name="Comma 5 3 5 2 2 3" xfId="25941" xr:uid="{FBBCB61A-313E-4E94-8410-0262FF9D8802}"/>
    <cellStyle name="Comma 5 3 5 2 2 4" xfId="18483" xr:uid="{C080EA8A-3A8F-4907-904E-D727E657353D}"/>
    <cellStyle name="Comma 5 3 5 2 3" xfId="10936" xr:uid="{56CC6414-4972-4AFC-A6DD-34C624E1B419}"/>
    <cellStyle name="Comma 5 3 5 2 3 2" xfId="21316" xr:uid="{C2F48BB0-9443-4B3E-AD42-19FA47EAB766}"/>
    <cellStyle name="Comma 5 3 5 2 4" xfId="25664" xr:uid="{11363C39-2A83-45E4-A831-F7C2468C73A4}"/>
    <cellStyle name="Comma 5 3 5 2 5" xfId="15650" xr:uid="{D87C9E01-C85F-4ED0-9A81-B5F7E31832ED}"/>
    <cellStyle name="Comma 5 3 5 3" xfId="3602" xr:uid="{00000000-0005-0000-0000-000001020000}"/>
    <cellStyle name="Comma 5 3 5 3 2" xfId="29817" xr:uid="{52F308DB-8D1B-4547-BAC4-81885B0D5849}"/>
    <cellStyle name="Comma 5 3 5 4" xfId="4395" xr:uid="{2AAD49C6-F25C-4FEE-BC85-F6DD7FF6AC65}"/>
    <cellStyle name="Comma 5 3 5 4 2" xfId="9167" xr:uid="{8D231905-9E5A-4AD9-8620-5F84B5A7C17C}"/>
    <cellStyle name="Comma 5 3 5 4 2 2" xfId="19547" xr:uid="{5C116791-A505-459C-8E6E-EA12199F8041}"/>
    <cellStyle name="Comma 5 3 5 4 3" xfId="12000" xr:uid="{B917A9A5-B207-4ACF-929B-2989CF6C2283}"/>
    <cellStyle name="Comma 5 3 5 4 3 2" xfId="22380" xr:uid="{38E7E0D5-7429-44F4-AFB3-38229BE78DFC}"/>
    <cellStyle name="Comma 5 3 5 4 4" xfId="16714" xr:uid="{175FEC41-7C4F-471D-B879-5DCA32C7206B}"/>
    <cellStyle name="Comma 5 3 5 5" xfId="5555" xr:uid="{C0DE5202-95C0-4D16-83EC-A289F96C16FA}"/>
    <cellStyle name="Comma 5 3 5 5 2" xfId="30437" xr:uid="{E0EBD1ED-9A5E-44EC-9183-B627032826DA}"/>
    <cellStyle name="Comma 5 3 5 6" xfId="25007" xr:uid="{6FD117B5-253E-4683-980E-CE6A211B6540}"/>
    <cellStyle name="Comma 5 3 5 7" xfId="13526" xr:uid="{0312A79F-B65F-46C8-9C32-2363B1DFCD16}"/>
    <cellStyle name="Comma 5 3 6" xfId="1610" xr:uid="{00000000-0005-0000-0000-000002020000}"/>
    <cellStyle name="Comma 5 3 6 2" xfId="2868" xr:uid="{00000000-0005-0000-0000-0000A5010000}"/>
    <cellStyle name="Comma 5 3 6 2 2" xfId="7985" xr:uid="{6C75DD22-BAC2-43AF-A1DF-B913CA37946C}"/>
    <cellStyle name="Comma 5 3 6 2 2 2" xfId="27297" xr:uid="{550C79C4-424A-402D-A115-80536B730495}"/>
    <cellStyle name="Comma 5 3 6 2 2 3" xfId="26651" xr:uid="{0FA4C828-FE98-48CD-B312-BE8BE8001D66}"/>
    <cellStyle name="Comma 5 3 6 2 2 4" xfId="18365" xr:uid="{D688AB4A-C9EF-46F0-BFAB-28181B29323E}"/>
    <cellStyle name="Comma 5 3 6 2 3" xfId="10818" xr:uid="{5DC9755E-65C5-48DE-8CB9-8D8B044123B9}"/>
    <cellStyle name="Comma 5 3 6 2 3 2" xfId="21198" xr:uid="{E32A3CCE-3D50-4B57-AC37-E959EA59D368}"/>
    <cellStyle name="Comma 5 3 6 2 4" xfId="24165" xr:uid="{98256179-2AFA-4BBD-AF1C-2212B824FFBB}"/>
    <cellStyle name="Comma 5 3 6 2 5" xfId="15532" xr:uid="{8772BB40-D294-4585-963C-C800C2298ABE}"/>
    <cellStyle name="Comma 5 3 6 3" xfId="2057" xr:uid="{00000000-0005-0000-0000-000002020000}"/>
    <cellStyle name="Comma 5 3 6 3 2" xfId="29897" xr:uid="{A97FF2AB-5C73-4292-B84E-D559A1D87273}"/>
    <cellStyle name="Comma 5 3 6 4" xfId="5556" xr:uid="{C05D109D-6652-4B9A-B615-B29DAFDDCF9C}"/>
    <cellStyle name="Comma 5 3 6 4 2" xfId="30156" xr:uid="{EDEF3B4A-E331-4210-9A4F-A5F7F6ADAF72}"/>
    <cellStyle name="Comma 5 3 6 5" xfId="25228" xr:uid="{35AD5475-35E1-4B46-B4D5-98072003B9E3}"/>
    <cellStyle name="Comma 5 3 6 6" xfId="13361" xr:uid="{637BCB59-9FD8-453A-8DE5-CAC6E29F7DE5}"/>
    <cellStyle name="Comma 5 3 7" xfId="1596" xr:uid="{00000000-0005-0000-0000-000003020000}"/>
    <cellStyle name="Comma 5 3 7 2" xfId="2486" xr:uid="{00000000-0005-0000-0000-0000A6010000}"/>
    <cellStyle name="Comma 5 3 7 2 2" xfId="7611" xr:uid="{8429CEE5-936D-468A-822B-C4CC7D55E6F9}"/>
    <cellStyle name="Comma 5 3 7 2 2 2" xfId="17991" xr:uid="{5B549C2E-BFBF-46F3-8BC1-EC8F7DEC457C}"/>
    <cellStyle name="Comma 5 3 7 2 3" xfId="10444" xr:uid="{76E73FD1-063B-40AC-AC21-F2235F1DFC88}"/>
    <cellStyle name="Comma 5 3 7 2 3 2" xfId="20824" xr:uid="{4ECD8354-400C-4E94-BA8D-F1178449204C}"/>
    <cellStyle name="Comma 5 3 7 2 4" xfId="26880" xr:uid="{1CD15196-0267-4571-B546-85F3A9E5E4A2}"/>
    <cellStyle name="Comma 5 3 7 2 5" xfId="26994" xr:uid="{38242EE3-63CD-40FA-A09A-C1D97EB7E08D}"/>
    <cellStyle name="Comma 5 3 7 2 6" xfId="15158" xr:uid="{6AAB141B-DDBB-4B37-83CD-94D3952143BF}"/>
    <cellStyle name="Comma 5 3 7 3" xfId="3610" xr:uid="{00000000-0005-0000-0000-000003020000}"/>
    <cellStyle name="Comma 5 3 7 3 2" xfId="30625" xr:uid="{E8A54AC4-9F09-4F73-A32B-1BE8CDB499AE}"/>
    <cellStyle name="Comma 5 3 7 4" xfId="5543" xr:uid="{FF6B865B-76D6-4913-99E7-9488269AFAE4}"/>
    <cellStyle name="Comma 5 3 7 5" xfId="23169" xr:uid="{F2189D89-1652-4A6C-9C40-0E90C543D6E8}"/>
    <cellStyle name="Comma 5 3 7 6" xfId="12874" xr:uid="{09689B8C-3687-4CBB-AD02-AA18D1CD2591}"/>
    <cellStyle name="Comma 5 3 8" xfId="2180" xr:uid="{00000000-0005-0000-0000-00008F010000}"/>
    <cellStyle name="Comma 5 3 8 2" xfId="7307" xr:uid="{A52BF028-91EB-4672-BDCF-61C1BA0F6877}"/>
    <cellStyle name="Comma 5 3 8 2 2" xfId="17687" xr:uid="{3A25C420-D2EC-4CD9-8BAB-5F879B622CC1}"/>
    <cellStyle name="Comma 5 3 8 3" xfId="10140" xr:uid="{6B2EA7A1-3C2A-469B-8FBD-27E70E7CA9FE}"/>
    <cellStyle name="Comma 5 3 8 3 2" xfId="20520" xr:uid="{821C99FD-689E-4A20-B7AA-25477B773790}"/>
    <cellStyle name="Comma 5 3 8 4" xfId="22786" xr:uid="{FCA71F4A-E844-45E6-B2A5-C25112314239}"/>
    <cellStyle name="Comma 5 3 8 5" xfId="28213" xr:uid="{6C4B6CBB-763E-4914-B3F5-4DE7E806DCA7}"/>
    <cellStyle name="Comma 5 3 8 6" xfId="14854" xr:uid="{0EFEE67B-54B6-4A44-9DAA-EAEAD63C43FD}"/>
    <cellStyle name="Comma 5 3 9" xfId="3860" xr:uid="{BD759C4A-C152-4D28-9136-4603EA7965D9}"/>
    <cellStyle name="Comma 5 3 9 2" xfId="8692" xr:uid="{2B3ED32A-7A08-4245-9A73-AA5797EFF1F5}"/>
    <cellStyle name="Comma 5 3 9 2 2" xfId="19072" xr:uid="{D8803375-2527-4510-BBD5-2D9A262E6CFC}"/>
    <cellStyle name="Comma 5 3 9 3" xfId="11525" xr:uid="{28CB0750-B495-4B8B-8162-0152EE2FC7D8}"/>
    <cellStyle name="Comma 5 3 9 3 2" xfId="21905" xr:uid="{129315D9-8AD4-42D6-8C58-A3FC0B5BCC16}"/>
    <cellStyle name="Comma 5 3 9 4" xfId="26470" xr:uid="{59683E98-A4F8-461D-8F11-FDDDDAF3320A}"/>
    <cellStyle name="Comma 5 3 9 5" xfId="26002" xr:uid="{8F1D2142-D936-4E2D-8BC4-16790819D8E1}"/>
    <cellStyle name="Comma 5 3 9 6" xfId="16239" xr:uid="{5BA957D4-5450-4E3C-BD98-81AE95564B85}"/>
    <cellStyle name="Comma 5 4" xfId="466" xr:uid="{00000000-0005-0000-0000-000004020000}"/>
    <cellStyle name="Comma 5 4 10" xfId="4860" xr:uid="{1D48C26C-529B-472F-9FD3-5BF62F1AEC33}"/>
    <cellStyle name="Comma 5 4 10 2" xfId="14152" xr:uid="{E3D512D4-630F-41EE-A9BB-E6B82CC22B4C}"/>
    <cellStyle name="Comma 5 4 11" xfId="6605" xr:uid="{A57298B7-5099-4365-B724-03702B5CFDF7}"/>
    <cellStyle name="Comma 5 4 11 2" xfId="16985" xr:uid="{B493B554-1F48-4913-A55F-6DAE801F5DFA}"/>
    <cellStyle name="Comma 5 4 12" xfId="9438" xr:uid="{8F6A6276-7F5B-4793-A0A0-363AB0CF308E}"/>
    <cellStyle name="Comma 5 4 12 2" xfId="19818" xr:uid="{16298050-3149-4BAC-98F6-74F4689F4960}"/>
    <cellStyle name="Comma 5 4 13" xfId="24743" xr:uid="{BC77B1D8-AA73-45EC-B2D0-5CB99A3F84A7}"/>
    <cellStyle name="Comma 5 4 14" xfId="12446" xr:uid="{B6172012-8C99-44AE-8F12-79EBD00E31F0}"/>
    <cellStyle name="Comma 5 4 2" xfId="467" xr:uid="{00000000-0005-0000-0000-000005020000}"/>
    <cellStyle name="Comma 5 4 2 10" xfId="9439" xr:uid="{9179DD7C-FF76-4128-A4F8-FEC06C341DEF}"/>
    <cellStyle name="Comma 5 4 2 10 2" xfId="19819" xr:uid="{B10C79F5-1CE0-4412-B278-2A8BC4FAE3C2}"/>
    <cellStyle name="Comma 5 4 2 11" xfId="23092" xr:uid="{4FE24631-C7D7-4F33-BAC0-3B827083DC9F}"/>
    <cellStyle name="Comma 5 4 2 12" xfId="12506" xr:uid="{2952C624-78DA-4836-AC75-424E492B18E4}"/>
    <cellStyle name="Comma 5 4 2 2" xfId="468" xr:uid="{00000000-0005-0000-0000-000006020000}"/>
    <cellStyle name="Comma 5 4 2 2 10" xfId="13071" xr:uid="{F679514C-B4BA-43DC-83B3-A529B99A07B5}"/>
    <cellStyle name="Comma 5 4 2 2 2" xfId="1614" xr:uid="{00000000-0005-0000-0000-000007020000}"/>
    <cellStyle name="Comma 5 4 2 2 2 2" xfId="3025" xr:uid="{00000000-0005-0000-0000-0000AA010000}"/>
    <cellStyle name="Comma 5 4 2 2 2 2 2" xfId="8105" xr:uid="{EA20ED8E-EC4F-4A46-90AC-980EE3AE3BA5}"/>
    <cellStyle name="Comma 5 4 2 2 2 2 2 2" xfId="28787" xr:uid="{2BBE52B5-D896-4E59-847F-74A30D6B9169}"/>
    <cellStyle name="Comma 5 4 2 2 2 2 2 3" xfId="26232" xr:uid="{FB64F316-FCE4-479A-B3CF-2801908AE5FC}"/>
    <cellStyle name="Comma 5 4 2 2 2 2 2 4" xfId="18485" xr:uid="{F935C9F6-EC71-439E-84C9-0F96AEEE17E2}"/>
    <cellStyle name="Comma 5 4 2 2 2 2 3" xfId="10938" xr:uid="{FE22D365-3292-4297-961D-1F55EABBF6B9}"/>
    <cellStyle name="Comma 5 4 2 2 2 2 3 2" xfId="21318" xr:uid="{C7299ECD-40A9-45CF-9F05-3286C1E437F1}"/>
    <cellStyle name="Comma 5 4 2 2 2 2 4" xfId="25738" xr:uid="{82C15EC4-AA15-4183-B53D-1323C89E1F7D}"/>
    <cellStyle name="Comma 5 4 2 2 2 2 5" xfId="15652" xr:uid="{62961680-01A7-4209-8590-52B26877995D}"/>
    <cellStyle name="Comma 5 4 2 2 2 3" xfId="2043" xr:uid="{00000000-0005-0000-0000-000007020000}"/>
    <cellStyle name="Comma 5 4 2 2 2 3 2" xfId="29882" xr:uid="{50D8B89A-B349-4DB7-A71A-AF7DA2C68FF8}"/>
    <cellStyle name="Comma 5 4 2 2 2 4" xfId="5559" xr:uid="{9B0E2C47-CA6A-4D5E-AD71-7458A8ABD26C}"/>
    <cellStyle name="Comma 5 4 2 2 2 4 2" xfId="30145" xr:uid="{85B7859F-EA75-485F-832C-B772A127EE6A}"/>
    <cellStyle name="Comma 5 4 2 2 2 5" xfId="23454" xr:uid="{6CD4595C-6861-4235-BA54-68DDDAE0C84C}"/>
    <cellStyle name="Comma 5 4 2 2 2 6" xfId="13528" xr:uid="{D0D933B0-ECB4-4725-B67B-EFE6C27B71B3}"/>
    <cellStyle name="Comma 5 4 2 2 3" xfId="1615" xr:uid="{00000000-0005-0000-0000-000008020000}"/>
    <cellStyle name="Comma 5 4 2 2 3 2" xfId="4633" xr:uid="{029813EF-0C19-4030-B37D-0A57A3B96EDC}"/>
    <cellStyle name="Comma 5 4 2 2 3 2 2" xfId="9400" xr:uid="{83FFACF2-BD4E-4875-950A-D929986B00C4}"/>
    <cellStyle name="Comma 5 4 2 2 3 2 2 2" xfId="19780" xr:uid="{7082B909-59D5-4F20-A285-AEA2FBDD5040}"/>
    <cellStyle name="Comma 5 4 2 2 3 2 3" xfId="12233" xr:uid="{19779298-5525-44F8-A001-D7530121B6CB}"/>
    <cellStyle name="Comma 5 4 2 2 3 2 3 2" xfId="22613" xr:uid="{2262B76A-4056-4500-B9E7-4300D0C9C3F4}"/>
    <cellStyle name="Comma 5 4 2 2 3 2 4" xfId="27764" xr:uid="{E7C85F02-B2A7-4DB9-9E73-482C42434E54}"/>
    <cellStyle name="Comma 5 4 2 2 3 2 5" xfId="26258" xr:uid="{D5E448E2-BF3B-40D1-A378-066099C8B329}"/>
    <cellStyle name="Comma 5 4 2 2 3 2 6" xfId="16947" xr:uid="{B4372306-01C5-4D82-9FED-E99CCB459B53}"/>
    <cellStyle name="Comma 5 4 2 2 3 3" xfId="22704" xr:uid="{1D5236FC-9549-4EA0-81BD-CE1B9C468209}"/>
    <cellStyle name="Comma 5 4 2 2 3 3 2" xfId="30218" xr:uid="{0A64FF10-989D-4B18-B45A-CE1043893E10}"/>
    <cellStyle name="Comma 5 4 2 2 3 4" xfId="30604" xr:uid="{A2002D83-CACA-4F57-8AFA-0AD178972FDB}"/>
    <cellStyle name="Comma 5 4 2 2 3 5" xfId="29743" xr:uid="{C7484028-40D9-450C-96D5-BADB327D2AAD}"/>
    <cellStyle name="Comma 5 4 2 2 4" xfId="1613" xr:uid="{00000000-0005-0000-0000-000009020000}"/>
    <cellStyle name="Comma 5 4 2 2 4 2" xfId="26903" xr:uid="{8B3A6ADC-228E-48ED-A885-CFF25D8A396D}"/>
    <cellStyle name="Comma 5 4 2 2 4 2 2" xfId="30248" xr:uid="{D6348FD1-553E-495A-AE9D-8CC2A84929CA}"/>
    <cellStyle name="Comma 5 4 2 2 4 3" xfId="26323" xr:uid="{F4B2F6D5-A474-46A9-8F94-8D112600F312}"/>
    <cellStyle name="Comma 5 4 2 2 4 4" xfId="30007" xr:uid="{F9B203E4-859B-4D49-A71E-83D9B6290191}"/>
    <cellStyle name="Comma 5 4 2 2 5" xfId="4255" xr:uid="{94E6B12B-8FC1-4DE0-B083-4FDCE28DDC27}"/>
    <cellStyle name="Comma 5 4 2 2 5 2" xfId="9027" xr:uid="{15CA4CCE-3BB0-40ED-8350-10E15D7F217D}"/>
    <cellStyle name="Comma 5 4 2 2 5 2 2" xfId="19407" xr:uid="{12ADC1E7-AA36-4E16-8615-6B7923E98D5B}"/>
    <cellStyle name="Comma 5 4 2 2 5 3" xfId="11860" xr:uid="{1E83BF6E-F781-4EA4-9237-AFFDA5387236}"/>
    <cellStyle name="Comma 5 4 2 2 5 3 2" xfId="22240" xr:uid="{92533BAA-0FD6-449E-9104-0CCCCCDB50AE}"/>
    <cellStyle name="Comma 5 4 2 2 5 4" xfId="26563" xr:uid="{C1BA1425-9E76-4A22-B3D6-4072D9002CB3}"/>
    <cellStyle name="Comma 5 4 2 2 5 5" xfId="28269" xr:uid="{388DF011-908B-4433-81A3-9DCA9F6C3536}"/>
    <cellStyle name="Comma 5 4 2 2 5 6" xfId="16574" xr:uid="{209BCF79-AF66-48F7-8274-BD45D9F2383A}"/>
    <cellStyle name="Comma 5 4 2 2 6" xfId="4862" xr:uid="{67D8F83A-0B26-4F7B-AAF7-0C8E2228640D}"/>
    <cellStyle name="Comma 5 4 2 2 6 2" xfId="26183" xr:uid="{A5EC4C71-2369-4370-9963-12B6E20FE564}"/>
    <cellStyle name="Comma 5 4 2 2 6 3" xfId="27952" xr:uid="{D5ADD2F5-6B62-496C-8D67-B4D8D8DC522E}"/>
    <cellStyle name="Comma 5 4 2 2 6 4" xfId="14154" xr:uid="{EFEF7F03-CF64-4C12-9D8E-B48412366F48}"/>
    <cellStyle name="Comma 5 4 2 2 7" xfId="6607" xr:uid="{C1715601-8BE8-41E4-ADDE-C4400BF2EB67}"/>
    <cellStyle name="Comma 5 4 2 2 7 2" xfId="16987" xr:uid="{1226F693-D9D5-4E31-A85E-7784024A14B2}"/>
    <cellStyle name="Comma 5 4 2 2 8" xfId="9440" xr:uid="{A1302C41-E495-4C14-A8F8-16B8C36D8361}"/>
    <cellStyle name="Comma 5 4 2 2 8 2" xfId="19820" xr:uid="{679229E6-8636-4656-A26D-59C01348E6E8}"/>
    <cellStyle name="Comma 5 4 2 2 9" xfId="23422" xr:uid="{0924F89F-6F52-491C-A22E-589ABCC42D44}"/>
    <cellStyle name="Comma 5 4 2 3" xfId="1616" xr:uid="{00000000-0005-0000-0000-00000A020000}"/>
    <cellStyle name="Comma 5 4 2 3 2" xfId="3026" xr:uid="{00000000-0005-0000-0000-0000AB010000}"/>
    <cellStyle name="Comma 5 4 2 3 2 2" xfId="8106" xr:uid="{EED70E13-BE7B-4678-A41B-45C9E7272B29}"/>
    <cellStyle name="Comma 5 4 2 3 2 2 2" xfId="28788" xr:uid="{AB6D42C7-2029-46F9-A52C-A3AD957F5CBD}"/>
    <cellStyle name="Comma 5 4 2 3 2 2 3" xfId="26815" xr:uid="{E641B174-FC80-447B-982B-FA1085F2F6B7}"/>
    <cellStyle name="Comma 5 4 2 3 2 2 4" xfId="18486" xr:uid="{7F9BCBB4-471B-4EA5-ADB7-A80F22D43026}"/>
    <cellStyle name="Comma 5 4 2 3 2 3" xfId="10939" xr:uid="{236309D7-0030-4FCF-8B49-451F53A7D494}"/>
    <cellStyle name="Comma 5 4 2 3 2 3 2" xfId="21319" xr:uid="{B4F1412B-A567-476F-83CE-DB2ACE05D08D}"/>
    <cellStyle name="Comma 5 4 2 3 2 4" xfId="24432" xr:uid="{EA06F90E-5982-41EE-92F2-0499DA4964BE}"/>
    <cellStyle name="Comma 5 4 2 3 2 5" xfId="15653" xr:uid="{B71C47D4-217C-469B-96C3-F1EB6C84FF9D}"/>
    <cellStyle name="Comma 5 4 2 3 3" xfId="3552" xr:uid="{00000000-0005-0000-0000-00000A020000}"/>
    <cellStyle name="Comma 5 4 2 3 3 2" xfId="29776" xr:uid="{5D6D390C-631A-4BE3-ADA4-4FCA2762DEE8}"/>
    <cellStyle name="Comma 5 4 2 3 4" xfId="4396" xr:uid="{C0798F50-EF80-4A20-93E0-006CA9D829A0}"/>
    <cellStyle name="Comma 5 4 2 3 4 2" xfId="9168" xr:uid="{43042E25-CB5C-47C2-A2F4-011280BF9103}"/>
    <cellStyle name="Comma 5 4 2 3 4 2 2" xfId="19548" xr:uid="{7DFCC59E-0E17-4AAC-931C-0D01EF511EE0}"/>
    <cellStyle name="Comma 5 4 2 3 4 3" xfId="12001" xr:uid="{EC3C3287-2360-484C-92DF-E17AF91AB05A}"/>
    <cellStyle name="Comma 5 4 2 3 4 3 2" xfId="22381" xr:uid="{299460AF-281C-432E-A179-83F2322EFBE0}"/>
    <cellStyle name="Comma 5 4 2 3 4 4" xfId="16715" xr:uid="{7045EF56-7D75-4AB4-8BBA-A5D1B01F2501}"/>
    <cellStyle name="Comma 5 4 2 3 5" xfId="5560" xr:uid="{97604BB0-D113-4C21-BD40-6821A10747B4}"/>
    <cellStyle name="Comma 5 4 2 3 5 2" xfId="30379" xr:uid="{3A30189A-C9F6-4602-BE0D-F74C2AFCFA51}"/>
    <cellStyle name="Comma 5 4 2 3 6" xfId="25082" xr:uid="{760031E4-17F9-4F60-B100-A75C80B388CD}"/>
    <cellStyle name="Comma 5 4 2 3 7" xfId="13529" xr:uid="{8971C047-6B78-4A98-8661-AE1EE4AFAEC6}"/>
    <cellStyle name="Comma 5 4 2 4" xfId="1617" xr:uid="{00000000-0005-0000-0000-00000B020000}"/>
    <cellStyle name="Comma 5 4 2 4 2" xfId="3024" xr:uid="{00000000-0005-0000-0000-0000AC010000}"/>
    <cellStyle name="Comma 5 4 2 4 2 2" xfId="8104" xr:uid="{CD7F43E1-A195-453F-9428-67A5367ED0FC}"/>
    <cellStyle name="Comma 5 4 2 4 2 2 2" xfId="28786" xr:uid="{893EDE12-C789-440E-A5E6-D2E446A43108}"/>
    <cellStyle name="Comma 5 4 2 4 2 2 3" xfId="27938" xr:uid="{D41DA84E-62FD-4DDD-8FE1-59B1FC86080B}"/>
    <cellStyle name="Comma 5 4 2 4 2 2 4" xfId="18484" xr:uid="{969D78BF-FFA2-482B-BE51-E2B15457F2AC}"/>
    <cellStyle name="Comma 5 4 2 4 2 3" xfId="10937" xr:uid="{36D20D32-6922-4DAF-9FFF-D1128DCFE3B0}"/>
    <cellStyle name="Comma 5 4 2 4 2 3 2" xfId="21317" xr:uid="{E6D73F05-1AC7-4415-88AD-F7BFA622E7FD}"/>
    <cellStyle name="Comma 5 4 2 4 2 4" xfId="25402" xr:uid="{D6E0E10F-5AE4-4958-B643-36CC7186385B}"/>
    <cellStyle name="Comma 5 4 2 4 2 5" xfId="15651" xr:uid="{AAD24CF7-75F3-477B-BD9F-FD99901C31B7}"/>
    <cellStyle name="Comma 5 4 2 4 3" xfId="2091" xr:uid="{00000000-0005-0000-0000-00000B020000}"/>
    <cellStyle name="Comma 5 4 2 4 3 2" xfId="29840" xr:uid="{CDC51CF4-62E9-4B73-A6E3-F12C7463A53E}"/>
    <cellStyle name="Comma 5 4 2 4 4" xfId="5561" xr:uid="{367EBB3B-9A5D-4E70-8502-526CC8EEFD64}"/>
    <cellStyle name="Comma 5 4 2 4 4 2" xfId="30130" xr:uid="{0E66C8A3-3BE2-43D6-87C7-920990815375}"/>
    <cellStyle name="Comma 5 4 2 4 5" xfId="25452" xr:uid="{A78836C0-9C3F-4A71-9865-3E134F9F9869}"/>
    <cellStyle name="Comma 5 4 2 4 6" xfId="13527" xr:uid="{7C2D413A-7D28-492A-AC1F-190E04F2DCC2}"/>
    <cellStyle name="Comma 5 4 2 5" xfId="1612" xr:uid="{00000000-0005-0000-0000-00000C020000}"/>
    <cellStyle name="Comma 5 4 2 5 2" xfId="2520" xr:uid="{00000000-0005-0000-0000-0000AD010000}"/>
    <cellStyle name="Comma 5 4 2 5 2 2" xfId="7645" xr:uid="{2F7DA5C6-9586-4F5D-AE68-7CD82B7C8997}"/>
    <cellStyle name="Comma 5 4 2 5 2 2 2" xfId="18025" xr:uid="{85BFFD5B-E734-4F36-8344-980DFCA79E2D}"/>
    <cellStyle name="Comma 5 4 2 5 2 3" xfId="10478" xr:uid="{325C1CC2-FAB0-4500-84F1-A6DB5E96C059}"/>
    <cellStyle name="Comma 5 4 2 5 2 3 2" xfId="20858" xr:uid="{DD2A588C-0EB7-4B27-9178-0066A568C1F0}"/>
    <cellStyle name="Comma 5 4 2 5 2 4" xfId="26777" xr:uid="{1DAB286D-B9DE-4006-8FF6-49E8C689EBD6}"/>
    <cellStyle name="Comma 5 4 2 5 2 5" xfId="27374" xr:uid="{6D6C1A46-AAB2-46B8-8580-7B36634F4C63}"/>
    <cellStyle name="Comma 5 4 2 5 2 6" xfId="15192" xr:uid="{87CEDEDA-1153-4083-9E9D-A2B243471068}"/>
    <cellStyle name="Comma 5 4 2 5 3" xfId="2092" xr:uid="{00000000-0005-0000-0000-00000C020000}"/>
    <cellStyle name="Comma 5 4 2 5 3 2" xfId="30188" xr:uid="{7A00B049-ACE7-4E41-A8FA-E3A04EF4157F}"/>
    <cellStyle name="Comma 5 4 2 5 4" xfId="5558" xr:uid="{4E922189-714E-4A1D-B143-1B1B37D4BEDB}"/>
    <cellStyle name="Comma 5 4 2 5 4 2" xfId="30569" xr:uid="{E9B55B42-A8F8-41D1-8720-5A2159D6DCDD}"/>
    <cellStyle name="Comma 5 4 2 5 5" xfId="24244" xr:uid="{B9D0E415-8F23-47CF-8A8C-815BC6E447D7}"/>
    <cellStyle name="Comma 5 4 2 5 6" xfId="12908" xr:uid="{04735AAE-C34A-4C98-A551-5D35C81D981F}"/>
    <cellStyle name="Comma 5 4 2 6" xfId="2274" xr:uid="{00000000-0005-0000-0000-0000A8010000}"/>
    <cellStyle name="Comma 5 4 2 6 2" xfId="7401" xr:uid="{C4D29E37-E937-4213-8011-53A649BF8387}"/>
    <cellStyle name="Comma 5 4 2 6 2 2" xfId="17781" xr:uid="{50535CE2-176B-44F6-8F53-18B08078F264}"/>
    <cellStyle name="Comma 5 4 2 6 2 3" xfId="29964" xr:uid="{5BAB1A23-3424-4F4B-8C82-C17688E1B197}"/>
    <cellStyle name="Comma 5 4 2 6 3" xfId="10234" xr:uid="{C11CD73B-D665-4282-9909-7BEA0E03E343}"/>
    <cellStyle name="Comma 5 4 2 6 3 2" xfId="20614" xr:uid="{3C900819-92F0-4C29-86E1-A90B3F340B79}"/>
    <cellStyle name="Comma 5 4 2 6 4" xfId="23243" xr:uid="{9170021C-F572-4BFC-9E71-0C62EEF9F5A4}"/>
    <cellStyle name="Comma 5 4 2 6 5" xfId="26292" xr:uid="{16576467-156A-4AC5-AACD-FFB47F3651C2}"/>
    <cellStyle name="Comma 5 4 2 6 6" xfId="14948" xr:uid="{A6D5D595-F74E-4986-8614-649D99B447FE}"/>
    <cellStyle name="Comma 5 4 2 7" xfId="3813" xr:uid="{9D313B6A-787D-4B1D-96BC-FC7E8E9C69D9}"/>
    <cellStyle name="Comma 5 4 2 7 2" xfId="8647" xr:uid="{8D8FECC0-9209-4BF6-94DC-38891174D0A1}"/>
    <cellStyle name="Comma 5 4 2 7 2 2" xfId="19027" xr:uid="{FC6A1C3B-4011-4141-98E7-6E7225CF8182}"/>
    <cellStyle name="Comma 5 4 2 7 3" xfId="11480" xr:uid="{6C74612B-7684-473A-A5AD-0C7FDCFC6F51}"/>
    <cellStyle name="Comma 5 4 2 7 3 2" xfId="21860" xr:uid="{61FC8D87-FC3B-4683-A3A1-92B7C9DC0668}"/>
    <cellStyle name="Comma 5 4 2 7 4" xfId="27008" xr:uid="{E0519768-0706-49AF-82A6-D4EF53FEF956}"/>
    <cellStyle name="Comma 5 4 2 7 5" xfId="28337" xr:uid="{A01A049B-33F1-40CC-8F9A-4F140969FBB0}"/>
    <cellStyle name="Comma 5 4 2 7 6" xfId="16194" xr:uid="{5A771593-0D2F-4BAE-A121-4F586A9A6162}"/>
    <cellStyle name="Comma 5 4 2 8" xfId="4861" xr:uid="{07C3C6D5-8D9B-4F87-9BC9-439937FDDCDF}"/>
    <cellStyle name="Comma 5 4 2 8 2" xfId="14153" xr:uid="{A359451D-B9A3-423B-9FC3-F6153889FDAE}"/>
    <cellStyle name="Comma 5 4 2 9" xfId="6606" xr:uid="{A520841F-3B08-4596-BDA9-ED3368ED9B23}"/>
    <cellStyle name="Comma 5 4 2 9 2" xfId="16986" xr:uid="{4AF28F1A-B467-4C04-8415-C91949B57C06}"/>
    <cellStyle name="Comma 5 4 3" xfId="469" xr:uid="{00000000-0005-0000-0000-00000D020000}"/>
    <cellStyle name="Comma 5 4 3 10" xfId="23706" xr:uid="{A54C64E4-FDA8-4148-A401-937C1E7A73AF}"/>
    <cellStyle name="Comma 5 4 3 11" xfId="12664" xr:uid="{B661D04C-5254-4F42-8351-EECE14F478AC}"/>
    <cellStyle name="Comma 5 4 3 2" xfId="1619" xr:uid="{00000000-0005-0000-0000-00000E020000}"/>
    <cellStyle name="Comma 5 4 3 2 2" xfId="3028" xr:uid="{00000000-0005-0000-0000-0000B0010000}"/>
    <cellStyle name="Comma 5 4 3 2 2 2" xfId="6161" xr:uid="{007C8220-9E72-4BAC-B90C-B53B0AE74FAB}"/>
    <cellStyle name="Comma 5 4 3 2 2 2 2" xfId="25450" xr:uid="{97DB1598-8191-4E16-9586-822C9BC3758B}"/>
    <cellStyle name="Comma 5 4 3 2 2 2 2 2" xfId="26125" xr:uid="{DD2A8CEA-F24E-4480-B9E2-C8CD0FCEA4A9}"/>
    <cellStyle name="Comma 5 4 3 2 2 2 3" xfId="27120" xr:uid="{A67FDF58-D503-44D7-A6C8-5FE8BA41B622}"/>
    <cellStyle name="Comma 5 4 3 2 2 2 4" xfId="15655" xr:uid="{B034BDF8-FC69-46BC-90DE-D9403E18391A}"/>
    <cellStyle name="Comma 5 4 3 2 2 3" xfId="8108" xr:uid="{E598174F-287F-4572-B1A1-FA3FA63DC608}"/>
    <cellStyle name="Comma 5 4 3 2 2 3 2" xfId="28790" xr:uid="{2784C87B-4856-4C8C-A5B1-BD78685B3398}"/>
    <cellStyle name="Comma 5 4 3 2 2 3 3" xfId="26482" xr:uid="{7E6A0C62-E0F7-4E9F-886B-37B8DE9B1EFA}"/>
    <cellStyle name="Comma 5 4 3 2 2 3 4" xfId="18488" xr:uid="{4BAB502A-E8E4-46CC-BADE-EB1E9176D641}"/>
    <cellStyle name="Comma 5 4 3 2 2 4" xfId="10941" xr:uid="{79BECDAC-D215-4AFF-AA74-F202E53545ED}"/>
    <cellStyle name="Comma 5 4 3 2 2 4 2" xfId="21321" xr:uid="{BBF7FD93-6C7E-4339-B1B9-D64E62673328}"/>
    <cellStyle name="Comma 5 4 3 2 2 5" xfId="23995" xr:uid="{1BF88E1E-0E42-4AE9-8589-BC18D54148E2}"/>
    <cellStyle name="Comma 5 4 3 2 2 6" xfId="13531" xr:uid="{2B93960E-C652-4963-9F39-86A958088D1E}"/>
    <cellStyle name="Comma 5 4 3 2 3" xfId="2669" xr:uid="{00000000-0005-0000-0000-0000AF010000}"/>
    <cellStyle name="Comma 5 4 3 2 3 2" xfId="7793" xr:uid="{29C61830-5722-46D3-9DAB-D49707DA8E72}"/>
    <cellStyle name="Comma 5 4 3 2 3 2 2" xfId="26439" xr:uid="{45522648-ECBC-42E6-A492-F2D7056F4061}"/>
    <cellStyle name="Comma 5 4 3 2 3 2 3" xfId="27567" xr:uid="{EC6AD633-0590-464F-B742-4AAD568083A8}"/>
    <cellStyle name="Comma 5 4 3 2 3 2 4" xfId="18173" xr:uid="{94FF7FCC-CA04-44D3-A23D-1AE82DB8DFBD}"/>
    <cellStyle name="Comma 5 4 3 2 3 3" xfId="10626" xr:uid="{588F3232-50E6-4B31-86E2-69B6884A609E}"/>
    <cellStyle name="Comma 5 4 3 2 3 3 2" xfId="21006" xr:uid="{9CA785BF-A464-42FF-AA90-C95EAF49E234}"/>
    <cellStyle name="Comma 5 4 3 2 3 4" xfId="22863" xr:uid="{9D03AB9B-A8BC-4B40-9EB2-1933D4677D5E}"/>
    <cellStyle name="Comma 5 4 3 2 3 5" xfId="15340" xr:uid="{85C94FF9-25F6-4B97-9A38-A6E174A0AFB4}"/>
    <cellStyle name="Comma 5 4 3 2 4" xfId="3633" xr:uid="{00000000-0005-0000-0000-00000E020000}"/>
    <cellStyle name="Comma 5 4 3 2 4 2" xfId="29846" xr:uid="{9F0CFDB4-9D9E-4A4D-8710-2885AF5E537F}"/>
    <cellStyle name="Comma 5 4 3 2 5" xfId="4256" xr:uid="{7200444E-36DD-40CC-A077-CB29E63090CC}"/>
    <cellStyle name="Comma 5 4 3 2 5 2" xfId="9028" xr:uid="{B7DD77EA-D0F5-44BE-8B7C-41F10A4FB4CA}"/>
    <cellStyle name="Comma 5 4 3 2 5 2 2" xfId="19408" xr:uid="{9CD73D97-72A6-4940-9CEA-CA2ED02A124E}"/>
    <cellStyle name="Comma 5 4 3 2 5 3" xfId="11861" xr:uid="{3BC6F72F-6810-4E85-B279-7CA58D925647}"/>
    <cellStyle name="Comma 5 4 3 2 5 3 2" xfId="22241" xr:uid="{51E916BA-CC2D-459A-B6A1-3506AFEBB662}"/>
    <cellStyle name="Comma 5 4 3 2 5 4" xfId="26038" xr:uid="{D6C4F451-91EA-470B-971B-25737311E52E}"/>
    <cellStyle name="Comma 5 4 3 2 5 5" xfId="26757" xr:uid="{07070A58-2038-4788-B080-E99E8AAB0DB7}"/>
    <cellStyle name="Comma 5 4 3 2 5 6" xfId="16575" xr:uid="{6AB58FED-965A-4A90-89E4-5B8C6C458E1B}"/>
    <cellStyle name="Comma 5 4 3 2 6" xfId="5563" xr:uid="{0FC98FF7-0826-4572-9CD4-63A4F734F6B2}"/>
    <cellStyle name="Comma 5 4 3 2 6 2" xfId="30470" xr:uid="{80364EED-32E8-412C-B784-452E9BE80D64}"/>
    <cellStyle name="Comma 5 4 3 2 7" xfId="25243" xr:uid="{E65C12E8-DC8E-4F43-A6F1-ACB2A325DBD0}"/>
    <cellStyle name="Comma 5 4 3 2 8" xfId="13072" xr:uid="{F5F43466-C211-4776-AF9D-DDE52683B12C}"/>
    <cellStyle name="Comma 5 4 3 3" xfId="1620" xr:uid="{00000000-0005-0000-0000-00000F020000}"/>
    <cellStyle name="Comma 5 4 3 3 2" xfId="3029" xr:uid="{00000000-0005-0000-0000-0000B1010000}"/>
    <cellStyle name="Comma 5 4 3 3 2 2" xfId="8109" xr:uid="{21D221E8-5CDF-42B8-8726-C36E1D13454B}"/>
    <cellStyle name="Comma 5 4 3 3 2 2 2" xfId="28791" xr:uid="{25427AF7-1EF5-4BFD-9C61-49EDAE307D36}"/>
    <cellStyle name="Comma 5 4 3 3 2 2 3" xfId="28649" xr:uid="{25A91A5C-6912-44A7-B87D-0861BA1D38C7}"/>
    <cellStyle name="Comma 5 4 3 3 2 2 4" xfId="18489" xr:uid="{A7005E7D-2924-427E-90C8-632355687328}"/>
    <cellStyle name="Comma 5 4 3 3 2 3" xfId="10942" xr:uid="{12204D70-4E27-44E3-9AFD-18876A76CE59}"/>
    <cellStyle name="Comma 5 4 3 3 2 3 2" xfId="21322" xr:uid="{87642076-E9AC-4641-A3E6-16D8AD8A7BB8}"/>
    <cellStyle name="Comma 5 4 3 3 2 4" xfId="23701" xr:uid="{1033E001-F0E5-4315-B6E7-0A9A4BD607EE}"/>
    <cellStyle name="Comma 5 4 3 3 2 5" xfId="15656" xr:uid="{F1F47C60-F8BF-4361-8E85-E74D26093C21}"/>
    <cellStyle name="Comma 5 4 3 3 3" xfId="2044" xr:uid="{00000000-0005-0000-0000-00000F020000}"/>
    <cellStyle name="Comma 5 4 3 3 3 2" xfId="29921" xr:uid="{978B4F01-D464-4241-831B-609EB7CE65F3}"/>
    <cellStyle name="Comma 5 4 3 3 4" xfId="4397" xr:uid="{85D2CB15-88A6-4002-AA7C-5761F9B91E5C}"/>
    <cellStyle name="Comma 5 4 3 3 4 2" xfId="9169" xr:uid="{00E7C148-6EDA-4D34-893B-F6DEBC2073FF}"/>
    <cellStyle name="Comma 5 4 3 3 4 2 2" xfId="19549" xr:uid="{DAC92D93-F217-44AA-970E-561D4800668F}"/>
    <cellStyle name="Comma 5 4 3 3 4 3" xfId="12002" xr:uid="{35C058BB-9759-431E-885F-7F98DC2A6C29}"/>
    <cellStyle name="Comma 5 4 3 3 4 3 2" xfId="22382" xr:uid="{E3443B56-0121-40BF-AE68-C899DD11A811}"/>
    <cellStyle name="Comma 5 4 3 3 4 4" xfId="16716" xr:uid="{EDE226BF-9D13-44AC-89AD-E4F29700CB0D}"/>
    <cellStyle name="Comma 5 4 3 3 5" xfId="5564" xr:uid="{CB1F3A00-B75F-4580-BEC4-2FB23FC80572}"/>
    <cellStyle name="Comma 5 4 3 3 5 2" xfId="30573" xr:uid="{9287763C-535A-4DE6-B1E4-B23D5AA47712}"/>
    <cellStyle name="Comma 5 4 3 3 6" xfId="25163" xr:uid="{79F7B079-FFD0-4DA0-8150-C726C678947B}"/>
    <cellStyle name="Comma 5 4 3 3 7" xfId="13532" xr:uid="{59996E9E-78E0-4B64-96DD-3AD884FD1666}"/>
    <cellStyle name="Comma 5 4 3 4" xfId="1618" xr:uid="{00000000-0005-0000-0000-000010020000}"/>
    <cellStyle name="Comma 5 4 3 4 2" xfId="3027" xr:uid="{00000000-0005-0000-0000-0000B2010000}"/>
    <cellStyle name="Comma 5 4 3 4 2 2" xfId="8107" xr:uid="{96D7AE74-E695-404F-81C4-4EA797556071}"/>
    <cellStyle name="Comma 5 4 3 4 2 2 2" xfId="28789" xr:uid="{5960A96B-0473-4B28-AEDC-C7BD3AB868CE}"/>
    <cellStyle name="Comma 5 4 3 4 2 2 3" xfId="26093" xr:uid="{78FA1F45-C57F-4D00-B91D-7A03815D502C}"/>
    <cellStyle name="Comma 5 4 3 4 2 2 4" xfId="18487" xr:uid="{A56470FA-94B7-417E-AEBF-173CE26C4E83}"/>
    <cellStyle name="Comma 5 4 3 4 2 3" xfId="10940" xr:uid="{32FB1CCB-8E0A-481E-B76F-2744A46249AF}"/>
    <cellStyle name="Comma 5 4 3 4 2 3 2" xfId="21320" xr:uid="{613AADE1-7FE2-42F5-8AA4-8D6735553A79}"/>
    <cellStyle name="Comma 5 4 3 4 2 4" xfId="24212" xr:uid="{63573AED-2580-472C-AD90-5EEF2F1FB914}"/>
    <cellStyle name="Comma 5 4 3 4 2 5" xfId="15654" xr:uid="{DC71AA64-C50E-4457-869F-B2627816983D}"/>
    <cellStyle name="Comma 5 4 3 4 3" xfId="3644" xr:uid="{00000000-0005-0000-0000-000010020000}"/>
    <cellStyle name="Comma 5 4 3 4 3 2" xfId="30305" xr:uid="{463AA8F5-3BC8-49C9-90A9-E02C6B19266C}"/>
    <cellStyle name="Comma 5 4 3 4 4" xfId="5562" xr:uid="{7C03D70E-5086-4C6D-89E3-E9DB53357221}"/>
    <cellStyle name="Comma 5 4 3 4 4 2" xfId="30741" xr:uid="{D07D9F95-0796-40BE-9030-89606568CAC9}"/>
    <cellStyle name="Comma 5 4 3 4 5" xfId="22996" xr:uid="{109649F7-7F1A-41B7-87D5-89D403649DB1}"/>
    <cellStyle name="Comma 5 4 3 4 6" xfId="13530" xr:uid="{A6EA4EFA-D95C-4307-A04E-A185CBB3D0BA}"/>
    <cellStyle name="Comma 5 4 3 5" xfId="2623" xr:uid="{00000000-0005-0000-0000-0000B3010000}"/>
    <cellStyle name="Comma 5 4 3 5 2" xfId="5885" xr:uid="{1FD7A4FB-A677-461F-AAC8-CBCB299F47FC}"/>
    <cellStyle name="Comma 5 4 3 5 2 2" xfId="27233" xr:uid="{8A40900A-961D-405D-8C1D-225441C3E1AB}"/>
    <cellStyle name="Comma 5 4 3 5 2 3" xfId="28685" xr:uid="{E32526B3-B64F-4931-9F6F-616CDE538A9A}"/>
    <cellStyle name="Comma 5 4 3 5 2 4" xfId="15295" xr:uid="{18158932-8E28-46CD-8ECF-32D906D7477A}"/>
    <cellStyle name="Comma 5 4 3 5 3" xfId="7748" xr:uid="{0C8AE889-C234-4D69-AD0B-CE037DCEF8A3}"/>
    <cellStyle name="Comma 5 4 3 5 3 2" xfId="18128" xr:uid="{EEC08685-7170-4EC5-BA6B-A76101532903}"/>
    <cellStyle name="Comma 5 4 3 5 4" xfId="10581" xr:uid="{31059A43-759B-4EDA-9C5D-880D1C749B48}"/>
    <cellStyle name="Comma 5 4 3 5 4 2" xfId="20961" xr:uid="{9DCA322E-49D9-4DC6-81F2-37AE927F1A29}"/>
    <cellStyle name="Comma 5 4 3 5 5" xfId="23547" xr:uid="{A4636B19-FBD1-43FA-A18C-B4585C90E5FD}"/>
    <cellStyle name="Comma 5 4 3 5 6" xfId="13011" xr:uid="{A5BBE2FB-0D8F-46FA-B94B-EAE035E23A46}"/>
    <cellStyle name="Comma 5 4 3 6" xfId="4121" xr:uid="{B0917393-0791-4B08-93AB-D0505818BC45}"/>
    <cellStyle name="Comma 5 4 3 6 2" xfId="8893" xr:uid="{A913B0F0-37E6-44C2-9608-68BA783E94B4}"/>
    <cellStyle name="Comma 5 4 3 6 2 2" xfId="19273" xr:uid="{E8318EBE-72F5-494C-9577-C99C8D5324E2}"/>
    <cellStyle name="Comma 5 4 3 6 3" xfId="11726" xr:uid="{681068A9-FB73-4D20-9927-5713336CFBE7}"/>
    <cellStyle name="Comma 5 4 3 6 3 2" xfId="22106" xr:uid="{337B2FBA-E6AB-4444-B7CC-F3B78ED31589}"/>
    <cellStyle name="Comma 5 4 3 6 4" xfId="23915" xr:uid="{6ADD72EB-FF18-46E3-B04C-1BA026AD2C9B}"/>
    <cellStyle name="Comma 5 4 3 6 5" xfId="26615" xr:uid="{84350A5C-096B-4A1F-BA16-7CE280504E2D}"/>
    <cellStyle name="Comma 5 4 3 6 6" xfId="16440" xr:uid="{68110F5E-5FAD-434E-93FD-3B4A47E9ECF5}"/>
    <cellStyle name="Comma 5 4 3 7" xfId="4863" xr:uid="{A240C9B6-55E4-4374-B1DF-9A086F346D6E}"/>
    <cellStyle name="Comma 5 4 3 7 2" xfId="27089" xr:uid="{89D53217-DF21-40B2-AB82-FC0954B7D310}"/>
    <cellStyle name="Comma 5 4 3 7 3" xfId="27731" xr:uid="{86F77ADB-B0E9-422F-9F9A-5CB7BEEBC18E}"/>
    <cellStyle name="Comma 5 4 3 7 4" xfId="14155" xr:uid="{C4B0A41C-5947-45ED-8358-35CE0465EFEB}"/>
    <cellStyle name="Comma 5 4 3 8" xfId="6608" xr:uid="{FC7E9C22-45D7-4533-9861-B9F9C7C7FAFD}"/>
    <cellStyle name="Comma 5 4 3 8 2" xfId="16988" xr:uid="{4898B56F-4FA9-4A9A-89CF-EB1664D1B240}"/>
    <cellStyle name="Comma 5 4 3 9" xfId="9441" xr:uid="{C659FD1A-67C9-44C8-95C6-EFAC335E9A81}"/>
    <cellStyle name="Comma 5 4 3 9 2" xfId="19821" xr:uid="{1BA271D6-C8C5-4E3F-B9C1-5947FC94DD91}"/>
    <cellStyle name="Comma 5 4 4" xfId="470" xr:uid="{00000000-0005-0000-0000-000011020000}"/>
    <cellStyle name="Comma 5 4 4 10" xfId="13070" xr:uid="{EB520593-34BA-4E5E-94BA-C49A73C54C6F}"/>
    <cellStyle name="Comma 5 4 4 2" xfId="1622" xr:uid="{00000000-0005-0000-0000-000012020000}"/>
    <cellStyle name="Comma 5 4 4 2 2" xfId="3030" xr:uid="{00000000-0005-0000-0000-0000B5010000}"/>
    <cellStyle name="Comma 5 4 4 2 2 2" xfId="8110" xr:uid="{290FC8F3-15F3-4BEF-9B10-48879780ECA7}"/>
    <cellStyle name="Comma 5 4 4 2 2 2 2" xfId="28792" xr:uid="{0C03508E-AAB2-4125-B7C0-1A41F0DBF503}"/>
    <cellStyle name="Comma 5 4 4 2 2 2 3" xfId="26279" xr:uid="{19B9AA86-C3EF-40BA-BFBD-CFAE038525C9}"/>
    <cellStyle name="Comma 5 4 4 2 2 2 4" xfId="18490" xr:uid="{5284C830-663D-43D1-A0D0-AAAA32887826}"/>
    <cellStyle name="Comma 5 4 4 2 2 3" xfId="10943" xr:uid="{F9FA5684-0770-45A3-A466-745760E72C89}"/>
    <cellStyle name="Comma 5 4 4 2 2 3 2" xfId="21323" xr:uid="{779D5D81-E695-46AF-A985-5A313B01AFFE}"/>
    <cellStyle name="Comma 5 4 4 2 2 4" xfId="24807" xr:uid="{60A2FF48-03F1-48DD-A1A5-04965444BA76}"/>
    <cellStyle name="Comma 5 4 4 2 2 5" xfId="15657" xr:uid="{6716B62F-D1BA-41B9-BFE9-7657228B1592}"/>
    <cellStyle name="Comma 5 4 4 2 3" xfId="2061" xr:uid="{00000000-0005-0000-0000-000012020000}"/>
    <cellStyle name="Comma 5 4 4 2 3 2" xfId="30742" xr:uid="{0F8E88A9-3D53-444E-BE27-F4EBDDB73F6D}"/>
    <cellStyle name="Comma 5 4 4 2 4" xfId="5565" xr:uid="{D16A0D10-FBA3-4EA5-8CE1-1E4196985AAF}"/>
    <cellStyle name="Comma 5 4 4 2 5" xfId="23001" xr:uid="{2BF63B1D-1E5E-43E0-9D3C-3640ADEC249D}"/>
    <cellStyle name="Comma 5 4 4 2 6" xfId="13533" xr:uid="{D8C0D2BF-AC83-44C3-A0AD-982213DAA7E5}"/>
    <cellStyle name="Comma 5 4 4 3" xfId="1623" xr:uid="{00000000-0005-0000-0000-000013020000}"/>
    <cellStyle name="Comma 5 4 4 3 2" xfId="4644" xr:uid="{AA605243-E9A8-42CE-AFF2-C3FB06670C65}"/>
    <cellStyle name="Comma 5 4 4 3 2 2" xfId="9402" xr:uid="{5F7BF688-ADB8-476E-A01C-0694B5EDBD1C}"/>
    <cellStyle name="Comma 5 4 4 3 2 2 2" xfId="19782" xr:uid="{593A7D09-AA36-489A-A4D5-203E0941D4F0}"/>
    <cellStyle name="Comma 5 4 4 3 2 3" xfId="12235" xr:uid="{E8AB7BAB-0100-426A-A9CD-5D95269558B2}"/>
    <cellStyle name="Comma 5 4 4 3 2 3 2" xfId="22615" xr:uid="{9E4CA505-3EE2-42CF-BC54-2A3EA58EBA52}"/>
    <cellStyle name="Comma 5 4 4 3 2 4" xfId="27285" xr:uid="{C261FBD2-0745-4F7C-88BD-83FB3946F1E3}"/>
    <cellStyle name="Comma 5 4 4 3 2 5" xfId="26696" xr:uid="{98D782FF-D647-48EA-89DB-175218B28C99}"/>
    <cellStyle name="Comma 5 4 4 3 2 6" xfId="16949" xr:uid="{0CC32059-AEF4-48E9-B9D7-C4C7B59AA66C}"/>
    <cellStyle name="Comma 5 4 4 3 3" xfId="24396" xr:uid="{383C249C-D118-473B-9C1E-889FE84F2D07}"/>
    <cellStyle name="Comma 5 4 4 3 3 2" xfId="30650" xr:uid="{0031828C-F7D5-46CB-BBBF-966D908BFB28}"/>
    <cellStyle name="Comma 5 4 4 3 4" xfId="30006" xr:uid="{155920C0-2353-4791-9D21-8E68E14C092B}"/>
    <cellStyle name="Comma 5 4 4 4" xfId="1621" xr:uid="{00000000-0005-0000-0000-000014020000}"/>
    <cellStyle name="Comma 5 4 4 4 2" xfId="29754" xr:uid="{2709C2EA-662D-4347-A587-7E1E4C7F434A}"/>
    <cellStyle name="Comma 5 4 4 5" xfId="4254" xr:uid="{20B90C1C-34CA-4215-8DD8-975AECD84294}"/>
    <cellStyle name="Comma 5 4 4 5 2" xfId="9026" xr:uid="{A812A268-AD3A-4FCD-83AB-6D1D8FE34016}"/>
    <cellStyle name="Comma 5 4 4 5 2 2" xfId="19406" xr:uid="{B2FF5CD4-C747-4981-9DF0-CA1385916856}"/>
    <cellStyle name="Comma 5 4 4 5 3" xfId="11859" xr:uid="{621705D9-DE19-48F4-82CF-C0A9E1616150}"/>
    <cellStyle name="Comma 5 4 4 5 3 2" xfId="22239" xr:uid="{1A7A7CFB-9B9C-4907-981F-39F7047E6056}"/>
    <cellStyle name="Comma 5 4 4 5 4" xfId="28372" xr:uid="{585164CC-9B2A-4316-925F-EF9B482CDB71}"/>
    <cellStyle name="Comma 5 4 4 5 5" xfId="26146" xr:uid="{307E018B-9018-4695-92A4-8DE0D898F420}"/>
    <cellStyle name="Comma 5 4 4 5 6" xfId="16573" xr:uid="{6CC63D45-A75B-423C-82A7-E72353DFE1E4}"/>
    <cellStyle name="Comma 5 4 4 6" xfId="4864" xr:uid="{40464597-81CF-4B3A-BDBE-A56B8D31FCF5}"/>
    <cellStyle name="Comma 5 4 4 6 2" xfId="14156" xr:uid="{ED84718F-BA5C-47DD-A8B0-7AAB56D3BC03}"/>
    <cellStyle name="Comma 5 4 4 7" xfId="6609" xr:uid="{CC1F996B-D609-457F-9A2E-D7DFA7F4B274}"/>
    <cellStyle name="Comma 5 4 4 7 2" xfId="16989" xr:uid="{718DC36B-78FF-4911-BA8F-30594FD38B51}"/>
    <cellStyle name="Comma 5 4 4 8" xfId="9442" xr:uid="{F9A7B80C-75B2-4BAC-B3C2-4574E940388C}"/>
    <cellStyle name="Comma 5 4 4 8 2" xfId="19822" xr:uid="{D37551E2-3897-4D74-8D80-3C488577C95B}"/>
    <cellStyle name="Comma 5 4 4 9" xfId="23363" xr:uid="{4C0AD912-540B-4296-94BC-BB12EC26B90D}"/>
    <cellStyle name="Comma 5 4 5" xfId="1624" xr:uid="{00000000-0005-0000-0000-000015020000}"/>
    <cellStyle name="Comma 5 4 5 2" xfId="3031" xr:uid="{00000000-0005-0000-0000-0000B6010000}"/>
    <cellStyle name="Comma 5 4 5 2 2" xfId="8111" xr:uid="{CA1995C3-89FB-4891-8F58-E90990A049DF}"/>
    <cellStyle name="Comma 5 4 5 2 2 2" xfId="28793" xr:uid="{C8A76B4C-5A93-4F7F-9EC3-80FE72D4677F}"/>
    <cellStyle name="Comma 5 4 5 2 2 3" xfId="27732" xr:uid="{A2C6750A-A58B-4E1E-A08F-98C689786567}"/>
    <cellStyle name="Comma 5 4 5 2 2 4" xfId="18491" xr:uid="{4170FDDD-D94A-4BBE-BF71-F250007E7FB9}"/>
    <cellStyle name="Comma 5 4 5 2 3" xfId="10944" xr:uid="{CDF1C62F-6B25-4CFF-982E-25A5F01676E6}"/>
    <cellStyle name="Comma 5 4 5 2 3 2" xfId="21324" xr:uid="{E326CDF0-D07C-4323-8623-BD92212513E8}"/>
    <cellStyle name="Comma 5 4 5 2 4" xfId="23268" xr:uid="{C379944C-8374-42A4-955A-6C718EA081D2}"/>
    <cellStyle name="Comma 5 4 5 2 5" xfId="15658" xr:uid="{50152E7A-E97E-470C-89FA-97C7B34C4030}"/>
    <cellStyle name="Comma 5 4 5 3" xfId="2082" xr:uid="{00000000-0005-0000-0000-000015020000}"/>
    <cellStyle name="Comma 5 4 5 3 2" xfId="29818" xr:uid="{AD3406E2-196F-4911-A491-3C5952DEF282}"/>
    <cellStyle name="Comma 5 4 5 4" xfId="4398" xr:uid="{B00051C5-3A2E-424F-9C46-B4DD74FD8567}"/>
    <cellStyle name="Comma 5 4 5 4 2" xfId="9170" xr:uid="{3351EA1B-65B1-4144-9B49-1360FCB0E530}"/>
    <cellStyle name="Comma 5 4 5 4 2 2" xfId="19550" xr:uid="{55CFBDE5-84A5-4D40-B8A8-6A85D07AD007}"/>
    <cellStyle name="Comma 5 4 5 4 3" xfId="12003" xr:uid="{D9CDB029-0734-47C7-9758-9DB8F9DFEC28}"/>
    <cellStyle name="Comma 5 4 5 4 3 2" xfId="22383" xr:uid="{5F9F1B0A-C1AD-4056-8E63-28913330970F}"/>
    <cellStyle name="Comma 5 4 5 4 4" xfId="16717" xr:uid="{DCCB65D7-1687-4250-A4D9-2A157B3BE969}"/>
    <cellStyle name="Comma 5 4 5 5" xfId="5566" xr:uid="{A128631B-3428-414E-9F25-8FA6699F8D03}"/>
    <cellStyle name="Comma 5 4 5 5 2" xfId="30438" xr:uid="{285901FA-D6A7-4FD4-B346-1C3B591A8B56}"/>
    <cellStyle name="Comma 5 4 5 6" xfId="23185" xr:uid="{E54F51E7-4A6B-4E4B-A0BF-F9D227F9A808}"/>
    <cellStyle name="Comma 5 4 5 7" xfId="13534" xr:uid="{4A7D1C38-FFE0-4648-8561-028E3DBF36DB}"/>
    <cellStyle name="Comma 5 4 6" xfId="1625" xr:uid="{00000000-0005-0000-0000-000016020000}"/>
    <cellStyle name="Comma 5 4 6 2" xfId="2869" xr:uid="{00000000-0005-0000-0000-0000B7010000}"/>
    <cellStyle name="Comma 5 4 6 2 2" xfId="7986" xr:uid="{E435F86A-2CC6-49A9-AFBB-303D9970770D}"/>
    <cellStyle name="Comma 5 4 6 2 2 2" xfId="27333" xr:uid="{C14A4527-489D-49CA-8263-A009DCE0942E}"/>
    <cellStyle name="Comma 5 4 6 2 2 3" xfId="28490" xr:uid="{B7E8DAA1-3088-46D4-8D75-C4437F530D14}"/>
    <cellStyle name="Comma 5 4 6 2 2 4" xfId="18366" xr:uid="{6FCCB180-A23C-4F85-AEF6-C321E54E6834}"/>
    <cellStyle name="Comma 5 4 6 2 3" xfId="10819" xr:uid="{B7D4ED36-7A7D-4D50-9C34-32F1FCEEB96B}"/>
    <cellStyle name="Comma 5 4 6 2 3 2" xfId="21199" xr:uid="{62C2CE69-C784-46E2-914F-274D400EAFA3}"/>
    <cellStyle name="Comma 5 4 6 2 4" xfId="25066" xr:uid="{6BBF8F4F-1CD9-4076-B1A7-09911CA21A3E}"/>
    <cellStyle name="Comma 5 4 6 2 5" xfId="15533" xr:uid="{DE69EAE8-F98B-43F5-8716-641AF55870C8}"/>
    <cellStyle name="Comma 5 4 6 3" xfId="2861" xr:uid="{00000000-0005-0000-0000-000016020000}"/>
    <cellStyle name="Comma 5 4 6 3 2" xfId="29898" xr:uid="{91A5B266-0F2C-4ADE-B33C-638DFDA8AE9B}"/>
    <cellStyle name="Comma 5 4 6 4" xfId="5567" xr:uid="{69214C48-DCEC-47C1-B288-7DDCDBE36611}"/>
    <cellStyle name="Comma 5 4 6 4 2" xfId="30157" xr:uid="{D48FC043-BBBF-48D1-937D-59687506F37B}"/>
    <cellStyle name="Comma 5 4 6 5" xfId="23950" xr:uid="{D763EBFC-6C85-47DB-BF46-3F62DBDA0A3A}"/>
    <cellStyle name="Comma 5 4 6 6" xfId="13362" xr:uid="{04BD029C-329B-4756-BEB3-2C4C6D3058CA}"/>
    <cellStyle name="Comma 5 4 7" xfId="1611" xr:uid="{00000000-0005-0000-0000-000017020000}"/>
    <cellStyle name="Comma 5 4 7 2" xfId="2460" xr:uid="{00000000-0005-0000-0000-0000B8010000}"/>
    <cellStyle name="Comma 5 4 7 2 2" xfId="7585" xr:uid="{AF3A6ABC-EA18-499E-8302-4132FA53E347}"/>
    <cellStyle name="Comma 5 4 7 2 2 2" xfId="17965" xr:uid="{5FB56155-C1E5-4258-89D8-7CC001110979}"/>
    <cellStyle name="Comma 5 4 7 2 3" xfId="10418" xr:uid="{DB0901B6-366E-4321-8D44-501B5AC115C6}"/>
    <cellStyle name="Comma 5 4 7 2 3 2" xfId="20798" xr:uid="{E77F0AC0-C7B3-4BBA-AAB4-8B4BB4CFC112}"/>
    <cellStyle name="Comma 5 4 7 2 4" xfId="26839" xr:uid="{CA8A0B08-9241-4228-9AAC-005A8275049B}"/>
    <cellStyle name="Comma 5 4 7 2 5" xfId="28624" xr:uid="{08CA900D-3108-40F0-A0BF-412B4D4CF914}"/>
    <cellStyle name="Comma 5 4 7 2 6" xfId="15132" xr:uid="{49423BB8-D6C1-46B5-96AA-110BAC1F6EA3}"/>
    <cellStyle name="Comma 5 4 7 3" xfId="3571" xr:uid="{00000000-0005-0000-0000-000017020000}"/>
    <cellStyle name="Comma 5 4 7 3 2" xfId="30626" xr:uid="{7ADB800A-AFEE-4D72-A95E-8312D215FBD8}"/>
    <cellStyle name="Comma 5 4 7 4" xfId="5557" xr:uid="{C75D7C05-F3B8-47BC-AC18-1C130F1A3B1B}"/>
    <cellStyle name="Comma 5 4 7 5" xfId="24553" xr:uid="{71BFF522-A16F-49DA-837C-7E42E5B76A6E}"/>
    <cellStyle name="Comma 5 4 7 6" xfId="12848" xr:uid="{8E51FA3F-6D37-4105-BEBC-E890E8758154}"/>
    <cellStyle name="Comma 5 4 8" xfId="2214" xr:uid="{00000000-0005-0000-0000-0000A7010000}"/>
    <cellStyle name="Comma 5 4 8 2" xfId="7341" xr:uid="{1A171DF4-532B-47D3-98C5-03A480295C1B}"/>
    <cellStyle name="Comma 5 4 8 2 2" xfId="17721" xr:uid="{7308A606-410B-47CE-99C3-0436B50B8890}"/>
    <cellStyle name="Comma 5 4 8 3" xfId="10174" xr:uid="{126C35F2-D091-47B6-B645-26AFB0694491}"/>
    <cellStyle name="Comma 5 4 8 3 2" xfId="20554" xr:uid="{3D4826B6-0EF4-4003-83B2-EDCF147287E8}"/>
    <cellStyle name="Comma 5 4 8 4" xfId="25150" xr:uid="{AEA9DE12-F05C-49F9-BCF2-0E58271C6F3E}"/>
    <cellStyle name="Comma 5 4 8 5" xfId="26622" xr:uid="{9B2279ED-8D13-41EF-B0F1-FE3DB7938777}"/>
    <cellStyle name="Comma 5 4 8 6" xfId="14888" xr:uid="{8B96C28A-B2B6-409E-9599-4F4859E521CC}"/>
    <cellStyle name="Comma 5 4 9" xfId="3861" xr:uid="{A30A1CB2-A210-4F10-856F-40B6121D2558}"/>
    <cellStyle name="Comma 5 4 9 2" xfId="8693" xr:uid="{1ED45EE7-2EA9-473D-86DE-E17D78E615AF}"/>
    <cellStyle name="Comma 5 4 9 2 2" xfId="19073" xr:uid="{278B5468-A8C2-4D77-B9D9-13FB01429D0E}"/>
    <cellStyle name="Comma 5 4 9 3" xfId="11526" xr:uid="{3D4477C4-5222-4F2D-8032-84C6717135D5}"/>
    <cellStyle name="Comma 5 4 9 3 2" xfId="21906" xr:uid="{81609EBF-B4EB-4152-B331-6F85F557B933}"/>
    <cellStyle name="Comma 5 4 9 4" xfId="27234" xr:uid="{60CC41BC-C2A6-4347-88DB-37769B7CA3D5}"/>
    <cellStyle name="Comma 5 4 9 5" xfId="26868" xr:uid="{DFF90D36-9659-4AAE-BA1B-59A41E577559}"/>
    <cellStyle name="Comma 5 4 9 6" xfId="16240" xr:uid="{F488F3F8-EB13-4588-8975-0230DAE4D758}"/>
    <cellStyle name="Comma 5 5" xfId="471" xr:uid="{00000000-0005-0000-0000-000018020000}"/>
    <cellStyle name="Comma 5 5 10" xfId="6610" xr:uid="{F68913B7-AB9A-423B-9BE1-EFB136CF76FE}"/>
    <cellStyle name="Comma 5 5 10 2" xfId="16990" xr:uid="{8FA09342-F31D-4E3E-9EDE-CFEFF2707D50}"/>
    <cellStyle name="Comma 5 5 11" xfId="9443" xr:uid="{3FF3BF7D-1FC3-4E33-960B-6813663D50E1}"/>
    <cellStyle name="Comma 5 5 11 2" xfId="19823" xr:uid="{C3E9E9FB-8587-4430-9E52-506174192954}"/>
    <cellStyle name="Comma 5 5 12" xfId="23560" xr:uid="{125990ED-B5A7-4AB8-9572-BF563C0E05B1}"/>
    <cellStyle name="Comma 5 5 13" xfId="12429" xr:uid="{022737FE-02B8-4339-8C4F-B93412874188}"/>
    <cellStyle name="Comma 5 5 2" xfId="472" xr:uid="{00000000-0005-0000-0000-000019020000}"/>
    <cellStyle name="Comma 5 5 2 10" xfId="9444" xr:uid="{925AA75C-30CF-4EA6-A444-1464D695D594}"/>
    <cellStyle name="Comma 5 5 2 10 2" xfId="19824" xr:uid="{C068C876-61E0-4591-85E9-E222158C415F}"/>
    <cellStyle name="Comma 5 5 2 11" xfId="23936" xr:uid="{FEA3F40E-8559-4999-954B-23BDB5010D03}"/>
    <cellStyle name="Comma 5 5 2 12" xfId="12507" xr:uid="{B305CE50-276F-4120-9C6D-6EE1DD38937B}"/>
    <cellStyle name="Comma 5 5 2 2" xfId="473" xr:uid="{00000000-0005-0000-0000-00001A020000}"/>
    <cellStyle name="Comma 5 5 2 2 10" xfId="13074" xr:uid="{35FF24D1-3374-49A1-94AB-48660EFC3E29}"/>
    <cellStyle name="Comma 5 5 2 2 2" xfId="1629" xr:uid="{00000000-0005-0000-0000-00001B020000}"/>
    <cellStyle name="Comma 5 5 2 2 2 2" xfId="3033" xr:uid="{00000000-0005-0000-0000-0000BC010000}"/>
    <cellStyle name="Comma 5 5 2 2 2 2 2" xfId="8113" xr:uid="{2AE85520-C8C8-457E-ACA9-529C269B9E3F}"/>
    <cellStyle name="Comma 5 5 2 2 2 2 2 2" xfId="28795" xr:uid="{D7A53197-3458-482B-840E-70A789FC1E24}"/>
    <cellStyle name="Comma 5 5 2 2 2 2 2 3" xfId="28240" xr:uid="{75899C5E-C4FB-419E-8A6B-99C3547D7C46}"/>
    <cellStyle name="Comma 5 5 2 2 2 2 2 4" xfId="18493" xr:uid="{36264E9A-D330-40AA-B391-E41E2315BC41}"/>
    <cellStyle name="Comma 5 5 2 2 2 2 3" xfId="10946" xr:uid="{BBEF4E85-2A45-41F4-AEDE-728924247D1F}"/>
    <cellStyle name="Comma 5 5 2 2 2 2 3 2" xfId="21326" xr:uid="{E9C5795C-00C5-4855-8AF9-5D6C25640AEC}"/>
    <cellStyle name="Comma 5 5 2 2 2 2 4" xfId="24162" xr:uid="{E433F28E-FBD0-461A-A44F-7B9039781C0F}"/>
    <cellStyle name="Comma 5 5 2 2 2 2 5" xfId="15660" xr:uid="{3F5497FD-51CD-4B7C-B9ED-AAA49343CBCE}"/>
    <cellStyle name="Comma 5 5 2 2 2 3" xfId="3547" xr:uid="{00000000-0005-0000-0000-00001B020000}"/>
    <cellStyle name="Comma 5 5 2 2 2 3 2" xfId="29883" xr:uid="{58D97DB4-FFE1-402E-8741-0186CFC283BF}"/>
    <cellStyle name="Comma 5 5 2 2 2 4" xfId="5569" xr:uid="{8149337E-E2F7-4BC3-B2AD-3A48DB4611B4}"/>
    <cellStyle name="Comma 5 5 2 2 2 4 2" xfId="30146" xr:uid="{0DBD3565-C8A9-4221-9B38-0568E6458662}"/>
    <cellStyle name="Comma 5 5 2 2 2 5" xfId="23271" xr:uid="{324F7F2A-F9B4-427B-BAA0-884E742FA9CB}"/>
    <cellStyle name="Comma 5 5 2 2 2 6" xfId="13536" xr:uid="{FA17DD78-577E-4F4A-A4A3-79140DA28301}"/>
    <cellStyle name="Comma 5 5 2 2 3" xfId="1630" xr:uid="{00000000-0005-0000-0000-00001C020000}"/>
    <cellStyle name="Comma 5 5 2 2 3 2" xfId="4662" xr:uid="{B2F37315-6DCC-4AA8-91CB-5196813D8346}"/>
    <cellStyle name="Comma 5 5 2 2 3 2 2" xfId="9411" xr:uid="{E47A1DEC-3551-413C-B44C-FBAAD200C832}"/>
    <cellStyle name="Comma 5 5 2 2 3 2 2 2" xfId="19791" xr:uid="{AD92439A-7503-45C2-BAA6-A5D77D862B3A}"/>
    <cellStyle name="Comma 5 5 2 2 3 2 3" xfId="12244" xr:uid="{EC7FCFC4-452B-4FE3-BBC1-FCE6A21A9DDF}"/>
    <cellStyle name="Comma 5 5 2 2 3 2 3 2" xfId="22624" xr:uid="{62C16D63-B217-422C-A300-74BA0214C757}"/>
    <cellStyle name="Comma 5 5 2 2 3 2 4" xfId="26364" xr:uid="{C2C9F031-3AEA-4B32-94D5-A68C41FAC102}"/>
    <cellStyle name="Comma 5 5 2 2 3 2 5" xfId="25991" xr:uid="{B7C7B693-B722-4F40-ACDA-74BB51F20522}"/>
    <cellStyle name="Comma 5 5 2 2 3 2 6" xfId="16958" xr:uid="{4DE22B44-2151-4B51-9726-162B99792D9D}"/>
    <cellStyle name="Comma 5 5 2 2 3 3" xfId="22715" xr:uid="{92B2D0D1-AC90-443C-9981-82F2B0565022}"/>
    <cellStyle name="Comma 5 5 2 2 3 3 2" xfId="30219" xr:uid="{062A62F8-E107-4962-A38A-402F207E1002}"/>
    <cellStyle name="Comma 5 5 2 2 3 4" xfId="30605" xr:uid="{7E1C3F4A-C6AC-4411-BEDA-18291127D426}"/>
    <cellStyle name="Comma 5 5 2 2 3 5" xfId="29769" xr:uid="{0D31D905-E515-4C4E-A884-538E735301F2}"/>
    <cellStyle name="Comma 5 5 2 2 4" xfId="1628" xr:uid="{00000000-0005-0000-0000-00001D020000}"/>
    <cellStyle name="Comma 5 5 2 2 4 2" xfId="26906" xr:uid="{6F7A2ECF-25AB-4CBD-817C-55807B88D221}"/>
    <cellStyle name="Comma 5 5 2 2 4 2 2" xfId="30250" xr:uid="{AC6688E6-1D29-4225-AF85-4300321C7C06}"/>
    <cellStyle name="Comma 5 5 2 2 4 3" xfId="26324" xr:uid="{947B228F-946F-4CAA-BA52-7D37CF416252}"/>
    <cellStyle name="Comma 5 5 2 2 4 4" xfId="30008" xr:uid="{16219172-8378-422A-BC9A-C8B845C76386}"/>
    <cellStyle name="Comma 5 5 2 2 5" xfId="4257" xr:uid="{F425CFC7-105B-4CC0-8870-3014D73014C3}"/>
    <cellStyle name="Comma 5 5 2 2 5 2" xfId="9029" xr:uid="{13C3FDE2-5559-4AEB-9363-A03CE57D7938}"/>
    <cellStyle name="Comma 5 5 2 2 5 2 2" xfId="19409" xr:uid="{E5AFDC7D-2E76-478B-A5FE-40C3176D389A}"/>
    <cellStyle name="Comma 5 5 2 2 5 3" xfId="11862" xr:uid="{2A39EEE8-F51A-4BD9-908B-5D918AC6FF8E}"/>
    <cellStyle name="Comma 5 5 2 2 5 3 2" xfId="22242" xr:uid="{89075ACE-3FFD-40C2-9CDA-923A33AE603B}"/>
    <cellStyle name="Comma 5 5 2 2 5 4" xfId="28470" xr:uid="{B2944A0E-2792-4E36-A6CD-5BA38F961C86}"/>
    <cellStyle name="Comma 5 5 2 2 5 5" xfId="27173" xr:uid="{932979F3-F365-4C93-B50C-E510F37D9E15}"/>
    <cellStyle name="Comma 5 5 2 2 5 6" xfId="16576" xr:uid="{E20AC4C6-B379-465A-9BA2-31180D5B832E}"/>
    <cellStyle name="Comma 5 5 2 2 6" xfId="4867" xr:uid="{2C2AF93C-FB36-43A0-A025-409ECF6C1BDB}"/>
    <cellStyle name="Comma 5 5 2 2 6 2" xfId="28232" xr:uid="{9D1E46B6-8E75-4D25-932A-5044949B17DB}"/>
    <cellStyle name="Comma 5 5 2 2 6 3" xfId="27319" xr:uid="{6ECABCF4-B3A6-49C3-A88A-0474DCE8E380}"/>
    <cellStyle name="Comma 5 5 2 2 6 4" xfId="14159" xr:uid="{AE8ED646-516E-47B4-8B48-EF4F052525B9}"/>
    <cellStyle name="Comma 5 5 2 2 7" xfId="6612" xr:uid="{43DD63CF-7129-4C83-8E53-6FBBDEAA6ABB}"/>
    <cellStyle name="Comma 5 5 2 2 7 2" xfId="16992" xr:uid="{EBEC6825-98E7-4C94-BEFF-7A674D1AC88D}"/>
    <cellStyle name="Comma 5 5 2 2 8" xfId="9445" xr:uid="{35DFDB9E-357C-4E4D-BC65-96DC64BA8B9F}"/>
    <cellStyle name="Comma 5 5 2 2 8 2" xfId="19825" xr:uid="{63F93CB6-2331-402A-A896-3CC3EE713676}"/>
    <cellStyle name="Comma 5 5 2 2 9" xfId="24569" xr:uid="{E63E51D1-8FE3-41BB-B561-CB42C3286D6B}"/>
    <cellStyle name="Comma 5 5 2 3" xfId="1631" xr:uid="{00000000-0005-0000-0000-00001E020000}"/>
    <cellStyle name="Comma 5 5 2 3 2" xfId="3034" xr:uid="{00000000-0005-0000-0000-0000BD010000}"/>
    <cellStyle name="Comma 5 5 2 3 2 2" xfId="8114" xr:uid="{81A888E5-0B53-4D56-8867-69F92F7C8E25}"/>
    <cellStyle name="Comma 5 5 2 3 2 2 2" xfId="28796" xr:uid="{13DD1A7F-3F45-4FED-A2A0-862C422EBE30}"/>
    <cellStyle name="Comma 5 5 2 3 2 2 3" xfId="27584" xr:uid="{76712071-AC0C-4F27-A46D-F4350A722BE1}"/>
    <cellStyle name="Comma 5 5 2 3 2 2 4" xfId="18494" xr:uid="{F21898EA-35F5-4361-9A5F-73415AB73E23}"/>
    <cellStyle name="Comma 5 5 2 3 2 3" xfId="10947" xr:uid="{780B36F9-F617-4AC3-AAD9-1E6BB2051FF1}"/>
    <cellStyle name="Comma 5 5 2 3 2 3 2" xfId="21327" xr:uid="{840CEE2D-9C0C-4488-B440-5DD48AF1B74B}"/>
    <cellStyle name="Comma 5 5 2 3 2 4" xfId="23437" xr:uid="{0F501286-54E5-483D-ACF4-0264FCD9BB1E}"/>
    <cellStyle name="Comma 5 5 2 3 2 5" xfId="15661" xr:uid="{E9E1ABC4-1CE5-40E4-9EBF-F54843E28052}"/>
    <cellStyle name="Comma 5 5 2 3 3" xfId="3569" xr:uid="{00000000-0005-0000-0000-00001E020000}"/>
    <cellStyle name="Comma 5 5 2 3 3 2" xfId="29677" xr:uid="{4566DD8C-A977-4AE4-9BF8-EABE81751290}"/>
    <cellStyle name="Comma 5 5 2 3 4" xfId="4399" xr:uid="{EA2E7E2E-2E7D-462B-A6DA-299801D6D98F}"/>
    <cellStyle name="Comma 5 5 2 3 4 2" xfId="9171" xr:uid="{3A6F7C63-ECFF-4582-83D4-F800D01FB1DE}"/>
    <cellStyle name="Comma 5 5 2 3 4 2 2" xfId="19551" xr:uid="{5F2F7421-CB3C-4C0C-94E1-149CF08D1218}"/>
    <cellStyle name="Comma 5 5 2 3 4 3" xfId="12004" xr:uid="{4E20C26B-F108-4724-AF70-22A9F8145129}"/>
    <cellStyle name="Comma 5 5 2 3 4 3 2" xfId="22384" xr:uid="{F2BB2F88-D0E0-46A0-B0FE-BE3E1067F817}"/>
    <cellStyle name="Comma 5 5 2 3 4 4" xfId="16718" xr:uid="{BBCC3D97-496B-477C-8300-8068167F31C0}"/>
    <cellStyle name="Comma 5 5 2 3 5" xfId="5570" xr:uid="{7CF632E3-4777-4439-BD13-C36956A9A848}"/>
    <cellStyle name="Comma 5 5 2 3 5 2" xfId="30376" xr:uid="{7F6C9432-7A5B-46B1-BA88-26DAF19C89A3}"/>
    <cellStyle name="Comma 5 5 2 3 6" xfId="24251" xr:uid="{7854BEE0-FF20-4F98-AC86-A079A6833A12}"/>
    <cellStyle name="Comma 5 5 2 3 7" xfId="13537" xr:uid="{A8C823ED-4DEA-421E-8373-07016424A5F0}"/>
    <cellStyle name="Comma 5 5 2 4" xfId="1632" xr:uid="{00000000-0005-0000-0000-00001F020000}"/>
    <cellStyle name="Comma 5 5 2 4 2" xfId="3032" xr:uid="{00000000-0005-0000-0000-0000BE010000}"/>
    <cellStyle name="Comma 5 5 2 4 2 2" xfId="8112" xr:uid="{8B105B21-38BE-4440-B53F-339A3295330A}"/>
    <cellStyle name="Comma 5 5 2 4 2 2 2" xfId="28794" xr:uid="{3E7456B3-67D8-4BF3-A48D-6285E2F25D2F}"/>
    <cellStyle name="Comma 5 5 2 4 2 2 3" xfId="25871" xr:uid="{1DF288C7-35BA-4D3C-A265-6D70B9DA86F9}"/>
    <cellStyle name="Comma 5 5 2 4 2 2 4" xfId="18492" xr:uid="{CE2976AD-3E7B-473B-965A-9DA68EBE92A3}"/>
    <cellStyle name="Comma 5 5 2 4 2 3" xfId="10945" xr:uid="{6E07D054-C5EB-4EAA-9513-8C4E2C0CF1DD}"/>
    <cellStyle name="Comma 5 5 2 4 2 3 2" xfId="21325" xr:uid="{31A1617B-2604-4938-AC05-828CCACCA05F}"/>
    <cellStyle name="Comma 5 5 2 4 2 4" xfId="23470" xr:uid="{7AF72A65-EEAA-4E38-92FE-48D0406D6851}"/>
    <cellStyle name="Comma 5 5 2 4 2 5" xfId="15659" xr:uid="{66C431FE-8B2F-4382-85F1-4C640BDEA1DA}"/>
    <cellStyle name="Comma 5 5 2 4 3" xfId="3639" xr:uid="{00000000-0005-0000-0000-00001F020000}"/>
    <cellStyle name="Comma 5 5 2 4 3 2" xfId="29837" xr:uid="{85DCA895-5672-4BB5-9F8C-7DB958FAE507}"/>
    <cellStyle name="Comma 5 5 2 4 4" xfId="5571" xr:uid="{A7DC721F-42E5-4C1F-981A-40EAC95C2325}"/>
    <cellStyle name="Comma 5 5 2 4 4 2" xfId="30127" xr:uid="{156A20C9-4A44-4B16-AC5C-9F3A25580980}"/>
    <cellStyle name="Comma 5 5 2 4 5" xfId="23248" xr:uid="{B403172A-62E5-44D4-B009-CA7BFE2860E8}"/>
    <cellStyle name="Comma 5 5 2 4 6" xfId="13535" xr:uid="{6BF3DCE5-8388-4FEB-84E2-0D7EA09FD106}"/>
    <cellStyle name="Comma 5 5 2 5" xfId="1627" xr:uid="{00000000-0005-0000-0000-000020020000}"/>
    <cellStyle name="Comma 5 5 2 5 2" xfId="2606" xr:uid="{00000000-0005-0000-0000-0000BF010000}"/>
    <cellStyle name="Comma 5 5 2 5 2 2" xfId="7731" xr:uid="{56F37DDA-B19E-4AA9-A4F8-DE511DB10BE5}"/>
    <cellStyle name="Comma 5 5 2 5 2 2 2" xfId="18111" xr:uid="{D6606970-6866-4700-B917-902B70B2829F}"/>
    <cellStyle name="Comma 5 5 2 5 2 3" xfId="10564" xr:uid="{03D93D01-874D-4C7E-B6E8-6646DF361B5C}"/>
    <cellStyle name="Comma 5 5 2 5 2 3 2" xfId="20944" xr:uid="{E3A04422-6F5B-4D81-B99D-FEECA48FA414}"/>
    <cellStyle name="Comma 5 5 2 5 2 4" xfId="27997" xr:uid="{24F21F37-5917-4018-9E6C-C7641984E9BA}"/>
    <cellStyle name="Comma 5 5 2 5 2 5" xfId="26253" xr:uid="{80D89265-A39A-4A4D-AA40-3E6C2AF5F497}"/>
    <cellStyle name="Comma 5 5 2 5 2 6" xfId="15278" xr:uid="{63730937-422D-4A27-AD40-BFB4F5596BAE}"/>
    <cellStyle name="Comma 5 5 2 5 3" xfId="3550" xr:uid="{00000000-0005-0000-0000-000020020000}"/>
    <cellStyle name="Comma 5 5 2 5 3 2" xfId="30185" xr:uid="{F18165E7-BC22-4BC3-9280-36DD6BE66162}"/>
    <cellStyle name="Comma 5 5 2 5 4" xfId="5568" xr:uid="{EC7E76E4-1CD5-4119-9B58-FCAE4C6C9289}"/>
    <cellStyle name="Comma 5 5 2 5 4 2" xfId="30566" xr:uid="{4B6A1704-7106-4DC1-B6B9-110597BC2347}"/>
    <cellStyle name="Comma 5 5 2 5 5" xfId="22663" xr:uid="{F87EE0D8-7605-4BAC-B8D1-1FD6C5DA9D4A}"/>
    <cellStyle name="Comma 5 5 2 5 6" xfId="12994" xr:uid="{9588B1C1-B65E-4EBC-AB1D-043F75641582}"/>
    <cellStyle name="Comma 5 5 2 6" xfId="2275" xr:uid="{00000000-0005-0000-0000-0000BA010000}"/>
    <cellStyle name="Comma 5 5 2 6 2" xfId="7402" xr:uid="{BF98D419-FCB0-41D0-A353-A83259F5C528}"/>
    <cellStyle name="Comma 5 5 2 6 2 2" xfId="17782" xr:uid="{390025A4-9054-43F4-89A9-9036C01644E6}"/>
    <cellStyle name="Comma 5 5 2 6 2 3" xfId="29965" xr:uid="{774D5E4F-17F3-4A71-80ED-427A48A5A195}"/>
    <cellStyle name="Comma 5 5 2 6 3" xfId="10235" xr:uid="{FB622232-7D94-4CBB-9F81-C5A85FAA7DA9}"/>
    <cellStyle name="Comma 5 5 2 6 3 2" xfId="20615" xr:uid="{545544AA-0E46-4DF1-9D8F-C74045C244F0}"/>
    <cellStyle name="Comma 5 5 2 6 4" xfId="24119" xr:uid="{48234A69-540E-4466-AF7F-44BCDE98E2A4}"/>
    <cellStyle name="Comma 5 5 2 6 5" xfId="27405" xr:uid="{ABDC0F9F-59FE-4E0C-9BE7-F6D4523E26FE}"/>
    <cellStyle name="Comma 5 5 2 6 6" xfId="14949" xr:uid="{1DE065CC-4608-4C0C-8409-E1C6F2AC946A}"/>
    <cellStyle name="Comma 5 5 2 7" xfId="3814" xr:uid="{A67031BB-4D52-4448-AB9D-D3F77FED678A}"/>
    <cellStyle name="Comma 5 5 2 7 2" xfId="8648" xr:uid="{4D276026-51BE-40B5-8A76-89745AA2C8E2}"/>
    <cellStyle name="Comma 5 5 2 7 2 2" xfId="19028" xr:uid="{A57E13C3-EBCF-453E-AE03-2188BAE1E0FF}"/>
    <cellStyle name="Comma 5 5 2 7 3" xfId="11481" xr:uid="{AC1120BC-EF38-4262-B0D1-BB10C54203BF}"/>
    <cellStyle name="Comma 5 5 2 7 3 2" xfId="21861" xr:uid="{25F3E778-9F05-41FB-B597-A8827EBEAE67}"/>
    <cellStyle name="Comma 5 5 2 7 4" xfId="26802" xr:uid="{FE9D49E4-1E54-4FAA-9138-988B81FAB27A}"/>
    <cellStyle name="Comma 5 5 2 7 5" xfId="28256" xr:uid="{BF69C093-3389-4484-9625-540DA25850F9}"/>
    <cellStyle name="Comma 5 5 2 7 6" xfId="16195" xr:uid="{14093B26-44B4-4D8D-85EC-F686ACA6DA89}"/>
    <cellStyle name="Comma 5 5 2 8" xfId="4866" xr:uid="{3F5F929F-AD2B-4FC4-AE06-B544850F07D3}"/>
    <cellStyle name="Comma 5 5 2 8 2" xfId="14158" xr:uid="{90DC75DC-4445-4B30-87EE-A4B6763538F9}"/>
    <cellStyle name="Comma 5 5 2 9" xfId="6611" xr:uid="{144C1629-C8C1-4821-87C6-162C8052B7EA}"/>
    <cellStyle name="Comma 5 5 2 9 2" xfId="16991" xr:uid="{DC45AB9B-391D-443C-B724-97D3B0C0202B}"/>
    <cellStyle name="Comma 5 5 3" xfId="474" xr:uid="{00000000-0005-0000-0000-000021020000}"/>
    <cellStyle name="Comma 5 5 3 10" xfId="12665" xr:uid="{D68EB013-F254-4863-ACEC-DA60B3543A3D}"/>
    <cellStyle name="Comma 5 5 3 2" xfId="1634" xr:uid="{00000000-0005-0000-0000-000022020000}"/>
    <cellStyle name="Comma 5 5 3 2 2" xfId="3035" xr:uid="{00000000-0005-0000-0000-0000C1010000}"/>
    <cellStyle name="Comma 5 5 3 2 2 2" xfId="8115" xr:uid="{6E923544-D563-4AE9-AE26-D3443DC7A6E3}"/>
    <cellStyle name="Comma 5 5 3 2 2 2 2" xfId="28797" xr:uid="{A55DA19D-13DF-4F01-8DC7-CB9DD8A0BF5D}"/>
    <cellStyle name="Comma 5 5 3 2 2 2 3" xfId="25895" xr:uid="{8077C871-5A3E-4EEB-A4E9-B37044B9AE3E}"/>
    <cellStyle name="Comma 5 5 3 2 2 2 4" xfId="18495" xr:uid="{5E3D5AAD-60D9-4BCC-90B8-A77A41D99312}"/>
    <cellStyle name="Comma 5 5 3 2 2 3" xfId="10948" xr:uid="{BE9B532B-5792-47DA-985D-55AE26C1EA63}"/>
    <cellStyle name="Comma 5 5 3 2 2 3 2" xfId="21328" xr:uid="{41026603-F574-491F-BCF3-37117BEB63D1}"/>
    <cellStyle name="Comma 5 5 3 2 2 4" xfId="25691" xr:uid="{5FA3279B-2654-4CA2-BACD-F90F9D86C517}"/>
    <cellStyle name="Comma 5 5 3 2 2 5" xfId="15662" xr:uid="{EB3C57A3-4285-47DF-B10F-BAA31E0E0EA4}"/>
    <cellStyle name="Comma 5 5 3 2 3" xfId="2084" xr:uid="{00000000-0005-0000-0000-000022020000}"/>
    <cellStyle name="Comma 5 5 3 2 3 2" xfId="29847" xr:uid="{EEAD09A9-406F-436D-81C3-F24EB3F76698}"/>
    <cellStyle name="Comma 5 5 3 2 4" xfId="5572" xr:uid="{7F7B9B60-E209-4826-8772-73BB4FDBD1ED}"/>
    <cellStyle name="Comma 5 5 3 2 4 2" xfId="30134" xr:uid="{8A944EF5-9CE9-4785-B53B-9435005B5526}"/>
    <cellStyle name="Comma 5 5 3 2 5" xfId="24166" xr:uid="{E7FDD2E5-1D1F-4CAC-8B51-254CB0BA565F}"/>
    <cellStyle name="Comma 5 5 3 2 6" xfId="13538" xr:uid="{539FD750-BD35-44FD-B4C4-DE5B1C8545BD}"/>
    <cellStyle name="Comma 5 5 3 3" xfId="1635" xr:uid="{00000000-0005-0000-0000-000023020000}"/>
    <cellStyle name="Comma 5 5 3 3 2" xfId="2670" xr:uid="{00000000-0005-0000-0000-0000C2010000}"/>
    <cellStyle name="Comma 5 5 3 3 2 2" xfId="7794" xr:uid="{4A10F71E-744D-4E1A-A1FE-41BDC13EC78E}"/>
    <cellStyle name="Comma 5 5 3 3 2 2 2" xfId="18174" xr:uid="{F479C927-2FBF-456E-962F-2BB26B8B5E78}"/>
    <cellStyle name="Comma 5 5 3 3 2 3" xfId="10627" xr:uid="{614256B1-AE40-4025-9914-9B24BC6C1ECC}"/>
    <cellStyle name="Comma 5 5 3 3 2 3 2" xfId="21007" xr:uid="{02977913-50DA-4A6B-9B82-7FA563FE47D2}"/>
    <cellStyle name="Comma 5 5 3 3 2 4" xfId="15341" xr:uid="{85A9ECBF-14B8-44B5-B486-82C0EDA7446D}"/>
    <cellStyle name="Comma 5 5 3 3 3" xfId="3632" xr:uid="{00000000-0005-0000-0000-000023020000}"/>
    <cellStyle name="Comma 5 5 3 3 3 2" xfId="30194" xr:uid="{1E03A80F-45BB-450C-ACF5-FDBFD526D5FB}"/>
    <cellStyle name="Comma 5 5 3 3 4" xfId="5573" xr:uid="{D0F45DDC-9CDB-4C3E-93A0-24657C4062B9}"/>
    <cellStyle name="Comma 5 5 3 3 4 2" xfId="30574" xr:uid="{7AA72FB2-3237-4F55-8ACC-1C31B78E58AA}"/>
    <cellStyle name="Comma 5 5 3 3 5" xfId="23178" xr:uid="{74BC34BA-9E64-4536-9EB6-4B30CE239A63}"/>
    <cellStyle name="Comma 5 5 3 3 6" xfId="13073" xr:uid="{0E9C5BEA-DDA4-49FE-9724-C62B2409A9EA}"/>
    <cellStyle name="Comma 5 5 3 4" xfId="1633" xr:uid="{00000000-0005-0000-0000-000024020000}"/>
    <cellStyle name="Comma 5 5 3 4 2" xfId="4678" xr:uid="{B9CA75EE-6848-4AA5-B3D9-A7A171A3E051}"/>
    <cellStyle name="Comma 5 5 3 4 2 2" xfId="9416" xr:uid="{087A5C71-72A9-4C8C-8DC8-0B8A6B8E408D}"/>
    <cellStyle name="Comma 5 5 3 4 2 2 2" xfId="19796" xr:uid="{9FFFEBDC-B576-4F5E-8F99-42E4A0658875}"/>
    <cellStyle name="Comma 5 5 3 4 2 3" xfId="12249" xr:uid="{85F2F8A1-E1FC-46CB-B89B-6890C3DA8F52}"/>
    <cellStyle name="Comma 5 5 3 4 2 3 2" xfId="22629" xr:uid="{80D3B82D-12B4-47BF-AF61-83494EAD79A3}"/>
    <cellStyle name="Comma 5 5 3 4 2 4" xfId="28749" xr:uid="{93D84A67-D8DB-4673-83D2-4A6F044EE3BD}"/>
    <cellStyle name="Comma 5 5 3 4 2 5" xfId="27882" xr:uid="{D4E4B022-58AA-4ECF-86C5-24D758213D37}"/>
    <cellStyle name="Comma 5 5 3 4 2 6" xfId="16963" xr:uid="{3D84CB5F-A64D-43EB-A36F-70360BC76100}"/>
    <cellStyle name="Comma 5 5 3 4 3" xfId="24912" xr:uid="{5AB78E44-B5D0-4CFE-B1B8-4AE603F2D5C7}"/>
    <cellStyle name="Comma 5 5 3 4 3 2" xfId="30249" xr:uid="{34E3C3BC-A944-4E03-AB5C-06E6F4361710}"/>
    <cellStyle name="Comma 5 5 3 4 4" xfId="30651" xr:uid="{6D14083F-97D9-49B3-B96C-BC53CB11507F}"/>
    <cellStyle name="Comma 5 5 3 4 5" xfId="29745" xr:uid="{C6B96A5C-3E2A-49DC-A8A2-FBD77EE4EB8B}"/>
    <cellStyle name="Comma 5 5 3 5" xfId="4122" xr:uid="{F9973A0F-8A84-4C8A-80C2-6CF63390BF41}"/>
    <cellStyle name="Comma 5 5 3 5 2" xfId="8894" xr:uid="{B4833EEF-FAF9-469A-BCFF-08E2012902FC}"/>
    <cellStyle name="Comma 5 5 3 5 2 2" xfId="29006" xr:uid="{32F70AF6-8302-4259-9DC0-5AD688E9A765}"/>
    <cellStyle name="Comma 5 5 3 5 2 3" xfId="26009" xr:uid="{16F9C4AC-6605-4138-A205-E6C3179E3361}"/>
    <cellStyle name="Comma 5 5 3 5 2 4" xfId="19274" xr:uid="{B1A78896-43A9-4257-9712-3F3BAB8CA8B2}"/>
    <cellStyle name="Comma 5 5 3 5 3" xfId="11727" xr:uid="{833A21B9-B28B-48B7-BD91-F8EC505AE039}"/>
    <cellStyle name="Comma 5 5 3 5 3 2" xfId="22107" xr:uid="{6156231B-96D6-4D21-87C3-5B1C08A493DB}"/>
    <cellStyle name="Comma 5 5 3 5 4" xfId="22814" xr:uid="{CD5E9768-2E2D-485A-86C2-AC5CCD484776}"/>
    <cellStyle name="Comma 5 5 3 5 5" xfId="16441" xr:uid="{0BE3CE96-FC58-4E66-9786-5D9089BF5F79}"/>
    <cellStyle name="Comma 5 5 3 6" xfId="4868" xr:uid="{6CDB7086-3F7E-4B8C-83B7-15AF5968925D}"/>
    <cellStyle name="Comma 5 5 3 6 2" xfId="26472" xr:uid="{40C01BE4-3B4B-422B-B13D-EBDE566684C9}"/>
    <cellStyle name="Comma 5 5 3 6 3" xfId="25840" xr:uid="{636C888B-6D95-4AA4-9C85-D683CEE26CB5}"/>
    <cellStyle name="Comma 5 5 3 6 4" xfId="14160" xr:uid="{7AA3EFD5-48D3-4C89-81A7-2C1BBA541F72}"/>
    <cellStyle name="Comma 5 5 3 7" xfId="6613" xr:uid="{0422C13C-3179-47EE-9788-B0849F0D399F}"/>
    <cellStyle name="Comma 5 5 3 7 2" xfId="27334" xr:uid="{BB97225F-869E-462C-90A4-0FE2082968C7}"/>
    <cellStyle name="Comma 5 5 3 7 3" xfId="28383" xr:uid="{3876D861-CFB1-4352-8288-3939E4C2C2C6}"/>
    <cellStyle name="Comma 5 5 3 7 4" xfId="16993" xr:uid="{FD311E95-5931-4C7E-A2D6-4460925E8CF1}"/>
    <cellStyle name="Comma 5 5 3 8" xfId="9446" xr:uid="{D9A5DF78-B22F-4F63-B7FD-1261471BEB62}"/>
    <cellStyle name="Comma 5 5 3 8 2" xfId="19826" xr:uid="{CAEEA5C0-94B0-4D14-97A6-13D067BE12C3}"/>
    <cellStyle name="Comma 5 5 3 9" xfId="24290" xr:uid="{434FB94B-F66A-4EC7-B85E-453360D49FFB}"/>
    <cellStyle name="Comma 5 5 4" xfId="475" xr:uid="{00000000-0005-0000-0000-000025020000}"/>
    <cellStyle name="Comma 5 5 4 10" xfId="13539" xr:uid="{52959F97-844D-4783-8588-821405EEC601}"/>
    <cellStyle name="Comma 5 5 4 2" xfId="1637" xr:uid="{00000000-0005-0000-0000-000026020000}"/>
    <cellStyle name="Comma 5 5 4 2 2" xfId="23668" xr:uid="{BE20CEF4-E54C-4E87-9F90-20E06B4A9C52}"/>
    <cellStyle name="Comma 5 5 4 2 2 2" xfId="30306" xr:uid="{77FF635E-BA09-4BBD-AE0E-EC63F7F9CBB4}"/>
    <cellStyle name="Comma 5 5 4 2 3" xfId="25591" xr:uid="{C5C79797-796D-481F-AAE7-1B994078CEAF}"/>
    <cellStyle name="Comma 5 5 4 2 4" xfId="30031" xr:uid="{498B1997-8BC7-451D-B2B8-44DF95C672BA}"/>
    <cellStyle name="Comma 5 5 4 3" xfId="1638" xr:uid="{00000000-0005-0000-0000-000027020000}"/>
    <cellStyle name="Comma 5 5 4 3 2" xfId="29731" xr:uid="{902A5934-E391-4158-8B85-28D5B61C8DAB}"/>
    <cellStyle name="Comma 5 5 4 4" xfId="1636" xr:uid="{00000000-0005-0000-0000-000028020000}"/>
    <cellStyle name="Comma 5 5 4 4 2" xfId="30053" xr:uid="{4561CB23-D5F1-4EDD-B415-FAF05C7E7E2B}"/>
    <cellStyle name="Comma 5 5 4 5" xfId="4400" xr:uid="{4AD22D2F-7376-4F6D-A8EB-D20D9398390F}"/>
    <cellStyle name="Comma 5 5 4 5 2" xfId="9172" xr:uid="{9CE4E2A7-06F7-4802-860E-3DB1A4C80443}"/>
    <cellStyle name="Comma 5 5 4 5 2 2" xfId="19552" xr:uid="{B4626BF8-4DAE-43DD-97D7-40333803E923}"/>
    <cellStyle name="Comma 5 5 4 5 3" xfId="12005" xr:uid="{08672713-E368-4414-8B05-B6F4ECCB6DAE}"/>
    <cellStyle name="Comma 5 5 4 5 3 2" xfId="22385" xr:uid="{8ADE4E6C-E077-48DC-AA62-B39F989094CC}"/>
    <cellStyle name="Comma 5 5 4 5 4" xfId="16719" xr:uid="{6F6E83C0-7BA6-4A15-BCFE-388011EE79AD}"/>
    <cellStyle name="Comma 5 5 4 6" xfId="4869" xr:uid="{6E7E2566-A69B-4335-AA59-9A2F4590121A}"/>
    <cellStyle name="Comma 5 5 4 6 2" xfId="14161" xr:uid="{59928C80-8214-4158-8CD6-159958BAF16E}"/>
    <cellStyle name="Comma 5 5 4 7" xfId="6614" xr:uid="{A2CA9998-405C-4801-9A0E-B5BB04470654}"/>
    <cellStyle name="Comma 5 5 4 7 2" xfId="16994" xr:uid="{279A185E-3C1E-475E-8598-F1442AD8668E}"/>
    <cellStyle name="Comma 5 5 4 8" xfId="9447" xr:uid="{979640D8-5E91-465F-815A-815C85C850AB}"/>
    <cellStyle name="Comma 5 5 4 8 2" xfId="19827" xr:uid="{A9F6BBF3-22DA-4DDF-AD3E-974E90743E99}"/>
    <cellStyle name="Comma 5 5 4 9" xfId="24857" xr:uid="{7FB1EF52-225D-4725-95B0-54202D5468A1}"/>
    <cellStyle name="Comma 5 5 5" xfId="1639" xr:uid="{00000000-0005-0000-0000-000029020000}"/>
    <cellStyle name="Comma 5 5 5 2" xfId="2870" xr:uid="{00000000-0005-0000-0000-0000C4010000}"/>
    <cellStyle name="Comma 5 5 5 2 2" xfId="7987" xr:uid="{29A84986-E58A-40F7-9B87-AA807030AA62}"/>
    <cellStyle name="Comma 5 5 5 2 2 2" xfId="25986" xr:uid="{16F92FF8-15CB-49E9-8F0C-FB6B355921A2}"/>
    <cellStyle name="Comma 5 5 5 2 2 3" xfId="27412" xr:uid="{7327C762-DEAA-4740-8A92-318B57A0103E}"/>
    <cellStyle name="Comma 5 5 5 2 2 4" xfId="18367" xr:uid="{B9DAF87E-9808-4299-8F2C-975A54FF0ED6}"/>
    <cellStyle name="Comma 5 5 5 2 3" xfId="10820" xr:uid="{113CAD9F-03B5-4D0F-A2E4-549095C74A3F}"/>
    <cellStyle name="Comma 5 5 5 2 3 2" xfId="21200" xr:uid="{E8ED0350-EDF4-449C-8119-28C3857B0170}"/>
    <cellStyle name="Comma 5 5 5 2 4" xfId="25466" xr:uid="{2EEC30B5-A9EF-42AB-ADED-C066D036447C}"/>
    <cellStyle name="Comma 5 5 5 2 5" xfId="15534" xr:uid="{475D9237-6398-4066-BFFA-E5234E9258FD}"/>
    <cellStyle name="Comma 5 5 5 3" xfId="3613" xr:uid="{00000000-0005-0000-0000-000029020000}"/>
    <cellStyle name="Comma 5 5 5 3 2" xfId="29819" xr:uid="{D8264A50-2F83-49A5-9FE5-0B203DD99360}"/>
    <cellStyle name="Comma 5 5 5 4" xfId="5574" xr:uid="{4F1CE6FF-AA71-481C-8BF2-B8FC09BA5009}"/>
    <cellStyle name="Comma 5 5 5 4 2" xfId="30096" xr:uid="{E62738F6-B7C1-4AD9-A30B-6CF4D6A295A0}"/>
    <cellStyle name="Comma 5 5 5 5" xfId="23624" xr:uid="{D0C5F40A-D787-4A26-B4CF-4EE64D5B9F34}"/>
    <cellStyle name="Comma 5 5 5 6" xfId="13363" xr:uid="{2E4F9569-2F0D-4B42-B37C-29F96F2C4216}"/>
    <cellStyle name="Comma 5 5 6" xfId="1640" xr:uid="{00000000-0005-0000-0000-00002A020000}"/>
    <cellStyle name="Comma 5 5 6 2" xfId="2443" xr:uid="{00000000-0005-0000-0000-0000C5010000}"/>
    <cellStyle name="Comma 5 5 6 2 2" xfId="7568" xr:uid="{0E384CDF-EC04-4AB2-B167-3E9A5731DB57}"/>
    <cellStyle name="Comma 5 5 6 2 2 2" xfId="17948" xr:uid="{71FA7491-3B38-4BA2-BADD-889276EC9B89}"/>
    <cellStyle name="Comma 5 5 6 2 3" xfId="10401" xr:uid="{AD6131B3-BBA5-46AB-B806-9320D29F340C}"/>
    <cellStyle name="Comma 5 5 6 2 3 2" xfId="20781" xr:uid="{B13600EA-D6DF-4EA7-B63A-BBA19B5A0581}"/>
    <cellStyle name="Comma 5 5 6 2 4" xfId="27108" xr:uid="{AB827138-78E5-4DAF-A0A0-D965DA151480}"/>
    <cellStyle name="Comma 5 5 6 2 5" xfId="26430" xr:uid="{F013FF34-42E7-41E6-B800-2B1CF255EDCF}"/>
    <cellStyle name="Comma 5 5 6 2 6" xfId="15115" xr:uid="{EA2A9E5A-F293-4AFA-AC72-7D67370376C1}"/>
    <cellStyle name="Comma 5 5 6 3" xfId="3694" xr:uid="{00000000-0005-0000-0000-00002A020000}"/>
    <cellStyle name="Comma 5 5 6 3 2" xfId="30158" xr:uid="{6EBEB726-4C48-4FE2-A74F-C33CFEB6CFC4}"/>
    <cellStyle name="Comma 5 5 6 4" xfId="5575" xr:uid="{B5BA4AD0-DC02-456E-A640-580BDC9DB8DF}"/>
    <cellStyle name="Comma 5 5 6 4 2" xfId="30510" xr:uid="{4DBA26D2-DF34-4349-A63E-FA98B3B7490A}"/>
    <cellStyle name="Comma 5 5 6 5" xfId="23466" xr:uid="{3EB5FC1B-5E47-47CA-BC98-1616598D5F2B}"/>
    <cellStyle name="Comma 5 5 6 6" xfId="12831" xr:uid="{DA9C056C-3B55-42DB-89ED-804B52FCC034}"/>
    <cellStyle name="Comma 5 5 7" xfId="1626" xr:uid="{00000000-0005-0000-0000-00002B020000}"/>
    <cellStyle name="Comma 5 5 7 2" xfId="2197" xr:uid="{00000000-0005-0000-0000-0000B9010000}"/>
    <cellStyle name="Comma 5 5 7 2 2" xfId="7324" xr:uid="{60A9C9F5-0888-44FB-A61A-088452754AF8}"/>
    <cellStyle name="Comma 5 5 7 2 2 2" xfId="17704" xr:uid="{9DFAE71D-3CF0-41D5-A132-3F367A7B4522}"/>
    <cellStyle name="Comma 5 5 7 2 3" xfId="10157" xr:uid="{902EA43B-AA92-451D-9A23-84C0CFC3C463}"/>
    <cellStyle name="Comma 5 5 7 2 3 2" xfId="20537" xr:uid="{7BB306FB-53BD-4B76-A88C-2E46E6DAF0EF}"/>
    <cellStyle name="Comma 5 5 7 2 4" xfId="27268" xr:uid="{F9A93237-4771-4507-841A-E0028EFD4773}"/>
    <cellStyle name="Comma 5 5 7 2 5" xfId="27538" xr:uid="{A91A1F1E-F001-4F27-81D4-EA59774C3354}"/>
    <cellStyle name="Comma 5 5 7 2 6" xfId="14871" xr:uid="{5C1D607C-DE55-4E8C-BB31-6AE40BC46878}"/>
    <cellStyle name="Comma 5 5 7 3" xfId="2075" xr:uid="{00000000-0005-0000-0000-00002B020000}"/>
    <cellStyle name="Comma 5 5 7 3 2" xfId="30627" xr:uid="{A6F75C09-E275-4839-B5C1-3EF2C0C4BFF6}"/>
    <cellStyle name="Comma 5 5 7 4" xfId="24412" xr:uid="{36ED9414-6024-4C62-872F-AAB37126E048}"/>
    <cellStyle name="Comma 5 5 8" xfId="3862" xr:uid="{BB40D789-347F-4EEE-90F2-9CD69067EE82}"/>
    <cellStyle name="Comma 5 5 8 2" xfId="8694" xr:uid="{9AC2FF51-5884-4416-8AA7-99DEB4C93414}"/>
    <cellStyle name="Comma 5 5 8 2 2" xfId="19074" xr:uid="{D9087CDC-1BF9-44A7-942A-4E4300147E7C}"/>
    <cellStyle name="Comma 5 5 8 3" xfId="11527" xr:uid="{2226F7C8-E552-4431-83FD-43EEB0C89BE2}"/>
    <cellStyle name="Comma 5 5 8 3 2" xfId="21907" xr:uid="{E0D8DC67-387B-47A9-B90F-611BE4F644CB}"/>
    <cellStyle name="Comma 5 5 8 4" xfId="27257" xr:uid="{C3B1FE98-E167-4B42-A1A5-6B0CA8C6C9CC}"/>
    <cellStyle name="Comma 5 5 8 5" xfId="27528" xr:uid="{50DD4C2B-E28F-48EA-93F2-2D2DE77BD327}"/>
    <cellStyle name="Comma 5 5 8 6" xfId="16241" xr:uid="{AD88B16B-0A6C-452A-AD27-7870C55AC2FD}"/>
    <cellStyle name="Comma 5 5 9" xfId="4865" xr:uid="{B96B2491-42C5-4567-9EF8-BEC2D1E7545A}"/>
    <cellStyle name="Comma 5 5 9 2" xfId="26548" xr:uid="{134CF6A7-AB77-467B-8E41-7C60BAEA582B}"/>
    <cellStyle name="Comma 5 5 9 3" xfId="26083" xr:uid="{A12382A4-48B3-4796-98C1-5472E8FD67FF}"/>
    <cellStyle name="Comma 5 5 9 4" xfId="14157" xr:uid="{F3D6CAA8-4E24-4DDA-AA85-AB4D929CC559}"/>
    <cellStyle name="Comma 5 6" xfId="476" xr:uid="{00000000-0005-0000-0000-00002C020000}"/>
    <cellStyle name="Comma 5 6 10" xfId="6615" xr:uid="{4631C7B0-5C00-4CE0-8E11-16DD7869E95A}"/>
    <cellStyle name="Comma 5 6 10 2" xfId="16995" xr:uid="{7A6C54D8-02D6-429F-A42C-8E718AD5DFFE}"/>
    <cellStyle name="Comma 5 6 11" xfId="9448" xr:uid="{0817B479-15F8-4772-92B0-336A3AAC008A}"/>
    <cellStyle name="Comma 5 6 11 2" xfId="19828" xr:uid="{55B5DE64-A888-4BDD-8E24-20AF3620EF38}"/>
    <cellStyle name="Comma 5 6 12" xfId="23252" xr:uid="{5847251C-B219-4630-9A49-4180AEBB92B2}"/>
    <cellStyle name="Comma 5 6 13" xfId="12491" xr:uid="{EB278AF2-1EFC-48A1-BAA3-6917F0523B0C}"/>
    <cellStyle name="Comma 5 6 2" xfId="477" xr:uid="{00000000-0005-0000-0000-00002D020000}"/>
    <cellStyle name="Comma 5 6 2 10" xfId="9449" xr:uid="{E37CCC6A-49F8-4C59-90E3-E68DF5B33094}"/>
    <cellStyle name="Comma 5 6 2 10 2" xfId="19829" xr:uid="{361AB468-D565-4E6D-A09E-0B8E69EE5726}"/>
    <cellStyle name="Comma 5 6 2 11" xfId="24862" xr:uid="{4A5F0AD4-A439-4F36-82D8-67A6150E45A6}"/>
    <cellStyle name="Comma 5 6 2 12" xfId="12508" xr:uid="{1918E5B2-94C3-4D29-A3BC-9F3126EC19AA}"/>
    <cellStyle name="Comma 5 6 2 2" xfId="478" xr:uid="{00000000-0005-0000-0000-00002E020000}"/>
    <cellStyle name="Comma 5 6 2 2 10" xfId="13076" xr:uid="{7F6D88B7-EE84-4B56-87E6-68195EA61EE9}"/>
    <cellStyle name="Comma 5 6 2 2 2" xfId="1644" xr:uid="{00000000-0005-0000-0000-00002F020000}"/>
    <cellStyle name="Comma 5 6 2 2 2 2" xfId="3037" xr:uid="{00000000-0005-0000-0000-0000C9010000}"/>
    <cellStyle name="Comma 5 6 2 2 2 2 2" xfId="8117" xr:uid="{13C664D6-8F08-440D-A9C4-5CC6CDB949F4}"/>
    <cellStyle name="Comma 5 6 2 2 2 2 2 2" xfId="28799" xr:uid="{6BB8A824-ABEF-4125-8742-F9940CAA7413}"/>
    <cellStyle name="Comma 5 6 2 2 2 2 2 3" xfId="26173" xr:uid="{CE3052D4-B364-445E-AFF8-5FBD2024463F}"/>
    <cellStyle name="Comma 5 6 2 2 2 2 2 4" xfId="18497" xr:uid="{12F04B86-DCA1-4EB9-A5D4-F44D51920EFD}"/>
    <cellStyle name="Comma 5 6 2 2 2 2 3" xfId="10950" xr:uid="{0DFBAED6-CE41-4977-AC84-6FF4D775334E}"/>
    <cellStyle name="Comma 5 6 2 2 2 2 3 2" xfId="21330" xr:uid="{5BA0FFA3-55B2-4543-B4AB-6DE34D11799D}"/>
    <cellStyle name="Comma 5 6 2 2 2 2 4" xfId="25213" xr:uid="{39FEBC27-FB7B-46B5-AE79-C04E454412EC}"/>
    <cellStyle name="Comma 5 6 2 2 2 2 5" xfId="15664" xr:uid="{3B247BE5-DA95-4BFE-9265-B2B51170AFF7}"/>
    <cellStyle name="Comma 5 6 2 2 2 3" xfId="3631" xr:uid="{00000000-0005-0000-0000-00002F020000}"/>
    <cellStyle name="Comma 5 6 2 2 2 3 2" xfId="29884" xr:uid="{49504605-D4A1-433C-9C0F-FE9FE9D1C2F4}"/>
    <cellStyle name="Comma 5 6 2 2 2 4" xfId="5577" xr:uid="{6D3BDC34-D827-46F7-88BE-922304634FC0}"/>
    <cellStyle name="Comma 5 6 2 2 2 4 2" xfId="30147" xr:uid="{060F62A0-DFFC-4A0D-83EE-AE87127B07B1}"/>
    <cellStyle name="Comma 5 6 2 2 2 5" xfId="23107" xr:uid="{9CFBFF4A-AACF-4C42-972E-6670CAEF7B56}"/>
    <cellStyle name="Comma 5 6 2 2 2 6" xfId="13541" xr:uid="{E9C2FC4A-4DB4-45EE-844D-58014A703BCA}"/>
    <cellStyle name="Comma 5 6 2 2 3" xfId="1645" xr:uid="{00000000-0005-0000-0000-000030020000}"/>
    <cellStyle name="Comma 5 6 2 2 3 2" xfId="3774" xr:uid="{52C0A8FE-1672-4A0B-98CC-065396CA1D15}"/>
    <cellStyle name="Comma 5 6 2 2 3 2 2" xfId="8616" xr:uid="{64BD4978-527D-4288-B2AB-FBF9C340B835}"/>
    <cellStyle name="Comma 5 6 2 2 3 2 2 2" xfId="18996" xr:uid="{BE87114A-A879-451A-904F-9B8394E04AD9}"/>
    <cellStyle name="Comma 5 6 2 2 3 2 3" xfId="11449" xr:uid="{484B0271-B7DE-48CC-BC39-BD671855720F}"/>
    <cellStyle name="Comma 5 6 2 2 3 2 3 2" xfId="21829" xr:uid="{A82818FE-8A85-4A83-9105-B98121CD5D49}"/>
    <cellStyle name="Comma 5 6 2 2 3 2 4" xfId="28041" xr:uid="{E8790A02-C6B4-4E08-B93B-1543C39976AC}"/>
    <cellStyle name="Comma 5 6 2 2 3 2 5" xfId="28354" xr:uid="{A5FDD8F2-E7A6-4DFB-92B1-23B2DA4ED5A9}"/>
    <cellStyle name="Comma 5 6 2 2 3 2 6" xfId="16163" xr:uid="{3F8CAF59-7B9A-4C41-A777-B69CB3B25928}"/>
    <cellStyle name="Comma 5 6 2 2 3 3" xfId="23467" xr:uid="{1555F18E-3585-42BA-B21C-3F5224485A58}"/>
    <cellStyle name="Comma 5 6 2 2 3 3 2" xfId="30220" xr:uid="{F7737A92-885B-4DBA-8116-0B08D0186AEE}"/>
    <cellStyle name="Comma 5 6 2 2 3 4" xfId="30606" xr:uid="{E78E0314-F076-4788-BF5B-7B6DAAF7987A}"/>
    <cellStyle name="Comma 5 6 2 2 3 5" xfId="29665" xr:uid="{59407D83-F593-4F8F-8375-F496B786DC88}"/>
    <cellStyle name="Comma 5 6 2 2 4" xfId="1643" xr:uid="{00000000-0005-0000-0000-000031020000}"/>
    <cellStyle name="Comma 5 6 2 2 4 2" xfId="26909" xr:uid="{666AAA86-1F0C-4D09-92AE-DEB1BB345679}"/>
    <cellStyle name="Comma 5 6 2 2 4 2 2" xfId="30252" xr:uid="{B04A6659-1988-4236-92F4-0DDA77A7C491}"/>
    <cellStyle name="Comma 5 6 2 2 4 3" xfId="26326" xr:uid="{BEE176BE-0587-4DAF-B5D8-95DE1ABCEAEC}"/>
    <cellStyle name="Comma 5 6 2 2 4 4" xfId="30009" xr:uid="{990E2916-420B-4331-9020-CA1981EE04D7}"/>
    <cellStyle name="Comma 5 6 2 2 5" xfId="4258" xr:uid="{C071F0C2-7FF9-419E-AB53-1A006D8F91B9}"/>
    <cellStyle name="Comma 5 6 2 2 5 2" xfId="9030" xr:uid="{285A04F3-6FB7-4F5B-8BC6-3FCCB88A082D}"/>
    <cellStyle name="Comma 5 6 2 2 5 2 2" xfId="19410" xr:uid="{1D6CE86A-4B28-4E17-B4CA-9401F4858BAC}"/>
    <cellStyle name="Comma 5 6 2 2 5 3" xfId="11863" xr:uid="{AA7B603D-CCF5-46C0-805C-CEDE698D7B9D}"/>
    <cellStyle name="Comma 5 6 2 2 5 3 2" xfId="22243" xr:uid="{AFB1E244-0332-4A88-A911-B4D13437BB6F}"/>
    <cellStyle name="Comma 5 6 2 2 5 4" xfId="28691" xr:uid="{0733BD59-3F00-421F-A046-E4A0EDF2EDAF}"/>
    <cellStyle name="Comma 5 6 2 2 5 5" xfId="26458" xr:uid="{3079EAE1-684B-4BD4-876B-9ECEB73EE7D2}"/>
    <cellStyle name="Comma 5 6 2 2 5 6" xfId="16577" xr:uid="{79B256E5-8985-4D8C-848D-75F1C654E724}"/>
    <cellStyle name="Comma 5 6 2 2 6" xfId="4872" xr:uid="{B5D55B10-0881-419C-B732-466306D768E8}"/>
    <cellStyle name="Comma 5 6 2 2 6 2" xfId="28496" xr:uid="{FD4128A6-B85A-433F-BEBA-57CCE7A19CA1}"/>
    <cellStyle name="Comma 5 6 2 2 6 3" xfId="27041" xr:uid="{C2FD6024-063C-4BB6-A319-41F4C7C9715C}"/>
    <cellStyle name="Comma 5 6 2 2 6 4" xfId="14164" xr:uid="{20DE546D-3E6E-442C-A8E9-AB799FE01011}"/>
    <cellStyle name="Comma 5 6 2 2 7" xfId="6617" xr:uid="{CE2FA26B-5BAF-4EA3-A162-02D41BDEF9B8}"/>
    <cellStyle name="Comma 5 6 2 2 7 2" xfId="16997" xr:uid="{8C122B7D-CDA4-4B20-8EE6-B2A18A27E27F}"/>
    <cellStyle name="Comma 5 6 2 2 8" xfId="9450" xr:uid="{493A5F72-E443-4750-8205-310134CA00FC}"/>
    <cellStyle name="Comma 5 6 2 2 8 2" xfId="19830" xr:uid="{FD82A86A-8BB1-4631-B78D-BB6CC76D7B97}"/>
    <cellStyle name="Comma 5 6 2 2 9" xfId="24443" xr:uid="{DBC2662B-0096-4825-97AB-0A53BE0D05F8}"/>
    <cellStyle name="Comma 5 6 2 3" xfId="1646" xr:uid="{00000000-0005-0000-0000-000032020000}"/>
    <cellStyle name="Comma 5 6 2 3 2" xfId="3038" xr:uid="{00000000-0005-0000-0000-0000CA010000}"/>
    <cellStyle name="Comma 5 6 2 3 2 2" xfId="8118" xr:uid="{23E0A0A0-0515-4440-8FC8-CE55588B6DD2}"/>
    <cellStyle name="Comma 5 6 2 3 2 2 2" xfId="28800" xr:uid="{671BDB14-243E-45CA-A23C-8F371B38EA75}"/>
    <cellStyle name="Comma 5 6 2 3 2 2 3" xfId="26240" xr:uid="{1C759D9A-2B57-4B81-B6D1-6564D25BFE66}"/>
    <cellStyle name="Comma 5 6 2 3 2 2 4" xfId="18498" xr:uid="{AA1167CE-168B-4A15-AC11-7ADE41422C75}"/>
    <cellStyle name="Comma 5 6 2 3 2 3" xfId="10951" xr:uid="{76F3881A-2D5E-4D63-B789-77D4C66CF866}"/>
    <cellStyle name="Comma 5 6 2 3 2 3 2" xfId="21331" xr:uid="{DD20E463-3FD4-42FE-B7B4-D5FC84C459A2}"/>
    <cellStyle name="Comma 5 6 2 3 2 4" xfId="25053" xr:uid="{745800EE-3017-450A-8B34-6DA470EE4EEE}"/>
    <cellStyle name="Comma 5 6 2 3 2 5" xfId="15665" xr:uid="{5090D05D-6DBC-4C7E-B89F-187F563DADDA}"/>
    <cellStyle name="Comma 5 6 2 3 3" xfId="3574" xr:uid="{00000000-0005-0000-0000-000032020000}"/>
    <cellStyle name="Comma 5 6 2 3 3 2" xfId="29763" xr:uid="{356C3E79-374C-44D6-BAF6-40F98AF33056}"/>
    <cellStyle name="Comma 5 6 2 3 4" xfId="4401" xr:uid="{801E30CD-C57C-4AA0-AD44-E472084856B7}"/>
    <cellStyle name="Comma 5 6 2 3 4 2" xfId="9173" xr:uid="{A2245F6E-C818-462B-A577-BFD6A878F55E}"/>
    <cellStyle name="Comma 5 6 2 3 4 2 2" xfId="19553" xr:uid="{14D9B2EC-B766-4595-9CDC-448355EE4724}"/>
    <cellStyle name="Comma 5 6 2 3 4 3" xfId="12006" xr:uid="{35882B78-1782-4B44-B952-8D8F152EFB59}"/>
    <cellStyle name="Comma 5 6 2 3 4 3 2" xfId="22386" xr:uid="{FDCEE5D9-8336-48C7-815D-C9B7E8AFD011}"/>
    <cellStyle name="Comma 5 6 2 3 4 4" xfId="16720" xr:uid="{56D238A3-EADF-4C6C-ABC2-259D1B9EC20B}"/>
    <cellStyle name="Comma 5 6 2 3 5" xfId="5578" xr:uid="{7DAFC742-BDFC-41FC-ABDD-C89BACF93A27}"/>
    <cellStyle name="Comma 5 6 2 3 5 2" xfId="30373" xr:uid="{55C3D8AA-23A3-4D49-A38D-4097C5A39460}"/>
    <cellStyle name="Comma 5 6 2 3 6" xfId="22842" xr:uid="{3FBDAED5-388D-4D26-8D74-FFEB528015CE}"/>
    <cellStyle name="Comma 5 6 2 3 7" xfId="13542" xr:uid="{4651E5BC-44DB-49EC-9E1E-2E263F7FB541}"/>
    <cellStyle name="Comma 5 6 2 4" xfId="1647" xr:uid="{00000000-0005-0000-0000-000033020000}"/>
    <cellStyle name="Comma 5 6 2 4 2" xfId="3036" xr:uid="{00000000-0005-0000-0000-0000CB010000}"/>
    <cellStyle name="Comma 5 6 2 4 2 2" xfId="8116" xr:uid="{5EE1CF64-9D10-4519-BE5F-3CC0CCD2C426}"/>
    <cellStyle name="Comma 5 6 2 4 2 2 2" xfId="28798" xr:uid="{FC49F608-A2B9-4DAE-9F80-E69D118BB65C}"/>
    <cellStyle name="Comma 5 6 2 4 2 2 3" xfId="28251" xr:uid="{F93BFCD3-1F2B-43DD-96BE-336BBD34E889}"/>
    <cellStyle name="Comma 5 6 2 4 2 2 4" xfId="18496" xr:uid="{681A9550-561D-4D2B-8618-A8501797004F}"/>
    <cellStyle name="Comma 5 6 2 4 2 3" xfId="10949" xr:uid="{CE55CC3B-C858-449C-8599-4E031514088A}"/>
    <cellStyle name="Comma 5 6 2 4 2 3 2" xfId="21329" xr:uid="{33E04FD2-637C-43D6-9B1F-5240F7C246D5}"/>
    <cellStyle name="Comma 5 6 2 4 2 4" xfId="23233" xr:uid="{EBC3B05A-7A0A-438A-8E96-15B08D86831D}"/>
    <cellStyle name="Comma 5 6 2 4 2 5" xfId="15663" xr:uid="{9E52C520-ED29-4051-AAED-430610354ED6}"/>
    <cellStyle name="Comma 5 6 2 4 3" xfId="3689" xr:uid="{00000000-0005-0000-0000-000033020000}"/>
    <cellStyle name="Comma 5 6 2 4 3 2" xfId="29836" xr:uid="{0A08E14B-5543-4664-B117-B0014656EF6C}"/>
    <cellStyle name="Comma 5 6 2 4 4" xfId="5579" xr:uid="{71C6AC17-1809-4613-A9BC-C403E4D7EDC1}"/>
    <cellStyle name="Comma 5 6 2 4 4 2" xfId="30124" xr:uid="{086B2C78-9188-4F1C-B484-09029A37DBFE}"/>
    <cellStyle name="Comma 5 6 2 4 5" xfId="23078" xr:uid="{05CE79C8-0595-4073-995E-F515BE239074}"/>
    <cellStyle name="Comma 5 6 2 4 6" xfId="13540" xr:uid="{123920D6-4E19-4240-B326-B292C9E4F685}"/>
    <cellStyle name="Comma 5 6 2 5" xfId="1642" xr:uid="{00000000-0005-0000-0000-000034020000}"/>
    <cellStyle name="Comma 5 6 2 5 2" xfId="2654" xr:uid="{00000000-0005-0000-0000-0000CC010000}"/>
    <cellStyle name="Comma 5 6 2 5 2 2" xfId="7779" xr:uid="{760C978A-BC3A-4099-B272-60CBCFE1F49B}"/>
    <cellStyle name="Comma 5 6 2 5 2 2 2" xfId="18159" xr:uid="{2B4F0818-04F1-4A3E-90AA-FE9F67CABD12}"/>
    <cellStyle name="Comma 5 6 2 5 2 3" xfId="10612" xr:uid="{7AA3840D-60B5-4811-AB3A-C2D763B540B5}"/>
    <cellStyle name="Comma 5 6 2 5 2 3 2" xfId="20992" xr:uid="{C3848658-C243-4766-91B7-F43B4247BE32}"/>
    <cellStyle name="Comma 5 6 2 5 2 4" xfId="27023" xr:uid="{14B37001-6DB6-47D9-8135-F7341B2B6043}"/>
    <cellStyle name="Comma 5 6 2 5 2 5" xfId="28049" xr:uid="{FC30BF35-A10F-4B9E-A7FB-BF166BA75823}"/>
    <cellStyle name="Comma 5 6 2 5 2 6" xfId="15326" xr:uid="{8D630E77-B1F3-4F87-9EBE-468BD74161CE}"/>
    <cellStyle name="Comma 5 6 2 5 3" xfId="3570" xr:uid="{00000000-0005-0000-0000-000034020000}"/>
    <cellStyle name="Comma 5 6 2 5 3 2" xfId="30184" xr:uid="{57D9BBCF-9FCA-4F7C-B791-F3FBF94A0921}"/>
    <cellStyle name="Comma 5 6 2 5 4" xfId="5576" xr:uid="{15CA7CF0-8774-44B8-89C4-66779EB5AB03}"/>
    <cellStyle name="Comma 5 6 2 5 4 2" xfId="30553" xr:uid="{C5382E04-30FC-43AE-A7BD-6320DFC3A8EF}"/>
    <cellStyle name="Comma 5 6 2 5 5" xfId="23183" xr:uid="{B695C334-6D1D-4BA0-B65E-4327AA00C741}"/>
    <cellStyle name="Comma 5 6 2 5 6" xfId="13056" xr:uid="{3F962ED6-CBA7-4F78-907C-74062DC5C426}"/>
    <cellStyle name="Comma 5 6 2 6" xfId="2276" xr:uid="{00000000-0005-0000-0000-0000C7010000}"/>
    <cellStyle name="Comma 5 6 2 6 2" xfId="7403" xr:uid="{55AA8196-864E-4FAA-8F38-8D933D4F67BF}"/>
    <cellStyle name="Comma 5 6 2 6 2 2" xfId="17783" xr:uid="{C063C035-9AC4-4188-9411-57900EC33309}"/>
    <cellStyle name="Comma 5 6 2 6 2 3" xfId="29966" xr:uid="{AB260768-4228-4FEB-B670-E00EC6641F0C}"/>
    <cellStyle name="Comma 5 6 2 6 3" xfId="10236" xr:uid="{E5CAEABC-95FB-49C6-B95D-77795AB6341F}"/>
    <cellStyle name="Comma 5 6 2 6 3 2" xfId="20616" xr:uid="{B66BB9E8-0F84-4162-915D-02AB7DEBA8AA}"/>
    <cellStyle name="Comma 5 6 2 6 4" xfId="22976" xr:uid="{703D8A09-5AB2-4384-B084-DFBDDF5134A9}"/>
    <cellStyle name="Comma 5 6 2 6 5" xfId="26451" xr:uid="{33747A0D-B40C-45E9-9527-F5B33B70402A}"/>
    <cellStyle name="Comma 5 6 2 6 6" xfId="14950" xr:uid="{1F7EDEBB-CF6F-429D-A222-FF76750F2126}"/>
    <cellStyle name="Comma 5 6 2 7" xfId="3817" xr:uid="{B4AAABA5-2912-46C4-A8A7-5D7C242BB3E0}"/>
    <cellStyle name="Comma 5 6 2 7 2" xfId="8651" xr:uid="{505361DD-BC03-414D-B75F-B325FF6A087B}"/>
    <cellStyle name="Comma 5 6 2 7 2 2" xfId="19031" xr:uid="{B5825790-102F-4786-BFC8-CA5B7795FBB2}"/>
    <cellStyle name="Comma 5 6 2 7 3" xfId="11484" xr:uid="{291CBEEB-96E2-4CE2-92F5-992FFCAAB487}"/>
    <cellStyle name="Comma 5 6 2 7 3 2" xfId="21864" xr:uid="{2ADB1291-B0DB-4F88-9875-C60D450EDD3C}"/>
    <cellStyle name="Comma 5 6 2 7 4" xfId="26446" xr:uid="{A599851F-1443-4C53-AD67-76E79E60D3E9}"/>
    <cellStyle name="Comma 5 6 2 7 5" xfId="26374" xr:uid="{1A9D8B69-476D-44F6-966C-060DEC326322}"/>
    <cellStyle name="Comma 5 6 2 7 6" xfId="16198" xr:uid="{0561A9D7-E3C0-4658-9A12-427315DCB20E}"/>
    <cellStyle name="Comma 5 6 2 8" xfId="4871" xr:uid="{3E8F4A8B-934A-488E-B0D8-9CDBF3BAF43D}"/>
    <cellStyle name="Comma 5 6 2 8 2" xfId="14163" xr:uid="{6135CAAB-BC69-4100-9762-167B1382FD8C}"/>
    <cellStyle name="Comma 5 6 2 9" xfId="6616" xr:uid="{F76A3232-5316-48AB-B1C1-521032568CB1}"/>
    <cellStyle name="Comma 5 6 2 9 2" xfId="16996" xr:uid="{8E3E216E-86EF-454F-91CB-3A0F6E6FCD17}"/>
    <cellStyle name="Comma 5 6 3" xfId="479" xr:uid="{00000000-0005-0000-0000-000035020000}"/>
    <cellStyle name="Comma 5 6 3 10" xfId="12666" xr:uid="{9A4BCD8E-F5B8-42BC-A351-057634D261C4}"/>
    <cellStyle name="Comma 5 6 3 2" xfId="1649" xr:uid="{00000000-0005-0000-0000-000036020000}"/>
    <cellStyle name="Comma 5 6 3 2 2" xfId="3039" xr:uid="{00000000-0005-0000-0000-0000CE010000}"/>
    <cellStyle name="Comma 5 6 3 2 2 2" xfId="8119" xr:uid="{2988140F-C9BB-4F35-BE88-8B632235552C}"/>
    <cellStyle name="Comma 5 6 3 2 2 2 2" xfId="28801" xr:uid="{15CF8EA8-D872-4A1A-BBD9-2FBA5C11DD5A}"/>
    <cellStyle name="Comma 5 6 3 2 2 2 3" xfId="26473" xr:uid="{514830B1-160E-4F8B-9AB5-3550D757909B}"/>
    <cellStyle name="Comma 5 6 3 2 2 2 4" xfId="18499" xr:uid="{AAC7EE76-4F4E-4C78-BEAC-B2E459246B53}"/>
    <cellStyle name="Comma 5 6 3 2 2 3" xfId="10952" xr:uid="{6651C9F7-8EE7-4D75-AC11-54ED3950982A}"/>
    <cellStyle name="Comma 5 6 3 2 2 3 2" xfId="21332" xr:uid="{6EE81B4D-AED8-464B-BF44-6E2802D87D53}"/>
    <cellStyle name="Comma 5 6 3 2 2 4" xfId="25811" xr:uid="{56264640-B7B6-4259-88CF-94ABC0784962}"/>
    <cellStyle name="Comma 5 6 3 2 2 5" xfId="15666" xr:uid="{51AFB86B-CB9C-4C17-A951-DCC2815DA1FB}"/>
    <cellStyle name="Comma 5 6 3 2 3" xfId="3538" xr:uid="{00000000-0005-0000-0000-000036020000}"/>
    <cellStyle name="Comma 5 6 3 2 3 2" xfId="29848" xr:uid="{5414CB5D-A16F-4FB1-90BC-E051A43E4287}"/>
    <cellStyle name="Comma 5 6 3 2 4" xfId="5580" xr:uid="{8D6F4F08-AEE7-4E1C-9695-7E8F22B5E68C}"/>
    <cellStyle name="Comma 5 6 3 2 4 2" xfId="30135" xr:uid="{386D5817-F5E3-45AB-9D81-C9D9C9F44592}"/>
    <cellStyle name="Comma 5 6 3 2 5" xfId="24536" xr:uid="{3605F36D-2DA4-4E1E-B5B2-7275CC3D770B}"/>
    <cellStyle name="Comma 5 6 3 2 6" xfId="13543" xr:uid="{10618A8C-FF4F-43A9-8C44-8968BE992A4F}"/>
    <cellStyle name="Comma 5 6 3 3" xfId="1650" xr:uid="{00000000-0005-0000-0000-000037020000}"/>
    <cellStyle name="Comma 5 6 3 3 2" xfId="2671" xr:uid="{00000000-0005-0000-0000-0000CF010000}"/>
    <cellStyle name="Comma 5 6 3 3 2 2" xfId="7795" xr:uid="{FC4E818E-86CA-4871-A53F-6AE683E00537}"/>
    <cellStyle name="Comma 5 6 3 3 2 2 2" xfId="18175" xr:uid="{A6F7B1FA-D58C-4E72-B7F5-1DA4608A0506}"/>
    <cellStyle name="Comma 5 6 3 3 2 3" xfId="10628" xr:uid="{466915EA-A5DE-480D-873A-773BC4A7C5B4}"/>
    <cellStyle name="Comma 5 6 3 3 2 3 2" xfId="21008" xr:uid="{58DD9EC1-7FAE-451B-B84B-7FF34BA949B1}"/>
    <cellStyle name="Comma 5 6 3 3 2 4" xfId="15342" xr:uid="{CBFC83F7-B5FD-47E9-9402-9883DBB0922C}"/>
    <cellStyle name="Comma 5 6 3 3 3" xfId="3540" xr:uid="{00000000-0005-0000-0000-000037020000}"/>
    <cellStyle name="Comma 5 6 3 3 3 2" xfId="30195" xr:uid="{00DE12AF-598D-4BD2-81ED-F66307AF6B82}"/>
    <cellStyle name="Comma 5 6 3 3 4" xfId="5581" xr:uid="{761EBF54-5B24-4AA9-86E2-6BDAAF962FA7}"/>
    <cellStyle name="Comma 5 6 3 3 4 2" xfId="30575" xr:uid="{26560D9B-4C86-4EC5-9B0D-2681455DC8CD}"/>
    <cellStyle name="Comma 5 6 3 3 5" xfId="22821" xr:uid="{414F5BD6-9601-4501-97FD-1B91957F007A}"/>
    <cellStyle name="Comma 5 6 3 3 6" xfId="13075" xr:uid="{EFA9F08E-5102-40A7-B488-32F84DE311D1}"/>
    <cellStyle name="Comma 5 6 3 4" xfId="1648" xr:uid="{00000000-0005-0000-0000-000038020000}"/>
    <cellStyle name="Comma 5 6 3 4 2" xfId="4656" xr:uid="{96B839EE-44EA-4FBB-9175-77FE529D3877}"/>
    <cellStyle name="Comma 5 6 3 4 2 2" xfId="9408" xr:uid="{630F016D-D656-47E0-9F46-225F3907DBA3}"/>
    <cellStyle name="Comma 5 6 3 4 2 2 2" xfId="19788" xr:uid="{96E2F542-CA8D-4ECC-9D80-96C38592BB84}"/>
    <cellStyle name="Comma 5 6 3 4 2 3" xfId="12241" xr:uid="{F19B67DB-29E6-4352-AFB8-B111561F27E7}"/>
    <cellStyle name="Comma 5 6 3 4 2 3 2" xfId="22621" xr:uid="{1F87520B-F67C-418A-B875-7FAAFF828D33}"/>
    <cellStyle name="Comma 5 6 3 4 2 4" xfId="28278" xr:uid="{21A54E6A-310D-4239-8B26-446127D07DBF}"/>
    <cellStyle name="Comma 5 6 3 4 2 5" xfId="26648" xr:uid="{1B152A18-1C82-4286-836C-A679DC640C6A}"/>
    <cellStyle name="Comma 5 6 3 4 2 6" xfId="16955" xr:uid="{0487E457-D63A-4098-84BA-4D4BC076AA8F}"/>
    <cellStyle name="Comma 5 6 3 4 3" xfId="24253" xr:uid="{605FDD89-0425-4367-8C3B-784B5D425380}"/>
    <cellStyle name="Comma 5 6 3 4 3 2" xfId="30251" xr:uid="{C2958348-81C9-4A1C-9E3D-B2788975693C}"/>
    <cellStyle name="Comma 5 6 3 4 4" xfId="30652" xr:uid="{6FA72B6A-B906-446E-A7B7-3722E302C685}"/>
    <cellStyle name="Comma 5 6 3 4 5" xfId="29709" xr:uid="{F8C5A247-12DA-4D2A-ADDA-A04F3324039C}"/>
    <cellStyle name="Comma 5 6 3 5" xfId="4123" xr:uid="{DF63986C-EEEC-420A-A145-91C5AAECDE50}"/>
    <cellStyle name="Comma 5 6 3 5 2" xfId="8895" xr:uid="{5901397A-C167-4D60-9058-B5323971A03C}"/>
    <cellStyle name="Comma 5 6 3 5 2 2" xfId="29007" xr:uid="{E9821182-F511-459C-8200-A6ACE1605CCE}"/>
    <cellStyle name="Comma 5 6 3 5 2 3" xfId="27075" xr:uid="{AA58A71E-A9E2-47FF-A519-0B5400D31F1E}"/>
    <cellStyle name="Comma 5 6 3 5 2 4" xfId="19275" xr:uid="{537EFCF4-5CA5-4F86-8653-BC297AE15835}"/>
    <cellStyle name="Comma 5 6 3 5 3" xfId="11728" xr:uid="{31C10FCD-B77E-4316-A776-403BF58FAB36}"/>
    <cellStyle name="Comma 5 6 3 5 3 2" xfId="22108" xr:uid="{E8D6B2DA-D8E8-4FC4-BBC5-E6A7E0071C73}"/>
    <cellStyle name="Comma 5 6 3 5 4" xfId="25652" xr:uid="{978D8406-2F72-4AD1-90F1-6B8A28C381C1}"/>
    <cellStyle name="Comma 5 6 3 5 5" xfId="16442" xr:uid="{C75A4B7E-E15F-49D1-A402-7902E8917AC0}"/>
    <cellStyle name="Comma 5 6 3 6" xfId="4873" xr:uid="{62C1F978-25D8-4CC1-9BA5-9A9C3B52A758}"/>
    <cellStyle name="Comma 5 6 3 6 2" xfId="28689" xr:uid="{7979634E-E2D5-43B6-BABA-61DBAA353967}"/>
    <cellStyle name="Comma 5 6 3 6 3" xfId="26008" xr:uid="{9332BC9F-0C97-4623-974D-D0703A9F521C}"/>
    <cellStyle name="Comma 5 6 3 6 4" xfId="14165" xr:uid="{C4FD2E18-8907-418E-BEFD-599F2FBB4D80}"/>
    <cellStyle name="Comma 5 6 3 7" xfId="6618" xr:uid="{7B8BE26E-8EB7-40A6-8C1F-A5C8F82DD8AB}"/>
    <cellStyle name="Comma 5 6 3 7 2" xfId="26275" xr:uid="{47A7EEA5-49CD-448B-AF24-B40E545AFC4C}"/>
    <cellStyle name="Comma 5 6 3 7 3" xfId="27406" xr:uid="{CC90C86D-535E-4CD2-9515-9AFB75C393D7}"/>
    <cellStyle name="Comma 5 6 3 7 4" xfId="16998" xr:uid="{B82D5362-48A2-4270-B9FB-2ACCDDD72ED1}"/>
    <cellStyle name="Comma 5 6 3 8" xfId="9451" xr:uid="{1A55361D-A709-4349-9372-B9ADC2352EFB}"/>
    <cellStyle name="Comma 5 6 3 8 2" xfId="19831" xr:uid="{918C8C6A-4561-4334-BA22-26C3070BF72F}"/>
    <cellStyle name="Comma 5 6 3 9" xfId="24350" xr:uid="{725B2A9C-E526-44FB-94FB-67F2A605326F}"/>
    <cellStyle name="Comma 5 6 4" xfId="480" xr:uid="{00000000-0005-0000-0000-000039020000}"/>
    <cellStyle name="Comma 5 6 4 10" xfId="13544" xr:uid="{69DFF61A-3937-4D61-A1C6-BCFA084C7E61}"/>
    <cellStyle name="Comma 5 6 4 2" xfId="1652" xr:uid="{00000000-0005-0000-0000-00003A020000}"/>
    <cellStyle name="Comma 5 6 4 2 2" xfId="23232" xr:uid="{631D18D8-9F14-4EF0-8240-8FC074BE2970}"/>
    <cellStyle name="Comma 5 6 4 2 2 2" xfId="30307" xr:uid="{6EB220AB-F82D-474D-9302-F69CADD62E4E}"/>
    <cellStyle name="Comma 5 6 4 2 3" xfId="23617" xr:uid="{EB20E96A-ABBE-4405-A83A-0C56D225D782}"/>
    <cellStyle name="Comma 5 6 4 2 4" xfId="30032" xr:uid="{BE7A4F93-91B5-484A-8EB1-72D3BD895399}"/>
    <cellStyle name="Comma 5 6 4 3" xfId="1653" xr:uid="{00000000-0005-0000-0000-00003B020000}"/>
    <cellStyle name="Comma 5 6 4 3 2" xfId="29735" xr:uid="{0004A37E-7417-43C7-8848-6A09C3E69D00}"/>
    <cellStyle name="Comma 5 6 4 4" xfId="1651" xr:uid="{00000000-0005-0000-0000-00003C020000}"/>
    <cellStyle name="Comma 5 6 4 4 2" xfId="30054" xr:uid="{A16DBB72-BBB9-4E17-A1AD-1426DB37C94E}"/>
    <cellStyle name="Comma 5 6 4 5" xfId="4402" xr:uid="{DCD7CC65-2C6B-43C4-8785-9E881C1BCA13}"/>
    <cellStyle name="Comma 5 6 4 5 2" xfId="9174" xr:uid="{29D46A5B-5EF4-4D5F-A22D-461AEE36AEE4}"/>
    <cellStyle name="Comma 5 6 4 5 2 2" xfId="19554" xr:uid="{915B69A5-F130-476E-A455-3362F3718E7A}"/>
    <cellStyle name="Comma 5 6 4 5 3" xfId="12007" xr:uid="{F056B21E-8EEC-42D1-A5EC-AC363C419105}"/>
    <cellStyle name="Comma 5 6 4 5 3 2" xfId="22387" xr:uid="{6193C099-469F-4BED-9B2E-5342B05049AB}"/>
    <cellStyle name="Comma 5 6 4 5 4" xfId="16721" xr:uid="{101AE1AE-F90A-41ED-876F-AC99EDFE262D}"/>
    <cellStyle name="Comma 5 6 4 6" xfId="4874" xr:uid="{606B6403-7A80-4C7A-AB8E-023D16F4F682}"/>
    <cellStyle name="Comma 5 6 4 6 2" xfId="14166" xr:uid="{AAE9E0B8-5207-490D-B683-5B8B2029A3E9}"/>
    <cellStyle name="Comma 5 6 4 7" xfId="6619" xr:uid="{D8BDED57-485A-4A5D-A931-A9573409E00D}"/>
    <cellStyle name="Comma 5 6 4 7 2" xfId="16999" xr:uid="{4FDFD70E-F66A-4013-9215-3448C2947268}"/>
    <cellStyle name="Comma 5 6 4 8" xfId="9452" xr:uid="{7331E9E2-6F0D-46C8-9F00-16E1BAED187C}"/>
    <cellStyle name="Comma 5 6 4 8 2" xfId="19832" xr:uid="{982F0F29-74E0-425B-826B-D189FCA037A6}"/>
    <cellStyle name="Comma 5 6 4 9" xfId="24591" xr:uid="{E92AF8D2-F737-4F3F-8E21-3899B629C4BC}"/>
    <cellStyle name="Comma 5 6 5" xfId="1654" xr:uid="{00000000-0005-0000-0000-00003D020000}"/>
    <cellStyle name="Comma 5 6 5 2" xfId="2871" xr:uid="{00000000-0005-0000-0000-0000D1010000}"/>
    <cellStyle name="Comma 5 6 5 2 2" xfId="7988" xr:uid="{A4168C2C-017A-4E86-848B-D43FC33D9E71}"/>
    <cellStyle name="Comma 5 6 5 2 2 2" xfId="28258" xr:uid="{5F5CF18B-E883-4239-80F4-25A57F9ABFF8}"/>
    <cellStyle name="Comma 5 6 5 2 2 3" xfId="27867" xr:uid="{C54C1D54-1B79-487A-9CB9-DFE7AE2A9CD6}"/>
    <cellStyle name="Comma 5 6 5 2 2 4" xfId="18368" xr:uid="{58248E8F-2F5A-4FBC-BA63-B8901727DC47}"/>
    <cellStyle name="Comma 5 6 5 2 3" xfId="10821" xr:uid="{78AA1DAD-4757-4283-9FE6-DE180516122E}"/>
    <cellStyle name="Comma 5 6 5 2 3 2" xfId="21201" xr:uid="{0F318335-83CE-4969-9344-703F784264E8}"/>
    <cellStyle name="Comma 5 6 5 2 4" xfId="24843" xr:uid="{58FE6BB2-A654-4842-9D03-347B90CB102C}"/>
    <cellStyle name="Comma 5 6 5 2 5" xfId="15535" xr:uid="{90E983AF-E2A7-47E2-8A74-579B8D03F159}"/>
    <cellStyle name="Comma 5 6 5 3" xfId="3541" xr:uid="{00000000-0005-0000-0000-00003D020000}"/>
    <cellStyle name="Comma 5 6 5 3 2" xfId="29820" xr:uid="{FE3921E4-CDD3-41D5-91AD-6EAB90A9F75F}"/>
    <cellStyle name="Comma 5 6 5 4" xfId="5582" xr:uid="{F71FC95D-44D7-4567-A472-4307DC68F426}"/>
    <cellStyle name="Comma 5 6 5 4 2" xfId="30097" xr:uid="{19F6E28E-48B7-4299-9509-1A2CE8A8004F}"/>
    <cellStyle name="Comma 5 6 5 5" xfId="22675" xr:uid="{55490A9E-01D7-460C-A9F7-9F91E148E222}"/>
    <cellStyle name="Comma 5 6 5 6" xfId="13364" xr:uid="{EA787D51-6E05-4DA2-BB3C-931FD37A02C3}"/>
    <cellStyle name="Comma 5 6 6" xfId="1655" xr:uid="{00000000-0005-0000-0000-00003E020000}"/>
    <cellStyle name="Comma 5 6 6 2" xfId="2503" xr:uid="{00000000-0005-0000-0000-0000D2010000}"/>
    <cellStyle name="Comma 5 6 6 2 2" xfId="7628" xr:uid="{1BEB08BA-662C-4878-B2D9-0F34C8877877}"/>
    <cellStyle name="Comma 5 6 6 2 2 2" xfId="18008" xr:uid="{BD27081A-33EF-4C77-96E7-2C5D52AB2CB3}"/>
    <cellStyle name="Comma 5 6 6 2 3" xfId="10461" xr:uid="{B1DF0B21-DA5F-41AD-B192-AC41182AEEC6}"/>
    <cellStyle name="Comma 5 6 6 2 3 2" xfId="20841" xr:uid="{BF5CE5FE-3EF1-4520-BDE5-A886A7DBD274}"/>
    <cellStyle name="Comma 5 6 6 2 4" xfId="27700" xr:uid="{ABFDF23C-0423-457C-83B1-A087B20ABBEA}"/>
    <cellStyle name="Comma 5 6 6 2 5" xfId="27363" xr:uid="{F19CC4E9-508D-499B-8F9E-0BA9B4616EF6}"/>
    <cellStyle name="Comma 5 6 6 2 6" xfId="15175" xr:uid="{7FD278A5-F30B-4C06-B250-225256092BE0}"/>
    <cellStyle name="Comma 5 6 6 3" xfId="3543" xr:uid="{00000000-0005-0000-0000-00003E020000}"/>
    <cellStyle name="Comma 5 6 6 3 2" xfId="30159" xr:uid="{BD6ADF1D-6382-491A-8999-97813892A3D0}"/>
    <cellStyle name="Comma 5 6 6 4" xfId="5583" xr:uid="{C299B670-1E97-4C26-B434-264A76914A49}"/>
    <cellStyle name="Comma 5 6 6 4 2" xfId="30511" xr:uid="{623A734E-9BB5-4442-B2C8-A54A6E2C7EE4}"/>
    <cellStyle name="Comma 5 6 6 5" xfId="23726" xr:uid="{5713D575-9C81-4804-B1A8-F5DE5B0FFABF}"/>
    <cellStyle name="Comma 5 6 6 6" xfId="12891" xr:uid="{FB173E75-DA18-4987-8EEB-D3CA7E70D2C0}"/>
    <cellStyle name="Comma 5 6 7" xfId="1641" xr:uid="{00000000-0005-0000-0000-00003F020000}"/>
    <cellStyle name="Comma 5 6 7 2" xfId="2259" xr:uid="{00000000-0005-0000-0000-0000C6010000}"/>
    <cellStyle name="Comma 5 6 7 2 2" xfId="7386" xr:uid="{B1ADE0B4-0841-4EA0-8361-A573FE98E495}"/>
    <cellStyle name="Comma 5 6 7 2 2 2" xfId="17766" xr:uid="{35FCECEC-1608-4E78-8E5B-E19FCE3F68EB}"/>
    <cellStyle name="Comma 5 6 7 2 3" xfId="10219" xr:uid="{5D91E43A-ED10-41E3-9D74-036AA5B5FE1B}"/>
    <cellStyle name="Comma 5 6 7 2 3 2" xfId="20599" xr:uid="{B2E5C644-A4CF-49A9-AA57-CA35A1AF6478}"/>
    <cellStyle name="Comma 5 6 7 2 4" xfId="28491" xr:uid="{9A66F825-2F8B-4320-A260-883602AAA4D7}"/>
    <cellStyle name="Comma 5 6 7 2 5" xfId="25899" xr:uid="{3DDE40A2-D002-44C3-BB89-D8C7AFCBCEAB}"/>
    <cellStyle name="Comma 5 6 7 2 6" xfId="14933" xr:uid="{9070B726-4E0F-4A72-B935-ED3611F82692}"/>
    <cellStyle name="Comma 5 6 7 3" xfId="3682" xr:uid="{00000000-0005-0000-0000-00003F020000}"/>
    <cellStyle name="Comma 5 6 7 3 2" xfId="30628" xr:uid="{35A7230E-96E7-45BC-85E2-4B58C59A4821}"/>
    <cellStyle name="Comma 5 6 7 4" xfId="23677" xr:uid="{98C2CE82-9E9A-455F-9994-C8EBEE219C54}"/>
    <cellStyle name="Comma 5 6 8" xfId="3863" xr:uid="{75645FB4-205D-4E97-ABC5-C721ABB9F46B}"/>
    <cellStyle name="Comma 5 6 8 2" xfId="8695" xr:uid="{9C4DAFBF-0377-441E-B8E5-C883A9095C2E}"/>
    <cellStyle name="Comma 5 6 8 2 2" xfId="19075" xr:uid="{B509ABE0-D8C4-4066-83AA-AE80A9FA47F9}"/>
    <cellStyle name="Comma 5 6 8 3" xfId="11528" xr:uid="{8BBD3814-0477-4211-98F9-083CA8A425D3}"/>
    <cellStyle name="Comma 5 6 8 3 2" xfId="21908" xr:uid="{41DAC589-E123-4832-BCB0-093350FF3653}"/>
    <cellStyle name="Comma 5 6 8 4" xfId="26491" xr:uid="{5A3E59E1-46B3-4497-B3B1-54407837B839}"/>
    <cellStyle name="Comma 5 6 8 5" xfId="27287" xr:uid="{C2C9EF68-7E4B-49EF-B522-A266D5396DCF}"/>
    <cellStyle name="Comma 5 6 8 6" xfId="16242" xr:uid="{9E8CB0D6-6B8E-4477-B094-490FBDC1FBC1}"/>
    <cellStyle name="Comma 5 6 9" xfId="4870" xr:uid="{C6A25E47-8C83-4DB5-8384-5642D1F451D1}"/>
    <cellStyle name="Comma 5 6 9 2" xfId="28493" xr:uid="{17BF5DBF-6F50-48C0-B849-55785DDD8055}"/>
    <cellStyle name="Comma 5 6 9 3" xfId="26492" xr:uid="{C62C78BA-C0F0-45C9-8AE1-A73B68B1AD84}"/>
    <cellStyle name="Comma 5 6 9 4" xfId="14162" xr:uid="{B80FD583-A4D1-422C-8EF7-CDF096FE6F6F}"/>
    <cellStyle name="Comma 5 7" xfId="481" xr:uid="{00000000-0005-0000-0000-000040020000}"/>
    <cellStyle name="Comma 5 7 10" xfId="6620" xr:uid="{14EE97B8-3107-4485-AD21-11E6538925C2}"/>
    <cellStyle name="Comma 5 7 10 2" xfId="17000" xr:uid="{5CBD8036-72DA-473D-8A8A-0E93E593676C}"/>
    <cellStyle name="Comma 5 7 11" xfId="9453" xr:uid="{CBC3D018-F339-48CA-809A-9BD129D1579D}"/>
    <cellStyle name="Comma 5 7 11 2" xfId="19833" xr:uid="{6D1C1702-DB26-4213-A813-D47E860EB7BE}"/>
    <cellStyle name="Comma 5 7 12" xfId="24090" xr:uid="{730B1F54-6836-4D9C-81FE-2FB8C980C0BD}"/>
    <cellStyle name="Comma 5 7 13" xfId="12509" xr:uid="{66F9A521-1AD4-4187-BA8A-DB446B7A9868}"/>
    <cellStyle name="Comma 5 7 2" xfId="482" xr:uid="{00000000-0005-0000-0000-000041020000}"/>
    <cellStyle name="Comma 5 7 2 10" xfId="24574" xr:uid="{4F2F782D-5870-4461-A2CB-636E40F9A215}"/>
    <cellStyle name="Comma 5 7 2 11" xfId="12667" xr:uid="{8E6FD8F7-43D2-4EB7-8A0D-38A637E02AD2}"/>
    <cellStyle name="Comma 5 7 2 2" xfId="483" xr:uid="{00000000-0005-0000-0000-000042020000}"/>
    <cellStyle name="Comma 5 7 2 2 2" xfId="1659" xr:uid="{00000000-0005-0000-0000-000043020000}"/>
    <cellStyle name="Comma 5 7 2 2 2 2" xfId="23367" xr:uid="{1634567F-8A14-4929-8EE8-848E60E811A4}"/>
    <cellStyle name="Comma 5 7 2 2 2 2 2" xfId="29885" xr:uid="{1B66DD55-D380-4738-9D4A-2718EDC6416B}"/>
    <cellStyle name="Comma 5 7 2 2 2 3" xfId="25603" xr:uid="{2E4144DF-BA35-444A-B073-CD4ECDA4E41B}"/>
    <cellStyle name="Comma 5 7 2 2 2 4" xfId="30502" xr:uid="{626A64C9-E4AB-41CD-871B-6B8476720440}"/>
    <cellStyle name="Comma 5 7 2 2 2 5" xfId="29681" xr:uid="{4B9382EF-8A7D-4888-8524-6D236CA12E24}"/>
    <cellStyle name="Comma 5 7 2 2 3" xfId="1660" xr:uid="{00000000-0005-0000-0000-000044020000}"/>
    <cellStyle name="Comma 5 7 2 2 3 2" xfId="26636" xr:uid="{5556106A-FC6B-4A1F-BCE2-D4D23FB55ECF}"/>
    <cellStyle name="Comma 5 7 2 2 3 2 2" xfId="29949" xr:uid="{737CDA57-64A8-47F3-A132-ACA09CFE95C3}"/>
    <cellStyle name="Comma 5 7 2 2 3 3" xfId="26991" xr:uid="{79683DFE-2E88-4A76-9341-AE0DCE02312A}"/>
    <cellStyle name="Comma 5 7 2 2 3 4" xfId="30607" xr:uid="{98B7A62F-37D9-45E1-A136-ABC9B5F8B9B5}"/>
    <cellStyle name="Comma 5 7 2 2 3 5" xfId="29797" xr:uid="{8C95A0E8-C35A-474A-AA67-ABD63E03B2FB}"/>
    <cellStyle name="Comma 5 7 2 2 4" xfId="1658" xr:uid="{00000000-0005-0000-0000-000045020000}"/>
    <cellStyle name="Comma 5 7 2 2 4 2" xfId="30308" xr:uid="{ADDA21C4-AB0B-4A8C-A1B1-748A3ECE7464}"/>
    <cellStyle name="Comma 5 7 2 2 4 3" xfId="30743" xr:uid="{8B4B2BBD-B185-4A7E-8014-E50563D94A58}"/>
    <cellStyle name="Comma 5 7 2 2 4 4" xfId="30033" xr:uid="{79F18E88-775C-4609-BB98-CC6004671CEF}"/>
    <cellStyle name="Comma 5 7 2 2 5" xfId="4877" xr:uid="{662677CF-EED7-4EE9-A1F4-218A4809BCE7}"/>
    <cellStyle name="Comma 5 7 2 2 5 2" xfId="26537" xr:uid="{2AA00ACA-3F70-4143-882E-9AB90CBCFDA9}"/>
    <cellStyle name="Comma 5 7 2 2 5 3" xfId="26333" xr:uid="{DC4C886B-FA07-433C-8E3D-E3869D9D293F}"/>
    <cellStyle name="Comma 5 7 2 2 5 4" xfId="14169" xr:uid="{11D3F6A0-2075-4D5B-886A-9165B7D14B04}"/>
    <cellStyle name="Comma 5 7 2 2 6" xfId="6622" xr:uid="{1663967D-20F1-45F3-ACE2-E60A145759CC}"/>
    <cellStyle name="Comma 5 7 2 2 6 2" xfId="17002" xr:uid="{40A5B1FA-4FD8-4C4C-9CCE-C8EF4F188AD0}"/>
    <cellStyle name="Comma 5 7 2 2 7" xfId="9455" xr:uid="{97B3FDC4-0CBD-4885-BFCD-715739C8CD60}"/>
    <cellStyle name="Comma 5 7 2 2 7 2" xfId="19835" xr:uid="{1C7A9CF3-0EA0-4CBB-AB63-A14EBACE1599}"/>
    <cellStyle name="Comma 5 7 2 2 8" xfId="24472" xr:uid="{F8F1E486-2341-40EC-80C1-2B7172C7D86B}"/>
    <cellStyle name="Comma 5 7 2 2 9" xfId="13545" xr:uid="{305B0BF6-F862-44A4-BF42-178CF9A94E26}"/>
    <cellStyle name="Comma 5 7 2 3" xfId="1661" xr:uid="{00000000-0005-0000-0000-000046020000}"/>
    <cellStyle name="Comma 5 7 2 3 2" xfId="2672" xr:uid="{00000000-0005-0000-0000-0000D6010000}"/>
    <cellStyle name="Comma 5 7 2 3 2 2" xfId="7796" xr:uid="{13AA3425-DA08-49E7-8A0E-AF84A7626225}"/>
    <cellStyle name="Comma 5 7 2 3 2 2 2" xfId="18176" xr:uid="{846E0AB7-6954-4E03-AD74-1E9D6DC8BA7D}"/>
    <cellStyle name="Comma 5 7 2 3 2 3" xfId="10629" xr:uid="{BB9D0CC4-E015-488B-9CCE-E31DBCA3579D}"/>
    <cellStyle name="Comma 5 7 2 3 2 3 2" xfId="21009" xr:uid="{68F76178-87A8-4557-8677-E967A2D7086C}"/>
    <cellStyle name="Comma 5 7 2 3 2 4" xfId="15343" xr:uid="{190957A6-4825-4713-AF5A-F13B9F2FAB46}"/>
    <cellStyle name="Comma 5 7 2 3 3" xfId="3542" xr:uid="{00000000-0005-0000-0000-000046020000}"/>
    <cellStyle name="Comma 5 7 2 3 3 2" xfId="30078" xr:uid="{75770F9F-A98A-4ED4-B2CB-1420EA883DC1}"/>
    <cellStyle name="Comma 5 7 2 3 4" xfId="5584" xr:uid="{F1C4E9C9-E7C5-4999-9F4B-6A3BEE167DF3}"/>
    <cellStyle name="Comma 5 7 2 3 4 2" xfId="30370" xr:uid="{17175AD6-D196-45B7-A4AD-2ED126D22FCE}"/>
    <cellStyle name="Comma 5 7 2 3 5" xfId="25180" xr:uid="{5683F0CD-3BA8-4FCE-9083-BEF5A0F955FE}"/>
    <cellStyle name="Comma 5 7 2 3 6" xfId="13077" xr:uid="{20152E85-0F02-4F68-B0EF-188D729F7246}"/>
    <cellStyle name="Comma 5 7 2 4" xfId="1662" xr:uid="{00000000-0005-0000-0000-000047020000}"/>
    <cellStyle name="Comma 5 7 2 4 2" xfId="4682" xr:uid="{8FBE2D01-7106-47CC-A850-387B386B4D74}"/>
    <cellStyle name="Comma 5 7 2 4 2 2" xfId="9417" xr:uid="{B2026E21-6175-42C0-A65E-87647A35362B}"/>
    <cellStyle name="Comma 5 7 2 4 2 2 2" xfId="19797" xr:uid="{F0303F0C-183A-45C1-9195-D7000C274528}"/>
    <cellStyle name="Comma 5 7 2 4 2 3" xfId="12250" xr:uid="{23FBDDE2-9ADE-4BC0-9007-49DEC224EDA3}"/>
    <cellStyle name="Comma 5 7 2 4 2 3 2" xfId="22630" xr:uid="{F0FD67B3-C129-4D8C-9442-46DA1BB55B29}"/>
    <cellStyle name="Comma 5 7 2 4 2 4" xfId="26493" xr:uid="{981C4E56-484D-4484-8BE4-DD13E3CB5DF3}"/>
    <cellStyle name="Comma 5 7 2 4 2 5" xfId="28341" xr:uid="{2FB2A506-78EB-4959-BCD8-892F75D1E3C7}"/>
    <cellStyle name="Comma 5 7 2 4 2 6" xfId="16964" xr:uid="{009B3A7B-75F5-4FB4-ABD6-939E56B02676}"/>
    <cellStyle name="Comma 5 7 2 4 3" xfId="23508" xr:uid="{85B2F1AA-03A0-41BE-B69E-339100CEA82F}"/>
    <cellStyle name="Comma 5 7 2 4 3 2" xfId="30121" xr:uid="{FD3F3C38-6505-40B2-9CC9-15BA5E8E1BD5}"/>
    <cellStyle name="Comma 5 7 2 4 4" xfId="30463" xr:uid="{21A86A76-7B8E-4C2B-B21A-8828139C784F}"/>
    <cellStyle name="Comma 5 7 2 4 5" xfId="29678" xr:uid="{4FB95FB7-107B-41FE-B74C-6E8E6190FA83}"/>
    <cellStyle name="Comma 5 7 2 5" xfId="1657" xr:uid="{00000000-0005-0000-0000-000048020000}"/>
    <cellStyle name="Comma 5 7 2 5 2" xfId="25610" xr:uid="{B6E4083F-4A15-4CCF-B5C9-4526FACB1C2F}"/>
    <cellStyle name="Comma 5 7 2 5 2 2" xfId="29914" xr:uid="{268BBE2B-DF94-42EA-8395-409E29D64A33}"/>
    <cellStyle name="Comma 5 7 2 5 3" xfId="25777" xr:uid="{FEC3CEA1-CCC7-4BCE-9945-F426DD63FDF4}"/>
    <cellStyle name="Comma 5 7 2 5 4" xfId="30535" xr:uid="{8ABE4C42-5685-4BCE-BD42-5FDF8FF7643C}"/>
    <cellStyle name="Comma 5 7 2 5 5" xfId="29780" xr:uid="{6AC5ECB4-503C-48E1-A62A-C95D9B2D5E7A}"/>
    <cellStyle name="Comma 5 7 2 6" xfId="4124" xr:uid="{8B4C8D43-E0E5-4AA4-896D-89B582FFE9A0}"/>
    <cellStyle name="Comma 5 7 2 6 2" xfId="8896" xr:uid="{62414F10-5354-497E-9F35-D71FE3175349}"/>
    <cellStyle name="Comma 5 7 2 6 2 2" xfId="19276" xr:uid="{7239C4D9-0548-4ECD-A092-E1DF8E4C4DB6}"/>
    <cellStyle name="Comma 5 7 2 6 2 3" xfId="29968" xr:uid="{B2419EB3-AA63-4B3E-88C8-9B0508AC4EC9}"/>
    <cellStyle name="Comma 5 7 2 6 3" xfId="11729" xr:uid="{49F6E218-397A-4FC8-9A8F-49C9BA16B765}"/>
    <cellStyle name="Comma 5 7 2 6 3 2" xfId="22109" xr:uid="{3E9E1955-D564-42C6-A7B8-8DC94F3EFD2C}"/>
    <cellStyle name="Comma 5 7 2 6 4" xfId="27453" xr:uid="{B4576E0B-D014-4B36-B0DD-0BDA3C01EE80}"/>
    <cellStyle name="Comma 5 7 2 6 5" xfId="26755" xr:uid="{005A14DE-8FA2-49BA-AE9F-6B3B044914EF}"/>
    <cellStyle name="Comma 5 7 2 6 6" xfId="16443" xr:uid="{E0CC5760-C206-4DC8-959C-1204DE4D6DE6}"/>
    <cellStyle name="Comma 5 7 2 7" xfId="4876" xr:uid="{26FF34ED-32CA-4593-8F59-D08580833D08}"/>
    <cellStyle name="Comma 5 7 2 7 2" xfId="28447" xr:uid="{E4551655-4C6A-4234-9FB2-AA0A4072A4B6}"/>
    <cellStyle name="Comma 5 7 2 7 3" xfId="26475" xr:uid="{57B3AF28-A89F-4CFC-8F6D-F0E5AA0A664B}"/>
    <cellStyle name="Comma 5 7 2 7 3 2" xfId="30653" xr:uid="{625121DD-3636-4C65-BBB2-3761286D11D4}"/>
    <cellStyle name="Comma 5 7 2 7 4" xfId="14168" xr:uid="{5169EB45-ED88-4614-9E7A-6738ED91774B}"/>
    <cellStyle name="Comma 5 7 2 8" xfId="6621" xr:uid="{E2A93D07-4B32-4972-B959-0EF776D3F38D}"/>
    <cellStyle name="Comma 5 7 2 8 2" xfId="17001" xr:uid="{C7C32092-0198-4FBA-8CC3-16465F53900E}"/>
    <cellStyle name="Comma 5 7 2 9" xfId="9454" xr:uid="{78968388-FF15-4048-A1C5-0A2045233C55}"/>
    <cellStyle name="Comma 5 7 2 9 2" xfId="19834" xr:uid="{319B5FCB-59F1-49DD-985E-DEAA88C6C8A2}"/>
    <cellStyle name="Comma 5 7 3" xfId="484" xr:uid="{00000000-0005-0000-0000-000049020000}"/>
    <cellStyle name="Comma 5 7 3 10" xfId="13546" xr:uid="{D15422AB-BBBC-4DF0-9758-B4A5EE187C6E}"/>
    <cellStyle name="Comma 5 7 3 2" xfId="1664" xr:uid="{00000000-0005-0000-0000-00004A020000}"/>
    <cellStyle name="Comma 5 7 3 2 2" xfId="24169" xr:uid="{7614F62F-C149-4F7B-BB0D-0F5F3513A3E3}"/>
    <cellStyle name="Comma 5 7 3 2 2 2" xfId="29849" xr:uid="{A9124E54-F44B-4939-903E-6F821033825F}"/>
    <cellStyle name="Comma 5 7 3 2 3" xfId="24036" xr:uid="{A956536C-0D0C-4B64-AB6C-3D32B84691CB}"/>
    <cellStyle name="Comma 5 7 3 2 3 2" xfId="27246" xr:uid="{2D391E2F-17BF-40F3-AC9B-F935480D75C5}"/>
    <cellStyle name="Comma 5 7 3 2 4" xfId="30471" xr:uid="{E34E1866-8A91-4181-AE43-E387DAE952F7}"/>
    <cellStyle name="Comma 5 7 3 2 5" xfId="29703" xr:uid="{0F26BF68-9CAF-4B0C-81BE-A99BCBCBFD91}"/>
    <cellStyle name="Comma 5 7 3 3" xfId="1665" xr:uid="{00000000-0005-0000-0000-00004B020000}"/>
    <cellStyle name="Comma 5 7 3 3 2" xfId="29922" xr:uid="{CDA96F34-B675-41CC-83AE-F8470B5B2CBD}"/>
    <cellStyle name="Comma 5 7 3 3 3" xfId="30196" xr:uid="{96A0C9E0-2CE4-4422-B119-1C51D3954390}"/>
    <cellStyle name="Comma 5 7 3 3 4" xfId="30576" xr:uid="{E088B2E1-BD39-4848-8B98-C123C44FDFA6}"/>
    <cellStyle name="Comma 5 7 3 3 5" xfId="29746" xr:uid="{46894116-4444-4770-9442-8DA9190FA083}"/>
    <cellStyle name="Comma 5 7 3 4" xfId="1663" xr:uid="{00000000-0005-0000-0000-00004C020000}"/>
    <cellStyle name="Comma 5 7 3 4 2" xfId="27493" xr:uid="{255A2A1F-FD39-4D43-951D-12CE0A0F4BA0}"/>
    <cellStyle name="Comma 5 7 3 4 2 2" xfId="30309" xr:uid="{D1E3B9F1-72E4-48A6-A125-350B1B20E669}"/>
    <cellStyle name="Comma 5 7 3 4 3" xfId="27822" xr:uid="{27574CA1-AC0A-41F4-AA4C-8BF3E9895FE7}"/>
    <cellStyle name="Comma 5 7 3 4 4" xfId="30034" xr:uid="{B87F5023-2885-4771-AEA5-86FC13F77522}"/>
    <cellStyle name="Comma 5 7 3 5" xfId="4403" xr:uid="{4DD17AB7-B1D9-46CC-BF1C-EB5BCE74B406}"/>
    <cellStyle name="Comma 5 7 3 5 2" xfId="9175" xr:uid="{4D4C7758-87C3-4B4E-8E9C-C9B199390E7A}"/>
    <cellStyle name="Comma 5 7 3 5 2 2" xfId="19555" xr:uid="{3B6289B8-4D36-4925-82A9-3737B8F64823}"/>
    <cellStyle name="Comma 5 7 3 5 3" xfId="12008" xr:uid="{559DC158-2D14-4ABB-AC79-7AAA8E5548A3}"/>
    <cellStyle name="Comma 5 7 3 5 3 2" xfId="22388" xr:uid="{3F42002C-0E4F-47D5-BBD6-1EEC7BAE73C5}"/>
    <cellStyle name="Comma 5 7 3 5 4" xfId="28130" xr:uid="{D1033E38-680C-4A2B-B69A-7E4E343DB956}"/>
    <cellStyle name="Comma 5 7 3 5 5" xfId="26098" xr:uid="{6849C713-679B-445F-AF71-4C1F1D6E6B36}"/>
    <cellStyle name="Comma 5 7 3 5 6" xfId="16722" xr:uid="{410E88C8-AC3B-421E-A629-73B44050E3B6}"/>
    <cellStyle name="Comma 5 7 3 6" xfId="4878" xr:uid="{1876B2D4-FC16-4C19-AC17-48842C3BA5C3}"/>
    <cellStyle name="Comma 5 7 3 6 2" xfId="26357" xr:uid="{0C0228FA-0A20-403D-B2B7-730C2183EAD4}"/>
    <cellStyle name="Comma 5 7 3 6 3" xfId="27313" xr:uid="{E5C09990-3CDE-48AF-8C5B-2501A3A2AF89}"/>
    <cellStyle name="Comma 5 7 3 6 4" xfId="14170" xr:uid="{B41F4920-B677-4008-8D4D-4C97D33518E5}"/>
    <cellStyle name="Comma 5 7 3 7" xfId="6623" xr:uid="{2238A681-9B22-49F9-A64A-5EA4AB96A8CD}"/>
    <cellStyle name="Comma 5 7 3 7 2" xfId="17003" xr:uid="{345BFF67-6D65-4053-B41A-B181030CAC76}"/>
    <cellStyle name="Comma 5 7 3 8" xfId="9456" xr:uid="{B1DC7DC7-1B68-4A50-AC4D-163FEEDE3729}"/>
    <cellStyle name="Comma 5 7 3 8 2" xfId="19836" xr:uid="{75625703-E2A7-4A13-8668-CA64BE646442}"/>
    <cellStyle name="Comma 5 7 3 9" xfId="23407" xr:uid="{900D5B1C-1589-4E23-9FE1-E88EEF3CCA25}"/>
    <cellStyle name="Comma 5 7 4" xfId="485" xr:uid="{00000000-0005-0000-0000-00004D020000}"/>
    <cellStyle name="Comma 5 7 4 2" xfId="1667" xr:uid="{00000000-0005-0000-0000-00004E020000}"/>
    <cellStyle name="Comma 5 7 4 2 2" xfId="23873" xr:uid="{318CB862-A3EC-47AD-A897-C9FDF3F8389C}"/>
    <cellStyle name="Comma 5 7 4 2 2 2" xfId="30293" xr:uid="{F581961F-4F9E-4A1B-A5CA-E2EF70CA710B}"/>
    <cellStyle name="Comma 5 7 4 2 3" xfId="23289" xr:uid="{D45419FA-DEA1-4FF5-944A-3804F3B313AF}"/>
    <cellStyle name="Comma 5 7 4 2 4" xfId="30020" xr:uid="{527BCB54-C06E-4A2F-B6BE-176F0ADA2A79}"/>
    <cellStyle name="Comma 5 7 4 3" xfId="1668" xr:uid="{00000000-0005-0000-0000-00004F020000}"/>
    <cellStyle name="Comma 5 7 4 3 2" xfId="29737" xr:uid="{FE456679-AB23-4F11-A80A-9BB1D4839FE5}"/>
    <cellStyle name="Comma 5 7 4 4" xfId="1666" xr:uid="{00000000-0005-0000-0000-000050020000}"/>
    <cellStyle name="Comma 5 7 4 4 2" xfId="30055" xr:uid="{4436597A-560C-4DB7-B6A7-C982D0B729BF}"/>
    <cellStyle name="Comma 5 7 4 5" xfId="4879" xr:uid="{3D09B3A8-38B2-40D7-B78F-B863AAC63FA9}"/>
    <cellStyle name="Comma 5 7 4 5 2" xfId="14171" xr:uid="{AD591B44-9CC8-430F-9198-2C6296802480}"/>
    <cellStyle name="Comma 5 7 4 6" xfId="6624" xr:uid="{894ABF0A-6BA8-48AA-8DFF-AC94D6126965}"/>
    <cellStyle name="Comma 5 7 4 6 2" xfId="17004" xr:uid="{6A00D9E2-AA70-4FB1-84BE-F4DDC6A9E149}"/>
    <cellStyle name="Comma 5 7 4 7" xfId="9457" xr:uid="{B2F99BCC-99DB-48BC-B179-3BE0EBE58D9C}"/>
    <cellStyle name="Comma 5 7 4 7 2" xfId="19837" xr:uid="{DADE28A0-C82D-46F6-9BA7-9602FC15CA84}"/>
    <cellStyle name="Comma 5 7 4 8" xfId="25328" xr:uid="{BF51AFBA-C3EF-4A49-AF89-92329EABBD92}"/>
    <cellStyle name="Comma 5 7 4 9" xfId="13365" xr:uid="{48C609D4-FB79-4C2B-8D6D-7E9A662F329E}"/>
    <cellStyle name="Comma 5 7 5" xfId="1669" xr:uid="{00000000-0005-0000-0000-000051020000}"/>
    <cellStyle name="Comma 5 7 5 2" xfId="2563" xr:uid="{00000000-0005-0000-0000-0000D9010000}"/>
    <cellStyle name="Comma 5 7 5 2 2" xfId="7688" xr:uid="{81DA16CF-D215-46C7-B658-9ECDB619D97F}"/>
    <cellStyle name="Comma 5 7 5 2 2 2" xfId="18068" xr:uid="{2726BB12-E6AC-481B-9208-5B10A5F45B41}"/>
    <cellStyle name="Comma 5 7 5 2 3" xfId="10521" xr:uid="{DABF3BF7-D668-403B-A2AE-D3063CA6539E}"/>
    <cellStyle name="Comma 5 7 5 2 3 2" xfId="20901" xr:uid="{E5785C61-46FE-4A81-9423-D6AB3976B8C6}"/>
    <cellStyle name="Comma 5 7 5 2 4" xfId="15235" xr:uid="{FC16F968-3DF9-4BFB-B7B1-D95C3D6F7201}"/>
    <cellStyle name="Comma 5 7 5 3" xfId="3708" xr:uid="{00000000-0005-0000-0000-000051020000}"/>
    <cellStyle name="Comma 5 7 5 3 2" xfId="30098" xr:uid="{F0F4E6E7-073F-49BC-85EC-25AED8A576DB}"/>
    <cellStyle name="Comma 5 7 5 4" xfId="5585" xr:uid="{445FBE4B-D100-4012-9843-6726F1C23419}"/>
    <cellStyle name="Comma 5 7 5 4 2" xfId="30439" xr:uid="{E451EFE0-29C7-492A-8AFC-2CEDB6EE2A24}"/>
    <cellStyle name="Comma 5 7 5 5" xfId="23019" xr:uid="{36FEE959-41F0-4AD2-ACE4-7B3C0AB91829}"/>
    <cellStyle name="Comma 5 7 5 6" xfId="12951" xr:uid="{AD226341-77D4-472E-947F-DD3D504A66EE}"/>
    <cellStyle name="Comma 5 7 6" xfId="1670" xr:uid="{00000000-0005-0000-0000-000052020000}"/>
    <cellStyle name="Comma 5 7 6 2" xfId="2277" xr:uid="{00000000-0005-0000-0000-0000D3010000}"/>
    <cellStyle name="Comma 5 7 6 2 2" xfId="7404" xr:uid="{3226EB56-C19C-4DBE-9045-9998AD6D10C3}"/>
    <cellStyle name="Comma 5 7 6 2 2 2" xfId="17784" xr:uid="{7675AAEB-FC53-4CB7-B026-3B64B3F06C49}"/>
    <cellStyle name="Comma 5 7 6 2 3" xfId="10237" xr:uid="{92857883-0D6F-453D-9F27-EA6BC1F109FE}"/>
    <cellStyle name="Comma 5 7 6 2 3 2" xfId="20617" xr:uid="{F6F49F5D-3C06-4B15-8741-620B84013F91}"/>
    <cellStyle name="Comma 5 7 6 2 4" xfId="28558" xr:uid="{11E3C67F-D49E-4BF1-9903-523A4EE179B5}"/>
    <cellStyle name="Comma 5 7 6 2 5" xfId="28427" xr:uid="{28E3BD14-F77D-4EF8-8E21-6A639D6701CD}"/>
    <cellStyle name="Comma 5 7 6 2 6" xfId="14951" xr:uid="{0A31539B-6983-42F9-B3F7-A5F5AC1A26E7}"/>
    <cellStyle name="Comma 5 7 6 3" xfId="2065" xr:uid="{00000000-0005-0000-0000-000052020000}"/>
    <cellStyle name="Comma 5 7 6 3 2" xfId="30160" xr:uid="{A2C553E5-E5FC-410F-A455-A67475971FB2}"/>
    <cellStyle name="Comma 5 7 6 4" xfId="23610" xr:uid="{D63C9F0C-4833-4AA3-880E-89DB790C2360}"/>
    <cellStyle name="Comma 5 7 6 4 2" xfId="30512" xr:uid="{75BC07A8-A230-44A7-8955-0D98BA6D53C6}"/>
    <cellStyle name="Comma 5 7 7" xfId="1656" xr:uid="{00000000-0005-0000-0000-000053020000}"/>
    <cellStyle name="Comma 5 7 7 2" xfId="27467" xr:uid="{F7E8B45B-C5F3-45F3-8652-1B25E60F4742}"/>
    <cellStyle name="Comma 5 7 7 2 2" xfId="30231" xr:uid="{E039C0DE-86E5-4C9D-BC57-CD0788E9F6B0}"/>
    <cellStyle name="Comma 5 7 7 3" xfId="28401" xr:uid="{94908BF2-0398-46D6-996F-F460030C3D64}"/>
    <cellStyle name="Comma 5 7 7 4" xfId="29967" xr:uid="{569B49D1-202F-4C93-80A4-D743D0CF6727}"/>
    <cellStyle name="Comma 5 7 8" xfId="3864" xr:uid="{4D8E6C94-8977-4B3D-8541-5736DE38FB0C}"/>
    <cellStyle name="Comma 5 7 8 2" xfId="8696" xr:uid="{40566834-5CF1-4919-ABA6-CD259060D39C}"/>
    <cellStyle name="Comma 5 7 8 2 2" xfId="19076" xr:uid="{7FBF4413-9D43-4675-86AB-DC0EECC16F3B}"/>
    <cellStyle name="Comma 5 7 8 3" xfId="11529" xr:uid="{6BA6E460-B37A-4259-936B-5A7951C58242}"/>
    <cellStyle name="Comma 5 7 8 3 2" xfId="21909" xr:uid="{4E395C52-F27A-4799-8125-21C56070155B}"/>
    <cellStyle name="Comma 5 7 8 4" xfId="27982" xr:uid="{A1830401-4BE9-4047-8037-B582661AD80D}"/>
    <cellStyle name="Comma 5 7 8 5" xfId="27393" xr:uid="{A15B847E-0BCF-49BD-8467-CBB5224689F1}"/>
    <cellStyle name="Comma 5 7 8 6" xfId="16243" xr:uid="{FEEF5453-E726-4908-8A0B-7BD9DE73FA2F}"/>
    <cellStyle name="Comma 5 7 9" xfId="4875" xr:uid="{03CC9048-C24C-410E-B772-7E39F372F37F}"/>
    <cellStyle name="Comma 5 7 9 2" xfId="25915" xr:uid="{AD33B97C-D782-4AFC-9027-B6A080A83C9D}"/>
    <cellStyle name="Comma 5 7 9 3" xfId="27496" xr:uid="{82106660-3FC9-438C-BE38-76FC4CF091A9}"/>
    <cellStyle name="Comma 5 7 9 4" xfId="14167" xr:uid="{EF4ABBE1-E4DF-499A-A6CF-1C49A7ED091F}"/>
    <cellStyle name="Comma 5 8" xfId="486" xr:uid="{00000000-0005-0000-0000-000054020000}"/>
    <cellStyle name="Comma 5 8 10" xfId="9458" xr:uid="{3C0A6B10-AD79-48DD-AD99-93B446F10170}"/>
    <cellStyle name="Comma 5 8 10 2" xfId="19838" xr:uid="{F1C8E9F7-1193-43B8-8AB8-F02488840E21}"/>
    <cellStyle name="Comma 5 8 11" xfId="25156" xr:uid="{75EAFF25-E7F3-4723-A770-3674B2E75CAB}"/>
    <cellStyle name="Comma 5 8 12" xfId="12510" xr:uid="{A942E7ED-6000-4D8F-BC51-BE1BC90B00D9}"/>
    <cellStyle name="Comma 5 8 2" xfId="487" xr:uid="{00000000-0005-0000-0000-000055020000}"/>
    <cellStyle name="Comma 5 8 2 10" xfId="12668" xr:uid="{2D2060DC-65AE-4C74-A3D9-8EB52DE8C408}"/>
    <cellStyle name="Comma 5 8 2 2" xfId="1673" xr:uid="{00000000-0005-0000-0000-000056020000}"/>
    <cellStyle name="Comma 5 8 2 2 2" xfId="3040" xr:uid="{00000000-0005-0000-0000-0000DC010000}"/>
    <cellStyle name="Comma 5 8 2 2 2 2" xfId="8120" xr:uid="{2FF0FD7F-E2DD-4DD8-9A96-350194FBC0BA}"/>
    <cellStyle name="Comma 5 8 2 2 2 2 2" xfId="18500" xr:uid="{6CBA26F6-B2A4-410D-8EE9-DD2208A3DA39}"/>
    <cellStyle name="Comma 5 8 2 2 2 3" xfId="10953" xr:uid="{B67D79DF-839B-42F2-A78D-28B2A1C986A8}"/>
    <cellStyle name="Comma 5 8 2 2 2 3 2" xfId="21333" xr:uid="{3AB97040-58F8-431F-9EC8-19760859A498}"/>
    <cellStyle name="Comma 5 8 2 2 2 4" xfId="27339" xr:uid="{D41D5792-1986-4C04-A298-742DBF272AAF}"/>
    <cellStyle name="Comma 5 8 2 2 2 5" xfId="26731" xr:uid="{27B648EF-2FFF-427C-A176-666178209CC9}"/>
    <cellStyle name="Comma 5 8 2 2 2 6" xfId="15667" xr:uid="{2608C0D8-305F-419E-951B-D34D60039A78}"/>
    <cellStyle name="Comma 5 8 2 2 3" xfId="2080" xr:uid="{00000000-0005-0000-0000-000056020000}"/>
    <cellStyle name="Comma 5 8 2 2 3 2" xfId="30083" xr:uid="{47AF23F1-FE35-4E5A-94A0-5D40739FE934}"/>
    <cellStyle name="Comma 5 8 2 2 4" xfId="5586" xr:uid="{D7CC4C04-6A8E-45ED-B093-5C53AC1FD03A}"/>
    <cellStyle name="Comma 5 8 2 2 4 2" xfId="30385" xr:uid="{24D2C7A4-6F8C-4A5E-92D7-A8D928DFDF60}"/>
    <cellStyle name="Comma 5 8 2 2 5" xfId="24966" xr:uid="{48F91E01-18C6-4DBA-9EA4-A83AD4E1DC50}"/>
    <cellStyle name="Comma 5 8 2 2 6" xfId="13547" xr:uid="{108AFC75-5EEA-45DD-B81D-0BD1DFE89DC5}"/>
    <cellStyle name="Comma 5 8 2 3" xfId="1674" xr:uid="{00000000-0005-0000-0000-000057020000}"/>
    <cellStyle name="Comma 5 8 2 3 2" xfId="24077" xr:uid="{3CCF6D1F-E1E6-4134-8808-CE7380243E72}"/>
    <cellStyle name="Comma 5 8 2 3 2 2" xfId="29850" xr:uid="{DB9A49C8-D426-4BCC-A5C7-43B561BE379E}"/>
    <cellStyle name="Comma 5 8 2 3 3" xfId="23017" xr:uid="{DB6EE825-2DCD-429A-9F59-4AC7F43A2769}"/>
    <cellStyle name="Comma 5 8 2 3 4" xfId="30472" xr:uid="{6F28D20C-31F3-4983-8E1C-C197DB057B19}"/>
    <cellStyle name="Comma 5 8 2 3 5" xfId="29783" xr:uid="{AF627186-6157-4C47-A1C5-EDA85624B4CC}"/>
    <cellStyle name="Comma 5 8 2 4" xfId="1672" xr:uid="{00000000-0005-0000-0000-000058020000}"/>
    <cellStyle name="Comma 5 8 2 4 2" xfId="28519" xr:uid="{DB5287D2-A3BC-4D9D-A5AD-D97C9934A7A4}"/>
    <cellStyle name="Comma 5 8 2 4 2 2" xfId="29923" xr:uid="{194C4BCE-4D0F-4063-95C1-0FD87EF76804}"/>
    <cellStyle name="Comma 5 8 2 4 3" xfId="26172" xr:uid="{7E618281-1C5F-460A-94D7-A8DF3AFFB69C}"/>
    <cellStyle name="Comma 5 8 2 4 4" xfId="30577" xr:uid="{43E16B44-B0F6-4163-BCFD-80CA56A607A3}"/>
    <cellStyle name="Comma 5 8 2 4 5" xfId="29720" xr:uid="{B6216A69-23BC-4B76-AD5F-87FE61F2B3FF}"/>
    <cellStyle name="Comma 5 8 2 5" xfId="4125" xr:uid="{1C3F77AF-A7C8-4533-B6B1-C8D28CB13A7B}"/>
    <cellStyle name="Comma 5 8 2 5 2" xfId="8897" xr:uid="{C3FF4CD3-EA9C-4318-B21E-3EA018511DCC}"/>
    <cellStyle name="Comma 5 8 2 5 2 2" xfId="19277" xr:uid="{3E624E4B-E89E-4968-9CC0-EAE8815D9589}"/>
    <cellStyle name="Comma 5 8 2 5 2 3" xfId="29970" xr:uid="{A1028F8D-47B4-4816-80DF-5D747BC7C7E7}"/>
    <cellStyle name="Comma 5 8 2 5 3" xfId="11730" xr:uid="{8895AA23-CF82-461B-8E31-DD794132AE9D}"/>
    <cellStyle name="Comma 5 8 2 5 3 2" xfId="22110" xr:uid="{B7E67C1F-B7FD-434C-9B87-E2B23FFE9A5A}"/>
    <cellStyle name="Comma 5 8 2 5 4" xfId="28140" xr:uid="{0F13D4FA-A56D-4B66-9D52-CC35EC6B2EEF}"/>
    <cellStyle name="Comma 5 8 2 5 5" xfId="28678" xr:uid="{D048A341-189D-403E-9C40-F13CE9BE81D0}"/>
    <cellStyle name="Comma 5 8 2 5 6" xfId="16444" xr:uid="{33935AFE-4F51-43AC-A6CB-9FDF190C92D7}"/>
    <cellStyle name="Comma 5 8 2 6" xfId="4881" xr:uid="{21AB6E75-CF3F-4863-AC61-3207B7577E91}"/>
    <cellStyle name="Comma 5 8 2 6 2" xfId="27389" xr:uid="{098BB1CA-BEA7-42F8-BF5F-85FEFB2D0AC9}"/>
    <cellStyle name="Comma 5 8 2 6 3" xfId="26884" xr:uid="{9E4D90C0-1C17-4307-ACEB-2359B2B61208}"/>
    <cellStyle name="Comma 5 8 2 6 3 2" xfId="30744" xr:uid="{7431A11C-8597-41BA-9D6F-B5CBBE998FF7}"/>
    <cellStyle name="Comma 5 8 2 6 4" xfId="14173" xr:uid="{C4778CE6-4BAC-44F1-9E41-1C8635F87209}"/>
    <cellStyle name="Comma 5 8 2 7" xfId="6626" xr:uid="{D3EAA14D-1E0B-4538-8E65-683FE1BE0297}"/>
    <cellStyle name="Comma 5 8 2 7 2" xfId="17006" xr:uid="{93B3EE8D-DDDC-4809-8B2B-5B5C7070BE70}"/>
    <cellStyle name="Comma 5 8 2 8" xfId="9459" xr:uid="{808E7EFB-896F-4927-AB71-638EC05A045F}"/>
    <cellStyle name="Comma 5 8 2 8 2" xfId="19839" xr:uid="{1A77B867-59F3-4355-915F-8AB538248483}"/>
    <cellStyle name="Comma 5 8 2 9" xfId="23448" xr:uid="{18C3C4C3-B3EA-4314-BF62-9AB647559B8D}"/>
    <cellStyle name="Comma 5 8 3" xfId="488" xr:uid="{00000000-0005-0000-0000-000059020000}"/>
    <cellStyle name="Comma 5 8 3 2" xfId="1676" xr:uid="{00000000-0005-0000-0000-00005A020000}"/>
    <cellStyle name="Comma 5 8 3 2 2" xfId="25618" xr:uid="{53D484A8-05DA-4B3D-8DBA-5F4A6B0638B9}"/>
    <cellStyle name="Comma 5 8 3 2 2 2" xfId="30294" xr:uid="{1C749A97-C8C7-4F65-B26B-732DFD816C23}"/>
    <cellStyle name="Comma 5 8 3 2 3" xfId="25444" xr:uid="{8F83E9BD-D752-4670-83D0-42D787B89054}"/>
    <cellStyle name="Comma 5 8 3 2 3 2" xfId="27841" xr:uid="{3EDC9502-0DFD-4975-83D4-00C65AD487AD}"/>
    <cellStyle name="Comma 5 8 3 2 4" xfId="30021" xr:uid="{A8ECFADC-B49E-49DF-B160-952C1126F9F6}"/>
    <cellStyle name="Comma 5 8 3 3" xfId="1677" xr:uid="{00000000-0005-0000-0000-00005B020000}"/>
    <cellStyle name="Comma 5 8 3 3 2" xfId="29793" xr:uid="{692918AF-F1C9-4509-80E5-9B9EEB9018AA}"/>
    <cellStyle name="Comma 5 8 3 4" xfId="1675" xr:uid="{00000000-0005-0000-0000-00005C020000}"/>
    <cellStyle name="Comma 5 8 3 4 2" xfId="28745" xr:uid="{CF49AA05-3FBE-48B3-9169-779FBD244A47}"/>
    <cellStyle name="Comma 5 8 3 4 2 2" xfId="30056" xr:uid="{507C5A54-D376-4F39-B36F-228C87DA6D91}"/>
    <cellStyle name="Comma 5 8 3 4 3" xfId="26131" xr:uid="{29D4BED2-56B6-46AE-9E4F-1972B40BC537}"/>
    <cellStyle name="Comma 5 8 3 5" xfId="4882" xr:uid="{E6C69C7E-ECF0-471C-B3AB-6AF66D256BD8}"/>
    <cellStyle name="Comma 5 8 3 5 2" xfId="26284" xr:uid="{F9068B74-A36E-44C0-939A-8D82B5973B25}"/>
    <cellStyle name="Comma 5 8 3 5 3" xfId="26318" xr:uid="{1F5EA9DF-30F0-424B-AA92-67EE89D7FD61}"/>
    <cellStyle name="Comma 5 8 3 5 4" xfId="14174" xr:uid="{053831D1-E6B8-4D4A-B53A-F0EA227B0C6B}"/>
    <cellStyle name="Comma 5 8 3 6" xfId="6627" xr:uid="{302D9AAF-4033-4F4A-9333-B2DAF1AC72E0}"/>
    <cellStyle name="Comma 5 8 3 6 2" xfId="26392" xr:uid="{EA4E0055-C778-4480-AF6D-C956F19B9F0C}"/>
    <cellStyle name="Comma 5 8 3 6 3" xfId="28168" xr:uid="{D160F3C5-B249-4A1B-8E65-E9A7B655F03E}"/>
    <cellStyle name="Comma 5 8 3 6 4" xfId="17007" xr:uid="{5B3EE229-9EF7-412C-9A14-4B62794194FD}"/>
    <cellStyle name="Comma 5 8 3 7" xfId="9460" xr:uid="{0F73EF67-2D55-4AA3-878F-7FA988FAA07A}"/>
    <cellStyle name="Comma 5 8 3 7 2" xfId="19840" xr:uid="{E87BF8B2-8F07-4B67-9777-D74549380BEF}"/>
    <cellStyle name="Comma 5 8 3 8" xfId="24643" xr:uid="{90466407-5C59-4679-A0DF-9465241FFE2E}"/>
    <cellStyle name="Comma 5 8 3 9" xfId="13366" xr:uid="{68C72232-8F8D-4BCD-95DB-452386CA181A}"/>
    <cellStyle name="Comma 5 8 4" xfId="1678" xr:uid="{00000000-0005-0000-0000-00005D020000}"/>
    <cellStyle name="Comma 5 8 4 2" xfId="2673" xr:uid="{00000000-0005-0000-0000-0000DE010000}"/>
    <cellStyle name="Comma 5 8 4 2 2" xfId="7797" xr:uid="{F638EECE-0E71-4D65-AB7A-5EC3D2DA2DE2}"/>
    <cellStyle name="Comma 5 8 4 2 2 2" xfId="18177" xr:uid="{29AD6800-71EF-4AC6-A5C0-235188E8DC06}"/>
    <cellStyle name="Comma 5 8 4 2 3" xfId="10630" xr:uid="{A662D3E5-5529-433E-9F38-0E72E24892E7}"/>
    <cellStyle name="Comma 5 8 4 2 3 2" xfId="21010" xr:uid="{156F5CEB-62E7-4B15-BA2E-009B2D4A8D0C}"/>
    <cellStyle name="Comma 5 8 4 2 4" xfId="26594" xr:uid="{A98F3AEB-51B2-45FA-8234-BBC221C42CF9}"/>
    <cellStyle name="Comma 5 8 4 2 5" xfId="27639" xr:uid="{73969B14-80A1-422D-9678-64C5F63C541B}"/>
    <cellStyle name="Comma 5 8 4 2 6" xfId="15344" xr:uid="{1793C24A-20F7-42CB-8755-0ECC50167B23}"/>
    <cellStyle name="Comma 5 8 4 3" xfId="3592" xr:uid="{00000000-0005-0000-0000-00005D020000}"/>
    <cellStyle name="Comma 5 8 4 3 2" xfId="30099" xr:uid="{AC137B13-B69C-4374-A601-506FEF990C4D}"/>
    <cellStyle name="Comma 5 8 4 4" xfId="5587" xr:uid="{61B5B5BD-8CAB-4FD9-954C-4983326E849B}"/>
    <cellStyle name="Comma 5 8 4 4 2" xfId="30440" xr:uid="{F8178C9C-3662-426F-A80E-4FE9253CFD39}"/>
    <cellStyle name="Comma 5 8 4 5" xfId="24623" xr:uid="{96C61288-71E4-410D-9E9C-8A084F7F738F}"/>
    <cellStyle name="Comma 5 8 4 6" xfId="13078" xr:uid="{93829F7F-8524-4FFE-ACB1-9DD87786DFD4}"/>
    <cellStyle name="Comma 5 8 5" xfId="1679" xr:uid="{00000000-0005-0000-0000-00005E020000}"/>
    <cellStyle name="Comma 5 8 5 2" xfId="2278" xr:uid="{00000000-0005-0000-0000-0000DA010000}"/>
    <cellStyle name="Comma 5 8 5 2 2" xfId="7405" xr:uid="{4CC94E42-2A69-4288-91E6-0A0CDB39740A}"/>
    <cellStyle name="Comma 5 8 5 2 2 2" xfId="17785" xr:uid="{EA5B116C-180F-42F3-A88C-9CF1C6EA4E88}"/>
    <cellStyle name="Comma 5 8 5 2 3" xfId="10238" xr:uid="{F37603B7-020C-4446-94E9-26E402843D14}"/>
    <cellStyle name="Comma 5 8 5 2 3 2" xfId="20618" xr:uid="{60368DDF-8376-4547-8F84-A1CE8660B8E2}"/>
    <cellStyle name="Comma 5 8 5 2 4" xfId="14952" xr:uid="{FE4C11F4-8B91-4C78-8892-97B10F08CBF2}"/>
    <cellStyle name="Comma 5 8 5 3" xfId="2086" xr:uid="{00000000-0005-0000-0000-00005E020000}"/>
    <cellStyle name="Comma 5 8 5 3 2" xfId="30161" xr:uid="{4623AECE-9AC0-4E31-8913-1AECA9568936}"/>
    <cellStyle name="Comma 5 8 5 4" xfId="24921" xr:uid="{73CD0007-7AA6-4C23-BE0B-E3F5295A5FA9}"/>
    <cellStyle name="Comma 5 8 5 4 2" xfId="30513" xr:uid="{F5D2049A-6EAB-4A63-B1EE-C38D1C50AFCF}"/>
    <cellStyle name="Comma 5 8 6" xfId="1671" xr:uid="{00000000-0005-0000-0000-00005F020000}"/>
    <cellStyle name="Comma 5 8 6 2" xfId="26586" xr:uid="{422903AC-287E-4EC3-BB8E-0A504F69CB1D}"/>
    <cellStyle name="Comma 5 8 6 2 2" xfId="30232" xr:uid="{C9208B70-12C5-41E4-9626-03516551C61A}"/>
    <cellStyle name="Comma 5 8 6 3" xfId="27534" xr:uid="{6FB8E0C2-84CE-424A-9E5E-DE1608CF9682}"/>
    <cellStyle name="Comma 5 8 6 4" xfId="29969" xr:uid="{D0463D3F-169C-4EFD-8D6F-71A357B59ED2}"/>
    <cellStyle name="Comma 5 8 7" xfId="3865" xr:uid="{4309ED3C-13B3-40DD-AFCB-1964E1D79399}"/>
    <cellStyle name="Comma 5 8 7 2" xfId="8697" xr:uid="{6D792B25-135D-4B16-8980-F3F2F50FD3A9}"/>
    <cellStyle name="Comma 5 8 7 2 2" xfId="28964" xr:uid="{12EFBB26-22AB-4525-8B73-9E6EE6188A84}"/>
    <cellStyle name="Comma 5 8 7 2 3" xfId="28215" xr:uid="{BDEFF1D8-EA45-4FD4-AD6E-90DC9E7A8A92}"/>
    <cellStyle name="Comma 5 8 7 2 4" xfId="19077" xr:uid="{F4A6846B-B33F-431E-B946-D5A1090DE87E}"/>
    <cellStyle name="Comma 5 8 7 3" xfId="11530" xr:uid="{70E5CEA8-78E3-404C-87F4-D8594ADBD2E1}"/>
    <cellStyle name="Comma 5 8 7 3 2" xfId="21910" xr:uid="{03ABB417-6320-4C4B-B47B-E5281074FC3B}"/>
    <cellStyle name="Comma 5 8 7 4" xfId="27713" xr:uid="{43C01292-8563-4C2D-9596-CA4514F06ED5}"/>
    <cellStyle name="Comma 5 8 7 5" xfId="16244" xr:uid="{027DC86C-6CC5-41FE-B7A8-5ECB900FB562}"/>
    <cellStyle name="Comma 5 8 8" xfId="4880" xr:uid="{3975A4B3-1503-41FB-ABCA-1D4006BBF9BA}"/>
    <cellStyle name="Comma 5 8 8 2" xfId="28466" xr:uid="{B669142D-2D0E-4CC0-AC1B-4C10E42362FA}"/>
    <cellStyle name="Comma 5 8 8 3" xfId="26047" xr:uid="{E58D5665-27FE-4987-AD95-0A055250DE0C}"/>
    <cellStyle name="Comma 5 8 8 4" xfId="14172" xr:uid="{CAF53E0B-9FD1-474B-8289-846C9B226674}"/>
    <cellStyle name="Comma 5 8 9" xfId="6625" xr:uid="{3050AF58-F09A-4D88-B8F2-C44941E3F062}"/>
    <cellStyle name="Comma 5 8 9 2" xfId="28476" xr:uid="{52B97D21-9AEC-4805-8592-FA8E249EE80F}"/>
    <cellStyle name="Comma 5 8 9 3" xfId="26201" xr:uid="{F48E14F4-8D95-44D5-907B-4EE1B8C5C414}"/>
    <cellStyle name="Comma 5 8 9 4" xfId="17005" xr:uid="{4C160034-B13B-49E5-B4D1-8B6F80BB1E65}"/>
    <cellStyle name="Comma 5 9" xfId="489" xr:uid="{00000000-0005-0000-0000-000060020000}"/>
    <cellStyle name="Comma 5 9 10" xfId="9461" xr:uid="{577F916E-DE24-46FE-A2E8-3876BCD7E17C}"/>
    <cellStyle name="Comma 5 9 10 2" xfId="19841" xr:uid="{3787D89A-519B-42FB-85C6-20D76F758C0F}"/>
    <cellStyle name="Comma 5 9 11" xfId="22710" xr:uid="{921E912D-4404-49CE-A58D-AFF85BABD250}"/>
    <cellStyle name="Comma 5 9 12" xfId="12511" xr:uid="{CE530E1C-0287-4676-9926-5BA63910A349}"/>
    <cellStyle name="Comma 5 9 2" xfId="490" xr:uid="{00000000-0005-0000-0000-000061020000}"/>
    <cellStyle name="Comma 5 9 2 2" xfId="1682" xr:uid="{00000000-0005-0000-0000-000062020000}"/>
    <cellStyle name="Comma 5 9 2 2 2" xfId="2872" xr:uid="{00000000-0005-0000-0000-0000E1010000}"/>
    <cellStyle name="Comma 5 9 2 2 2 2" xfId="7989" xr:uid="{DD600399-F264-4A5C-A259-2FD82D633A78}"/>
    <cellStyle name="Comma 5 9 2 2 2 2 2" xfId="18369" xr:uid="{293B0666-BA43-442C-A608-F87E97D4D469}"/>
    <cellStyle name="Comma 5 9 2 2 2 3" xfId="10822" xr:uid="{3DDC180D-A0D2-4408-B3F8-BD3A718A8D50}"/>
    <cellStyle name="Comma 5 9 2 2 2 3 2" xfId="21202" xr:uid="{BA03261A-B2A9-4611-A71A-6EC3BE0B938E}"/>
    <cellStyle name="Comma 5 9 2 2 2 4" xfId="26496" xr:uid="{1A82B4E7-142C-46F5-BEB3-F201FD231155}"/>
    <cellStyle name="Comma 5 9 2 2 2 5" xfId="26785" xr:uid="{35D6FCB8-6D81-4D29-8AAF-EA0F5D40EC9C}"/>
    <cellStyle name="Comma 5 9 2 2 2 6" xfId="15536" xr:uid="{7EA2C2D2-2C27-4270-9D44-D926BB025009}"/>
    <cellStyle name="Comma 5 9 2 2 3" xfId="3688" xr:uid="{00000000-0005-0000-0000-000062020000}"/>
    <cellStyle name="Comma 5 9 2 2 3 2" xfId="30084" xr:uid="{128D8F19-53F3-4493-ADA4-284505FE8463}"/>
    <cellStyle name="Comma 5 9 2 2 4" xfId="5588" xr:uid="{5DEDC809-A58D-4915-8292-CB2064C3F8DA}"/>
    <cellStyle name="Comma 5 9 2 2 4 2" xfId="30386" xr:uid="{FB76041C-0071-4FA0-B99A-BD20D08B2710}"/>
    <cellStyle name="Comma 5 9 2 2 5" xfId="23354" xr:uid="{2FD97EFD-1F02-49AF-B9C5-4ADE3EC81F0C}"/>
    <cellStyle name="Comma 5 9 2 2 6" xfId="13367" xr:uid="{C41E76B2-0C39-41CB-BB65-50AA0681065C}"/>
    <cellStyle name="Comma 5 9 2 3" xfId="1683" xr:uid="{00000000-0005-0000-0000-000063020000}"/>
    <cellStyle name="Comma 5 9 2 3 2" xfId="24903" xr:uid="{F6A819E7-49AD-4347-96EC-10C8648C30A8}"/>
    <cellStyle name="Comma 5 9 2 3 2 2" xfId="29851" xr:uid="{300564C5-23D5-45DF-ABD5-7211B6C0AFC0}"/>
    <cellStyle name="Comma 5 9 2 3 3" xfId="22956" xr:uid="{1221D88C-6031-4EEF-9013-D90C6923BB63}"/>
    <cellStyle name="Comma 5 9 2 3 4" xfId="30473" xr:uid="{9CAA4451-BDE2-404B-854D-4A3FF82442F2}"/>
    <cellStyle name="Comma 5 9 2 3 5" xfId="29704" xr:uid="{501D6716-F08D-4C00-BDC7-3888B51F7068}"/>
    <cellStyle name="Comma 5 9 2 4" xfId="1681" xr:uid="{00000000-0005-0000-0000-000064020000}"/>
    <cellStyle name="Comma 5 9 2 4 2" xfId="26144" xr:uid="{11F3DDB7-F030-4752-8665-FF4829009ADA}"/>
    <cellStyle name="Comma 5 9 2 4 2 2" xfId="29924" xr:uid="{82ACD04B-22BD-4E44-A28F-9826840CD85D}"/>
    <cellStyle name="Comma 5 9 2 4 3" xfId="28646" xr:uid="{83F077EA-14EA-49D6-9313-1E9410A6F85D}"/>
    <cellStyle name="Comma 5 9 2 4 4" xfId="30578" xr:uid="{6DBA562C-7811-40D5-AFE6-6797DA6D668C}"/>
    <cellStyle name="Comma 5 9 2 4 5" xfId="29699" xr:uid="{E0E9BE4C-1138-42BC-A057-7B0B259C5973}"/>
    <cellStyle name="Comma 5 9 2 5" xfId="4884" xr:uid="{EB3A30E8-3647-49C2-A1DA-99DCDC29C0ED}"/>
    <cellStyle name="Comma 5 9 2 5 2" xfId="26685" xr:uid="{0EA01B93-8071-4C3D-B4C1-26E4128E262C}"/>
    <cellStyle name="Comma 5 9 2 5 2 2" xfId="29972" xr:uid="{429CF61A-2248-4BB0-8D87-21DD95421EB7}"/>
    <cellStyle name="Comma 5 9 2 5 3" xfId="28234" xr:uid="{AB8BE62E-19B6-423D-8338-0BEE8D7165AA}"/>
    <cellStyle name="Comma 5 9 2 5 4" xfId="14176" xr:uid="{5E14F82E-952A-47F6-A880-3BF07391B1FC}"/>
    <cellStyle name="Comma 5 9 2 6" xfId="6629" xr:uid="{36AC8BC2-135C-4F0E-B9F4-4BE70C750E75}"/>
    <cellStyle name="Comma 5 9 2 6 2" xfId="27702" xr:uid="{AFECA7B3-832F-448B-8E3C-E62DF09C48C7}"/>
    <cellStyle name="Comma 5 9 2 6 3" xfId="26781" xr:uid="{0F87FA41-FC1E-4FCF-BDF8-53C40C3C032A}"/>
    <cellStyle name="Comma 5 9 2 6 3 2" xfId="30707" xr:uid="{69681ED8-8BE8-41EE-BD80-24C152612907}"/>
    <cellStyle name="Comma 5 9 2 6 4" xfId="17009" xr:uid="{B4200961-E2C0-4BC1-94EE-3A85E626AA74}"/>
    <cellStyle name="Comma 5 9 2 7" xfId="9462" xr:uid="{6886AE68-520F-4832-BF74-5FAF0008B37D}"/>
    <cellStyle name="Comma 5 9 2 7 2" xfId="19842" xr:uid="{1C8C4465-DEA0-4CB4-A309-8A836052CF50}"/>
    <cellStyle name="Comma 5 9 2 8" xfId="23186" xr:uid="{158B3261-B414-4969-87FD-E8CE88BB4099}"/>
    <cellStyle name="Comma 5 9 2 9" xfId="12669" xr:uid="{CB2B0EDD-44CF-4098-A63F-95E232219291}"/>
    <cellStyle name="Comma 5 9 3" xfId="491" xr:uid="{00000000-0005-0000-0000-000065020000}"/>
    <cellStyle name="Comma 5 9 3 2" xfId="1685" xr:uid="{00000000-0005-0000-0000-000066020000}"/>
    <cellStyle name="Comma 5 9 3 2 2" xfId="28582" xr:uid="{24970741-0E29-4246-A189-27E01992A00F}"/>
    <cellStyle name="Comma 5 9 3 2 2 2" xfId="29732" xr:uid="{BA37C563-1A78-4426-8F30-B1C237F9CA58}"/>
    <cellStyle name="Comma 5 9 3 2 3" xfId="27020" xr:uid="{E598149C-FE07-4DC5-86B7-E13C07F268AF}"/>
    <cellStyle name="Comma 5 9 3 3" xfId="1686" xr:uid="{00000000-0005-0000-0000-000067020000}"/>
    <cellStyle name="Comma 5 9 3 3 2" xfId="30057" xr:uid="{038B4997-64AB-43E6-BC32-61C319932C0C}"/>
    <cellStyle name="Comma 5 9 3 4" xfId="1684" xr:uid="{00000000-0005-0000-0000-000068020000}"/>
    <cellStyle name="Comma 5 9 3 4 2" xfId="30363" xr:uid="{AAE444D8-3F3F-4204-B9D0-BBFE18C7EB8F}"/>
    <cellStyle name="Comma 5 9 3 5" xfId="4885" xr:uid="{672D1938-E8B9-4EE4-A404-E4869E3DF097}"/>
    <cellStyle name="Comma 5 9 3 5 2" xfId="27916" xr:uid="{2CCA1919-C0E3-437A-AEA4-A7FE9B7E2006}"/>
    <cellStyle name="Comma 5 9 3 5 3" xfId="25882" xr:uid="{246E0EAC-A073-4023-BCDF-D485F4AAD117}"/>
    <cellStyle name="Comma 5 9 3 5 4" xfId="14177" xr:uid="{A3B19FAE-253A-4C9F-A824-7995242F9A40}"/>
    <cellStyle name="Comma 5 9 3 6" xfId="6630" xr:uid="{BCFE293F-552A-4FD1-843B-79E4089F5F29}"/>
    <cellStyle name="Comma 5 9 3 6 2" xfId="17010" xr:uid="{998E47F5-BD2A-4263-B6E7-BA0F6615FD09}"/>
    <cellStyle name="Comma 5 9 3 7" xfId="9463" xr:uid="{93F546B0-E630-48A1-A3A2-E60736345D88}"/>
    <cellStyle name="Comma 5 9 3 7 2" xfId="19843" xr:uid="{D384727D-B11B-4ACD-80DE-E21FB1AA851B}"/>
    <cellStyle name="Comma 5 9 3 8" xfId="23365" xr:uid="{A42F84E4-61A4-4AB1-B8D4-24F3C88470B4}"/>
    <cellStyle name="Comma 5 9 3 9" xfId="13079" xr:uid="{58B4F309-4F73-4AC0-9E82-9AB850A0C1EB}"/>
    <cellStyle name="Comma 5 9 4" xfId="1687" xr:uid="{00000000-0005-0000-0000-000069020000}"/>
    <cellStyle name="Comma 5 9 4 2" xfId="2279" xr:uid="{00000000-0005-0000-0000-0000DF010000}"/>
    <cellStyle name="Comma 5 9 4 2 2" xfId="7406" xr:uid="{1E1556D7-8993-43B8-B4DC-ADC5347F2892}"/>
    <cellStyle name="Comma 5 9 4 2 2 2" xfId="17786" xr:uid="{FC874948-C6B9-476A-9918-1FD3D1FDA1DC}"/>
    <cellStyle name="Comma 5 9 4 2 3" xfId="10239" xr:uid="{9E45737F-46A4-4824-9796-8F7DC6D1045A}"/>
    <cellStyle name="Comma 5 9 4 2 3 2" xfId="20619" xr:uid="{553028C3-EAAC-4756-93F3-35A270C1AD70}"/>
    <cellStyle name="Comma 5 9 4 2 4" xfId="28236" xr:uid="{A4F5614C-A5DF-4D87-88B0-071B9BC4EA7E}"/>
    <cellStyle name="Comma 5 9 4 2 5" xfId="26400" xr:uid="{9FE368F8-BEEE-4267-9DC6-5222CA95E77A}"/>
    <cellStyle name="Comma 5 9 4 2 6" xfId="14953" xr:uid="{A57EE24B-4604-4638-8EF3-39D2D495CEA9}"/>
    <cellStyle name="Comma 5 9 4 3" xfId="2058" xr:uid="{00000000-0005-0000-0000-000069020000}"/>
    <cellStyle name="Comma 5 9 4 3 2" xfId="30100" xr:uid="{28E84D47-30A6-4348-BC60-3B272836E807}"/>
    <cellStyle name="Comma 5 9 4 4" xfId="22689" xr:uid="{10E129FC-ED19-4FA8-991C-0D82ED6B82C1}"/>
    <cellStyle name="Comma 5 9 4 4 2" xfId="30441" xr:uid="{E552DD71-D2AF-4C78-A14E-3A2C98D53333}"/>
    <cellStyle name="Comma 5 9 5" xfId="1688" xr:uid="{00000000-0005-0000-0000-00006A020000}"/>
    <cellStyle name="Comma 5 9 5 2" xfId="24215" xr:uid="{4EF621CF-F50D-4230-AF83-2E870655BDA3}"/>
    <cellStyle name="Comma 5 9 5 2 2" xfId="29899" xr:uid="{47FFD032-CF2B-4FA5-8798-336B87BC92A9}"/>
    <cellStyle name="Comma 5 9 5 3" xfId="24967" xr:uid="{569BA925-3A3B-4717-B1B9-3D852F1BB19D}"/>
    <cellStyle name="Comma 5 9 5 4" xfId="30514" xr:uid="{7D267EF1-BE55-429E-928A-6DC879A64006}"/>
    <cellStyle name="Comma 5 9 5 5" xfId="29682" xr:uid="{E99A0E13-CF73-459C-B846-966D7B4F79C2}"/>
    <cellStyle name="Comma 5 9 6" xfId="1680" xr:uid="{00000000-0005-0000-0000-00006B020000}"/>
    <cellStyle name="Comma 5 9 6 2" xfId="27178" xr:uid="{14EF25F5-D9BE-45D5-9005-4E60957A0203}"/>
    <cellStyle name="Comma 5 9 6 2 2" xfId="30233" xr:uid="{732B1676-87DA-4E8F-97C0-EF37C6E05B41}"/>
    <cellStyle name="Comma 5 9 6 3" xfId="26360" xr:uid="{33843480-E46E-46E8-A098-789A42CAEACB}"/>
    <cellStyle name="Comma 5 9 6 4" xfId="29971" xr:uid="{800CA1EE-947A-44E5-AD95-97B785CA0719}"/>
    <cellStyle name="Comma 5 9 7" xfId="3866" xr:uid="{B9DE1D30-4F88-4738-9237-DC4A3CFC8DA9}"/>
    <cellStyle name="Comma 5 9 7 2" xfId="8698" xr:uid="{217EDCE2-9B0E-4A25-BC3B-8C29294786F7}"/>
    <cellStyle name="Comma 5 9 7 2 2" xfId="28965" xr:uid="{40DF6CCF-C7EB-4E2F-8943-4010C4F20435}"/>
    <cellStyle name="Comma 5 9 7 2 3" xfId="27299" xr:uid="{F77F18D5-5BCA-4F28-938A-BCE11258A9A2}"/>
    <cellStyle name="Comma 5 9 7 2 4" xfId="19078" xr:uid="{96203E88-F519-4C89-86D3-CA0BFFC30A7C}"/>
    <cellStyle name="Comma 5 9 7 3" xfId="11531" xr:uid="{29D5A212-8ECB-4895-AE43-EE1FA4977D49}"/>
    <cellStyle name="Comma 5 9 7 3 2" xfId="21911" xr:uid="{4E2A553C-24C0-40AA-A554-9E1ED5799483}"/>
    <cellStyle name="Comma 5 9 7 4" xfId="26984" xr:uid="{3E732908-041F-46A5-A79F-0CF9D6D2313D}"/>
    <cellStyle name="Comma 5 9 7 5" xfId="16245" xr:uid="{5D36E793-C1E0-440E-8E25-0EACBB5C7075}"/>
    <cellStyle name="Comma 5 9 8" xfId="4883" xr:uid="{19062C3A-3DA8-4519-BE2C-EB4890D3976C}"/>
    <cellStyle name="Comma 5 9 8 2" xfId="28602" xr:uid="{43816189-9755-4F5B-9F31-479975E420E6}"/>
    <cellStyle name="Comma 5 9 8 3" xfId="26588" xr:uid="{8B938DC1-312A-41D7-8860-4BA13CAE14F7}"/>
    <cellStyle name="Comma 5 9 8 4" xfId="14175" xr:uid="{6230BFD7-AEE5-43EB-8885-BB2F9158B86E}"/>
    <cellStyle name="Comma 5 9 9" xfId="6628" xr:uid="{E289BBFE-C525-4650-8B0E-5AD183962837}"/>
    <cellStyle name="Comma 5 9 9 2" xfId="28564" xr:uid="{F1666656-BD91-4BFD-8C97-C71A38433776}"/>
    <cellStyle name="Comma 5 9 9 3" xfId="28025" xr:uid="{DB2661FD-D525-4319-94EB-088EB495F608}"/>
    <cellStyle name="Comma 5 9 9 4" xfId="17008" xr:uid="{162481D7-E839-4A30-AA59-A36CDC6481BA}"/>
    <cellStyle name="Comma 6" xfId="492" xr:uid="{00000000-0005-0000-0000-00006C020000}"/>
    <cellStyle name="Comma 6 2" xfId="493" xr:uid="{00000000-0005-0000-0000-00006D020000}"/>
    <cellStyle name="Comma 6 2 2" xfId="29655" xr:uid="{190634A9-F5E8-4D24-AE80-07B91D4FC665}"/>
    <cellStyle name="Comma 6 3" xfId="494" xr:uid="{00000000-0005-0000-0000-00006E020000}"/>
    <cellStyle name="Comma 6 3 2" xfId="1690" xr:uid="{00000000-0005-0000-0000-00006F020000}"/>
    <cellStyle name="Comma 6 3 2 2" xfId="25265" xr:uid="{8A7DAFD7-2CA3-48AB-8998-82D5CBA4FD5D}"/>
    <cellStyle name="Comma 6 3 2 2 2" xfId="29973" xr:uid="{FFAE9173-94EC-4AFA-80B9-C7E496CABAA2}"/>
    <cellStyle name="Comma 6 3 2 2 3" xfId="29766" xr:uid="{DCC45E40-D7E6-4E58-82A8-3946CD762CB2}"/>
    <cellStyle name="Comma 6 3 2 3" xfId="24576" xr:uid="{A28E2AF0-11DC-454F-8523-E8CC9FF3477F}"/>
    <cellStyle name="Comma 6 3 3" xfId="1691" xr:uid="{00000000-0005-0000-0000-000070020000}"/>
    <cellStyle name="Comma 6 3 4" xfId="1689" xr:uid="{00000000-0005-0000-0000-000071020000}"/>
    <cellStyle name="Comma 6 4" xfId="495" xr:uid="{00000000-0005-0000-0000-000072020000}"/>
    <cellStyle name="Comma 6 4 10" xfId="4886" xr:uid="{590EB0C8-22E1-4978-891E-C4F933D87663}"/>
    <cellStyle name="Comma 6 4 10 2" xfId="14178" xr:uid="{D116F717-0813-48E8-85B0-A4EAB548CEE8}"/>
    <cellStyle name="Comma 6 4 11" xfId="6631" xr:uid="{C7EE9BD2-A05B-4FE7-B3BA-FA91B2818E1F}"/>
    <cellStyle name="Comma 6 4 11 2" xfId="17011" xr:uid="{B8DB3F00-9E9D-409B-8728-AFBA1086C4B3}"/>
    <cellStyle name="Comma 6 4 12" xfId="9464" xr:uid="{9FF30183-B51D-4652-85E9-61D6B4505CEA}"/>
    <cellStyle name="Comma 6 4 12 2" xfId="19844" xr:uid="{43B3ED84-FCF3-429C-B5C8-F790869B9743}"/>
    <cellStyle name="Comma 6 4 13" xfId="24565" xr:uid="{ECE51940-59D9-4508-834B-EE611846C330}"/>
    <cellStyle name="Comma 6 4 14" xfId="12454" xr:uid="{CD5DDB80-C41A-4879-9C53-6EC2F07C554B}"/>
    <cellStyle name="Comma 6 4 2" xfId="496" xr:uid="{00000000-0005-0000-0000-000073020000}"/>
    <cellStyle name="Comma 6 4 2 10" xfId="9465" xr:uid="{D5BF1811-2803-4948-A0EE-3FF96738624E}"/>
    <cellStyle name="Comma 6 4 2 10 2" xfId="19845" xr:uid="{3F5543A8-A093-4FBE-974F-9BCDC3B3402A}"/>
    <cellStyle name="Comma 6 4 2 11" xfId="25404" xr:uid="{29A5D357-8B2B-46F0-A662-77123053171A}"/>
    <cellStyle name="Comma 6 4 2 12" xfId="12512" xr:uid="{D05CF195-F9B5-4A45-AE3D-41A5E0351F83}"/>
    <cellStyle name="Comma 6 4 2 2" xfId="497" xr:uid="{00000000-0005-0000-0000-000074020000}"/>
    <cellStyle name="Comma 6 4 2 2 10" xfId="13081" xr:uid="{9036A2BC-18BE-4FB3-B52B-3678CFDC02B6}"/>
    <cellStyle name="Comma 6 4 2 2 2" xfId="1695" xr:uid="{00000000-0005-0000-0000-000075020000}"/>
    <cellStyle name="Comma 6 4 2 2 2 2" xfId="3042" xr:uid="{00000000-0005-0000-0000-0000E9010000}"/>
    <cellStyle name="Comma 6 4 2 2 2 2 2" xfId="8122" xr:uid="{CC6411F4-1CBE-4402-84DA-435DBF322A64}"/>
    <cellStyle name="Comma 6 4 2 2 2 2 2 2" xfId="28803" xr:uid="{7F89C405-4E7B-4D58-BF46-41EB446A6018}"/>
    <cellStyle name="Comma 6 4 2 2 2 2 2 3" xfId="26832" xr:uid="{668C4A35-0F7A-4120-9061-A68B9CC43049}"/>
    <cellStyle name="Comma 6 4 2 2 2 2 2 4" xfId="18502" xr:uid="{0D6186E5-DE10-4652-AD63-5E412EF765C3}"/>
    <cellStyle name="Comma 6 4 2 2 2 2 3" xfId="10955" xr:uid="{4EFEE2EA-4567-467B-89A0-B0256E14CC5D}"/>
    <cellStyle name="Comma 6 4 2 2 2 2 3 2" xfId="21335" xr:uid="{6EE04AED-26C1-47DD-9F9D-12E30109AB5F}"/>
    <cellStyle name="Comma 6 4 2 2 2 2 4" xfId="25682" xr:uid="{EF41D050-0AE8-4E89-BB9E-051DF5630730}"/>
    <cellStyle name="Comma 6 4 2 2 2 2 5" xfId="15669" xr:uid="{F2560B0F-AD65-4450-AD2A-D2B82D41C930}"/>
    <cellStyle name="Comma 6 4 2 2 2 3" xfId="3575" xr:uid="{00000000-0005-0000-0000-000075020000}"/>
    <cellStyle name="Comma 6 4 2 2 2 3 2" xfId="29886" xr:uid="{E648A281-3211-4F61-BCE4-CDE61A072C37}"/>
    <cellStyle name="Comma 6 4 2 2 2 4" xfId="5591" xr:uid="{8BF347F7-3DE4-4C27-A5DD-8CA2A1920DC5}"/>
    <cellStyle name="Comma 6 4 2 2 2 4 2" xfId="30148" xr:uid="{F555013B-731D-4A35-BA81-444191854320}"/>
    <cellStyle name="Comma 6 4 2 2 2 5" xfId="23721" xr:uid="{ADD3F041-ED7E-4808-8804-F82B1C69DADD}"/>
    <cellStyle name="Comma 6 4 2 2 2 6" xfId="13549" xr:uid="{5B965AB5-811C-4C8F-9776-A7E6E46FEFB1}"/>
    <cellStyle name="Comma 6 4 2 2 3" xfId="1696" xr:uid="{00000000-0005-0000-0000-000076020000}"/>
    <cellStyle name="Comma 6 4 2 2 3 2" xfId="4647" xr:uid="{187D3BBC-2F30-4E54-BF60-6686AA852718}"/>
    <cellStyle name="Comma 6 4 2 2 3 2 2" xfId="9403" xr:uid="{ACAD8495-9410-477A-A199-35531A3A5934}"/>
    <cellStyle name="Comma 6 4 2 2 3 2 2 2" xfId="19783" xr:uid="{93C5B541-0741-49C6-BEF0-3FE0CDC50F93}"/>
    <cellStyle name="Comma 6 4 2 2 3 2 3" xfId="12236" xr:uid="{8A4C0AE4-CA6B-43CE-A304-C1A77EFC9CE7}"/>
    <cellStyle name="Comma 6 4 2 2 3 2 3 2" xfId="22616" xr:uid="{351A7092-E753-446E-A119-ADEAA0D954FF}"/>
    <cellStyle name="Comma 6 4 2 2 3 2 4" xfId="27967" xr:uid="{ABD3612A-144F-4974-A4D6-F6C5F0703320}"/>
    <cellStyle name="Comma 6 4 2 2 3 2 5" xfId="28596" xr:uid="{312B778F-60C6-4219-81C0-7FD53D492B70}"/>
    <cellStyle name="Comma 6 4 2 2 3 2 6" xfId="16950" xr:uid="{129F80BC-EC3D-44D7-8C98-01595460F21A}"/>
    <cellStyle name="Comma 6 4 2 2 3 3" xfId="24960" xr:uid="{2283E414-46E5-4049-907A-D24F13EDDB5E}"/>
    <cellStyle name="Comma 6 4 2 2 3 3 2" xfId="30221" xr:uid="{B673F66C-F307-47C3-BA54-E86FB5B49EF6}"/>
    <cellStyle name="Comma 6 4 2 2 3 4" xfId="30608" xr:uid="{74B30AB1-EAAC-4B77-9AD3-C3C5F902F8C1}"/>
    <cellStyle name="Comma 6 4 2 2 3 5" xfId="29736" xr:uid="{92685345-2557-493C-BFAD-FD0BA53CC57D}"/>
    <cellStyle name="Comma 6 4 2 2 4" xfId="1694" xr:uid="{00000000-0005-0000-0000-000077020000}"/>
    <cellStyle name="Comma 6 4 2 2 4 2" xfId="26920" xr:uid="{5EED627A-0015-4E1B-A2B6-EF5D8B44E99E}"/>
    <cellStyle name="Comma 6 4 2 2 4 2 2" xfId="30253" xr:uid="{039F11C8-CF75-441A-B2F7-20EB34773F97}"/>
    <cellStyle name="Comma 6 4 2 2 4 3" xfId="26329" xr:uid="{A5E211ED-3697-47AE-AFB7-DC4A9AEBCE66}"/>
    <cellStyle name="Comma 6 4 2 2 4 4" xfId="30011" xr:uid="{8DCF6313-484C-432B-875D-85764449A2EA}"/>
    <cellStyle name="Comma 6 4 2 2 5" xfId="4260" xr:uid="{57211779-9320-44C5-9837-0748906E7A4C}"/>
    <cellStyle name="Comma 6 4 2 2 5 2" xfId="9032" xr:uid="{3A1E14F9-50A9-4BC3-9B23-12F98A7CD057}"/>
    <cellStyle name="Comma 6 4 2 2 5 2 2" xfId="19412" xr:uid="{5B746D22-E62E-4BCC-B5AB-8BE294689550}"/>
    <cellStyle name="Comma 6 4 2 2 5 3" xfId="11865" xr:uid="{000755D5-7700-4754-B967-5ED980124053}"/>
    <cellStyle name="Comma 6 4 2 2 5 3 2" xfId="22245" xr:uid="{901EA211-D1BA-4DDB-BF1A-DE2745178C81}"/>
    <cellStyle name="Comma 6 4 2 2 5 4" xfId="27949" xr:uid="{7A21C380-1C3B-405E-8007-F7F0A2667C6A}"/>
    <cellStyle name="Comma 6 4 2 2 5 5" xfId="26355" xr:uid="{BF873D68-89B9-4165-9916-E524D274416D}"/>
    <cellStyle name="Comma 6 4 2 2 5 6" xfId="16579" xr:uid="{DD76C47B-4BEF-4E5F-8149-569D6F982A01}"/>
    <cellStyle name="Comma 6 4 2 2 6" xfId="4888" xr:uid="{EA5D0D92-CCEF-4853-BE03-D86DFD2ECEDF}"/>
    <cellStyle name="Comma 6 4 2 2 6 2" xfId="28018" xr:uid="{8DB2376A-D7D2-4A96-83ED-7EFE0D22FA4E}"/>
    <cellStyle name="Comma 6 4 2 2 6 3" xfId="27154" xr:uid="{88855DC0-CDE1-4E14-A52B-9DE3A3E64F10}"/>
    <cellStyle name="Comma 6 4 2 2 6 4" xfId="14180" xr:uid="{D4053323-D138-435E-B09B-2D06BF1F3177}"/>
    <cellStyle name="Comma 6 4 2 2 7" xfId="6633" xr:uid="{A8C3E90C-E98A-4A69-BCCD-D65AB4659552}"/>
    <cellStyle name="Comma 6 4 2 2 7 2" xfId="17013" xr:uid="{35E27ADC-64E2-48C3-B047-3B99EA26CD8E}"/>
    <cellStyle name="Comma 6 4 2 2 8" xfId="9466" xr:uid="{1DE1E175-6029-46A6-8D6A-130CCE65B77A}"/>
    <cellStyle name="Comma 6 4 2 2 8 2" xfId="19846" xr:uid="{D0522DD5-F40C-4C3E-B363-511EC1C0075F}"/>
    <cellStyle name="Comma 6 4 2 2 9" xfId="24421" xr:uid="{8074B458-5983-4302-BBAA-E98DEE0AEFCE}"/>
    <cellStyle name="Comma 6 4 2 3" xfId="1697" xr:uid="{00000000-0005-0000-0000-000078020000}"/>
    <cellStyle name="Comma 6 4 2 3 2" xfId="3043" xr:uid="{00000000-0005-0000-0000-0000EA010000}"/>
    <cellStyle name="Comma 6 4 2 3 2 2" xfId="8123" xr:uid="{0384A77A-4C50-4A21-9871-8CEEE901F830}"/>
    <cellStyle name="Comma 6 4 2 3 2 2 2" xfId="28804" xr:uid="{AC14E83F-D38E-4E39-AEB7-0CD9C098D261}"/>
    <cellStyle name="Comma 6 4 2 3 2 2 3" xfId="26800" xr:uid="{ABDB6786-F739-47A6-AB97-7ACED774675F}"/>
    <cellStyle name="Comma 6 4 2 3 2 2 4" xfId="18503" xr:uid="{8B0BF2DE-017B-40C1-987A-4EA279A1DDD3}"/>
    <cellStyle name="Comma 6 4 2 3 2 3" xfId="10956" xr:uid="{F5D47024-2265-4130-A6B8-E2481033798A}"/>
    <cellStyle name="Comma 6 4 2 3 2 3 2" xfId="21336" xr:uid="{5CC7CCD4-B9FD-41AF-86B6-CBA8245B1A71}"/>
    <cellStyle name="Comma 6 4 2 3 2 4" xfId="25447" xr:uid="{1DEB5072-6A52-41B8-B09E-A4269DE1A5FD}"/>
    <cellStyle name="Comma 6 4 2 3 2 5" xfId="15670" xr:uid="{AFFB747D-8F23-4C0B-A899-0DC021FEA89B}"/>
    <cellStyle name="Comma 6 4 2 3 3" xfId="2081" xr:uid="{00000000-0005-0000-0000-000078020000}"/>
    <cellStyle name="Comma 6 4 2 3 3 2" xfId="29798" xr:uid="{CC218F24-74D2-49BD-991B-8DC85F6E24EC}"/>
    <cellStyle name="Comma 6 4 2 3 4" xfId="4404" xr:uid="{1FB2328B-4382-487E-A902-9BD441BC9913}"/>
    <cellStyle name="Comma 6 4 2 3 4 2" xfId="9176" xr:uid="{8F66199E-1B28-43E3-A19F-CFC291178D6D}"/>
    <cellStyle name="Comma 6 4 2 3 4 2 2" xfId="19556" xr:uid="{D5DEDE6B-E6E5-4EAD-AA05-81693599A82E}"/>
    <cellStyle name="Comma 6 4 2 3 4 3" xfId="12009" xr:uid="{D49E91B3-9301-482A-B4BF-5C9AEB14AC53}"/>
    <cellStyle name="Comma 6 4 2 3 4 3 2" xfId="22389" xr:uid="{17A37291-6571-4D15-B536-039ED25AA43D}"/>
    <cellStyle name="Comma 6 4 2 3 4 4" xfId="16723" xr:uid="{0E1BB8D7-1061-41AD-9946-F1642322DE7C}"/>
    <cellStyle name="Comma 6 4 2 3 5" xfId="5592" xr:uid="{B77D97DF-34AC-4B61-94AB-5E81CC907204}"/>
    <cellStyle name="Comma 6 4 2 3 5 2" xfId="30380" xr:uid="{0EEE8C46-0720-4750-886B-CFC684D8C8DE}"/>
    <cellStyle name="Comma 6 4 2 3 6" xfId="23432" xr:uid="{44806F47-1906-4B34-89B1-7A5705E499F2}"/>
    <cellStyle name="Comma 6 4 2 3 7" xfId="13550" xr:uid="{85825A31-9239-462E-B016-0AC77AABAAAB}"/>
    <cellStyle name="Comma 6 4 2 4" xfId="1698" xr:uid="{00000000-0005-0000-0000-000079020000}"/>
    <cellStyle name="Comma 6 4 2 4 2" xfId="3041" xr:uid="{00000000-0005-0000-0000-0000EB010000}"/>
    <cellStyle name="Comma 6 4 2 4 2 2" xfId="8121" xr:uid="{ADF22222-811F-4F84-B720-222185DDB4A1}"/>
    <cellStyle name="Comma 6 4 2 4 2 2 2" xfId="28802" xr:uid="{922D86D4-CE5F-49B6-BB93-8FE1C4D72254}"/>
    <cellStyle name="Comma 6 4 2 4 2 2 3" xfId="27697" xr:uid="{6FD99DB8-EBD7-49EB-8A7C-1342FBAC3836}"/>
    <cellStyle name="Comma 6 4 2 4 2 2 4" xfId="18501" xr:uid="{1239A679-9578-452E-BA64-7D79A9553E4B}"/>
    <cellStyle name="Comma 6 4 2 4 2 3" xfId="10954" xr:uid="{9CFE8881-6865-452C-A880-B409BA8FC2FB}"/>
    <cellStyle name="Comma 6 4 2 4 2 3 2" xfId="21334" xr:uid="{3FD0A189-72D1-44EF-8586-68EB0ACC380D}"/>
    <cellStyle name="Comma 6 4 2 4 2 4" xfId="24417" xr:uid="{D6823635-BF87-412A-97CD-62CD1E9247DB}"/>
    <cellStyle name="Comma 6 4 2 4 2 5" xfId="15668" xr:uid="{31150317-04E8-41C9-A993-9077679AFEB5}"/>
    <cellStyle name="Comma 6 4 2 4 3" xfId="3671" xr:uid="{00000000-0005-0000-0000-000079020000}"/>
    <cellStyle name="Comma 6 4 2 4 3 2" xfId="29841" xr:uid="{1D18C3A8-FCEE-4F26-91D4-996DD622EB58}"/>
    <cellStyle name="Comma 6 4 2 4 4" xfId="5593" xr:uid="{5E240531-8C52-4B64-996E-6CF2C56EAD6B}"/>
    <cellStyle name="Comma 6 4 2 4 4 2" xfId="30131" xr:uid="{7EB60024-914A-4838-B333-065E0501F855}"/>
    <cellStyle name="Comma 6 4 2 4 5" xfId="23885" xr:uid="{43568BDD-A2A2-40C8-B1D3-E9FAF4B904FE}"/>
    <cellStyle name="Comma 6 4 2 4 6" xfId="13548" xr:uid="{B4E62D67-D4F8-4AEE-A0C8-D1B0BC76898D}"/>
    <cellStyle name="Comma 6 4 2 5" xfId="1693" xr:uid="{00000000-0005-0000-0000-00007A020000}"/>
    <cellStyle name="Comma 6 4 2 5 2" xfId="2528" xr:uid="{00000000-0005-0000-0000-0000EC010000}"/>
    <cellStyle name="Comma 6 4 2 5 2 2" xfId="7653" xr:uid="{31EE074A-1A25-4279-9498-1557E65A9611}"/>
    <cellStyle name="Comma 6 4 2 5 2 2 2" xfId="18033" xr:uid="{2E5103D4-FE6F-4FD3-8CF2-4F6CBE43E536}"/>
    <cellStyle name="Comma 6 4 2 5 2 3" xfId="10486" xr:uid="{47A8CDED-9374-4C4C-9AD1-F9989393134E}"/>
    <cellStyle name="Comma 6 4 2 5 2 3 2" xfId="20866" xr:uid="{894DF4C3-B7A2-4D59-8DF5-E6A4EC275E7C}"/>
    <cellStyle name="Comma 6 4 2 5 2 4" xfId="27791" xr:uid="{E1105289-3713-4AAF-B940-F952224F0EDC}"/>
    <cellStyle name="Comma 6 4 2 5 2 5" xfId="28456" xr:uid="{D273BE61-BBFD-447D-B264-4CFF693C5FDF}"/>
    <cellStyle name="Comma 6 4 2 5 2 6" xfId="15200" xr:uid="{4A290AF2-28F0-47E5-8AC6-D53A411884E3}"/>
    <cellStyle name="Comma 6 4 2 5 3" xfId="3563" xr:uid="{00000000-0005-0000-0000-00007A020000}"/>
    <cellStyle name="Comma 6 4 2 5 3 2" xfId="30189" xr:uid="{9807AF46-2C24-4FC4-A33C-952231AF1141}"/>
    <cellStyle name="Comma 6 4 2 5 4" xfId="5590" xr:uid="{79D951B6-7C6B-413F-B554-86ACD55AFC22}"/>
    <cellStyle name="Comma 6 4 2 5 4 2" xfId="30570" xr:uid="{3505014E-8719-4C39-B5C6-7B91C6365690}"/>
    <cellStyle name="Comma 6 4 2 5 5" xfId="23935" xr:uid="{61B540B9-A018-4E28-B282-83577ECA9D03}"/>
    <cellStyle name="Comma 6 4 2 5 6" xfId="12916" xr:uid="{C6259B45-015A-4F34-84F8-1B874A052B21}"/>
    <cellStyle name="Comma 6 4 2 6" xfId="2280" xr:uid="{00000000-0005-0000-0000-0000E7010000}"/>
    <cellStyle name="Comma 6 4 2 6 2" xfId="7407" xr:uid="{6714873E-F416-44C5-82FA-E05131962C6E}"/>
    <cellStyle name="Comma 6 4 2 6 2 2" xfId="17787" xr:uid="{DAB56B7B-C136-47C5-A747-7B121669E960}"/>
    <cellStyle name="Comma 6 4 2 6 2 3" xfId="29974" xr:uid="{3F7A33BB-B6A5-49EB-A740-25B3B20CA349}"/>
    <cellStyle name="Comma 6 4 2 6 3" xfId="10240" xr:uid="{4C8AE7B1-A4A9-425A-9167-B6967CFE222E}"/>
    <cellStyle name="Comma 6 4 2 6 3 2" xfId="20620" xr:uid="{19177BF8-5573-4BFF-B173-1662A0989156}"/>
    <cellStyle name="Comma 6 4 2 6 4" xfId="23822" xr:uid="{AC9C99D0-AB2A-4CD9-91CC-19279A8AFCB3}"/>
    <cellStyle name="Comma 6 4 2 6 5" xfId="26847" xr:uid="{1A57839F-464C-450B-87F9-255CD7C009FB}"/>
    <cellStyle name="Comma 6 4 2 6 6" xfId="14954" xr:uid="{1E6FD0BC-2500-4D19-B49D-410520A4EE12}"/>
    <cellStyle name="Comma 6 4 2 7" xfId="3819" xr:uid="{92CFE6F2-A1C9-4A93-BBED-550530B8857A}"/>
    <cellStyle name="Comma 6 4 2 7 2" xfId="8652" xr:uid="{6163D877-2216-4038-9EB4-81712A04994C}"/>
    <cellStyle name="Comma 6 4 2 7 2 2" xfId="19032" xr:uid="{03ADF068-45AD-4DAB-8C61-3E6015003565}"/>
    <cellStyle name="Comma 6 4 2 7 3" xfId="11485" xr:uid="{B63E5292-1B5E-45E0-93E5-4A060B62CDFF}"/>
    <cellStyle name="Comma 6 4 2 7 3 2" xfId="21865" xr:uid="{7283CF71-5EE7-47AA-B790-60924D944E8F}"/>
    <cellStyle name="Comma 6 4 2 7 4" xfId="25890" xr:uid="{F39EEEA6-603F-4E58-945E-BB29862672B2}"/>
    <cellStyle name="Comma 6 4 2 7 5" xfId="26507" xr:uid="{C2E764BB-88F9-4C12-9ADA-9E379CE1C073}"/>
    <cellStyle name="Comma 6 4 2 7 6" xfId="16199" xr:uid="{EF1D7535-5DF8-4A8B-938B-FBCFC8BDE855}"/>
    <cellStyle name="Comma 6 4 2 8" xfId="4887" xr:uid="{B9ED5642-C6EF-4D18-85FB-1F3A8F4EEE28}"/>
    <cellStyle name="Comma 6 4 2 8 2" xfId="14179" xr:uid="{ECD191D8-EC14-4B95-862F-94FDC2BBCD9C}"/>
    <cellStyle name="Comma 6 4 2 9" xfId="6632" xr:uid="{D4B262BE-F461-4DC9-89DC-2023215ABCFD}"/>
    <cellStyle name="Comma 6 4 2 9 2" xfId="17012" xr:uid="{6E0271B9-4A40-4868-BD41-DAD782E2C209}"/>
    <cellStyle name="Comma 6 4 3" xfId="498" xr:uid="{00000000-0005-0000-0000-00007B020000}"/>
    <cellStyle name="Comma 6 4 3 10" xfId="25487" xr:uid="{99E9E6DC-A851-4F87-A404-F8E922B22778}"/>
    <cellStyle name="Comma 6 4 3 11" xfId="12670" xr:uid="{5A4B5E9F-8AD8-4DAE-ADCF-C4E4E84DC022}"/>
    <cellStyle name="Comma 6 4 3 2" xfId="1700" xr:uid="{00000000-0005-0000-0000-00007C020000}"/>
    <cellStyle name="Comma 6 4 3 2 2" xfId="3045" xr:uid="{00000000-0005-0000-0000-0000EF010000}"/>
    <cellStyle name="Comma 6 4 3 2 2 2" xfId="6162" xr:uid="{9DE87451-BF29-4F9C-8D44-3C00B4B7AB11}"/>
    <cellStyle name="Comma 6 4 3 2 2 2 2" xfId="25628" xr:uid="{1BE7515C-653A-4F87-876F-63B764521DA0}"/>
    <cellStyle name="Comma 6 4 3 2 2 2 2 2" xfId="28547" xr:uid="{76250F69-99E5-4C87-AA68-28CAC0ABE243}"/>
    <cellStyle name="Comma 6 4 3 2 2 2 3" xfId="28605" xr:uid="{05D73697-F366-4499-ADE0-47D3DE37ECFB}"/>
    <cellStyle name="Comma 6 4 3 2 2 2 4" xfId="15672" xr:uid="{DAA6396E-5617-4A70-B574-AFCD162D4D30}"/>
    <cellStyle name="Comma 6 4 3 2 2 3" xfId="8125" xr:uid="{6C0A3AD5-AA43-4E8F-AD77-C0019D0A2C78}"/>
    <cellStyle name="Comma 6 4 3 2 2 3 2" xfId="28806" xr:uid="{F2C78387-E4A4-41C7-80DE-D7182430BC82}"/>
    <cellStyle name="Comma 6 4 3 2 2 3 3" xfId="28127" xr:uid="{3D9342C1-D49F-4D43-8AC1-93AE5F56062A}"/>
    <cellStyle name="Comma 6 4 3 2 2 3 4" xfId="18505" xr:uid="{2304C356-D9FF-4CB7-8D43-1928F2D47AFB}"/>
    <cellStyle name="Comma 6 4 3 2 2 4" xfId="10958" xr:uid="{A9FEC1FC-DA92-4D7E-A9BA-4BE6D80C1BBE}"/>
    <cellStyle name="Comma 6 4 3 2 2 4 2" xfId="21338" xr:uid="{A0857218-8F4D-4CD3-B2A0-11E1240D74D4}"/>
    <cellStyle name="Comma 6 4 3 2 2 5" xfId="22939" xr:uid="{F447AA7E-14C2-47CB-8EA8-D414A90848E1}"/>
    <cellStyle name="Comma 6 4 3 2 2 6" xfId="13552" xr:uid="{131ED52A-BDC5-46E9-BF9F-9B7B0B88F1B6}"/>
    <cellStyle name="Comma 6 4 3 2 3" xfId="2674" xr:uid="{00000000-0005-0000-0000-0000EE010000}"/>
    <cellStyle name="Comma 6 4 3 2 3 2" xfId="7798" xr:uid="{0F2D7387-1C2C-43EA-8D1B-DCD8B47814A5}"/>
    <cellStyle name="Comma 6 4 3 2 3 2 2" xfId="27270" xr:uid="{5B830BD1-7260-4C2A-8DB9-D8138AC7079C}"/>
    <cellStyle name="Comma 6 4 3 2 3 2 3" xfId="28438" xr:uid="{21009788-6F5C-4071-A2DC-85665187ADF3}"/>
    <cellStyle name="Comma 6 4 3 2 3 2 4" xfId="18178" xr:uid="{9C68AE63-D3BE-44EC-93A1-10DEC2A2FD8F}"/>
    <cellStyle name="Comma 6 4 3 2 3 3" xfId="10631" xr:uid="{E243FB16-8574-4B4D-9DCC-E703BA2E9B76}"/>
    <cellStyle name="Comma 6 4 3 2 3 3 2" xfId="21011" xr:uid="{73F9FFA3-B985-40BB-8F39-555D2D339E60}"/>
    <cellStyle name="Comma 6 4 3 2 3 4" xfId="25068" xr:uid="{8943FECE-0FE9-448B-8798-C7D4A06BFB9E}"/>
    <cellStyle name="Comma 6 4 3 2 3 5" xfId="15345" xr:uid="{FC4FEB2E-5924-4D22-91C3-E4EA0BEE808D}"/>
    <cellStyle name="Comma 6 4 3 2 4" xfId="3649" xr:uid="{00000000-0005-0000-0000-00007C020000}"/>
    <cellStyle name="Comma 6 4 3 2 4 2" xfId="29852" xr:uid="{151860F6-422B-46D9-B150-41A4A4EBA4FD}"/>
    <cellStyle name="Comma 6 4 3 2 5" xfId="4261" xr:uid="{A51EAC08-E66F-40E2-903C-7CC3150401A1}"/>
    <cellStyle name="Comma 6 4 3 2 5 2" xfId="9033" xr:uid="{9CB19842-F4C9-4617-BA4E-C32A4ABED1D6}"/>
    <cellStyle name="Comma 6 4 3 2 5 2 2" xfId="19413" xr:uid="{29A40CE9-1ADF-482C-8C07-4FAB69ECEEE9}"/>
    <cellStyle name="Comma 6 4 3 2 5 3" xfId="11866" xr:uid="{23A53419-8BF1-421F-A70F-CACA88D74416}"/>
    <cellStyle name="Comma 6 4 3 2 5 3 2" xfId="22246" xr:uid="{EB58247D-0D07-4A99-B592-41F2A71DB9DA}"/>
    <cellStyle name="Comma 6 4 3 2 5 4" xfId="27782" xr:uid="{70C3B298-AD80-4B7B-B6B7-937B7807FEF0}"/>
    <cellStyle name="Comma 6 4 3 2 5 5" xfId="26942" xr:uid="{0A76B398-CCEB-44F2-A850-E5E77487E760}"/>
    <cellStyle name="Comma 6 4 3 2 5 6" xfId="16580" xr:uid="{2E50FF22-5A32-4A14-A5DC-A900B3753DB5}"/>
    <cellStyle name="Comma 6 4 3 2 6" xfId="5595" xr:uid="{5E2AC345-4328-4BFD-8DA3-5CCEC7838AEA}"/>
    <cellStyle name="Comma 6 4 3 2 6 2" xfId="30474" xr:uid="{BA03E171-DE00-4906-976B-E87EB722B333}"/>
    <cellStyle name="Comma 6 4 3 2 7" xfId="22718" xr:uid="{2381AC7C-D874-457D-824B-CD7134186CFD}"/>
    <cellStyle name="Comma 6 4 3 2 8" xfId="13082" xr:uid="{CB1CC082-7815-46C3-8934-9E81858CC6E3}"/>
    <cellStyle name="Comma 6 4 3 3" xfId="1701" xr:uid="{00000000-0005-0000-0000-00007D020000}"/>
    <cellStyle name="Comma 6 4 3 3 2" xfId="3046" xr:uid="{00000000-0005-0000-0000-0000F0010000}"/>
    <cellStyle name="Comma 6 4 3 3 2 2" xfId="8126" xr:uid="{E1647CBD-57C7-49A5-8AD5-21902424509E}"/>
    <cellStyle name="Comma 6 4 3 3 2 2 2" xfId="28807" xr:uid="{7AF06F04-B747-4D85-A892-73CBA0EA89FC}"/>
    <cellStyle name="Comma 6 4 3 3 2 2 3" xfId="26419" xr:uid="{A4AFFC74-E361-4181-9D14-1A2AA74BA744}"/>
    <cellStyle name="Comma 6 4 3 3 2 2 4" xfId="18506" xr:uid="{80803E80-3592-497A-882C-532D47CAD3F1}"/>
    <cellStyle name="Comma 6 4 3 3 2 3" xfId="10959" xr:uid="{A5CEA30C-A014-4CC8-B570-6C5E75F60085}"/>
    <cellStyle name="Comma 6 4 3 3 2 3 2" xfId="21339" xr:uid="{B2944D65-2E02-4493-94E6-C3ED577A2F5A}"/>
    <cellStyle name="Comma 6 4 3 3 2 4" xfId="24514" xr:uid="{99256903-5A76-4761-8307-3040FBD844E4}"/>
    <cellStyle name="Comma 6 4 3 3 2 5" xfId="15673" xr:uid="{797CFECA-5B3A-425C-8321-CA57176B4E48}"/>
    <cellStyle name="Comma 6 4 3 3 3" xfId="3612" xr:uid="{00000000-0005-0000-0000-00007D020000}"/>
    <cellStyle name="Comma 6 4 3 3 3 2" xfId="29925" xr:uid="{410B2222-8F04-46EA-AC0B-C3535F0C370A}"/>
    <cellStyle name="Comma 6 4 3 3 4" xfId="4405" xr:uid="{8749C45E-E41A-4304-B61B-78506631CC99}"/>
    <cellStyle name="Comma 6 4 3 3 4 2" xfId="9177" xr:uid="{58432CAA-B985-4BC9-9656-18D51ACB7F3C}"/>
    <cellStyle name="Comma 6 4 3 3 4 2 2" xfId="19557" xr:uid="{130B0B8D-4585-458D-947D-4883D9BB8669}"/>
    <cellStyle name="Comma 6 4 3 3 4 3" xfId="12010" xr:uid="{88B8CD83-86AD-4EDE-8804-B00361DDCBA9}"/>
    <cellStyle name="Comma 6 4 3 3 4 3 2" xfId="22390" xr:uid="{77E9CE91-FD59-4A3C-8041-0796A6B5D588}"/>
    <cellStyle name="Comma 6 4 3 3 4 4" xfId="16724" xr:uid="{4DCC8238-8690-47E5-AC62-1D9F5187A8AC}"/>
    <cellStyle name="Comma 6 4 3 3 5" xfId="5596" xr:uid="{8CF9A14E-6DB8-411F-9023-F13F2916B13F}"/>
    <cellStyle name="Comma 6 4 3 3 5 2" xfId="30579" xr:uid="{D7144351-3126-4B5D-B1E1-26A7BBCD01FF}"/>
    <cellStyle name="Comma 6 4 3 3 6" xfId="24026" xr:uid="{8B39DA3A-C438-4ADA-826C-4F6E92D2FD76}"/>
    <cellStyle name="Comma 6 4 3 3 7" xfId="13553" xr:uid="{B90FC4BC-D5EE-4BFC-97CD-4E73557F868E}"/>
    <cellStyle name="Comma 6 4 3 4" xfId="1699" xr:uid="{00000000-0005-0000-0000-00007E020000}"/>
    <cellStyle name="Comma 6 4 3 4 2" xfId="3044" xr:uid="{00000000-0005-0000-0000-0000F1010000}"/>
    <cellStyle name="Comma 6 4 3 4 2 2" xfId="8124" xr:uid="{3608156F-8EFF-4B12-B2DE-E52AD2437F57}"/>
    <cellStyle name="Comma 6 4 3 4 2 2 2" xfId="28805" xr:uid="{B98C073F-6138-401A-83A0-F369A3A9D6F6}"/>
    <cellStyle name="Comma 6 4 3 4 2 2 3" xfId="27090" xr:uid="{46AB2BEE-3AC9-4711-AFA2-9CF90C02A985}"/>
    <cellStyle name="Comma 6 4 3 4 2 2 4" xfId="18504" xr:uid="{B643F2D4-3235-49CA-A168-457CC3C641F7}"/>
    <cellStyle name="Comma 6 4 3 4 2 3" xfId="10957" xr:uid="{04D550A1-46DD-4932-B220-53E593ED5562}"/>
    <cellStyle name="Comma 6 4 3 4 2 3 2" xfId="21337" xr:uid="{482C49D2-0469-4D42-A938-CE70AC63C0E6}"/>
    <cellStyle name="Comma 6 4 3 4 2 4" xfId="25643" xr:uid="{400FD5B9-741B-4FA3-9B44-D231F7466CE7}"/>
    <cellStyle name="Comma 6 4 3 4 2 5" xfId="15671" xr:uid="{5FD351B0-0009-4143-9224-F9D3B6D1470E}"/>
    <cellStyle name="Comma 6 4 3 4 3" xfId="3697" xr:uid="{00000000-0005-0000-0000-00007E020000}"/>
    <cellStyle name="Comma 6 4 3 4 3 2" xfId="30310" xr:uid="{53066D3B-E35A-4ECC-B4E3-DF92767F6042}"/>
    <cellStyle name="Comma 6 4 3 4 4" xfId="5594" xr:uid="{597046DC-F5C8-4A2C-9A13-CCBC4373604F}"/>
    <cellStyle name="Comma 6 4 3 4 4 2" xfId="30745" xr:uid="{14E13FBC-8B94-4C19-A292-17AE6B924215}"/>
    <cellStyle name="Comma 6 4 3 4 5" xfId="25478" xr:uid="{AEBF6BF0-781B-4251-9C43-BF55D4DC9F58}"/>
    <cellStyle name="Comma 6 4 3 4 6" xfId="13551" xr:uid="{B4199247-567C-4F13-B7D1-F52C7E04729D}"/>
    <cellStyle name="Comma 6 4 3 5" xfId="2631" xr:uid="{00000000-0005-0000-0000-0000F2010000}"/>
    <cellStyle name="Comma 6 4 3 5 2" xfId="5893" xr:uid="{4BECADB6-235B-4CAC-85C0-80D0E27B1737}"/>
    <cellStyle name="Comma 6 4 3 5 2 2" xfId="28302" xr:uid="{1BA41FC7-0065-4D43-BA00-BDEAFE6AEDAD}"/>
    <cellStyle name="Comma 6 4 3 5 2 3" xfId="27214" xr:uid="{BF202D75-2FFE-4931-8BE5-4A175775E00B}"/>
    <cellStyle name="Comma 6 4 3 5 2 4" xfId="15303" xr:uid="{5B87071E-8FCF-43D2-9B8C-50EBB975AD9F}"/>
    <cellStyle name="Comma 6 4 3 5 3" xfId="7756" xr:uid="{5E3F39A1-AB86-48FC-AE39-E9EBF19A365A}"/>
    <cellStyle name="Comma 6 4 3 5 3 2" xfId="18136" xr:uid="{D3B9B875-3C36-4038-A144-7BABB514FC75}"/>
    <cellStyle name="Comma 6 4 3 5 4" xfId="10589" xr:uid="{8F0C5218-4D09-4D7A-964D-0AFC40F6DFEB}"/>
    <cellStyle name="Comma 6 4 3 5 4 2" xfId="20969" xr:uid="{F969427A-56A9-4C66-B48B-5630DFB9516B}"/>
    <cellStyle name="Comma 6 4 3 5 5" xfId="24237" xr:uid="{C18D7421-1938-4614-97DD-D9CCFEB24FF0}"/>
    <cellStyle name="Comma 6 4 3 5 6" xfId="13019" xr:uid="{73E37B0D-96A4-40DD-A58F-BE503DB3A20D}"/>
    <cellStyle name="Comma 6 4 3 6" xfId="4126" xr:uid="{BC11153B-3590-4A4C-9A42-D5B85167EDEC}"/>
    <cellStyle name="Comma 6 4 3 6 2" xfId="8898" xr:uid="{5987FDF2-CD76-4027-8C40-BADE8EB16492}"/>
    <cellStyle name="Comma 6 4 3 6 2 2" xfId="19278" xr:uid="{C77FE529-4055-4AE2-90DD-A660AD868028}"/>
    <cellStyle name="Comma 6 4 3 6 3" xfId="11731" xr:uid="{C5637927-D691-4E7B-8071-78C18F69F33B}"/>
    <cellStyle name="Comma 6 4 3 6 3 2" xfId="22111" xr:uid="{FF695EF4-4938-421C-B4C1-B1580C099238}"/>
    <cellStyle name="Comma 6 4 3 6 4" xfId="24161" xr:uid="{DA708D23-DBBB-4E21-A69E-2C68CD775D36}"/>
    <cellStyle name="Comma 6 4 3 6 5" xfId="26773" xr:uid="{427B066A-B632-4273-AD4F-6D47319C3D9E}"/>
    <cellStyle name="Comma 6 4 3 6 6" xfId="16445" xr:uid="{74E4A04D-2625-40F8-913E-E71CD7A37B6E}"/>
    <cellStyle name="Comma 6 4 3 7" xfId="4889" xr:uid="{FF7A6E91-B71F-402F-84BE-27BA9A689206}"/>
    <cellStyle name="Comma 6 4 3 7 2" xfId="26955" xr:uid="{E692CFC7-761B-4524-AEF1-ADA4AE5C43EA}"/>
    <cellStyle name="Comma 6 4 3 7 3" xfId="28461" xr:uid="{EF2DDD8E-D26A-4D5D-AC55-67A7CC964379}"/>
    <cellStyle name="Comma 6 4 3 7 4" xfId="14181" xr:uid="{958C6408-2027-4BE6-B6CD-ED8CF2230424}"/>
    <cellStyle name="Comma 6 4 3 8" xfId="6634" xr:uid="{A8484347-CEB4-4D7F-B443-41F73EC9CF28}"/>
    <cellStyle name="Comma 6 4 3 8 2" xfId="17014" xr:uid="{86F2C499-DC60-442F-906F-348F5F5B6154}"/>
    <cellStyle name="Comma 6 4 3 9" xfId="9467" xr:uid="{44DF4BDE-7007-468D-A11A-5B176D57FA95}"/>
    <cellStyle name="Comma 6 4 3 9 2" xfId="19847" xr:uid="{6A3C9AA7-7596-4832-B681-46D68794F167}"/>
    <cellStyle name="Comma 6 4 4" xfId="499" xr:uid="{00000000-0005-0000-0000-00007F020000}"/>
    <cellStyle name="Comma 6 4 4 10" xfId="13080" xr:uid="{161F3D9E-FDAC-4369-8A82-BAFFD660836D}"/>
    <cellStyle name="Comma 6 4 4 2" xfId="1703" xr:uid="{00000000-0005-0000-0000-000080020000}"/>
    <cellStyle name="Comma 6 4 4 2 2" xfId="3047" xr:uid="{00000000-0005-0000-0000-0000F4010000}"/>
    <cellStyle name="Comma 6 4 4 2 2 2" xfId="8127" xr:uid="{144748D8-8110-4C5D-823F-47C3385D852A}"/>
    <cellStyle name="Comma 6 4 4 2 2 2 2" xfId="28808" xr:uid="{6AD90FE4-3CB8-4933-9B68-7C7298C52AE0}"/>
    <cellStyle name="Comma 6 4 4 2 2 2 3" xfId="28243" xr:uid="{238413C4-BC84-456A-A16A-38101E29D3E0}"/>
    <cellStyle name="Comma 6 4 4 2 2 2 4" xfId="18507" xr:uid="{F8F41174-04D6-4C1F-957B-0A4EDEB6160D}"/>
    <cellStyle name="Comma 6 4 4 2 2 3" xfId="10960" xr:uid="{05BA871B-49D9-49A9-BB48-6443A0BBCD06}"/>
    <cellStyle name="Comma 6 4 4 2 2 3 2" xfId="21340" xr:uid="{34C15700-FD27-4498-8393-09C164FCD201}"/>
    <cellStyle name="Comma 6 4 4 2 2 4" xfId="24761" xr:uid="{F1599F21-A582-4D54-8F2B-1F18A24D247D}"/>
    <cellStyle name="Comma 6 4 4 2 2 5" xfId="15674" xr:uid="{A3EA306A-3791-432B-8C4B-EF911D8EF55F}"/>
    <cellStyle name="Comma 6 4 4 2 3" xfId="3640" xr:uid="{00000000-0005-0000-0000-000080020000}"/>
    <cellStyle name="Comma 6 4 4 2 3 2" xfId="30746" xr:uid="{99148F34-BE5D-4BA4-9264-D7B607281764}"/>
    <cellStyle name="Comma 6 4 4 2 4" xfId="5597" xr:uid="{D7CC43DA-455D-407E-BF01-57D0564EA6B6}"/>
    <cellStyle name="Comma 6 4 4 2 5" xfId="23459" xr:uid="{25976DFB-D12E-44FC-BA6D-3E379ED1878F}"/>
    <cellStyle name="Comma 6 4 4 2 6" xfId="13554" xr:uid="{3DB1E49B-06F4-4933-AD00-0C600988B65B}"/>
    <cellStyle name="Comma 6 4 4 3" xfId="1704" xr:uid="{00000000-0005-0000-0000-000081020000}"/>
    <cellStyle name="Comma 6 4 4 3 2" xfId="4624" xr:uid="{9494D2FE-9603-4520-BB34-B0A7762C3101}"/>
    <cellStyle name="Comma 6 4 4 3 2 2" xfId="9396" xr:uid="{82C1F46B-3AB1-4180-B72C-C27061F6C38D}"/>
    <cellStyle name="Comma 6 4 4 3 2 2 2" xfId="19776" xr:uid="{D912D5B9-435E-47F8-B665-98B3269A7A93}"/>
    <cellStyle name="Comma 6 4 4 3 2 3" xfId="12229" xr:uid="{19AF2720-C897-4870-88B1-1084B759AD28}"/>
    <cellStyle name="Comma 6 4 4 3 2 3 2" xfId="22609" xr:uid="{BA23040E-9D36-43EE-A03D-912871B8A62D}"/>
    <cellStyle name="Comma 6 4 4 3 2 4" xfId="26199" xr:uid="{472BDDCC-6E87-4271-800D-0A670E255469}"/>
    <cellStyle name="Comma 6 4 4 3 2 5" xfId="27936" xr:uid="{C21A1C05-1A22-43CB-B467-F45DFFC42A54}"/>
    <cellStyle name="Comma 6 4 4 3 2 6" xfId="16943" xr:uid="{0B261E0F-2906-43CC-8B78-EF21FAC3E3A4}"/>
    <cellStyle name="Comma 6 4 4 3 3" xfId="25011" xr:uid="{D13AD506-B971-43E8-9263-B2003BB20B7B}"/>
    <cellStyle name="Comma 6 4 4 3 3 2" xfId="30654" xr:uid="{CDAC8D72-9E53-4678-A544-552E4D059A44}"/>
    <cellStyle name="Comma 6 4 4 3 4" xfId="30010" xr:uid="{3D552747-8AB6-4180-83C2-86F541C2E806}"/>
    <cellStyle name="Comma 6 4 4 4" xfId="1702" xr:uid="{00000000-0005-0000-0000-000082020000}"/>
    <cellStyle name="Comma 6 4 4 4 2" xfId="29668" xr:uid="{8E454443-2315-4654-8B83-0F94F6997914}"/>
    <cellStyle name="Comma 6 4 4 5" xfId="4259" xr:uid="{F88A1956-BAD7-4D08-9EEC-B2583E75D0DD}"/>
    <cellStyle name="Comma 6 4 4 5 2" xfId="9031" xr:uid="{921BDAC3-0294-4D86-8C5F-754A50525046}"/>
    <cellStyle name="Comma 6 4 4 5 2 2" xfId="19411" xr:uid="{7F2C0D14-E739-477C-A33B-5DDBE2A55F78}"/>
    <cellStyle name="Comma 6 4 4 5 3" xfId="11864" xr:uid="{CB563B1E-333D-437D-80F1-F1E92395B99F}"/>
    <cellStyle name="Comma 6 4 4 5 3 2" xfId="22244" xr:uid="{DAB37DDA-1810-4257-AF18-71A6F4AEF98C}"/>
    <cellStyle name="Comma 6 4 4 5 4" xfId="25902" xr:uid="{6E4D4D61-4FA4-40F8-B260-4F74A35085BF}"/>
    <cellStyle name="Comma 6 4 4 5 5" xfId="26028" xr:uid="{0AE5C490-7D0B-48C0-B974-61B1DA7B0177}"/>
    <cellStyle name="Comma 6 4 4 5 6" xfId="16578" xr:uid="{C055D660-BCFC-4A7A-8BC6-76732CE75695}"/>
    <cellStyle name="Comma 6 4 4 6" xfId="4890" xr:uid="{C522401C-4DD6-4E1D-99C9-6E3D20EE2307}"/>
    <cellStyle name="Comma 6 4 4 6 2" xfId="14182" xr:uid="{5A0FF2A1-DA42-4A5E-AA72-2558B44A6109}"/>
    <cellStyle name="Comma 6 4 4 7" xfId="6635" xr:uid="{73F23711-DC0F-4F58-BF0D-2FB69ED65B37}"/>
    <cellStyle name="Comma 6 4 4 7 2" xfId="17015" xr:uid="{4087778A-5F0C-451B-A20D-77C3676FFA5F}"/>
    <cellStyle name="Comma 6 4 4 8" xfId="9468" xr:uid="{3B9B1F41-8EAC-4A06-9F83-A42D7AB79BB2}"/>
    <cellStyle name="Comma 6 4 4 8 2" xfId="19848" xr:uid="{689CAA96-C143-47E1-B5AD-C8E73BCD6AA1}"/>
    <cellStyle name="Comma 6 4 4 9" xfId="23863" xr:uid="{7228455F-2DD3-482A-BC3F-C95BE560FE7B}"/>
    <cellStyle name="Comma 6 4 5" xfId="1705" xr:uid="{00000000-0005-0000-0000-000083020000}"/>
    <cellStyle name="Comma 6 4 5 2" xfId="3048" xr:uid="{00000000-0005-0000-0000-0000F5010000}"/>
    <cellStyle name="Comma 6 4 5 2 2" xfId="8128" xr:uid="{54D4C34B-2D2B-447A-B5B4-5775E8620FFC}"/>
    <cellStyle name="Comma 6 4 5 2 2 2" xfId="28809" xr:uid="{B647D0DC-ECE0-42C5-BCA0-0BB0781E8855}"/>
    <cellStyle name="Comma 6 4 5 2 2 3" xfId="28587" xr:uid="{46477F41-C513-4AA2-B52E-DD5043778A61}"/>
    <cellStyle name="Comma 6 4 5 2 2 4" xfId="18508" xr:uid="{AE896CAB-4E2D-4BC4-A2FB-544C8CDB6C94}"/>
    <cellStyle name="Comma 6 4 5 2 3" xfId="10961" xr:uid="{50637E51-5562-46AD-B882-65EC355770F2}"/>
    <cellStyle name="Comma 6 4 5 2 3 2" xfId="21341" xr:uid="{850D5D37-6DE8-4841-9460-F73B80017985}"/>
    <cellStyle name="Comma 6 4 5 2 4" xfId="23526" xr:uid="{5BC62036-1F54-49D8-99C8-F8F4DB207CE7}"/>
    <cellStyle name="Comma 6 4 5 2 5" xfId="15675" xr:uid="{21144154-8EC4-4BBF-9F05-1059A220AD7A}"/>
    <cellStyle name="Comma 6 4 5 3" xfId="3590" xr:uid="{00000000-0005-0000-0000-000083020000}"/>
    <cellStyle name="Comma 6 4 5 3 2" xfId="29821" xr:uid="{77B379F0-CFED-4694-A8F8-50DF635BCC98}"/>
    <cellStyle name="Comma 6 4 5 4" xfId="4406" xr:uid="{7541ECBE-E625-46C2-913D-030F44B4E812}"/>
    <cellStyle name="Comma 6 4 5 4 2" xfId="9178" xr:uid="{10C0E120-5A4F-40E2-A73A-0F419D8AFE7D}"/>
    <cellStyle name="Comma 6 4 5 4 2 2" xfId="19558" xr:uid="{42C0B2DC-4602-4CB8-B7DD-A48E64A1A11E}"/>
    <cellStyle name="Comma 6 4 5 4 3" xfId="12011" xr:uid="{BC30DDE6-6812-430F-A96A-70862DC750C2}"/>
    <cellStyle name="Comma 6 4 5 4 3 2" xfId="22391" xr:uid="{94CCDCB7-721D-4547-9880-5CA7F7110942}"/>
    <cellStyle name="Comma 6 4 5 4 4" xfId="16725" xr:uid="{1A4CDAA2-885C-4A5C-95B3-C6CE07D1A4F9}"/>
    <cellStyle name="Comma 6 4 5 5" xfId="5598" xr:uid="{8F23EDCF-D0A9-4732-B643-145982D71AB9}"/>
    <cellStyle name="Comma 6 4 5 5 2" xfId="30442" xr:uid="{39B64628-5E98-486F-85DD-6A17BAA8E97D}"/>
    <cellStyle name="Comma 6 4 5 6" xfId="24375" xr:uid="{91D1EDE4-7110-405F-8750-08A556862BDF}"/>
    <cellStyle name="Comma 6 4 5 7" xfId="13555" xr:uid="{A7F02A6C-6510-4740-9354-BBF236F91E84}"/>
    <cellStyle name="Comma 6 4 6" xfId="1706" xr:uid="{00000000-0005-0000-0000-000084020000}"/>
    <cellStyle name="Comma 6 4 6 2" xfId="2873" xr:uid="{00000000-0005-0000-0000-0000F6010000}"/>
    <cellStyle name="Comma 6 4 6 2 2" xfId="7990" xr:uid="{DFBB432E-3A5A-496E-818E-C55060EC3CBB}"/>
    <cellStyle name="Comma 6 4 6 2 2 2" xfId="26252" xr:uid="{A6D4DEA5-5A3D-446F-9100-76438298D113}"/>
    <cellStyle name="Comma 6 4 6 2 2 3" xfId="26689" xr:uid="{F4F25F70-E51E-45AB-A23C-17588D0AB7CF}"/>
    <cellStyle name="Comma 6 4 6 2 2 4" xfId="18370" xr:uid="{751CBBBD-02F1-4EC8-A428-B1D92AA0FD74}"/>
    <cellStyle name="Comma 6 4 6 2 3" xfId="10823" xr:uid="{4B0563F5-F4ED-4FF4-B040-CF8FC99765CE}"/>
    <cellStyle name="Comma 6 4 6 2 3 2" xfId="21203" xr:uid="{6A137480-FFB3-476C-8BA5-C9E9950A55B4}"/>
    <cellStyle name="Comma 6 4 6 2 4" xfId="22969" xr:uid="{92746F34-F1DA-4DC9-AA9E-79EFD699D503}"/>
    <cellStyle name="Comma 6 4 6 2 5" xfId="15537" xr:uid="{F1E2F4F3-F31F-4441-8AD3-41AFDF0573C0}"/>
    <cellStyle name="Comma 6 4 6 3" xfId="3685" xr:uid="{00000000-0005-0000-0000-000084020000}"/>
    <cellStyle name="Comma 6 4 6 3 2" xfId="29900" xr:uid="{CD8D0817-16AE-488B-9A4D-B6A7334E37A6}"/>
    <cellStyle name="Comma 6 4 6 4" xfId="5599" xr:uid="{A8028302-ED8A-40B8-8A70-7BEFE282F4FC}"/>
    <cellStyle name="Comma 6 4 6 4 2" xfId="30162" xr:uid="{9AF4FDC9-B09B-4FF8-BDD0-2D81A9E65FD5}"/>
    <cellStyle name="Comma 6 4 6 5" xfId="23417" xr:uid="{C2BB730C-BD1C-467F-A026-B3DC5A68504F}"/>
    <cellStyle name="Comma 6 4 6 6" xfId="13368" xr:uid="{1AC7631A-FD2B-4EB4-9784-B8AF1011B9CD}"/>
    <cellStyle name="Comma 6 4 7" xfId="1692" xr:uid="{00000000-0005-0000-0000-000085020000}"/>
    <cellStyle name="Comma 6 4 7 2" xfId="2468" xr:uid="{00000000-0005-0000-0000-0000F7010000}"/>
    <cellStyle name="Comma 6 4 7 2 2" xfId="7593" xr:uid="{A65CD5EB-1051-4973-BA95-26C5C049E7B7}"/>
    <cellStyle name="Comma 6 4 7 2 2 2" xfId="17973" xr:uid="{F1AB390C-53D0-4162-83C7-8EA513F983E3}"/>
    <cellStyle name="Comma 6 4 7 2 3" xfId="10426" xr:uid="{11D00CB4-211A-455B-B691-7CC4AD02121C}"/>
    <cellStyle name="Comma 6 4 7 2 3 2" xfId="20806" xr:uid="{7E0350DF-70CE-4B56-A34F-A26805D35A02}"/>
    <cellStyle name="Comma 6 4 7 2 4" xfId="27401" xr:uid="{46B2D801-E2B4-415C-A933-BDBDE9533E7C}"/>
    <cellStyle name="Comma 6 4 7 2 5" xfId="26155" xr:uid="{7CFDDA6D-9A08-4A78-B530-EB2BD8ECFC7B}"/>
    <cellStyle name="Comma 6 4 7 2 6" xfId="15140" xr:uid="{74FD98A7-4C92-4590-AADB-1C3B55717B94}"/>
    <cellStyle name="Comma 6 4 7 3" xfId="3635" xr:uid="{00000000-0005-0000-0000-000085020000}"/>
    <cellStyle name="Comma 6 4 7 3 2" xfId="30629" xr:uid="{1C5B4619-C7E6-484B-94F0-7A00B565E5A3}"/>
    <cellStyle name="Comma 6 4 7 4" xfId="5589" xr:uid="{5F3C36C8-D1B5-4C42-9705-CB72C5A4950A}"/>
    <cellStyle name="Comma 6 4 7 5" xfId="22831" xr:uid="{80ED073A-316E-4622-8079-102557309958}"/>
    <cellStyle name="Comma 6 4 7 6" xfId="12856" xr:uid="{F1798703-5663-4830-80B6-46478CA449D9}"/>
    <cellStyle name="Comma 6 4 8" xfId="2222" xr:uid="{00000000-0005-0000-0000-0000E6010000}"/>
    <cellStyle name="Comma 6 4 8 2" xfId="7349" xr:uid="{C41CE54C-FD8B-4A42-9930-9155DD2D3E09}"/>
    <cellStyle name="Comma 6 4 8 2 2" xfId="17729" xr:uid="{65DA0D79-1C0A-41F2-9143-825CBCBDD161}"/>
    <cellStyle name="Comma 6 4 8 3" xfId="10182" xr:uid="{908AC10B-86A3-411D-A405-A408A77ECBD5}"/>
    <cellStyle name="Comma 6 4 8 3 2" xfId="20562" xr:uid="{DC3F41D7-DCD9-4D73-9B1B-D3871BC7F286}"/>
    <cellStyle name="Comma 6 4 8 4" xfId="25407" xr:uid="{4359DC52-0CBD-4BDF-8FB2-AFDE5782EC45}"/>
    <cellStyle name="Comma 6 4 8 5" xfId="27614" xr:uid="{7F10D4B5-D9AF-4A09-8572-6652D106B2F7}"/>
    <cellStyle name="Comma 6 4 8 6" xfId="14896" xr:uid="{EB5A04D0-C700-4751-AC83-4883233AC4E1}"/>
    <cellStyle name="Comma 6 4 9" xfId="3867" xr:uid="{44D94F21-4B52-4460-9384-B6B9C6F74F70}"/>
    <cellStyle name="Comma 6 4 9 2" xfId="8699" xr:uid="{8384AADA-23E2-4A6B-A8D3-8EFF809C4492}"/>
    <cellStyle name="Comma 6 4 9 2 2" xfId="19079" xr:uid="{0325ACFA-2711-4CCD-A95E-46F0118EE30F}"/>
    <cellStyle name="Comma 6 4 9 3" xfId="11532" xr:uid="{8ABDBCA1-3D1C-410C-B9B7-FDC8023C9FBC}"/>
    <cellStyle name="Comma 6 4 9 3 2" xfId="21912" xr:uid="{BE857919-D2AA-423B-A68D-C9D2B6CDC4A4}"/>
    <cellStyle name="Comma 6 4 9 4" xfId="27712" xr:uid="{BCF7AB0B-7FF1-4ED6-A2B9-6C5D4BE30012}"/>
    <cellStyle name="Comma 6 4 9 5" xfId="27599" xr:uid="{3E954F38-21E4-424A-870B-3DF4002BE41B}"/>
    <cellStyle name="Comma 6 4 9 6" xfId="16246" xr:uid="{14FEADCD-C5DC-4910-9D9E-9078A2DC52FD}"/>
    <cellStyle name="Comma 6 5" xfId="1707" xr:uid="{00000000-0005-0000-0000-000086020000}"/>
    <cellStyle name="Comma 6 5 10" xfId="25751" xr:uid="{F3893E22-8AFA-4C20-88BE-99F6D0B7836B}"/>
    <cellStyle name="Comma 6 5 11" xfId="12959" xr:uid="{6081739D-F564-4AF8-9D03-600F4BF43A0D}"/>
    <cellStyle name="Comma 6 5 2" xfId="2675" xr:uid="{00000000-0005-0000-0000-0000F9010000}"/>
    <cellStyle name="Comma 6 5 2 2" xfId="3050" xr:uid="{00000000-0005-0000-0000-0000FA010000}"/>
    <cellStyle name="Comma 6 5 2 2 2" xfId="6164" xr:uid="{9072506B-66F6-434E-AF9A-C449954DC0D8}"/>
    <cellStyle name="Comma 6 5 2 2 2 2" xfId="27443" xr:uid="{9BBE47B7-6F11-45B5-8B2A-B0A3C36FE1BB}"/>
    <cellStyle name="Comma 6 5 2 2 2 3" xfId="25995" xr:uid="{29FCB692-FD3E-4D43-8557-D799C388341A}"/>
    <cellStyle name="Comma 6 5 2 2 2 4" xfId="15677" xr:uid="{5CE6BAD9-BA76-4CB5-8800-77D44C849C38}"/>
    <cellStyle name="Comma 6 5 2 2 3" xfId="8130" xr:uid="{CE5D24FA-4D71-4FBE-8ABD-CFAD66472B47}"/>
    <cellStyle name="Comma 6 5 2 2 3 2" xfId="18510" xr:uid="{6069F6D0-7212-44E3-8E25-81661A9D5019}"/>
    <cellStyle name="Comma 6 5 2 2 4" xfId="10963" xr:uid="{7BD62EEE-A729-458D-B4B3-F68E635BB264}"/>
    <cellStyle name="Comma 6 5 2 2 4 2" xfId="21343" xr:uid="{AD7DC9C6-DC5C-44A6-9249-87D4B0A7A7C0}"/>
    <cellStyle name="Comma 6 5 2 2 5" xfId="24527" xr:uid="{7F466391-28BE-411E-B2DE-BE091A55F44A}"/>
    <cellStyle name="Comma 6 5 2 2 6" xfId="13557" xr:uid="{E4BE6815-7EC8-4CD5-9BD7-CBFE59D1CF49}"/>
    <cellStyle name="Comma 6 5 2 3" xfId="4262" xr:uid="{AE78412A-E3FD-4707-9349-D83D4CB2A6DF}"/>
    <cellStyle name="Comma 6 5 2 3 2" xfId="9034" xr:uid="{E04F1C4D-6215-48C9-8273-7D130D5F91D6}"/>
    <cellStyle name="Comma 6 5 2 3 2 2" xfId="29094" xr:uid="{F12DCF9A-CA5B-435F-8783-D7D7A2F6C175}"/>
    <cellStyle name="Comma 6 5 2 3 2 3" xfId="27012" xr:uid="{A7EDC08D-0DD7-4282-A2F4-ACBD8F2E9EE3}"/>
    <cellStyle name="Comma 6 5 2 3 2 4" xfId="19414" xr:uid="{01D3B6AA-65B1-45C6-BE98-8521B2340194}"/>
    <cellStyle name="Comma 6 5 2 3 3" xfId="11867" xr:uid="{35E77887-7461-46CE-8CAC-49FA064BC684}"/>
    <cellStyle name="Comma 6 5 2 3 3 2" xfId="22247" xr:uid="{E16DFC60-DE26-40A4-BB19-DE0AF5BA5E71}"/>
    <cellStyle name="Comma 6 5 2 3 4" xfId="24174" xr:uid="{76B4C1B6-06C5-4A52-9551-5BF59DA735A3}"/>
    <cellStyle name="Comma 6 5 2 3 5" xfId="16581" xr:uid="{F083096D-6C9E-4EF8-BF38-7EAA039A1FF8}"/>
    <cellStyle name="Comma 6 5 2 4" xfId="5921" xr:uid="{D13FD7F3-58AF-4C81-814A-2FEC26EB0EE5}"/>
    <cellStyle name="Comma 6 5 2 4 2" xfId="28656" xr:uid="{90F87C2A-E3B4-4A3B-B5AC-CD9FF1CB3B92}"/>
    <cellStyle name="Comma 6 5 2 4 3" xfId="28053" xr:uid="{2E48367A-9396-43ED-B8EA-3AE7BCCC7C93}"/>
    <cellStyle name="Comma 6 5 2 4 4" xfId="15346" xr:uid="{FE28975C-1120-46E2-AE2B-57AE0ADC5BFD}"/>
    <cellStyle name="Comma 6 5 2 5" xfId="7799" xr:uid="{AEE457D1-6834-4469-9B49-34D97CE5E035}"/>
    <cellStyle name="Comma 6 5 2 5 2" xfId="18179" xr:uid="{78EBEE38-911A-4ADF-A398-2EDF0C44561C}"/>
    <cellStyle name="Comma 6 5 2 6" xfId="10632" xr:uid="{10FDC70E-6C80-42F3-8A52-BE45CC791EDB}"/>
    <cellStyle name="Comma 6 5 2 6 2" xfId="21012" xr:uid="{AE587D83-A7CB-4C01-BCA8-9E11CC2BC835}"/>
    <cellStyle name="Comma 6 5 2 7" xfId="23215" xr:uid="{AB361D29-4081-44C9-A5E9-DB52714463F5}"/>
    <cellStyle name="Comma 6 5 2 8" xfId="13083" xr:uid="{746895FD-FB8C-4EED-9F02-793D42642EFB}"/>
    <cellStyle name="Comma 6 5 3" xfId="3051" xr:uid="{00000000-0005-0000-0000-0000FB010000}"/>
    <cellStyle name="Comma 6 5 3 2" xfId="4407" xr:uid="{C911EB5E-6E7B-4CB3-8496-F6CCE884BF2D}"/>
    <cellStyle name="Comma 6 5 3 2 2" xfId="9179" xr:uid="{C9E444F1-FB04-4EFD-840F-941B5236CEC5}"/>
    <cellStyle name="Comma 6 5 3 2 2 2" xfId="19559" xr:uid="{7354D5C3-C2D3-4006-B5A7-37EEEAA03F4B}"/>
    <cellStyle name="Comma 6 5 3 2 3" xfId="12012" xr:uid="{2BC2BFB9-8556-4E02-8D51-85A9A4066A50}"/>
    <cellStyle name="Comma 6 5 3 2 3 2" xfId="22392" xr:uid="{279F3012-F801-4901-855F-7207F0B8C6F5}"/>
    <cellStyle name="Comma 6 5 3 2 4" xfId="25767" xr:uid="{44B57F59-8D63-44FC-9A5D-4FB2EEAC2070}"/>
    <cellStyle name="Comma 6 5 3 2 5" xfId="26075" xr:uid="{379C5DA0-533C-48B5-B231-ECA27F7A9875}"/>
    <cellStyle name="Comma 6 5 3 2 6" xfId="16726" xr:uid="{56567B78-0819-460B-AB1A-50345959535A}"/>
    <cellStyle name="Comma 6 5 3 3" xfId="6165" xr:uid="{313C14E6-5D0D-4FEF-B7FA-102243C1E0EB}"/>
    <cellStyle name="Comma 6 5 3 3 2" xfId="15678" xr:uid="{99C5C290-A368-4B29-81E7-DE1E02D860C8}"/>
    <cellStyle name="Comma 6 5 3 4" xfId="8131" xr:uid="{EE3672A2-39EC-4801-B591-0EDBF521DB37}"/>
    <cellStyle name="Comma 6 5 3 4 2" xfId="18511" xr:uid="{99C90F8C-3849-42F7-B80E-53394043E507}"/>
    <cellStyle name="Comma 6 5 3 5" xfId="10964" xr:uid="{01B62E8D-BD90-4224-8DED-8A4A6EDD743D}"/>
    <cellStyle name="Comma 6 5 3 5 2" xfId="21344" xr:uid="{A5256953-0374-4D3F-AA09-24C136419803}"/>
    <cellStyle name="Comma 6 5 3 6" xfId="23481" xr:uid="{F7DAA880-D79D-4371-8FCA-5C59A2E1A85A}"/>
    <cellStyle name="Comma 6 5 3 7" xfId="13558" xr:uid="{C16AD644-B941-48BB-91D8-BFBCB2FF5E3B}"/>
    <cellStyle name="Comma 6 5 4" xfId="3049" xr:uid="{00000000-0005-0000-0000-0000FC010000}"/>
    <cellStyle name="Comma 6 5 4 2" xfId="6163" xr:uid="{77B98769-66EB-4F7C-9866-045F948AA391}"/>
    <cellStyle name="Comma 6 5 4 2 2" xfId="26980" xr:uid="{BA006FDD-D230-4740-8F19-385BCA299A85}"/>
    <cellStyle name="Comma 6 5 4 2 3" xfId="26581" xr:uid="{DEDB1051-D14F-42D5-8B77-0FDCFAE8744B}"/>
    <cellStyle name="Comma 6 5 4 2 4" xfId="15676" xr:uid="{95B7EA55-B59A-4C76-8EC3-A54B020BD472}"/>
    <cellStyle name="Comma 6 5 4 3" xfId="8129" xr:uid="{D165B3FE-DDB5-4059-8470-0266FCA7C301}"/>
    <cellStyle name="Comma 6 5 4 3 2" xfId="18509" xr:uid="{F2BECBEB-1EEF-4D21-9D43-F4CF9E187924}"/>
    <cellStyle name="Comma 6 5 4 4" xfId="10962" xr:uid="{0F425BC4-9E16-4EAB-A206-BF50C665721F}"/>
    <cellStyle name="Comma 6 5 4 4 2" xfId="21342" xr:uid="{D8B73855-A798-4565-8F47-F72CFC11BB00}"/>
    <cellStyle name="Comma 6 5 4 5" xfId="23787" xr:uid="{6F86A38B-C99F-4196-9DE4-4DCD766C4FBC}"/>
    <cellStyle name="Comma 6 5 4 6" xfId="13556" xr:uid="{C83477AA-13D9-44E0-83BE-3A04DDE9D026}"/>
    <cellStyle name="Comma 6 5 5" xfId="2571" xr:uid="{00000000-0005-0000-0000-0000F8010000}"/>
    <cellStyle name="Comma 6 5 5 2" xfId="7696" xr:uid="{1990EA53-C1B6-4704-8500-B9E147267AE1}"/>
    <cellStyle name="Comma 6 5 5 2 2" xfId="27344" xr:uid="{5DEC078C-F871-489B-9B9E-0235A93EED85}"/>
    <cellStyle name="Comma 6 5 5 2 3" xfId="26527" xr:uid="{B4880A4E-D7E4-4376-B404-8A288699E25D}"/>
    <cellStyle name="Comma 6 5 5 2 4" xfId="18076" xr:uid="{1F35AC32-3B10-44D6-881C-326D1C4E9F1D}"/>
    <cellStyle name="Comma 6 5 5 3" xfId="10529" xr:uid="{06C3247A-D84D-4960-AECB-588082306406}"/>
    <cellStyle name="Comma 6 5 5 3 2" xfId="20909" xr:uid="{6E2FF123-9FA0-48D1-80D2-5B25702AE77A}"/>
    <cellStyle name="Comma 6 5 5 4" xfId="24741" xr:uid="{5A4C6D9F-8500-4DEE-A02C-2B5DCABC18F9}"/>
    <cellStyle name="Comma 6 5 5 5" xfId="15243" xr:uid="{96001FF9-8FC9-49FC-8D37-C92BC6856A3D}"/>
    <cellStyle name="Comma 6 5 6" xfId="2053" xr:uid="{00000000-0005-0000-0000-000086020000}"/>
    <cellStyle name="Comma 6 5 6 2" xfId="28163" xr:uid="{885D212C-05ED-4BF0-B750-04B03BB0CBF8}"/>
    <cellStyle name="Comma 6 5 6 3" xfId="27110" xr:uid="{2FED39B2-98E6-41CC-AE80-60096B335C8F}"/>
    <cellStyle name="Comma 6 5 7" xfId="4236" xr:uid="{A60E7526-B9F5-49C6-B835-8CDFABECB725}"/>
    <cellStyle name="Comma 6 5 7 2" xfId="9008" xr:uid="{EDF2850F-F3AD-40BD-B91F-77CA8AA4A45F}"/>
    <cellStyle name="Comma 6 5 7 2 2" xfId="19388" xr:uid="{F6329403-3A8F-4848-9D9E-61FE7E399297}"/>
    <cellStyle name="Comma 6 5 7 3" xfId="11841" xr:uid="{0AF66E20-5078-45F0-926D-0FDF0E6EA049}"/>
    <cellStyle name="Comma 6 5 7 3 2" xfId="22221" xr:uid="{92DBCC9E-D1B5-49F0-8959-39A6EC73FB92}"/>
    <cellStyle name="Comma 6 5 7 4" xfId="16555" xr:uid="{048A871F-099F-4F46-A3BE-98DD42C94166}"/>
    <cellStyle name="Comma 6 5 7 5" xfId="29685" xr:uid="{79909E71-F282-4592-9385-5E15E4C011C3}"/>
    <cellStyle name="Comma 6 5 8" xfId="5600" xr:uid="{F6A32834-0766-4403-BA6E-361E90744A35}"/>
    <cellStyle name="Comma 6 5 9" xfId="25485" xr:uid="{A765CB03-C487-41C6-93BE-38026305CF7A}"/>
    <cellStyle name="Comma 6 6" xfId="2162" xr:uid="{00000000-0005-0000-0000-0000E3010000}"/>
    <cellStyle name="Comma 6 6 2" xfId="7289" xr:uid="{E705E142-4DA3-463E-8FAC-F22F05BA6768}"/>
    <cellStyle name="Comma 6 6 2 2" xfId="17669" xr:uid="{4C7CA64C-5E91-4A80-B09D-7D8F8424733A}"/>
    <cellStyle name="Comma 6 6 2 3" xfId="29772" xr:uid="{EC293943-AA66-43B7-AEEF-710C0E1C9A85}"/>
    <cellStyle name="Comma 6 6 3" xfId="10122" xr:uid="{340F1EE3-1B83-46E0-8F09-B4C26E25F181}"/>
    <cellStyle name="Comma 6 6 3 2" xfId="20502" xr:uid="{A499D17E-8057-4251-840D-CE412ABC86FB}"/>
    <cellStyle name="Comma 6 6 4" xfId="24886" xr:uid="{E52ED29D-5942-4801-8BAF-D34620EB8958}"/>
    <cellStyle name="Comma 6 6 5" xfId="26208" xr:uid="{4CB53949-7489-45BD-976C-5D2FEB288F44}"/>
    <cellStyle name="Comma 6 6 6" xfId="14836" xr:uid="{321E774C-65C4-4B9A-8C46-85BC07333FD0}"/>
    <cellStyle name="Comma 6 7" xfId="22762" xr:uid="{37A7E8A0-43E7-41E2-BDB1-D7874A32CC13}"/>
    <cellStyle name="Comma 6 8" xfId="12394" xr:uid="{6793FA80-0871-42EE-B221-7655EE8126B8}"/>
    <cellStyle name="Comma 6 9" xfId="29551" xr:uid="{0C85103D-D993-4F13-A57F-2F08993A276F}"/>
    <cellStyle name="Comma 7" xfId="500" xr:uid="{00000000-0005-0000-0000-000087020000}"/>
    <cellStyle name="Comma 7 10" xfId="501" xr:uid="{00000000-0005-0000-0000-000088020000}"/>
    <cellStyle name="Comma 7 10 10" xfId="12671" xr:uid="{0304EF0E-9902-4BD9-8F2D-7BEAF7E53FF3}"/>
    <cellStyle name="Comma 7 10 2" xfId="1710" xr:uid="{00000000-0005-0000-0000-000089020000}"/>
    <cellStyle name="Comma 7 10 2 2" xfId="3052" xr:uid="{00000000-0005-0000-0000-0000FF010000}"/>
    <cellStyle name="Comma 7 10 2 2 2" xfId="8132" xr:uid="{4B684DFA-9692-4A26-A730-995AD8A60843}"/>
    <cellStyle name="Comma 7 10 2 2 2 2" xfId="18512" xr:uid="{3DCD4A56-62ED-4907-88B4-B6AFB0CCF392}"/>
    <cellStyle name="Comma 7 10 2 2 3" xfId="10965" xr:uid="{E4EE2813-7992-41A7-9A04-0DE9EDC9A643}"/>
    <cellStyle name="Comma 7 10 2 2 3 2" xfId="21345" xr:uid="{806F9353-B2D5-4B33-85DA-5F3B6E173F4C}"/>
    <cellStyle name="Comma 7 10 2 2 4" xfId="28480" xr:uid="{E9492947-DB35-4A7F-B79F-84ACAED4A8FC}"/>
    <cellStyle name="Comma 7 10 2 2 5" xfId="27970" xr:uid="{CE260D0E-F8CD-44AD-812E-04CD09475421}"/>
    <cellStyle name="Comma 7 10 2 2 6" xfId="15679" xr:uid="{DA46CC74-2100-4BEE-BE49-53DCA1188B55}"/>
    <cellStyle name="Comma 7 10 2 3" xfId="3556" xr:uid="{00000000-0005-0000-0000-000089020000}"/>
    <cellStyle name="Comma 7 10 2 3 2" xfId="30092" xr:uid="{3245E146-AF99-448F-BE59-9A1A3F58FFE7}"/>
    <cellStyle name="Comma 7 10 2 4" xfId="5601" xr:uid="{9A894E3E-F825-4091-BE58-3404C50F46E5}"/>
    <cellStyle name="Comma 7 10 2 4 2" xfId="30403" xr:uid="{D1782806-84BB-480B-9F9E-1D52D0D7189E}"/>
    <cellStyle name="Comma 7 10 2 5" xfId="23340" xr:uid="{47768CD9-A1DD-4C6A-931F-A343C911895F}"/>
    <cellStyle name="Comma 7 10 2 6" xfId="13559" xr:uid="{386DBC66-6ED0-48EA-8136-4AB222A7BF8F}"/>
    <cellStyle name="Comma 7 10 3" xfId="1711" xr:uid="{00000000-0005-0000-0000-00008A020000}"/>
    <cellStyle name="Comma 7 10 3 2" xfId="23284" xr:uid="{471F6C94-CC11-4E87-87AE-598C4CE9FAB7}"/>
    <cellStyle name="Comma 7 10 3 2 2" xfId="29875" xr:uid="{1E73B989-945C-4B56-A7AE-7BE3E9CDBA12}"/>
    <cellStyle name="Comma 7 10 3 3" xfId="25741" xr:uid="{FA0AC2A2-EC53-4D9A-A288-717BCA4D8A2E}"/>
    <cellStyle name="Comma 7 10 3 4" xfId="30499" xr:uid="{87BFD241-0107-4BBD-868C-34696D4761DB}"/>
    <cellStyle name="Comma 7 10 3 5" xfId="29663" xr:uid="{954AF479-514E-4D59-8058-5E6779F913BD}"/>
    <cellStyle name="Comma 7 10 4" xfId="1709" xr:uid="{00000000-0005-0000-0000-00008B020000}"/>
    <cellStyle name="Comma 7 10 4 2" xfId="25724" xr:uid="{65959AE7-EB73-4A29-AEDE-5086AD6654D1}"/>
    <cellStyle name="Comma 7 10 4 2 2" xfId="29946" xr:uid="{C4615C54-54AC-48FC-81CA-F7FAFB264566}"/>
    <cellStyle name="Comma 7 10 4 3" xfId="23897" xr:uid="{A2302EFE-A812-41F1-B7CF-01786DD9FD31}"/>
    <cellStyle name="Comma 7 10 4 4" xfId="30597" xr:uid="{75A7F826-BC3F-4826-B720-7A6220228868}"/>
    <cellStyle name="Comma 7 10 4 5" xfId="29712" xr:uid="{1F81D79C-79C7-4A11-BE78-8A1854BECABA}"/>
    <cellStyle name="Comma 7 10 5" xfId="4127" xr:uid="{EBACDF21-4667-4E1B-89A1-775E3F0BDEFB}"/>
    <cellStyle name="Comma 7 10 5 2" xfId="8899" xr:uid="{803B21C8-7816-4590-BDE5-1D23CC6610FF}"/>
    <cellStyle name="Comma 7 10 5 2 2" xfId="19279" xr:uid="{23FE49F9-05A6-4B90-B0F1-AEC2AFF0086A}"/>
    <cellStyle name="Comma 7 10 5 2 3" xfId="29976" xr:uid="{07AC9A4F-3A95-45AE-9442-2CDEF6961E43}"/>
    <cellStyle name="Comma 7 10 5 3" xfId="11732" xr:uid="{E7BC460F-C960-4934-8502-7DDBC3D0C3E6}"/>
    <cellStyle name="Comma 7 10 5 3 2" xfId="22112" xr:uid="{40881A6B-4545-4EB1-813A-4E1558B81566}"/>
    <cellStyle name="Comma 7 10 5 4" xfId="26525" xr:uid="{1745E0D8-8A9A-4840-BDB8-0401C09AA039}"/>
    <cellStyle name="Comma 7 10 5 5" xfId="25841" xr:uid="{C11B2212-1E1A-4B71-B465-5670181885CD}"/>
    <cellStyle name="Comma 7 10 5 6" xfId="16446" xr:uid="{E978AE30-B13C-4A2E-90E6-39EA87923D38}"/>
    <cellStyle name="Comma 7 10 6" xfId="4892" xr:uid="{D82BBFC1-9D1D-4AAE-A948-A38D0EF6F03E}"/>
    <cellStyle name="Comma 7 10 6 2" xfId="27644" xr:uid="{F7371CBB-0784-4473-9FC1-85C83B78B35B}"/>
    <cellStyle name="Comma 7 10 6 3" xfId="27261" xr:uid="{B70C7F4C-17C3-43F1-A10A-A7D1DD574EE2}"/>
    <cellStyle name="Comma 7 10 6 3 2" xfId="30747" xr:uid="{274A367B-E7BC-4A65-97D5-07CCBA39F7AD}"/>
    <cellStyle name="Comma 7 10 6 4" xfId="14184" xr:uid="{72355FD3-5050-4CF6-9D1E-9B0E83C8FCE6}"/>
    <cellStyle name="Comma 7 10 7" xfId="6637" xr:uid="{1CD37795-67F5-4F29-93F8-992F32C52816}"/>
    <cellStyle name="Comma 7 10 7 2" xfId="17017" xr:uid="{1FCBAEEB-BD9E-40A5-BF83-C0DEA953F239}"/>
    <cellStyle name="Comma 7 10 8" xfId="9470" xr:uid="{572D7F13-2184-45ED-89E4-B39C3263D3EE}"/>
    <cellStyle name="Comma 7 10 8 2" xfId="19850" xr:uid="{7BA8A08F-E23F-4BC4-BFF4-DFC878E4B8CA}"/>
    <cellStyle name="Comma 7 10 9" xfId="22782" xr:uid="{9C9C0777-DD5A-45A2-8B23-CD5FCFC5DE9B}"/>
    <cellStyle name="Comma 7 11" xfId="502" xr:uid="{00000000-0005-0000-0000-00008C020000}"/>
    <cellStyle name="Comma 7 11 2" xfId="1713" xr:uid="{00000000-0005-0000-0000-00008D020000}"/>
    <cellStyle name="Comma 7 11 2 2" xfId="25052" xr:uid="{23ABD4A7-3C9B-4DBA-8948-EF7696DC0549}"/>
    <cellStyle name="Comma 7 11 2 2 2" xfId="30022" xr:uid="{6F6CD1BB-97A1-4ADC-8E35-DE529C924EE6}"/>
    <cellStyle name="Comma 7 11 2 3" xfId="25318" xr:uid="{7CB5C089-12DC-4C77-B45B-B4312F852EC0}"/>
    <cellStyle name="Comma 7 11 2 4" xfId="30708" xr:uid="{33C3F418-4D61-44C3-BAFA-ECE07DEC7769}"/>
    <cellStyle name="Comma 7 11 2 5" xfId="29742" xr:uid="{7C903966-D15A-476A-952D-01D8145E873D}"/>
    <cellStyle name="Comma 7 11 3" xfId="1714" xr:uid="{00000000-0005-0000-0000-00008E020000}"/>
    <cellStyle name="Comma 7 11 3 2" xfId="29669" xr:uid="{DBBD9B20-B4E1-486B-9D18-E60E497AA4F7}"/>
    <cellStyle name="Comma 7 11 4" xfId="1712" xr:uid="{00000000-0005-0000-0000-00008F020000}"/>
    <cellStyle name="Comma 7 11 4 2" xfId="30058" xr:uid="{2BF64C63-0A4E-4127-BB97-CCD201D29B16}"/>
    <cellStyle name="Comma 7 11 5" xfId="4893" xr:uid="{4D7EF800-D3FE-4415-997D-80EB71861FD5}"/>
    <cellStyle name="Comma 7 11 5 2" xfId="14185" xr:uid="{237C6960-02C1-47B1-93F9-D85783831FC0}"/>
    <cellStyle name="Comma 7 11 6" xfId="6638" xr:uid="{776ACA04-D065-4D7A-8E37-056C327E74AC}"/>
    <cellStyle name="Comma 7 11 6 2" xfId="17018" xr:uid="{B58752FC-E070-4A46-8BFC-C4F3908814BC}"/>
    <cellStyle name="Comma 7 11 7" xfId="9471" xr:uid="{CCFEF87C-0523-4F7B-9698-9812E0BED44F}"/>
    <cellStyle name="Comma 7 11 7 2" xfId="19851" xr:uid="{E442148C-3B76-4745-96E8-D6C7291F15EF}"/>
    <cellStyle name="Comma 7 11 8" xfId="24935" xr:uid="{252EC419-ABD7-4E53-918F-20AA1B459C38}"/>
    <cellStyle name="Comma 7 11 9" xfId="13369" xr:uid="{A3FFE9F5-7F4C-4076-BC34-FB113FFB58A6}"/>
    <cellStyle name="Comma 7 12" xfId="1715" xr:uid="{00000000-0005-0000-0000-000090020000}"/>
    <cellStyle name="Comma 7 12 2" xfId="2434" xr:uid="{00000000-0005-0000-0000-000001020000}"/>
    <cellStyle name="Comma 7 12 2 2" xfId="7559" xr:uid="{AB6A31A2-356E-46CD-9976-79E7AD8FCA85}"/>
    <cellStyle name="Comma 7 12 2 2 2" xfId="17939" xr:uid="{C69A7172-DB24-4003-8B22-DB81EE1956A1}"/>
    <cellStyle name="Comma 7 12 2 3" xfId="10392" xr:uid="{1C9A0FA7-3839-49B7-B9C6-489E59242394}"/>
    <cellStyle name="Comma 7 12 2 3 2" xfId="20772" xr:uid="{E2D691C5-6C3C-43B7-8FBD-A5642F6BDFE7}"/>
    <cellStyle name="Comma 7 12 2 4" xfId="15106" xr:uid="{394B16FD-FC1A-4870-BC31-909DEE327F64}"/>
    <cellStyle name="Comma 7 12 3" xfId="3597" xr:uid="{00000000-0005-0000-0000-000090020000}"/>
    <cellStyle name="Comma 7 12 3 2" xfId="30101" xr:uid="{7611477F-6D30-4479-92DC-30C4F1AC345F}"/>
    <cellStyle name="Comma 7 12 4" xfId="5602" xr:uid="{CC94EC69-AD3D-4EA5-A1E0-1BACCD539177}"/>
    <cellStyle name="Comma 7 12 4 2" xfId="30443" xr:uid="{ABB24196-22F9-4462-B233-01987C41F5A5}"/>
    <cellStyle name="Comma 7 12 5" xfId="25169" xr:uid="{6BA9F095-9F3A-4460-A1F7-A325C4D59C32}"/>
    <cellStyle name="Comma 7 12 6" xfId="12821" xr:uid="{3CFBD4BE-A3DA-40AF-A535-986B08EC002F}"/>
    <cellStyle name="Comma 7 13" xfId="1716" xr:uid="{00000000-0005-0000-0000-000091020000}"/>
    <cellStyle name="Comma 7 13 2" xfId="2164" xr:uid="{00000000-0005-0000-0000-0000FD010000}"/>
    <cellStyle name="Comma 7 13 2 2" xfId="7291" xr:uid="{99AD7278-2ABB-4875-9167-E25F4A9D15B1}"/>
    <cellStyle name="Comma 7 13 2 2 2" xfId="17671" xr:uid="{10C9ABBA-E04E-44FE-B765-925D5F6F79FA}"/>
    <cellStyle name="Comma 7 13 2 3" xfId="10124" xr:uid="{32999E02-055B-4936-9989-A7D520F08114}"/>
    <cellStyle name="Comma 7 13 2 3 2" xfId="20504" xr:uid="{BDD660AC-D280-40AE-B368-D16E28839034}"/>
    <cellStyle name="Comma 7 13 2 4" xfId="26317" xr:uid="{2AC6C94B-7356-4191-BA37-EB45ACBAC84B}"/>
    <cellStyle name="Comma 7 13 2 5" xfId="26807" xr:uid="{0944EE13-DA40-42AE-8E8C-5FDF7787A62E}"/>
    <cellStyle name="Comma 7 13 2 6" xfId="14838" xr:uid="{61AF3BCA-97D7-42B3-8A16-84395E13F927}"/>
    <cellStyle name="Comma 7 13 3" xfId="3614" xr:uid="{00000000-0005-0000-0000-000091020000}"/>
    <cellStyle name="Comma 7 13 3 2" xfId="30163" xr:uid="{C7362C8E-4521-4A12-81C5-2D130A578584}"/>
    <cellStyle name="Comma 7 13 4" xfId="24456" xr:uid="{F36E8AC3-FBF5-44E6-8760-493C50EB9842}"/>
    <cellStyle name="Comma 7 13 4 2" xfId="30515" xr:uid="{97F47D66-0D2E-4223-96D0-02DFAB26DF3B}"/>
    <cellStyle name="Comma 7 14" xfId="1708" xr:uid="{00000000-0005-0000-0000-000092020000}"/>
    <cellStyle name="Comma 7 14 2" xfId="24640" xr:uid="{A6E59767-7C11-40A9-9CB4-E620D76DFBAF}"/>
    <cellStyle name="Comma 7 14 2 2" xfId="30234" xr:uid="{62C4210E-A095-4AD9-AC43-1632CEB86DBF}"/>
    <cellStyle name="Comma 7 14 3" xfId="24749" xr:uid="{21C0A86C-9258-4F6E-BBD2-E1ADC08986B9}"/>
    <cellStyle name="Comma 7 14 4" xfId="29975" xr:uid="{0B06FA93-035B-4D54-93BE-7D3D18964815}"/>
    <cellStyle name="Comma 7 15" xfId="3868" xr:uid="{2754256E-6D37-4A11-A975-622EAD65BCC6}"/>
    <cellStyle name="Comma 7 15 2" xfId="8700" xr:uid="{561E47C7-DA6B-465C-BCFC-FFBE685B396A}"/>
    <cellStyle name="Comma 7 15 2 2" xfId="19080" xr:uid="{CD7DE5AC-2835-4783-AF05-48DAEF1013EA}"/>
    <cellStyle name="Comma 7 15 3" xfId="11533" xr:uid="{75D4BBFA-3F86-4BB1-A4FF-2AB004FAD57D}"/>
    <cellStyle name="Comma 7 15 3 2" xfId="21913" xr:uid="{D1267AA1-09CD-4475-946A-C9A7600627F9}"/>
    <cellStyle name="Comma 7 15 4" xfId="25927" xr:uid="{511ED031-4F53-4851-A0F3-433E6C7ACA29}"/>
    <cellStyle name="Comma 7 15 5" xfId="27477" xr:uid="{2750F14A-290C-48FE-A33E-06E873503059}"/>
    <cellStyle name="Comma 7 15 6" xfId="16247" xr:uid="{5037A1B5-3540-484E-A1E0-2D33F2B1EFAA}"/>
    <cellStyle name="Comma 7 16" xfId="4891" xr:uid="{9D938F77-580A-408F-A5DC-B95515C88082}"/>
    <cellStyle name="Comma 7 16 2" xfId="27237" xr:uid="{2485F0D7-865B-4EC4-8D29-E0C09F609170}"/>
    <cellStyle name="Comma 7 16 3" xfId="27763" xr:uid="{77776977-DA0E-4C33-A557-4E3DE9855C53}"/>
    <cellStyle name="Comma 7 16 4" xfId="14183" xr:uid="{77C17A1F-BFCB-4CA4-9C6B-A7566ACEE98A}"/>
    <cellStyle name="Comma 7 17" xfId="6636" xr:uid="{06719287-4D35-48D9-91FA-3AD51EA5C00F}"/>
    <cellStyle name="Comma 7 17 2" xfId="17016" xr:uid="{12C02C92-AA67-4477-A76D-9D24CEFDBBD2}"/>
    <cellStyle name="Comma 7 18" xfId="9469" xr:uid="{037E75E5-4B4F-4359-8342-D07974811F87}"/>
    <cellStyle name="Comma 7 18 2" xfId="19849" xr:uid="{D2D25E2F-5F87-48AA-A0FE-01F18289E9F4}"/>
    <cellStyle name="Comma 7 19" xfId="24159" xr:uid="{0832A5F7-F858-4707-BC50-D6BDDD0BD129}"/>
    <cellStyle name="Comma 7 2" xfId="503" xr:uid="{00000000-0005-0000-0000-000093020000}"/>
    <cellStyle name="Comma 7 2 10" xfId="4894" xr:uid="{530D3ADF-7987-4D49-9EFA-6E30C8D7268F}"/>
    <cellStyle name="Comma 7 2 10 2" xfId="28462" xr:uid="{8B103A8E-4B77-4E5C-967E-03A935C17D56}"/>
    <cellStyle name="Comma 7 2 10 3" xfId="26637" xr:uid="{E2918D60-2ECD-47F3-8CB5-8B5F1C16456C}"/>
    <cellStyle name="Comma 7 2 10 4" xfId="14186" xr:uid="{BEA559D3-4F46-4A46-9835-B79794AFEE15}"/>
    <cellStyle name="Comma 7 2 11" xfId="6639" xr:uid="{64DA45BB-A7AE-4634-A067-9DF72286BE87}"/>
    <cellStyle name="Comma 7 2 11 2" xfId="17019" xr:uid="{3F3E7C21-E791-45BA-9AD9-1278037C3F4A}"/>
    <cellStyle name="Comma 7 2 12" xfId="9472" xr:uid="{1E43E655-7008-47ED-B8BF-B76CC32CB035}"/>
    <cellStyle name="Comma 7 2 12 2" xfId="19852" xr:uid="{66E43558-9B8D-4365-8C0E-E423D63CE3A6}"/>
    <cellStyle name="Comma 7 2 13" xfId="23810" xr:uid="{38008B6B-AC42-4A63-81DE-9B53E575A996}"/>
    <cellStyle name="Comma 7 2 14" xfId="12419" xr:uid="{CC01182E-400A-44C2-81A4-4E2E219A9FD7}"/>
    <cellStyle name="Comma 7 2 2" xfId="504" xr:uid="{00000000-0005-0000-0000-000094020000}"/>
    <cellStyle name="Comma 7 2 2 10" xfId="6640" xr:uid="{2A77DC5C-2D89-42BF-9ACB-3BB32B12513E}"/>
    <cellStyle name="Comma 7 2 2 10 2" xfId="17020" xr:uid="{91EBB2F5-6581-4B2B-B22B-F4DC8ADF4246}"/>
    <cellStyle name="Comma 7 2 2 11" xfId="9473" xr:uid="{3A622BD8-3179-4D35-A2DC-30C705EFC2CB}"/>
    <cellStyle name="Comma 7 2 2 11 2" xfId="19853" xr:uid="{3C30E10B-6DA1-44E3-8E40-56AB8B6A1943}"/>
    <cellStyle name="Comma 7 2 2 12" xfId="23491" xr:uid="{61AF4FDA-D584-44F6-A33F-07705F937BE3}"/>
    <cellStyle name="Comma 7 2 2 13" xfId="12479" xr:uid="{FC9AB89B-5377-4D05-A78A-79E0897D41EF}"/>
    <cellStyle name="Comma 7 2 2 2" xfId="505" xr:uid="{00000000-0005-0000-0000-000095020000}"/>
    <cellStyle name="Comma 7 2 2 2 10" xfId="9474" xr:uid="{90A31626-BEEC-4D9D-BACA-09E34F3203D6}"/>
    <cellStyle name="Comma 7 2 2 2 10 2" xfId="19854" xr:uid="{C324D3E7-87ED-4BD8-B25C-51EA7A3EFE49}"/>
    <cellStyle name="Comma 7 2 2 2 11" xfId="25417" xr:uid="{A0D02D5D-CF22-4DA0-A1B5-160BE6719CAA}"/>
    <cellStyle name="Comma 7 2 2 2 12" xfId="12515" xr:uid="{389983B5-FD9F-4D30-94EC-2254AA61C755}"/>
    <cellStyle name="Comma 7 2 2 2 2" xfId="1720" xr:uid="{00000000-0005-0000-0000-000096020000}"/>
    <cellStyle name="Comma 7 2 2 2 2 2" xfId="3054" xr:uid="{00000000-0005-0000-0000-000006020000}"/>
    <cellStyle name="Comma 7 2 2 2 2 2 2" xfId="6166" xr:uid="{5810BDEF-6759-4914-8816-FDE91F216B89}"/>
    <cellStyle name="Comma 7 2 2 2 2 2 2 2" xfId="28052" xr:uid="{59D2CCE3-8805-483D-8C2E-5911314942B8}"/>
    <cellStyle name="Comma 7 2 2 2 2 2 2 3" xfId="26417" xr:uid="{17455D0D-93DE-4551-A26B-E455D776DC14}"/>
    <cellStyle name="Comma 7 2 2 2 2 2 2 4" xfId="15681" xr:uid="{9EC0D679-EE73-41E6-A0DB-AD4F7D2B8B1B}"/>
    <cellStyle name="Comma 7 2 2 2 2 2 3" xfId="8134" xr:uid="{20880874-07A4-4036-8343-A5B5A6A3C386}"/>
    <cellStyle name="Comma 7 2 2 2 2 2 3 2" xfId="18514" xr:uid="{568E1962-4282-482D-A641-68D61AEF1954}"/>
    <cellStyle name="Comma 7 2 2 2 2 2 4" xfId="10967" xr:uid="{CBCB3D05-4A2B-42AE-8FF9-1022B8F2B4A4}"/>
    <cellStyle name="Comma 7 2 2 2 2 2 4 2" xfId="21347" xr:uid="{F14E3258-264E-47CF-86BB-EBC33C286A10}"/>
    <cellStyle name="Comma 7 2 2 2 2 2 5" xfId="24853" xr:uid="{36461687-085D-4430-AF28-E721DB9D5341}"/>
    <cellStyle name="Comma 7 2 2 2 2 2 6" xfId="27226" xr:uid="{EA29673A-7055-4AC8-855D-CE4FE2CFE294}"/>
    <cellStyle name="Comma 7 2 2 2 2 2 7" xfId="13561" xr:uid="{D8C6F9D7-CFEC-4834-A277-BC3AC52698C8}"/>
    <cellStyle name="Comma 7 2 2 2 2 3" xfId="2679" xr:uid="{00000000-0005-0000-0000-000005020000}"/>
    <cellStyle name="Comma 7 2 2 2 2 3 2" xfId="7803" xr:uid="{AA4E22A2-6F99-48ED-B552-791446EFB463}"/>
    <cellStyle name="Comma 7 2 2 2 2 3 2 2" xfId="28180" xr:uid="{DDA30167-9ABF-4ED0-BD58-69BF5BC2F8D0}"/>
    <cellStyle name="Comma 7 2 2 2 2 3 2 3" xfId="28057" xr:uid="{99CC565F-F977-4551-A138-A5DFAB2A4BEF}"/>
    <cellStyle name="Comma 7 2 2 2 2 3 2 4" xfId="18183" xr:uid="{0DCB8C91-AD8E-4B0F-92F7-F20B3686550D}"/>
    <cellStyle name="Comma 7 2 2 2 2 3 3" xfId="10636" xr:uid="{59E45658-6A65-4DC0-AFDF-EE8EDE339DBC}"/>
    <cellStyle name="Comma 7 2 2 2 2 3 3 2" xfId="21016" xr:uid="{50CC77C9-2C97-4BA4-BA56-D291510D5A4C}"/>
    <cellStyle name="Comma 7 2 2 2 2 3 4" xfId="24654" xr:uid="{43ADA87A-DE25-47E5-AF8E-7A546C7D213A}"/>
    <cellStyle name="Comma 7 2 2 2 2 3 5" xfId="15350" xr:uid="{E02DAF09-C053-4B2A-9C91-91990EE68988}"/>
    <cellStyle name="Comma 7 2 2 2 2 4" xfId="3674" xr:uid="{00000000-0005-0000-0000-000096020000}"/>
    <cellStyle name="Comma 7 2 2 2 2 4 2" xfId="26165" xr:uid="{EE1A87B6-5E5A-437E-A7D8-9561D25E3C72}"/>
    <cellStyle name="Comma 7 2 2 2 2 4 2 2" xfId="29805" xr:uid="{9AD28666-FF7B-476D-8B12-8D690698357B}"/>
    <cellStyle name="Comma 7 2 2 2 2 4 3" xfId="26559" xr:uid="{28E46E9E-8B0C-4098-BBDF-63BBC3B42520}"/>
    <cellStyle name="Comma 7 2 2 2 2 5" xfId="4263" xr:uid="{0243E97E-C926-436B-8727-66DF406738AD}"/>
    <cellStyle name="Comma 7 2 2 2 2 5 2" xfId="9035" xr:uid="{A8E45C93-4B20-4E43-87B3-8C7477A17BD3}"/>
    <cellStyle name="Comma 7 2 2 2 2 5 2 2" xfId="19415" xr:uid="{271900A1-0EFA-4C61-A8F0-FE6B09544BFB}"/>
    <cellStyle name="Comma 7 2 2 2 2 5 3" xfId="11868" xr:uid="{F5D81B69-13BA-471C-9C12-C510DCAC0DF7}"/>
    <cellStyle name="Comma 7 2 2 2 2 5 3 2" xfId="22248" xr:uid="{CB0AF474-8390-4209-9104-6A8E86D8E350}"/>
    <cellStyle name="Comma 7 2 2 2 2 5 4" xfId="28742" xr:uid="{EA19C7E8-652F-47FF-AC00-1FC49789F6DE}"/>
    <cellStyle name="Comma 7 2 2 2 2 5 5" xfId="27321" xr:uid="{E70C4BDB-2623-4DBB-A3EF-76F0950EDEFF}"/>
    <cellStyle name="Comma 7 2 2 2 2 5 6" xfId="16582" xr:uid="{FA33C490-55B2-411E-9C14-F9FED3675DA5}"/>
    <cellStyle name="Comma 7 2 2 2 2 6" xfId="5605" xr:uid="{B95C3FE5-AEED-4C7E-98FF-7D7759036B02}"/>
    <cellStyle name="Comma 7 2 2 2 2 6 2" xfId="30388" xr:uid="{1F27598C-A843-4570-BD88-026F108130DD}"/>
    <cellStyle name="Comma 7 2 2 2 2 7" xfId="23401" xr:uid="{5085FF0F-A10D-47CF-A823-16227AEA7CDF}"/>
    <cellStyle name="Comma 7 2 2 2 2 8" xfId="13087" xr:uid="{9F2FE8E8-CDEC-41BA-AA88-B7120368463F}"/>
    <cellStyle name="Comma 7 2 2 2 3" xfId="1721" xr:uid="{00000000-0005-0000-0000-000097020000}"/>
    <cellStyle name="Comma 7 2 2 2 3 2" xfId="3055" xr:uid="{00000000-0005-0000-0000-000007020000}"/>
    <cellStyle name="Comma 7 2 2 2 3 2 2" xfId="8135" xr:uid="{9DD8EB86-AB9D-4563-98E5-8E6000631C18}"/>
    <cellStyle name="Comma 7 2 2 2 3 2 2 2" xfId="28811" xr:uid="{B385DFB9-B51E-4EB7-B120-DA7AE5FC2B15}"/>
    <cellStyle name="Comma 7 2 2 2 3 2 2 3" xfId="26429" xr:uid="{0C944FA2-06FD-488E-AACC-A9FABAD68813}"/>
    <cellStyle name="Comma 7 2 2 2 3 2 2 4" xfId="18515" xr:uid="{CD806919-8E08-4504-A736-0D4A4A2901C4}"/>
    <cellStyle name="Comma 7 2 2 2 3 2 3" xfId="10968" xr:uid="{BB3C8586-BB0C-4196-8BB3-1848EEAC36ED}"/>
    <cellStyle name="Comma 7 2 2 2 3 2 3 2" xfId="21348" xr:uid="{E18B5B2D-F19B-44C0-8D63-ACE6C90EA1DB}"/>
    <cellStyle name="Comma 7 2 2 2 3 2 4" xfId="25728" xr:uid="{B5ACEDD6-C652-4A8C-BF3A-4FA86FBB5315}"/>
    <cellStyle name="Comma 7 2 2 2 3 2 5" xfId="15682" xr:uid="{871FA3D3-09D6-4A00-AADD-E64EB377789A}"/>
    <cellStyle name="Comma 7 2 2 2 3 3" xfId="3648" xr:uid="{00000000-0005-0000-0000-000097020000}"/>
    <cellStyle name="Comma 7 2 2 2 3 3 2" xfId="29854" xr:uid="{48C03A76-D786-4BD6-A5FC-D3B28BABCEE0}"/>
    <cellStyle name="Comma 7 2 2 2 3 4" xfId="4408" xr:uid="{2E431FD9-BDF8-4500-8041-84C831D3FB1C}"/>
    <cellStyle name="Comma 7 2 2 2 3 4 2" xfId="9180" xr:uid="{F943D953-EB9B-4C27-86D3-A0F6B8DC61E1}"/>
    <cellStyle name="Comma 7 2 2 2 3 4 2 2" xfId="19560" xr:uid="{B9C0123D-1762-4075-A637-E47C3ABE72BD}"/>
    <cellStyle name="Comma 7 2 2 2 3 4 3" xfId="12013" xr:uid="{09519B91-43A5-4736-9A80-12426DFEF32E}"/>
    <cellStyle name="Comma 7 2 2 2 3 4 3 2" xfId="22393" xr:uid="{C5EADA94-1AF1-4C0D-A8DE-9A0B643DA124}"/>
    <cellStyle name="Comma 7 2 2 2 3 4 4" xfId="16727" xr:uid="{C0CDE725-0551-42E7-9E11-26E086BBA0C0}"/>
    <cellStyle name="Comma 7 2 2 2 3 5" xfId="5606" xr:uid="{EB5E47A5-1D56-4711-A77C-730EE2D92D9D}"/>
    <cellStyle name="Comma 7 2 2 2 3 5 2" xfId="30477" xr:uid="{5B58EF43-C6D7-438B-9F57-C8D223023449}"/>
    <cellStyle name="Comma 7 2 2 2 3 6" xfId="23410" xr:uid="{47952A56-731E-4568-8AC9-70821F472697}"/>
    <cellStyle name="Comma 7 2 2 2 3 7" xfId="13562" xr:uid="{A2940E49-EF08-48B9-9AB5-FB9094CB5DF9}"/>
    <cellStyle name="Comma 7 2 2 2 4" xfId="1719" xr:uid="{00000000-0005-0000-0000-000098020000}"/>
    <cellStyle name="Comma 7 2 2 2 4 2" xfId="3053" xr:uid="{00000000-0005-0000-0000-000008020000}"/>
    <cellStyle name="Comma 7 2 2 2 4 2 2" xfId="8133" xr:uid="{AB1CD1AD-1E91-44E1-B630-75F307F482D7}"/>
    <cellStyle name="Comma 7 2 2 2 4 2 2 2" xfId="28810" xr:uid="{3D7BA444-D91E-48BE-ACD3-8C3C6475D6F6}"/>
    <cellStyle name="Comma 7 2 2 2 4 2 2 3" xfId="26043" xr:uid="{2D6EC994-F9D1-4D88-85E3-400361CD3E71}"/>
    <cellStyle name="Comma 7 2 2 2 4 2 2 4" xfId="18513" xr:uid="{5E2290D4-61F6-49AA-959E-BF3F80A80385}"/>
    <cellStyle name="Comma 7 2 2 2 4 2 3" xfId="10966" xr:uid="{E95DFD0E-0FDC-41FB-9F9E-3AA9CC5983E8}"/>
    <cellStyle name="Comma 7 2 2 2 4 2 3 2" xfId="21346" xr:uid="{41DF47FF-D47A-4176-8050-1F40AF0DFBCB}"/>
    <cellStyle name="Comma 7 2 2 2 4 2 4" xfId="27609" xr:uid="{75B40BA1-7099-4CA1-BC3F-36DC47B08B52}"/>
    <cellStyle name="Comma 7 2 2 2 4 2 5" xfId="15680" xr:uid="{C4C561E7-493C-4F4B-95F5-94C5F431824E}"/>
    <cellStyle name="Comma 7 2 2 2 4 3" xfId="3707" xr:uid="{00000000-0005-0000-0000-000098020000}"/>
    <cellStyle name="Comma 7 2 2 2 4 3 2" xfId="29927" xr:uid="{FDB66DAA-6CEF-4F5A-9787-726598E30A0C}"/>
    <cellStyle name="Comma 7 2 2 2 4 4" xfId="5604" xr:uid="{77DE114E-6658-4730-9B87-A9E53C509435}"/>
    <cellStyle name="Comma 7 2 2 2 4 4 2" xfId="30199" xr:uid="{EDF7054A-F1F6-416D-B349-9843E1592821}"/>
    <cellStyle name="Comma 7 2 2 2 4 5" xfId="25222" xr:uid="{58391C3F-A9C4-4E5F-A8EB-EA62F091FF79}"/>
    <cellStyle name="Comma 7 2 2 2 4 6" xfId="13560" xr:uid="{08E8E22D-05EC-45F3-BFE8-16F150F1890A}"/>
    <cellStyle name="Comma 7 2 2 2 5" xfId="2648" xr:uid="{00000000-0005-0000-0000-000009020000}"/>
    <cellStyle name="Comma 7 2 2 2 5 2" xfId="5910" xr:uid="{3C3E7EC7-2184-4691-9AC4-BDB33C4ED1A8}"/>
    <cellStyle name="Comma 7 2 2 2 5 2 2" xfId="28586" xr:uid="{58418669-99BA-4CC0-89B2-EE7B777B1FC5}"/>
    <cellStyle name="Comma 7 2 2 2 5 2 3" xfId="26963" xr:uid="{2E4783B7-30FA-4DF3-A8A8-7F2E7330E9AB}"/>
    <cellStyle name="Comma 7 2 2 2 5 2 4" xfId="15320" xr:uid="{CC3BBC91-880B-4E9A-9856-C6A55F06FCDC}"/>
    <cellStyle name="Comma 7 2 2 2 5 3" xfId="7773" xr:uid="{594F0663-D5C0-4184-AA77-23A98EB4909A}"/>
    <cellStyle name="Comma 7 2 2 2 5 3 2" xfId="18153" xr:uid="{F98244C6-A9C1-4AA5-A5BC-4BB73E16B1FA}"/>
    <cellStyle name="Comma 7 2 2 2 5 4" xfId="10606" xr:uid="{E82D3956-4897-4A18-B09C-1BFA6B770C54}"/>
    <cellStyle name="Comma 7 2 2 2 5 4 2" xfId="20986" xr:uid="{E91407A8-0454-4D32-A5DD-9768137D237E}"/>
    <cellStyle name="Comma 7 2 2 2 5 5" xfId="23603" xr:uid="{FABF15D8-569C-4CFC-8451-848202E878C5}"/>
    <cellStyle name="Comma 7 2 2 2 5 6" xfId="13044" xr:uid="{374EFE4A-1C81-4856-B341-0B602A76181A}"/>
    <cellStyle name="Comma 7 2 2 2 6" xfId="2283" xr:uid="{00000000-0005-0000-0000-000004020000}"/>
    <cellStyle name="Comma 7 2 2 2 6 2" xfId="7410" xr:uid="{168806BB-5577-467B-9EFD-BDB65CE01807}"/>
    <cellStyle name="Comma 7 2 2 2 6 2 2" xfId="17790" xr:uid="{AC04DF24-D782-4A35-B236-16DBE715C972}"/>
    <cellStyle name="Comma 7 2 2 2 6 3" xfId="10243" xr:uid="{60D0F18A-088C-4CCE-A311-90E2133F75F2}"/>
    <cellStyle name="Comma 7 2 2 2 6 3 2" xfId="20623" xr:uid="{7E6022F5-D3A5-49DB-B8BB-23E514AF7075}"/>
    <cellStyle name="Comma 7 2 2 2 6 4" xfId="24265" xr:uid="{1EDF11DD-A7B8-4F1F-96B9-8BF7D019E926}"/>
    <cellStyle name="Comma 7 2 2 2 6 5" xfId="27304" xr:uid="{26D9E928-3AF4-42C9-918B-AE407327BB9B}"/>
    <cellStyle name="Comma 7 2 2 2 6 6" xfId="14957" xr:uid="{973B851B-8A9D-43D2-B41E-1265712A64F2}"/>
    <cellStyle name="Comma 7 2 2 2 7" xfId="3822" xr:uid="{B8F574E2-AA25-4E75-8215-ABE80016DC4D}"/>
    <cellStyle name="Comma 7 2 2 2 7 2" xfId="8655" xr:uid="{4FA3556E-1B0E-4D67-9E2F-008758AE01B9}"/>
    <cellStyle name="Comma 7 2 2 2 7 2 2" xfId="19035" xr:uid="{1DECBD5F-327B-41D5-9E46-9B338D812278}"/>
    <cellStyle name="Comma 7 2 2 2 7 3" xfId="11488" xr:uid="{344B12EC-92A0-40BE-9459-BDC2347AA1F3}"/>
    <cellStyle name="Comma 7 2 2 2 7 3 2" xfId="21868" xr:uid="{595064FF-5F6C-4022-91BC-54F4D3075E0A}"/>
    <cellStyle name="Comma 7 2 2 2 7 4" xfId="26879" xr:uid="{F3A1A5D8-CA04-472B-AD7D-DFF1D62D4585}"/>
    <cellStyle name="Comma 7 2 2 2 7 5" xfId="27213" xr:uid="{B048532B-A1AA-4267-9760-4ACB46AEED3E}"/>
    <cellStyle name="Comma 7 2 2 2 7 6" xfId="16202" xr:uid="{D7811C68-5C55-46D5-8647-4EBADA1BB060}"/>
    <cellStyle name="Comma 7 2 2 2 8" xfId="4896" xr:uid="{A421A44B-2F81-4574-89CF-D30CACCE2996}"/>
    <cellStyle name="Comma 7 2 2 2 8 2" xfId="14188" xr:uid="{11F13325-9DFF-4406-82C5-8E23844CC804}"/>
    <cellStyle name="Comma 7 2 2 2 9" xfId="6641" xr:uid="{C1FD302E-3F56-4D26-903D-69765C369B3D}"/>
    <cellStyle name="Comma 7 2 2 2 9 2" xfId="17021" xr:uid="{4A3111C2-4426-4DC4-9FFA-F6EEDB9D3103}"/>
    <cellStyle name="Comma 7 2 2 3" xfId="506" xr:uid="{00000000-0005-0000-0000-000099020000}"/>
    <cellStyle name="Comma 7 2 2 3 10" xfId="12673" xr:uid="{AD8FCEDE-D8F7-4B20-BDF8-83F9CA2032CA}"/>
    <cellStyle name="Comma 7 2 2 3 2" xfId="1723" xr:uid="{00000000-0005-0000-0000-00009A020000}"/>
    <cellStyle name="Comma 7 2 2 3 2 2" xfId="3056" xr:uid="{00000000-0005-0000-0000-00000B020000}"/>
    <cellStyle name="Comma 7 2 2 3 2 2 2" xfId="8136" xr:uid="{FDC43637-5505-4108-A063-F76F7F5EE2B1}"/>
    <cellStyle name="Comma 7 2 2 3 2 2 2 2" xfId="28812" xr:uid="{49294946-5434-40E0-B5D3-3686A8C5E893}"/>
    <cellStyle name="Comma 7 2 2 3 2 2 2 3" xfId="26251" xr:uid="{21E4736D-B08C-4A8A-B8A0-D12488E99211}"/>
    <cellStyle name="Comma 7 2 2 3 2 2 2 4" xfId="18516" xr:uid="{6459E389-DC17-4864-B565-2999C057BAC4}"/>
    <cellStyle name="Comma 7 2 2 3 2 2 3" xfId="10969" xr:uid="{68428AFE-C195-434D-89F7-C72834FEFBF3}"/>
    <cellStyle name="Comma 7 2 2 3 2 2 3 2" xfId="21349" xr:uid="{48A368FF-CF4B-4883-B34E-5D734DD48F83}"/>
    <cellStyle name="Comma 7 2 2 3 2 2 4" xfId="25758" xr:uid="{4715D39D-6099-4650-A8C8-B4F509D215AD}"/>
    <cellStyle name="Comma 7 2 2 3 2 2 5" xfId="15683" xr:uid="{D877CD2A-4C7F-4C87-9AE9-5ECD43C5D9BF}"/>
    <cellStyle name="Comma 7 2 2 3 2 3" xfId="3661" xr:uid="{00000000-0005-0000-0000-00009A020000}"/>
    <cellStyle name="Comma 7 2 2 3 2 3 2" xfId="30311" xr:uid="{EF388034-D123-421F-A516-2FE410EA2334}"/>
    <cellStyle name="Comma 7 2 2 3 2 4" xfId="5607" xr:uid="{F2C21B10-845E-4AC6-B077-E2669363A096}"/>
    <cellStyle name="Comma 7 2 2 3 2 4 2" xfId="30748" xr:uid="{528A23E4-6F16-4E8A-9381-53EE4AE86C5E}"/>
    <cellStyle name="Comma 7 2 2 3 2 5" xfId="25149" xr:uid="{7D6ACC14-6C55-49B6-8559-C16E994917CA}"/>
    <cellStyle name="Comma 7 2 2 3 2 6" xfId="13563" xr:uid="{16BCFE47-E61A-41F6-8483-69C4078089DB}"/>
    <cellStyle name="Comma 7 2 2 3 3" xfId="1724" xr:uid="{00000000-0005-0000-0000-00009B020000}"/>
    <cellStyle name="Comma 7 2 2 3 3 2" xfId="2678" xr:uid="{00000000-0005-0000-0000-00000C020000}"/>
    <cellStyle name="Comma 7 2 2 3 3 2 2" xfId="7802" xr:uid="{DF6CA789-4DE1-45D0-BDAF-3D8F804FE9FA}"/>
    <cellStyle name="Comma 7 2 2 3 3 2 2 2" xfId="18182" xr:uid="{0AC53ECD-88D9-43D1-B57F-0DA34582FB5C}"/>
    <cellStyle name="Comma 7 2 2 3 3 2 3" xfId="10635" xr:uid="{CA9C5A46-7930-428C-8A09-2292D1634FA8}"/>
    <cellStyle name="Comma 7 2 2 3 3 2 3 2" xfId="21015" xr:uid="{43B5C597-4556-420A-8485-9148A41BC6BF}"/>
    <cellStyle name="Comma 7 2 2 3 3 2 4" xfId="15349" xr:uid="{FF6B8561-0DBC-45D9-8E58-3EF3059F7A44}"/>
    <cellStyle name="Comma 7 2 2 3 3 3" xfId="3609" xr:uid="{00000000-0005-0000-0000-00009B020000}"/>
    <cellStyle name="Comma 7 2 2 3 3 3 2" xfId="30657" xr:uid="{27381FC3-4DE4-4ABC-9E07-EBE41C5014B5}"/>
    <cellStyle name="Comma 7 2 2 3 3 4" xfId="5608" xr:uid="{BC4ED24D-C538-4B6F-951C-1BD6831C47CE}"/>
    <cellStyle name="Comma 7 2 2 3 3 5" xfId="23731" xr:uid="{5BC7F251-15BA-4BEA-B372-4A43F049C81F}"/>
    <cellStyle name="Comma 7 2 2 3 3 6" xfId="13086" xr:uid="{65046EA5-B577-4019-B32B-66A9B5D671AC}"/>
    <cellStyle name="Comma 7 2 2 3 4" xfId="1722" xr:uid="{00000000-0005-0000-0000-00009C020000}"/>
    <cellStyle name="Comma 7 2 2 3 4 2" xfId="4654" xr:uid="{5356B861-7AE1-4E33-8A08-0DE134BEFE34}"/>
    <cellStyle name="Comma 7 2 2 3 4 2 2" xfId="9406" xr:uid="{C61F9AEB-2CF2-45AB-8439-B80D44269620}"/>
    <cellStyle name="Comma 7 2 2 3 4 2 2 2" xfId="19786" xr:uid="{3B27F928-8CE1-4D67-AD96-FCB9AC8D097C}"/>
    <cellStyle name="Comma 7 2 2 3 4 2 3" xfId="12239" xr:uid="{B4521F81-AD1D-4AFF-80B3-261CD4D0205C}"/>
    <cellStyle name="Comma 7 2 2 3 4 2 3 2" xfId="22619" xr:uid="{5677930C-C401-4645-830D-A0B77C4C5D24}"/>
    <cellStyle name="Comma 7 2 2 3 4 2 4" xfId="27840" xr:uid="{7241895C-BB31-41E7-8E3B-F88BE0AC858A}"/>
    <cellStyle name="Comma 7 2 2 3 4 2 5" xfId="27522" xr:uid="{B67D4C20-6BD0-4B33-8818-C8EF6F28CD13}"/>
    <cellStyle name="Comma 7 2 2 3 4 2 6" xfId="16953" xr:uid="{B8D7D11B-AD17-4B7D-9F45-79219B68447A}"/>
    <cellStyle name="Comma 7 2 2 3 4 3" xfId="23415" xr:uid="{B3D99E58-3E40-48D6-AE5D-5AA65E3459AF}"/>
    <cellStyle name="Comma 7 2 2 3 5" xfId="4129" xr:uid="{877DD0B7-91C8-4047-8AB6-6A0439980FEB}"/>
    <cellStyle name="Comma 7 2 2 3 5 2" xfId="8901" xr:uid="{508AE782-02EB-43C0-B39B-7479CE7035C5}"/>
    <cellStyle name="Comma 7 2 2 3 5 2 2" xfId="29009" xr:uid="{56E699DF-9D15-4187-925C-C45DA86ACF35}"/>
    <cellStyle name="Comma 7 2 2 3 5 2 3" xfId="27387" xr:uid="{39450833-A300-4B1D-A9D8-61A6D6F6F351}"/>
    <cellStyle name="Comma 7 2 2 3 5 2 4" xfId="19281" xr:uid="{08EEC60C-0099-4E6B-80B6-8C5B3885AA62}"/>
    <cellStyle name="Comma 7 2 2 3 5 3" xfId="11734" xr:uid="{C64CFF5A-B182-4A4F-BA3A-F22E702A79C9}"/>
    <cellStyle name="Comma 7 2 2 3 5 3 2" xfId="22114" xr:uid="{14E9F653-AE5C-4638-A4B3-0B269A475DAB}"/>
    <cellStyle name="Comma 7 2 2 3 5 4" xfId="26890" xr:uid="{B69E732D-8DB3-42AC-96F1-7CDB6781D1AE}"/>
    <cellStyle name="Comma 7 2 2 3 5 5" xfId="16448" xr:uid="{4209CE48-A415-4F6C-8913-F6CCC6C937C6}"/>
    <cellStyle name="Comma 7 2 2 3 6" xfId="4897" xr:uid="{D878CDF5-7139-4AE6-BD55-5F63DCE4E7EC}"/>
    <cellStyle name="Comma 7 2 2 3 6 2" xfId="26020" xr:uid="{A8A868A9-3F59-47A1-AD5E-86D633A124B0}"/>
    <cellStyle name="Comma 7 2 2 3 6 3" xfId="28562" xr:uid="{383A136F-0150-476E-BFCB-F08B3B3269E0}"/>
    <cellStyle name="Comma 7 2 2 3 6 4" xfId="14189" xr:uid="{D18CF7B1-2A7B-4E39-BF5C-0BCE434C80AE}"/>
    <cellStyle name="Comma 7 2 2 3 7" xfId="6642" xr:uid="{D8872408-E6CD-4F1C-BAC2-A1BB6E368BAD}"/>
    <cellStyle name="Comma 7 2 2 3 7 2" xfId="26402" xr:uid="{3942AAA6-0FB2-446F-A804-53E939F1C7FD}"/>
    <cellStyle name="Comma 7 2 2 3 7 3" xfId="25994" xr:uid="{EA0CE032-A618-4632-8989-F8BBC25A4014}"/>
    <cellStyle name="Comma 7 2 2 3 7 4" xfId="17022" xr:uid="{A49136E5-4F8C-4C15-BA3B-8BB7F5B11DF4}"/>
    <cellStyle name="Comma 7 2 2 3 8" xfId="9475" xr:uid="{9720792E-05E4-4E0E-AF59-45DF63CACFC8}"/>
    <cellStyle name="Comma 7 2 2 3 8 2" xfId="19855" xr:uid="{6CA6B623-5B51-4DC1-9D5B-071502C6844E}"/>
    <cellStyle name="Comma 7 2 2 3 9" xfId="24196" xr:uid="{1E1A7BCD-344F-44B6-BD92-656BCA728504}"/>
    <cellStyle name="Comma 7 2 2 4" xfId="1725" xr:uid="{00000000-0005-0000-0000-00009D020000}"/>
    <cellStyle name="Comma 7 2 2 4 2" xfId="3057" xr:uid="{00000000-0005-0000-0000-00000D020000}"/>
    <cellStyle name="Comma 7 2 2 4 2 2" xfId="8137" xr:uid="{79932F5E-9580-48F1-8529-90BCD53E877D}"/>
    <cellStyle name="Comma 7 2 2 4 2 2 2" xfId="28813" xr:uid="{8088152D-8BD2-4879-A03F-A4091A89BE31}"/>
    <cellStyle name="Comma 7 2 2 4 2 2 3" xfId="26528" xr:uid="{5B02E49F-8440-4266-9801-4CAA6E4A26A9}"/>
    <cellStyle name="Comma 7 2 2 4 2 2 4" xfId="18517" xr:uid="{D7CBCCF5-8558-455B-A543-8CE073895AFD}"/>
    <cellStyle name="Comma 7 2 2 4 2 3" xfId="10970" xr:uid="{A2A86666-6078-442D-B35E-F7D351511B16}"/>
    <cellStyle name="Comma 7 2 2 4 2 3 2" xfId="21350" xr:uid="{C2A68EA7-6557-4E95-9A49-BED1CFA33D9A}"/>
    <cellStyle name="Comma 7 2 2 4 2 4" xfId="25663" xr:uid="{9629754C-A6E0-498B-8488-5138591471D4}"/>
    <cellStyle name="Comma 7 2 2 4 2 5" xfId="15684" xr:uid="{7DE48EB4-3A3C-4CF8-AD0F-9988B6357B55}"/>
    <cellStyle name="Comma 7 2 2 4 3" xfId="3680" xr:uid="{00000000-0005-0000-0000-00009D020000}"/>
    <cellStyle name="Comma 7 2 2 4 3 2" xfId="29823" xr:uid="{2B1EDBAA-473B-434B-A463-8E285F3B4F3A}"/>
    <cellStyle name="Comma 7 2 2 4 4" xfId="4409" xr:uid="{2884BD95-8C96-4C48-BFE0-B4B8C01AC220}"/>
    <cellStyle name="Comma 7 2 2 4 4 2" xfId="9181" xr:uid="{51D2ED3C-38AC-433A-8617-49E6706C9BEB}"/>
    <cellStyle name="Comma 7 2 2 4 4 2 2" xfId="19561" xr:uid="{EB9E0A14-A346-4595-B7BB-C9951BF96F16}"/>
    <cellStyle name="Comma 7 2 2 4 4 3" xfId="12014" xr:uid="{074143B9-EF08-49BE-8B75-306F0534EF6B}"/>
    <cellStyle name="Comma 7 2 2 4 4 3 2" xfId="22394" xr:uid="{3FECC5C3-10F9-4369-9243-B299ED0F971F}"/>
    <cellStyle name="Comma 7 2 2 4 4 4" xfId="27638" xr:uid="{56D38DD3-ADC5-4B8B-88E4-C6F4CB1740A2}"/>
    <cellStyle name="Comma 7 2 2 4 4 5" xfId="26102" xr:uid="{00EEF17C-FBC2-431A-A330-61A8937C351F}"/>
    <cellStyle name="Comma 7 2 2 4 4 6" xfId="16728" xr:uid="{1EECA979-426B-44BC-8F1B-4D50B564DF24}"/>
    <cellStyle name="Comma 7 2 2 4 5" xfId="5609" xr:uid="{AA8E1380-6EDE-4CFE-9E40-364B1E2958CC}"/>
    <cellStyle name="Comma 7 2 2 4 5 2" xfId="30444" xr:uid="{D44727F0-E02C-48E3-B8CC-A8DC694E5C6C}"/>
    <cellStyle name="Comma 7 2 2 4 6" xfId="23541" xr:uid="{6D5C53B2-FBEB-459F-9948-CB95D208CCAF}"/>
    <cellStyle name="Comma 7 2 2 4 7" xfId="13564" xr:uid="{C2F9C43F-40DF-4C76-97DD-2A17504A1907}"/>
    <cellStyle name="Comma 7 2 2 5" xfId="1726" xr:uid="{00000000-0005-0000-0000-00009E020000}"/>
    <cellStyle name="Comma 7 2 2 5 2" xfId="2875" xr:uid="{00000000-0005-0000-0000-00000E020000}"/>
    <cellStyle name="Comma 7 2 2 5 2 2" xfId="7992" xr:uid="{4F6B9913-684D-4727-8F75-69891E0FA4B4}"/>
    <cellStyle name="Comma 7 2 2 5 2 2 2" xfId="26734" xr:uid="{4DBFEF5A-2872-4625-9421-D24713D43C63}"/>
    <cellStyle name="Comma 7 2 2 5 2 2 3" xfId="26064" xr:uid="{C7FAD55E-F70A-48BB-B368-DD9D077C9848}"/>
    <cellStyle name="Comma 7 2 2 5 2 2 4" xfId="18372" xr:uid="{52C4C18F-CE18-4336-BC90-203CB3284521}"/>
    <cellStyle name="Comma 7 2 2 5 2 3" xfId="10825" xr:uid="{86A97B90-213B-4491-B6A5-A7829C1DC02F}"/>
    <cellStyle name="Comma 7 2 2 5 2 3 2" xfId="21205" xr:uid="{3E5B3E22-8411-48E5-B009-F61566C96075}"/>
    <cellStyle name="Comma 7 2 2 5 2 4" xfId="27969" xr:uid="{D934AE7B-A4F7-45D2-9452-321EA8E1AD95}"/>
    <cellStyle name="Comma 7 2 2 5 2 5" xfId="15539" xr:uid="{99BA62F0-498E-4818-AE98-9AC3BADEA644}"/>
    <cellStyle name="Comma 7 2 2 5 3" xfId="3664" xr:uid="{00000000-0005-0000-0000-00009E020000}"/>
    <cellStyle name="Comma 7 2 2 5 3 2" xfId="29901" xr:uid="{0B3A44B4-0B94-49E9-87F5-60C0528E1646}"/>
    <cellStyle name="Comma 7 2 2 5 4" xfId="5610" xr:uid="{55EE2DA4-A930-4586-860A-CC8C50FBE5EB}"/>
    <cellStyle name="Comma 7 2 2 5 4 2" xfId="30165" xr:uid="{3EBFB62B-E722-4B26-9B31-002F203A4C4F}"/>
    <cellStyle name="Comma 7 2 2 5 5" xfId="23494" xr:uid="{344966AD-C75E-4565-9D8C-65B71C58D1D3}"/>
    <cellStyle name="Comma 7 2 2 5 6" xfId="13371" xr:uid="{1239FB64-A269-4C61-9329-8F3A998CEBC3}"/>
    <cellStyle name="Comma 7 2 2 6" xfId="1718" xr:uid="{00000000-0005-0000-0000-00009F020000}"/>
    <cellStyle name="Comma 7 2 2 6 2" xfId="2553" xr:uid="{00000000-0005-0000-0000-00000F020000}"/>
    <cellStyle name="Comma 7 2 2 6 2 2" xfId="7678" xr:uid="{511DF218-10D3-41A3-89B2-F695E6F25ACC}"/>
    <cellStyle name="Comma 7 2 2 6 2 2 2" xfId="18058" xr:uid="{6004069A-33AE-4B86-B581-51C0F7D88F9C}"/>
    <cellStyle name="Comma 7 2 2 6 2 3" xfId="10511" xr:uid="{497BC43F-ABFB-46A9-A07C-8046F2D5D812}"/>
    <cellStyle name="Comma 7 2 2 6 2 3 2" xfId="20891" xr:uid="{5C3335A4-C0FD-452D-B831-470A2861F276}"/>
    <cellStyle name="Comma 7 2 2 6 2 4" xfId="27238" xr:uid="{1F324C63-9201-42AE-903D-289CC68FFA31}"/>
    <cellStyle name="Comma 7 2 2 6 2 5" xfId="26045" xr:uid="{86A3CDEC-0D3A-4062-A12C-B4566F55EDD6}"/>
    <cellStyle name="Comma 7 2 2 6 2 6" xfId="15225" xr:uid="{7DA14D5E-5C09-4907-AA5D-C6ADA3499B16}"/>
    <cellStyle name="Comma 7 2 2 6 3" xfId="2054" xr:uid="{00000000-0005-0000-0000-00009F020000}"/>
    <cellStyle name="Comma 7 2 2 6 3 2" xfId="30631" xr:uid="{5197C395-DB9B-4F50-812C-F599945BDB5F}"/>
    <cellStyle name="Comma 7 2 2 6 4" xfId="5603" xr:uid="{60038AD0-6BE8-4865-B9B6-AD32EB2302CD}"/>
    <cellStyle name="Comma 7 2 2 6 5" xfId="24801" xr:uid="{A5EB4658-B44E-47BD-80EB-AA6F6EDDBABE}"/>
    <cellStyle name="Comma 7 2 2 6 6" xfId="12941" xr:uid="{BE4D7BAC-6445-4734-AC38-348FDA98C210}"/>
    <cellStyle name="Comma 7 2 2 7" xfId="2247" xr:uid="{00000000-0005-0000-0000-000003020000}"/>
    <cellStyle name="Comma 7 2 2 7 2" xfId="7374" xr:uid="{0A111B7A-E81D-424D-93F3-A1B916F6B206}"/>
    <cellStyle name="Comma 7 2 2 7 2 2" xfId="25893" xr:uid="{3D667DB0-D6E6-4A70-BF42-4FBB51E74154}"/>
    <cellStyle name="Comma 7 2 2 7 2 3" xfId="28631" xr:uid="{33470BA6-13F0-4CAA-8D70-DA911E3060B6}"/>
    <cellStyle name="Comma 7 2 2 7 2 4" xfId="17754" xr:uid="{044D9C97-1D62-4CAB-9159-3ACBE2736603}"/>
    <cellStyle name="Comma 7 2 2 7 3" xfId="10207" xr:uid="{1BC0BCFE-BB52-4B67-AA21-6840686D4F59}"/>
    <cellStyle name="Comma 7 2 2 7 3 2" xfId="20587" xr:uid="{8F17904A-0E3E-47D7-A407-A0DF32549C9E}"/>
    <cellStyle name="Comma 7 2 2 7 4" xfId="25080" xr:uid="{7D39C3BA-B1B2-41F6-BD33-4BBF2AF309A4}"/>
    <cellStyle name="Comma 7 2 2 7 5" xfId="14921" xr:uid="{F2893B11-4C57-4B13-910A-C78E21261ED0}"/>
    <cellStyle name="Comma 7 2 2 8" xfId="3870" xr:uid="{3E5C70AC-0E52-4D30-97B8-177BC30558FD}"/>
    <cellStyle name="Comma 7 2 2 8 2" xfId="8702" xr:uid="{1DF26086-E6D6-46BB-B3D5-9CA7B3E1C7BB}"/>
    <cellStyle name="Comma 7 2 2 8 2 2" xfId="19082" xr:uid="{822059CC-170D-49E2-A8CE-24D298477B31}"/>
    <cellStyle name="Comma 7 2 2 8 3" xfId="11535" xr:uid="{F6DFD62A-5711-43E9-8060-0F22CCA3C240}"/>
    <cellStyle name="Comma 7 2 2 8 3 2" xfId="21915" xr:uid="{58C42CCD-D5F7-42B2-9D23-79A52F8A1A51}"/>
    <cellStyle name="Comma 7 2 2 8 4" xfId="28303" xr:uid="{F97E2B0D-F2EA-4A21-8D3C-320537C9CB57}"/>
    <cellStyle name="Comma 7 2 2 8 5" xfId="28031" xr:uid="{9085F826-80DB-438C-B89D-6546D59AF92F}"/>
    <cellStyle name="Comma 7 2 2 8 6" xfId="16249" xr:uid="{D3E7F2A1-878F-4CC9-8BAC-43A374FE8C04}"/>
    <cellStyle name="Comma 7 2 2 9" xfId="4895" xr:uid="{4DFEC7DB-B081-428A-8B77-89C1B1AA1200}"/>
    <cellStyle name="Comma 7 2 2 9 2" xfId="26377" xr:uid="{9BB1FB6C-B00A-4ACE-BB8F-92CA74CD27D6}"/>
    <cellStyle name="Comma 7 2 2 9 3" xfId="28246" xr:uid="{FAF7AA94-202C-4370-BBA3-E9C59EA1FA8A}"/>
    <cellStyle name="Comma 7 2 2 9 4" xfId="14187" xr:uid="{5A687EC5-4251-4604-8602-52EBD6AE30D7}"/>
    <cellStyle name="Comma 7 2 3" xfId="507" xr:uid="{00000000-0005-0000-0000-0000A0020000}"/>
    <cellStyle name="Comma 7 2 3 10" xfId="9476" xr:uid="{9A1EE7D6-C029-4AB9-A969-2BA6818C8415}"/>
    <cellStyle name="Comma 7 2 3 10 2" xfId="19856" xr:uid="{51A573A9-F72F-4EF7-8550-32B5AF735BD6}"/>
    <cellStyle name="Comma 7 2 3 11" xfId="23201" xr:uid="{A3085440-9DAC-41F5-B662-E357843B7000}"/>
    <cellStyle name="Comma 7 2 3 12" xfId="12514" xr:uid="{28831415-CA58-4F90-B505-6EF8E940A66B}"/>
    <cellStyle name="Comma 7 2 3 2" xfId="1728" xr:uid="{00000000-0005-0000-0000-0000A1020000}"/>
    <cellStyle name="Comma 7 2 3 2 2" xfId="3059" xr:uid="{00000000-0005-0000-0000-000012020000}"/>
    <cellStyle name="Comma 7 2 3 2 2 2" xfId="6167" xr:uid="{3D1BB39A-3BE3-4005-9137-0D2C1CF87CF9}"/>
    <cellStyle name="Comma 7 2 3 2 2 2 2" xfId="25762" xr:uid="{316FF5C7-2B37-4870-B6B2-DFE4297A211E}"/>
    <cellStyle name="Comma 7 2 3 2 2 2 2 2" xfId="26440" xr:uid="{0BA1EC53-1CE3-4703-B000-7F9D92004D12}"/>
    <cellStyle name="Comma 7 2 3 2 2 2 3" xfId="28541" xr:uid="{E85FCAA5-7D0F-4031-91D6-C7896D217910}"/>
    <cellStyle name="Comma 7 2 3 2 2 2 4" xfId="15686" xr:uid="{C1FBB8FC-223C-45A8-99CA-92BA6AF463C5}"/>
    <cellStyle name="Comma 7 2 3 2 2 3" xfId="8139" xr:uid="{2973F88F-A6E1-45E5-B16C-3F4539239A22}"/>
    <cellStyle name="Comma 7 2 3 2 2 3 2" xfId="18519" xr:uid="{D967F906-A1D0-4172-B366-44AF5DDC14C4}"/>
    <cellStyle name="Comma 7 2 3 2 2 4" xfId="10972" xr:uid="{8B31D45B-778C-4090-8F6C-83F37C85A7D2}"/>
    <cellStyle name="Comma 7 2 3 2 2 4 2" xfId="21352" xr:uid="{C7ADC56C-2AE9-4D69-B395-4FDC3C4D1559}"/>
    <cellStyle name="Comma 7 2 3 2 2 5" xfId="23426" xr:uid="{A678EA77-348C-42CF-BBAD-179C4B03D329}"/>
    <cellStyle name="Comma 7 2 3 2 2 6" xfId="28625" xr:uid="{3E47D2C0-5F25-4679-93BB-CCDF18DDD730}"/>
    <cellStyle name="Comma 7 2 3 2 2 7" xfId="13566" xr:uid="{E4A03419-9976-4CDD-BE52-9C868E540586}"/>
    <cellStyle name="Comma 7 2 3 2 3" xfId="2680" xr:uid="{00000000-0005-0000-0000-000011020000}"/>
    <cellStyle name="Comma 7 2 3 2 3 2" xfId="7804" xr:uid="{B0EBD1CB-FB67-4C13-8BE8-49AF77AFAE80}"/>
    <cellStyle name="Comma 7 2 3 2 3 2 2" xfId="26445" xr:uid="{84B21BBA-EEFF-4F82-B9D0-0102C2AA2028}"/>
    <cellStyle name="Comma 7 2 3 2 3 2 3" xfId="28100" xr:uid="{E2998CDD-8A94-4A0D-A7EC-C6F4E022FA6E}"/>
    <cellStyle name="Comma 7 2 3 2 3 2 4" xfId="18184" xr:uid="{5C0C3576-2C95-4198-A4E7-84111A4C940E}"/>
    <cellStyle name="Comma 7 2 3 2 3 3" xfId="10637" xr:uid="{CA16C7B1-DF6A-4EBB-B787-C0D297536080}"/>
    <cellStyle name="Comma 7 2 3 2 3 3 2" xfId="21017" xr:uid="{DE856001-DDF3-41DB-8B31-FF6E1CF1FF49}"/>
    <cellStyle name="Comma 7 2 3 2 3 4" xfId="24726" xr:uid="{3D1B4EA1-45C2-437A-B500-A52569CE8785}"/>
    <cellStyle name="Comma 7 2 3 2 3 5" xfId="15351" xr:uid="{C3C939CB-FB45-4728-982A-733B2CDD9502}"/>
    <cellStyle name="Comma 7 2 3 2 4" xfId="3572" xr:uid="{00000000-0005-0000-0000-0000A1020000}"/>
    <cellStyle name="Comma 7 2 3 2 4 2" xfId="27494" xr:uid="{E74C66D3-BDDD-4527-9E91-499D01B416C2}"/>
    <cellStyle name="Comma 7 2 3 2 4 2 2" xfId="29804" xr:uid="{9320005F-8CA4-46B7-B727-E6AFF8EFBF3B}"/>
    <cellStyle name="Comma 7 2 3 2 4 3" xfId="26596" xr:uid="{6A9E456A-B61A-489A-9460-E446CE99DB04}"/>
    <cellStyle name="Comma 7 2 3 2 5" xfId="4264" xr:uid="{2A99CC70-A246-4DA0-9BEB-785BD96D665B}"/>
    <cellStyle name="Comma 7 2 3 2 5 2" xfId="9036" xr:uid="{A74E6E0D-F160-4EDC-A927-A8D788DDB4A0}"/>
    <cellStyle name="Comma 7 2 3 2 5 2 2" xfId="19416" xr:uid="{BD96A8F4-C2A0-41F4-9E4C-83662DAB7A81}"/>
    <cellStyle name="Comma 7 2 3 2 5 3" xfId="11869" xr:uid="{176C1908-BD14-480D-8D63-CA0ED9B0AD99}"/>
    <cellStyle name="Comma 7 2 3 2 5 3 2" xfId="22249" xr:uid="{7922417B-368A-4540-B1BF-26A882939E9B}"/>
    <cellStyle name="Comma 7 2 3 2 5 4" xfId="27862" xr:uid="{FC47FD16-5367-4145-BA0C-07B44C4F0EBA}"/>
    <cellStyle name="Comma 7 2 3 2 5 5" xfId="27583" xr:uid="{CCAA9180-D060-4ED8-AF68-4C119E44468E}"/>
    <cellStyle name="Comma 7 2 3 2 5 6" xfId="16583" xr:uid="{D62F26F6-0D44-420C-91AE-75F6FFD9E244}"/>
    <cellStyle name="Comma 7 2 3 2 6" xfId="5612" xr:uid="{86CDC6DC-A307-48F6-9100-257FBDE1EE07}"/>
    <cellStyle name="Comma 7 2 3 2 6 2" xfId="30387" xr:uid="{5450E76A-9E2E-4FCC-8E9A-62CDB1A4E23A}"/>
    <cellStyle name="Comma 7 2 3 2 7" xfId="24740" xr:uid="{113CF7D5-3CC3-4C78-AA45-6BB36B301A7F}"/>
    <cellStyle name="Comma 7 2 3 2 8" xfId="13088" xr:uid="{84212721-431A-4A5B-A3B6-C12D2C24C27E}"/>
    <cellStyle name="Comma 7 2 3 3" xfId="1729" xr:uid="{00000000-0005-0000-0000-0000A2020000}"/>
    <cellStyle name="Comma 7 2 3 3 2" xfId="3060" xr:uid="{00000000-0005-0000-0000-000013020000}"/>
    <cellStyle name="Comma 7 2 3 3 2 2" xfId="8140" xr:uid="{6DAF77EB-FB96-4AC8-BEE8-6FEAC97173DB}"/>
    <cellStyle name="Comma 7 2 3 3 2 2 2" xfId="28815" xr:uid="{72C055C4-39FE-4BAF-9ABB-F310BE8341FA}"/>
    <cellStyle name="Comma 7 2 3 3 2 2 3" xfId="28221" xr:uid="{708B1898-A359-47D4-B173-0705408D1A01}"/>
    <cellStyle name="Comma 7 2 3 3 2 2 4" xfId="18520" xr:uid="{177D7A2C-5452-4A0F-B0A5-9148CA5FD390}"/>
    <cellStyle name="Comma 7 2 3 3 2 3" xfId="10973" xr:uid="{CF23F9BB-E2C2-467A-AF01-34347383401B}"/>
    <cellStyle name="Comma 7 2 3 3 2 3 2" xfId="21353" xr:uid="{0A5A92A7-0214-4E75-AF35-1495ECB17C0F}"/>
    <cellStyle name="Comma 7 2 3 3 2 4" xfId="23391" xr:uid="{298BF98D-F159-49C5-B22D-BE5AD390A8AC}"/>
    <cellStyle name="Comma 7 2 3 3 2 5" xfId="15687" xr:uid="{9E81E762-4D76-4ADD-BF8D-521D2D21A73D}"/>
    <cellStyle name="Comma 7 2 3 3 3" xfId="3565" xr:uid="{00000000-0005-0000-0000-0000A2020000}"/>
    <cellStyle name="Comma 7 2 3 3 3 2" xfId="29853" xr:uid="{25521D70-DBD0-44E8-98E7-45DA83C0EC2C}"/>
    <cellStyle name="Comma 7 2 3 3 4" xfId="4410" xr:uid="{B4AA6C36-AE1E-44DC-994E-4825DBBD8F35}"/>
    <cellStyle name="Comma 7 2 3 3 4 2" xfId="9182" xr:uid="{85587B4D-CAD4-4032-8AD5-A59B4106C247}"/>
    <cellStyle name="Comma 7 2 3 3 4 2 2" xfId="19562" xr:uid="{7534E3E2-ADF5-4EAE-B6DD-2F9EF213E93F}"/>
    <cellStyle name="Comma 7 2 3 3 4 3" xfId="12015" xr:uid="{06A06909-35C8-4873-987F-AACAE88E6A0D}"/>
    <cellStyle name="Comma 7 2 3 3 4 3 2" xfId="22395" xr:uid="{C8309B11-D9E9-4E6B-BE78-44B8F03D00F4}"/>
    <cellStyle name="Comma 7 2 3 3 4 4" xfId="16729" xr:uid="{3FE30A88-23F4-429B-971D-5405FB557D2F}"/>
    <cellStyle name="Comma 7 2 3 3 5" xfId="5613" xr:uid="{0B567FCE-3EAD-430A-ADFC-79476E3F8D8B}"/>
    <cellStyle name="Comma 7 2 3 3 5 2" xfId="30476" xr:uid="{9E197783-71FC-4519-986D-EDFF86AE98EF}"/>
    <cellStyle name="Comma 7 2 3 3 6" xfId="22735" xr:uid="{7F3E24BF-5A0E-4D79-A227-E0F794633307}"/>
    <cellStyle name="Comma 7 2 3 3 7" xfId="13567" xr:uid="{87DECCAD-5422-434D-BCDF-8063B4A346C0}"/>
    <cellStyle name="Comma 7 2 3 4" xfId="1727" xr:uid="{00000000-0005-0000-0000-0000A3020000}"/>
    <cellStyle name="Comma 7 2 3 4 2" xfId="3058" xr:uid="{00000000-0005-0000-0000-000014020000}"/>
    <cellStyle name="Comma 7 2 3 4 2 2" xfId="8138" xr:uid="{A8203D9E-E043-4B8A-BF67-57D3E61E6E7D}"/>
    <cellStyle name="Comma 7 2 3 4 2 2 2" xfId="28814" xr:uid="{F0E91839-7605-4CCB-A5B1-E1A2CC00B1DC}"/>
    <cellStyle name="Comma 7 2 3 4 2 2 3" xfId="26227" xr:uid="{D198E1A3-1E03-417A-9006-F3344715DFEA}"/>
    <cellStyle name="Comma 7 2 3 4 2 2 4" xfId="18518" xr:uid="{57346C15-DEEB-4790-B4C1-7FAB484851C6}"/>
    <cellStyle name="Comma 7 2 3 4 2 3" xfId="10971" xr:uid="{CEFFE88F-6E64-4128-9614-3DE420D09D09}"/>
    <cellStyle name="Comma 7 2 3 4 2 3 2" xfId="21351" xr:uid="{756BA5ED-BEDD-4A1C-ADDC-B0A7EB7277EF}"/>
    <cellStyle name="Comma 7 2 3 4 2 4" xfId="25703" xr:uid="{1F9F094F-723B-46B5-9CA0-C2DD8CF7C7C3}"/>
    <cellStyle name="Comma 7 2 3 4 2 5" xfId="15685" xr:uid="{2A2B50CF-0E31-4926-9228-892F3D69281D}"/>
    <cellStyle name="Comma 7 2 3 4 3" xfId="3601" xr:uid="{00000000-0005-0000-0000-0000A3020000}"/>
    <cellStyle name="Comma 7 2 3 4 3 2" xfId="29926" xr:uid="{DBED97C4-FC4E-4A24-8A79-EC5DD24F31FB}"/>
    <cellStyle name="Comma 7 2 3 4 4" xfId="5611" xr:uid="{B015D05F-1EF5-4A33-9017-141199658DDE}"/>
    <cellStyle name="Comma 7 2 3 4 4 2" xfId="30198" xr:uid="{340F2C10-1A2E-4539-9832-ED7E7B946370}"/>
    <cellStyle name="Comma 7 2 3 4 5" xfId="23295" xr:uid="{A2C967C4-EA4B-4F18-A429-9C1E97BD0EC3}"/>
    <cellStyle name="Comma 7 2 3 4 6" xfId="13565" xr:uid="{260DE583-A7E0-4BE6-BE16-F57B406F1EBB}"/>
    <cellStyle name="Comma 7 2 3 5" xfId="2596" xr:uid="{00000000-0005-0000-0000-000015020000}"/>
    <cellStyle name="Comma 7 2 3 5 2" xfId="5861" xr:uid="{DCA6FFBF-13D6-4EB6-9BC2-24CAD4DEF891}"/>
    <cellStyle name="Comma 7 2 3 5 2 2" xfId="26663" xr:uid="{747733F0-5315-4476-965E-D92D7DE4A8B1}"/>
    <cellStyle name="Comma 7 2 3 5 2 3" xfId="25962" xr:uid="{D17284AE-DAD2-4375-966B-799D91095B07}"/>
    <cellStyle name="Comma 7 2 3 5 2 4" xfId="15268" xr:uid="{D91D6154-E1B9-4EC6-BBBD-F60F6FD5A178}"/>
    <cellStyle name="Comma 7 2 3 5 3" xfId="7721" xr:uid="{CA472964-12B8-44F9-9DB3-E23253F45684}"/>
    <cellStyle name="Comma 7 2 3 5 3 2" xfId="18101" xr:uid="{F2F47DE1-F74C-4E0E-BE63-BE508F071316}"/>
    <cellStyle name="Comma 7 2 3 5 4" xfId="10554" xr:uid="{F69A24F4-5378-4805-AA93-7CBAAD0869DA}"/>
    <cellStyle name="Comma 7 2 3 5 4 2" xfId="20934" xr:uid="{DF1FA347-EFD0-4A21-99B8-3744DD0E6CBA}"/>
    <cellStyle name="Comma 7 2 3 5 5" xfId="24914" xr:uid="{83E8E163-ACD3-4505-A590-F3D0B6F827E6}"/>
    <cellStyle name="Comma 7 2 3 5 6" xfId="12984" xr:uid="{3A212F0B-0751-4EF9-BCD0-D99948C74859}"/>
    <cellStyle name="Comma 7 2 3 6" xfId="2282" xr:uid="{00000000-0005-0000-0000-000010020000}"/>
    <cellStyle name="Comma 7 2 3 6 2" xfId="7409" xr:uid="{B4A9D789-B2EE-4B47-B9A1-7E513E25A26A}"/>
    <cellStyle name="Comma 7 2 3 6 2 2" xfId="17789" xr:uid="{AC686961-C587-431C-BF82-8F93915F1A31}"/>
    <cellStyle name="Comma 7 2 3 6 3" xfId="10242" xr:uid="{0338E169-2F5F-4093-A5DC-CE942BEFF0F1}"/>
    <cellStyle name="Comma 7 2 3 6 3 2" xfId="20622" xr:uid="{F2E16EE8-6B9C-4324-B188-957791626B0F}"/>
    <cellStyle name="Comma 7 2 3 6 4" xfId="22780" xr:uid="{38695AE0-4EA9-4DC8-957A-0D8720EF8BD4}"/>
    <cellStyle name="Comma 7 2 3 6 5" xfId="25940" xr:uid="{55CE7175-F668-4D91-BF21-F392D9022484}"/>
    <cellStyle name="Comma 7 2 3 6 6" xfId="14956" xr:uid="{532DAA4E-429B-4A50-BD7B-BDEBDF65A81B}"/>
    <cellStyle name="Comma 7 2 3 7" xfId="3821" xr:uid="{7C51F2B8-CC43-45CA-B458-319A66C14278}"/>
    <cellStyle name="Comma 7 2 3 7 2" xfId="8654" xr:uid="{4A191CAA-6F56-4637-B13D-626DFABA59C3}"/>
    <cellStyle name="Comma 7 2 3 7 2 2" xfId="19034" xr:uid="{16DF19C1-C7F4-4AC9-9576-AA1D869283EE}"/>
    <cellStyle name="Comma 7 2 3 7 3" xfId="11487" xr:uid="{CBE1CE50-7D32-47DF-B101-472B84563998}"/>
    <cellStyle name="Comma 7 2 3 7 3 2" xfId="21867" xr:uid="{2A9D3C64-261B-4E3A-8DA7-B7F1014FB2C1}"/>
    <cellStyle name="Comma 7 2 3 7 4" xfId="28412" xr:uid="{DB70D8DA-2F1B-4D63-BF9A-D4AE8CD4D414}"/>
    <cellStyle name="Comma 7 2 3 7 5" xfId="27097" xr:uid="{C9998E32-78FF-4413-85A6-CA6AFF7772DE}"/>
    <cellStyle name="Comma 7 2 3 7 6" xfId="16201" xr:uid="{E4D98F7D-753A-43F1-8912-5551AE6EA406}"/>
    <cellStyle name="Comma 7 2 3 8" xfId="4898" xr:uid="{9A91274E-C3CE-47C3-B40C-A471000DA48E}"/>
    <cellStyle name="Comma 7 2 3 8 2" xfId="14190" xr:uid="{795A9D83-4AB8-4BED-AFF9-FF66176815DE}"/>
    <cellStyle name="Comma 7 2 3 9" xfId="6643" xr:uid="{3813FBD2-3F6E-409D-A87D-F462F655882B}"/>
    <cellStyle name="Comma 7 2 3 9 2" xfId="17023" xr:uid="{C5FDEBD5-83DC-4CFA-A902-FB84FCAA94D2}"/>
    <cellStyle name="Comma 7 2 4" xfId="508" xr:uid="{00000000-0005-0000-0000-0000A4020000}"/>
    <cellStyle name="Comma 7 2 4 10" xfId="12672" xr:uid="{0F75D37F-2AB0-46C8-BB5F-86CCD232BDC9}"/>
    <cellStyle name="Comma 7 2 4 2" xfId="1731" xr:uid="{00000000-0005-0000-0000-0000A5020000}"/>
    <cellStyle name="Comma 7 2 4 2 2" xfId="3061" xr:uid="{00000000-0005-0000-0000-000017020000}"/>
    <cellStyle name="Comma 7 2 4 2 2 2" xfId="8141" xr:uid="{A728D78D-D3BA-44A1-8EAC-AC5DE74B610A}"/>
    <cellStyle name="Comma 7 2 4 2 2 2 2" xfId="28816" xr:uid="{89AF36A5-0852-41A9-BB9C-4EA8DA930051}"/>
    <cellStyle name="Comma 7 2 4 2 2 2 3" xfId="28611" xr:uid="{DA8B76BE-83BD-4F2B-B209-FB3509ED7A52}"/>
    <cellStyle name="Comma 7 2 4 2 2 2 4" xfId="18521" xr:uid="{CE2BBE12-C50C-43BE-B73C-FBF019286217}"/>
    <cellStyle name="Comma 7 2 4 2 2 3" xfId="10974" xr:uid="{AEF5F852-AEC6-488B-BB8B-CB5A68A69607}"/>
    <cellStyle name="Comma 7 2 4 2 2 3 2" xfId="21354" xr:uid="{18923E47-6CA9-486E-9FC3-D0EF8E1044B0}"/>
    <cellStyle name="Comma 7 2 4 2 2 4" xfId="24492" xr:uid="{49EF89CE-2EBF-493D-B300-519FCF13E3FF}"/>
    <cellStyle name="Comma 7 2 4 2 2 5" xfId="15688" xr:uid="{07D45072-101C-4827-B8D1-A00007F60C66}"/>
    <cellStyle name="Comma 7 2 4 2 3" xfId="3578" xr:uid="{00000000-0005-0000-0000-0000A5020000}"/>
    <cellStyle name="Comma 7 2 4 2 3 2" xfId="29879" xr:uid="{5DBEEDF9-9837-4257-A22D-8DBB72C78CB3}"/>
    <cellStyle name="Comma 7 2 4 2 4" xfId="5614" xr:uid="{B5F8E063-CC13-48F7-B354-52022C29F059}"/>
    <cellStyle name="Comma 7 2 4 2 4 2" xfId="30143" xr:uid="{A96EFA38-CDCC-49D0-8EEF-94F29EB159C0}"/>
    <cellStyle name="Comma 7 2 4 2 5" xfId="24118" xr:uid="{23CFE5B5-814A-40B4-9D61-E5FD329C9B00}"/>
    <cellStyle name="Comma 7 2 4 2 6" xfId="13568" xr:uid="{A0F3A37A-EBFE-48B6-B3C3-4DFB0EB26A7A}"/>
    <cellStyle name="Comma 7 2 4 3" xfId="1732" xr:uid="{00000000-0005-0000-0000-0000A6020000}"/>
    <cellStyle name="Comma 7 2 4 3 2" xfId="2677" xr:uid="{00000000-0005-0000-0000-000018020000}"/>
    <cellStyle name="Comma 7 2 4 3 2 2" xfId="7801" xr:uid="{C348185F-03C6-41CC-B8E9-D9C1761E344B}"/>
    <cellStyle name="Comma 7 2 4 3 2 2 2" xfId="18181" xr:uid="{DFAC234B-F94F-4626-A62F-A1BB81C64ADB}"/>
    <cellStyle name="Comma 7 2 4 3 2 3" xfId="10634" xr:uid="{828F7050-5423-43A9-94F4-6C4CDEA9DDE5}"/>
    <cellStyle name="Comma 7 2 4 3 2 3 2" xfId="21014" xr:uid="{36910243-03A5-4384-AA37-543A06460B11}"/>
    <cellStyle name="Comma 7 2 4 3 2 4" xfId="15348" xr:uid="{9253CB1D-A89C-49CE-9543-5EEAEF68F735}"/>
    <cellStyle name="Comma 7 2 4 3 3" xfId="3690" xr:uid="{00000000-0005-0000-0000-0000A6020000}"/>
    <cellStyle name="Comma 7 2 4 3 3 2" xfId="30216" xr:uid="{F465EC61-E1EE-4B0D-BF5F-245DFB5F7EC9}"/>
    <cellStyle name="Comma 7 2 4 3 4" xfId="5615" xr:uid="{9A822023-40EF-4024-BA32-71C8DA489B1B}"/>
    <cellStyle name="Comma 7 2 4 3 4 2" xfId="30601" xr:uid="{9D0C9A64-BEDE-4E1E-978A-78BF9C237241}"/>
    <cellStyle name="Comma 7 2 4 3 5" xfId="25151" xr:uid="{8BA78B38-A904-4BC8-A518-F8221BA04843}"/>
    <cellStyle name="Comma 7 2 4 3 6" xfId="13085" xr:uid="{D69D46B7-6D00-4963-9FAC-B7590A5733C5}"/>
    <cellStyle name="Comma 7 2 4 4" xfId="1730" xr:uid="{00000000-0005-0000-0000-0000A7020000}"/>
    <cellStyle name="Comma 7 2 4 4 2" xfId="4677" xr:uid="{7FF1F726-48C0-4E3C-8436-57B334712BE9}"/>
    <cellStyle name="Comma 7 2 4 4 2 2" xfId="9415" xr:uid="{468889FF-DCE8-4C28-9427-D11CA555BBF5}"/>
    <cellStyle name="Comma 7 2 4 4 2 2 2" xfId="19795" xr:uid="{4B9EAE61-5D7A-433F-9001-56AD026AB1A4}"/>
    <cellStyle name="Comma 7 2 4 4 2 3" xfId="12248" xr:uid="{914BC7BF-38FC-4241-90D1-5043D7C1FF68}"/>
    <cellStyle name="Comma 7 2 4 4 2 3 2" xfId="22628" xr:uid="{E28FA847-DDCB-4995-8906-BCE8094CB064}"/>
    <cellStyle name="Comma 7 2 4 4 2 4" xfId="26498" xr:uid="{94586D6B-A30A-4D76-B5BD-173D1CE0B96C}"/>
    <cellStyle name="Comma 7 2 4 4 2 5" xfId="27248" xr:uid="{E82C3440-ECE4-49EB-9077-40D8BBDA0902}"/>
    <cellStyle name="Comma 7 2 4 4 2 6" xfId="16962" xr:uid="{2B0C225D-4B8D-4735-81B0-BE64B512E9FE}"/>
    <cellStyle name="Comma 7 2 4 4 3" xfId="23754" xr:uid="{7F869A60-CCC8-4E3A-927A-1271C14749AF}"/>
    <cellStyle name="Comma 7 2 4 4 3 2" xfId="30254" xr:uid="{E2D9699C-3B20-41DE-BF18-A96634B5CDDE}"/>
    <cellStyle name="Comma 7 2 4 4 4" xfId="30656" xr:uid="{E1EAA011-FDB1-472A-B60E-AF009C8D5818}"/>
    <cellStyle name="Comma 7 2 4 4 5" xfId="29789" xr:uid="{DAE3B376-8060-44FB-B08A-9826CA0F2782}"/>
    <cellStyle name="Comma 7 2 4 5" xfId="4128" xr:uid="{BFC5390C-2A59-45AD-B9E0-6FFEDD33AB4A}"/>
    <cellStyle name="Comma 7 2 4 5 2" xfId="8900" xr:uid="{6EBE8FDF-A200-45D7-9A14-36305788F322}"/>
    <cellStyle name="Comma 7 2 4 5 2 2" xfId="29008" xr:uid="{F76C256F-2A0C-43FA-83BA-AC50FA9B536B}"/>
    <cellStyle name="Comma 7 2 4 5 2 3" xfId="28274" xr:uid="{99C088C2-E00F-4872-9DA8-21F1F3CC2BB8}"/>
    <cellStyle name="Comma 7 2 4 5 2 4" xfId="19280" xr:uid="{C81C9A0B-602C-40C2-837B-F986A081BC61}"/>
    <cellStyle name="Comma 7 2 4 5 3" xfId="11733" xr:uid="{C7BFC475-CBC2-4F71-9CE0-B99840601691}"/>
    <cellStyle name="Comma 7 2 4 5 3 2" xfId="22113" xr:uid="{E2EF3D74-CD16-4679-AA48-2C05745F7341}"/>
    <cellStyle name="Comma 7 2 4 5 4" xfId="24824" xr:uid="{6D9BBF71-CD7F-445E-A2D8-2804763286F0}"/>
    <cellStyle name="Comma 7 2 4 5 5" xfId="16447" xr:uid="{51474418-17BA-4F2F-B2BB-9B832888E53D}"/>
    <cellStyle name="Comma 7 2 4 6" xfId="4899" xr:uid="{162CEDC1-43B7-474C-95C3-A9B92E1CEDD6}"/>
    <cellStyle name="Comma 7 2 4 6 2" xfId="26336" xr:uid="{E3826C55-B617-4C79-9E8E-6D8184763DB6}"/>
    <cellStyle name="Comma 7 2 4 6 3" xfId="27379" xr:uid="{CC5EA816-BCAB-4DD0-9F6F-EA1794A502AC}"/>
    <cellStyle name="Comma 7 2 4 6 4" xfId="14191" xr:uid="{780B2F84-923D-46AF-8682-AD3692052103}"/>
    <cellStyle name="Comma 7 2 4 7" xfId="6644" xr:uid="{5D8DACF2-E277-40ED-A57A-E778E0DD682F}"/>
    <cellStyle name="Comma 7 2 4 7 2" xfId="27844" xr:uid="{7526C40F-C96C-4739-A2A7-4651BE80C5D5}"/>
    <cellStyle name="Comma 7 2 4 7 3" xfId="28600" xr:uid="{9FF9AF63-491D-40E3-AE82-EAAEB0E7E63D}"/>
    <cellStyle name="Comma 7 2 4 7 4" xfId="17024" xr:uid="{531D5670-B963-4C71-9CD4-4A5F6FD23B89}"/>
    <cellStyle name="Comma 7 2 4 8" xfId="9477" xr:uid="{987F5DE1-40AF-4B68-878D-FBEB5AE91EB9}"/>
    <cellStyle name="Comma 7 2 4 8 2" xfId="19857" xr:uid="{CE8EC75E-57B7-41B6-B4F8-8E109E7DF603}"/>
    <cellStyle name="Comma 7 2 4 9" xfId="24524" xr:uid="{3065228A-29D9-417F-9B00-790F2E229799}"/>
    <cellStyle name="Comma 7 2 5" xfId="509" xr:uid="{00000000-0005-0000-0000-0000A8020000}"/>
    <cellStyle name="Comma 7 2 5 10" xfId="13569" xr:uid="{337843CD-D89E-4EB7-B629-1C4D0EFED20D}"/>
    <cellStyle name="Comma 7 2 5 2" xfId="1734" xr:uid="{00000000-0005-0000-0000-0000A9020000}"/>
    <cellStyle name="Comma 7 2 5 2 2" xfId="23807" xr:uid="{0011FB13-E713-469D-B8B6-F6B81812F5A4}"/>
    <cellStyle name="Comma 7 2 5 2 2 2" xfId="30312" xr:uid="{F1D1D377-A1F2-421D-960C-AA008F0ED9AA}"/>
    <cellStyle name="Comma 7 2 5 2 3" xfId="25638" xr:uid="{B96FBEC1-5BE6-4663-9CFF-AEA34151F77D}"/>
    <cellStyle name="Comma 7 2 5 2 4" xfId="30035" xr:uid="{E58334F0-F4AE-41A6-9080-7359BB3C7536}"/>
    <cellStyle name="Comma 7 2 5 3" xfId="1735" xr:uid="{00000000-0005-0000-0000-0000AA020000}"/>
    <cellStyle name="Comma 7 2 5 3 2" xfId="29667" xr:uid="{D575C172-14EA-4C09-A3C2-D9713E21F640}"/>
    <cellStyle name="Comma 7 2 5 4" xfId="1733" xr:uid="{00000000-0005-0000-0000-0000AB020000}"/>
    <cellStyle name="Comma 7 2 5 4 2" xfId="30059" xr:uid="{0CB4AF04-7BB4-4159-9650-AAD2EF113494}"/>
    <cellStyle name="Comma 7 2 5 5" xfId="4411" xr:uid="{D34833F5-5C65-4394-96C8-665306F97C0A}"/>
    <cellStyle name="Comma 7 2 5 5 2" xfId="9183" xr:uid="{D603904B-2825-4865-9103-051FAFA6C453}"/>
    <cellStyle name="Comma 7 2 5 5 2 2" xfId="19563" xr:uid="{D3296877-B1A8-47A5-9690-A769837DC84B}"/>
    <cellStyle name="Comma 7 2 5 5 3" xfId="12016" xr:uid="{AAD37AC4-C259-43CE-8B27-A03F077D66B1}"/>
    <cellStyle name="Comma 7 2 5 5 3 2" xfId="22396" xr:uid="{66AF6FBF-C03C-478F-9ACD-2071155647CC}"/>
    <cellStyle name="Comma 7 2 5 5 4" xfId="16730" xr:uid="{9F2A43D9-3926-454F-8C5B-6E95C650CAF5}"/>
    <cellStyle name="Comma 7 2 5 6" xfId="4900" xr:uid="{2086C670-384E-4A92-8725-F94ECBC97A60}"/>
    <cellStyle name="Comma 7 2 5 6 2" xfId="14192" xr:uid="{BD2F386F-A2BE-48DA-BE1D-C9B81EECDDBF}"/>
    <cellStyle name="Comma 7 2 5 7" xfId="6645" xr:uid="{939BC2C9-8E29-4531-988D-B89560FB1285}"/>
    <cellStyle name="Comma 7 2 5 7 2" xfId="17025" xr:uid="{37FDFB7B-23F4-4F65-BC5E-3A5B70ED6D7D}"/>
    <cellStyle name="Comma 7 2 5 8" xfId="9478" xr:uid="{8A76806C-F58E-40D3-A851-C7AC4990F8DE}"/>
    <cellStyle name="Comma 7 2 5 8 2" xfId="19858" xr:uid="{3E1C9DFF-3370-41FA-8C6F-801B1F54A661}"/>
    <cellStyle name="Comma 7 2 5 9" xfId="23574" xr:uid="{D92270B7-5FE3-43A2-A456-D436178FBE90}"/>
    <cellStyle name="Comma 7 2 6" xfId="1736" xr:uid="{00000000-0005-0000-0000-0000AC020000}"/>
    <cellStyle name="Comma 7 2 6 2" xfId="2874" xr:uid="{00000000-0005-0000-0000-00001A020000}"/>
    <cellStyle name="Comma 7 2 6 2 2" xfId="7991" xr:uid="{CAF66553-0572-4E90-BD60-957055CB2902}"/>
    <cellStyle name="Comma 7 2 6 2 2 2" xfId="26895" xr:uid="{2E105864-F10C-4F08-8B2C-38FC21AD458C}"/>
    <cellStyle name="Comma 7 2 6 2 2 3" xfId="26701" xr:uid="{62984D6B-AFFA-4E38-8D0C-F77826CA4377}"/>
    <cellStyle name="Comma 7 2 6 2 2 4" xfId="18371" xr:uid="{D9AD4E22-EFA7-41FF-AB95-8B9317FB82FA}"/>
    <cellStyle name="Comma 7 2 6 2 3" xfId="10824" xr:uid="{687D5264-DBB5-401E-8719-049F6D660D79}"/>
    <cellStyle name="Comma 7 2 6 2 3 2" xfId="21204" xr:uid="{C30B3E9E-8769-4163-A620-9FB58DC411B4}"/>
    <cellStyle name="Comma 7 2 6 2 4" xfId="23811" xr:uid="{6A46C7BE-7A40-462D-B3C8-8FA28C9418B2}"/>
    <cellStyle name="Comma 7 2 6 2 5" xfId="15538" xr:uid="{C0C0198F-60BD-4BE4-88FF-6EE07FBE8575}"/>
    <cellStyle name="Comma 7 2 6 3" xfId="3684" xr:uid="{00000000-0005-0000-0000-0000AC020000}"/>
    <cellStyle name="Comma 7 2 6 3 2" xfId="29822" xr:uid="{1B05590E-5FCA-4526-BAFA-6297925B8723}"/>
    <cellStyle name="Comma 7 2 6 4" xfId="5616" xr:uid="{3CA19EC9-B78E-44DD-B810-207F7AFDAB36}"/>
    <cellStyle name="Comma 7 2 6 4 2" xfId="30102" xr:uid="{767FC8B7-26C6-45D2-9072-7553D3B57771}"/>
    <cellStyle name="Comma 7 2 6 5" xfId="23337" xr:uid="{7672C8F0-0900-49FD-9BDB-C9CA4655328B}"/>
    <cellStyle name="Comma 7 2 6 6" xfId="13370" xr:uid="{1DA6054B-09D6-406A-8D73-D01D6062D58D}"/>
    <cellStyle name="Comma 7 2 7" xfId="1737" xr:uid="{00000000-0005-0000-0000-0000AD020000}"/>
    <cellStyle name="Comma 7 2 7 2" xfId="2493" xr:uid="{00000000-0005-0000-0000-00001B020000}"/>
    <cellStyle name="Comma 7 2 7 2 2" xfId="7618" xr:uid="{501F984C-7707-4FD2-9717-F6C36BB50D40}"/>
    <cellStyle name="Comma 7 2 7 2 2 2" xfId="17998" xr:uid="{17693E62-144F-418C-8EA3-1BAD9BD2EFDA}"/>
    <cellStyle name="Comma 7 2 7 2 3" xfId="10451" xr:uid="{BBC2B1C2-49A1-4F8D-AB2B-BED5EB09FE78}"/>
    <cellStyle name="Comma 7 2 7 2 3 2" xfId="20831" xr:uid="{73E5473D-B384-4AEB-A3EB-52E5E907B559}"/>
    <cellStyle name="Comma 7 2 7 2 4" xfId="26073" xr:uid="{FA54937D-2523-4660-83C0-2C2756BFC805}"/>
    <cellStyle name="Comma 7 2 7 2 5" xfId="27413" xr:uid="{0DEBC0B3-7280-4F3A-ACE2-031BBAF90176}"/>
    <cellStyle name="Comma 7 2 7 2 6" xfId="15165" xr:uid="{26738D38-C3C1-4DE0-8B38-D33218B9E0E5}"/>
    <cellStyle name="Comma 7 2 7 3" xfId="3620" xr:uid="{00000000-0005-0000-0000-0000AD020000}"/>
    <cellStyle name="Comma 7 2 7 3 2" xfId="30164" xr:uid="{8A124CF4-47A3-43C0-9AFF-8377AED195F5}"/>
    <cellStyle name="Comma 7 2 7 4" xfId="5617" xr:uid="{76F957A8-F298-4B70-A8C8-199C7FA4444C}"/>
    <cellStyle name="Comma 7 2 7 4 2" xfId="30516" xr:uid="{B2C4709A-55CC-4177-9FFB-DBB6F5B293C1}"/>
    <cellStyle name="Comma 7 2 7 5" xfId="25579" xr:uid="{2DE83F3B-06CE-47B6-BEAB-EDDD427E267E}"/>
    <cellStyle name="Comma 7 2 7 6" xfId="12881" xr:uid="{2B039CD4-3A65-4408-9B2E-D8B7C174E99B}"/>
    <cellStyle name="Comma 7 2 8" xfId="1717" xr:uid="{00000000-0005-0000-0000-0000AE020000}"/>
    <cellStyle name="Comma 7 2 8 2" xfId="2187" xr:uid="{00000000-0005-0000-0000-000002020000}"/>
    <cellStyle name="Comma 7 2 8 2 2" xfId="7314" xr:uid="{305357E2-C639-4C7E-A108-4A34749F8A32}"/>
    <cellStyle name="Comma 7 2 8 2 2 2" xfId="17694" xr:uid="{E7BEED04-BEA2-4880-9ADA-C4114D9E482E}"/>
    <cellStyle name="Comma 7 2 8 2 3" xfId="10147" xr:uid="{75E81427-5C88-4DB7-A436-60DAF55A3CA0}"/>
    <cellStyle name="Comma 7 2 8 2 3 2" xfId="20527" xr:uid="{2FEF4EA1-9E93-42E0-9E2E-911188E08615}"/>
    <cellStyle name="Comma 7 2 8 2 4" xfId="27345" xr:uid="{30D2CEE5-E778-4B6D-91DB-8A903F49B9EB}"/>
    <cellStyle name="Comma 7 2 8 2 5" xfId="28265" xr:uid="{A62F63CD-4029-4B39-95B0-C9C2A94DCB23}"/>
    <cellStyle name="Comma 7 2 8 2 6" xfId="14861" xr:uid="{28C46102-C1E2-4C03-B363-6EB1171E51BE}"/>
    <cellStyle name="Comma 7 2 8 3" xfId="3650" xr:uid="{00000000-0005-0000-0000-0000AE020000}"/>
    <cellStyle name="Comma 7 2 8 3 2" xfId="30630" xr:uid="{37D19638-8EC0-4868-9A78-2729771B5882}"/>
    <cellStyle name="Comma 7 2 8 4" xfId="24349" xr:uid="{D37F70DB-05AA-47E1-B5F7-2728E2C870A0}"/>
    <cellStyle name="Comma 7 2 9" xfId="3869" xr:uid="{F4D1E9BD-A0FA-4A8D-8E31-D876682FFE4B}"/>
    <cellStyle name="Comma 7 2 9 2" xfId="8701" xr:uid="{8CB8DB38-03CC-41A3-8E7D-CCE0456C8EA4}"/>
    <cellStyle name="Comma 7 2 9 2 2" xfId="19081" xr:uid="{FB4C8D6A-90A4-4CDA-9E2E-5225EC1652DC}"/>
    <cellStyle name="Comma 7 2 9 3" xfId="11534" xr:uid="{5044B8B8-A0B2-45A4-B01F-C0BE711A2698}"/>
    <cellStyle name="Comma 7 2 9 3 2" xfId="21914" xr:uid="{A3D1C56E-4C27-41D2-AF9C-55BCAE5D18B8}"/>
    <cellStyle name="Comma 7 2 9 4" xfId="26500" xr:uid="{125441C2-60E3-40EA-8E2F-2B84B5DE5AE1}"/>
    <cellStyle name="Comma 7 2 9 5" xfId="26350" xr:uid="{43B9A38B-55E7-49F9-9E04-609D5FEEA2C4}"/>
    <cellStyle name="Comma 7 2 9 6" xfId="16248" xr:uid="{78D6CC94-8015-4D6D-89B1-14E112E5F17E}"/>
    <cellStyle name="Comma 7 20" xfId="12396" xr:uid="{F42B3602-9F46-4675-A2BF-201227D87022}"/>
    <cellStyle name="Comma 7 21" xfId="29552" xr:uid="{C7B24164-FE9F-45D3-895E-E967A00C97CC}"/>
    <cellStyle name="Comma 7 3" xfId="510" xr:uid="{00000000-0005-0000-0000-0000AF020000}"/>
    <cellStyle name="Comma 7 3 10" xfId="4901" xr:uid="{0D468BB1-AC9C-4BC3-B782-3D09EF0EB048}"/>
    <cellStyle name="Comma 7 3 10 2" xfId="14193" xr:uid="{478144D2-BDB4-4090-A37E-BAD7E56FE1E8}"/>
    <cellStyle name="Comma 7 3 11" xfId="6646" xr:uid="{43C231E0-DCE5-4583-9F88-DF4521BC36BB}"/>
    <cellStyle name="Comma 7 3 11 2" xfId="17026" xr:uid="{2518C636-5EE9-4BE0-9285-3CEE1C1CA479}"/>
    <cellStyle name="Comma 7 3 12" xfId="9479" xr:uid="{FA7DC2DD-A897-49DF-A04C-CAD2F2B58630}"/>
    <cellStyle name="Comma 7 3 12 2" xfId="19859" xr:uid="{E126D103-F72D-47AB-AD63-1F0C7E11B780}"/>
    <cellStyle name="Comma 7 3 13" xfId="22877" xr:uid="{08A534C2-2A78-4498-B607-6899705451BB}"/>
    <cellStyle name="Comma 7 3 14" xfId="12456" xr:uid="{802E7B73-02F1-4FAD-ADF7-E6FFE78FD74F}"/>
    <cellStyle name="Comma 7 3 2" xfId="511" xr:uid="{00000000-0005-0000-0000-0000B0020000}"/>
    <cellStyle name="Comma 7 3 2 10" xfId="9480" xr:uid="{44C6ED94-6E55-45BC-B8E8-97402F41FA9C}"/>
    <cellStyle name="Comma 7 3 2 10 2" xfId="19860" xr:uid="{C5E5778E-6C31-4DCE-AE34-B55A58F289C1}"/>
    <cellStyle name="Comma 7 3 2 11" xfId="23478" xr:uid="{7D5FB373-D6D4-41C9-BBDF-44A3BCCD4E56}"/>
    <cellStyle name="Comma 7 3 2 12" xfId="12516" xr:uid="{98B905C0-9544-413A-9A3C-B251CFE6B004}"/>
    <cellStyle name="Comma 7 3 2 2" xfId="512" xr:uid="{00000000-0005-0000-0000-0000B1020000}"/>
    <cellStyle name="Comma 7 3 2 2 10" xfId="13090" xr:uid="{314E022B-3F24-45B1-A7D0-81E977900103}"/>
    <cellStyle name="Comma 7 3 2 2 2" xfId="1741" xr:uid="{00000000-0005-0000-0000-0000B2020000}"/>
    <cellStyle name="Comma 7 3 2 2 2 2" xfId="3063" xr:uid="{00000000-0005-0000-0000-00001F020000}"/>
    <cellStyle name="Comma 7 3 2 2 2 2 2" xfId="8143" xr:uid="{9EB58E2A-9628-4E62-B7DB-F1ED9CA45B36}"/>
    <cellStyle name="Comma 7 3 2 2 2 2 2 2" xfId="28818" xr:uid="{F091C59C-15B3-4385-8CD6-D034264F1A15}"/>
    <cellStyle name="Comma 7 3 2 2 2 2 2 3" xfId="27993" xr:uid="{9418F35A-8A7C-40F4-A110-770179FB46B6}"/>
    <cellStyle name="Comma 7 3 2 2 2 2 2 4" xfId="18523" xr:uid="{34EA4903-7091-4F73-860B-EBEBC02E7BEC}"/>
    <cellStyle name="Comma 7 3 2 2 2 2 3" xfId="10976" xr:uid="{5B47F23C-D88F-4522-AF27-CA74BC1778F2}"/>
    <cellStyle name="Comma 7 3 2 2 2 2 3 2" xfId="21356" xr:uid="{F5C5CD3D-8059-479B-87A5-8D444040ECA5}"/>
    <cellStyle name="Comma 7 3 2 2 2 2 4" xfId="25737" xr:uid="{0BD68913-1C0D-4A18-9932-CBE888208981}"/>
    <cellStyle name="Comma 7 3 2 2 2 2 5" xfId="15690" xr:uid="{AB7D13A1-97DD-4AAE-B47E-73DAD8FE81CB}"/>
    <cellStyle name="Comma 7 3 2 2 2 3" xfId="3677" xr:uid="{00000000-0005-0000-0000-0000B2020000}"/>
    <cellStyle name="Comma 7 3 2 2 2 3 2" xfId="29887" xr:uid="{B618CD58-B78E-43C5-91E1-A7B22AD087D5}"/>
    <cellStyle name="Comma 7 3 2 2 2 4" xfId="5620" xr:uid="{F8F8D46F-8C1B-40ED-AC69-279F85441D7E}"/>
    <cellStyle name="Comma 7 3 2 2 2 4 2" xfId="30149" xr:uid="{B3A85FBF-3DD2-42ED-9590-557134105391}"/>
    <cellStyle name="Comma 7 3 2 2 2 5" xfId="24595" xr:uid="{E922A290-B943-457D-9DAA-AA591270817C}"/>
    <cellStyle name="Comma 7 3 2 2 2 6" xfId="13571" xr:uid="{C7370AE9-BEDA-4936-9B13-B69FB3350FF3}"/>
    <cellStyle name="Comma 7 3 2 2 3" xfId="1742" xr:uid="{00000000-0005-0000-0000-0000B3020000}"/>
    <cellStyle name="Comma 7 3 2 2 3 2" xfId="4631" xr:uid="{576F16F8-EFE4-4B0A-A5A4-7EEE626B3BDC}"/>
    <cellStyle name="Comma 7 3 2 2 3 2 2" xfId="9398" xr:uid="{99CA9C69-5AD9-4A41-8B72-A5EDCD19BDD1}"/>
    <cellStyle name="Comma 7 3 2 2 3 2 2 2" xfId="19778" xr:uid="{6B755713-890C-4A5E-A9CC-A107DDCC0838}"/>
    <cellStyle name="Comma 7 3 2 2 3 2 3" xfId="12231" xr:uid="{ABFBFCF8-D2A1-43C2-8025-B08A3E571072}"/>
    <cellStyle name="Comma 7 3 2 2 3 2 3 2" xfId="22611" xr:uid="{04BC963B-3C8F-440B-ABC3-86D29417EF50}"/>
    <cellStyle name="Comma 7 3 2 2 3 2 4" xfId="26783" xr:uid="{6BA0A017-502F-40BC-BBAF-E94534540C20}"/>
    <cellStyle name="Comma 7 3 2 2 3 2 5" xfId="28096" xr:uid="{F3B064B6-F93E-42A7-A726-D82A391C3FF3}"/>
    <cellStyle name="Comma 7 3 2 2 3 2 6" xfId="16945" xr:uid="{4846A55E-0158-4755-A3BF-E08F053AA403}"/>
    <cellStyle name="Comma 7 3 2 2 3 3" xfId="25547" xr:uid="{EFC59D73-E1DB-4083-AC6B-5511F1AE4772}"/>
    <cellStyle name="Comma 7 3 2 2 3 3 2" xfId="30222" xr:uid="{C2110BFE-7A9A-4D91-BC81-FD3A5F202471}"/>
    <cellStyle name="Comma 7 3 2 2 3 4" xfId="30609" xr:uid="{81727C97-1002-4D58-97D9-E3FD053463F3}"/>
    <cellStyle name="Comma 7 3 2 2 3 5" xfId="29734" xr:uid="{A6F03D1E-AD4C-4FDB-AEA7-6F79FC97C7B4}"/>
    <cellStyle name="Comma 7 3 2 2 4" xfId="1740" xr:uid="{00000000-0005-0000-0000-0000B4020000}"/>
    <cellStyle name="Comma 7 3 2 2 4 2" xfId="26934" xr:uid="{BB2C93DE-0EA2-4180-8F0A-5D7729C94327}"/>
    <cellStyle name="Comma 7 3 2 2 4 2 2" xfId="30255" xr:uid="{33D31ACF-A7C5-4AF2-A589-A32DA0FAB0A0}"/>
    <cellStyle name="Comma 7 3 2 2 4 3" xfId="26331" xr:uid="{4B7EA0F0-A874-4A7A-AA17-A511659378B1}"/>
    <cellStyle name="Comma 7 3 2 2 4 4" xfId="30013" xr:uid="{E4447B26-7CCF-4D1D-98ED-FECE0FD32021}"/>
    <cellStyle name="Comma 7 3 2 2 5" xfId="4266" xr:uid="{BE4A8A92-9203-46B3-B75D-3A4CB87D4F4D}"/>
    <cellStyle name="Comma 7 3 2 2 5 2" xfId="9038" xr:uid="{C08D1657-5658-4B6B-8203-E95C87A7EE0F}"/>
    <cellStyle name="Comma 7 3 2 2 5 2 2" xfId="19418" xr:uid="{193556DE-658A-4F7A-A754-49E699E99DD2}"/>
    <cellStyle name="Comma 7 3 2 2 5 3" xfId="11871" xr:uid="{65A826F5-8FEE-4850-B3C9-DA934B07DBE8}"/>
    <cellStyle name="Comma 7 3 2 2 5 3 2" xfId="22251" xr:uid="{E2266970-DA3E-4959-8D54-961246D0F065}"/>
    <cellStyle name="Comma 7 3 2 2 5 4" xfId="26679" xr:uid="{472FD8A8-2C5E-4413-8C69-428CD7929C68}"/>
    <cellStyle name="Comma 7 3 2 2 5 5" xfId="26536" xr:uid="{351CB8E7-5286-4BB0-8673-78588533E161}"/>
    <cellStyle name="Comma 7 3 2 2 5 6" xfId="16585" xr:uid="{81230DBA-C8ED-4D42-A9E2-A4D137B251E9}"/>
    <cellStyle name="Comma 7 3 2 2 6" xfId="4903" xr:uid="{7B56B96F-699C-47E9-94EB-3A4B767766E9}"/>
    <cellStyle name="Comma 7 3 2 2 6 2" xfId="26151" xr:uid="{DDD6984B-7B18-4C4B-AB55-6355383E7D09}"/>
    <cellStyle name="Comma 7 3 2 2 6 3" xfId="26129" xr:uid="{5B4B9ED0-FD2E-46B2-8091-38B732BF4709}"/>
    <cellStyle name="Comma 7 3 2 2 6 4" xfId="14195" xr:uid="{BCD3727D-14D3-40FC-A791-A68EA4028E6F}"/>
    <cellStyle name="Comma 7 3 2 2 7" xfId="6648" xr:uid="{29FE4C2C-EEC4-467A-BF12-CE2217AF91BE}"/>
    <cellStyle name="Comma 7 3 2 2 7 2" xfId="17028" xr:uid="{BEF2A5CC-C727-49F5-B650-1B971840249F}"/>
    <cellStyle name="Comma 7 3 2 2 8" xfId="9481" xr:uid="{5D6F5411-B2B2-4E75-87E2-ADCDB1886AD9}"/>
    <cellStyle name="Comma 7 3 2 2 8 2" xfId="19861" xr:uid="{6B762266-62EC-4F54-BA17-62DC45832362}"/>
    <cellStyle name="Comma 7 3 2 2 9" xfId="25000" xr:uid="{CD0FD5A6-656A-4CF3-A237-BEBAC252C9C9}"/>
    <cellStyle name="Comma 7 3 2 3" xfId="1743" xr:uid="{00000000-0005-0000-0000-0000B5020000}"/>
    <cellStyle name="Comma 7 3 2 3 2" xfId="3064" xr:uid="{00000000-0005-0000-0000-000020020000}"/>
    <cellStyle name="Comma 7 3 2 3 2 2" xfId="8144" xr:uid="{ACBA072B-CD7A-46B4-ACF4-B6F5FE59E664}"/>
    <cellStyle name="Comma 7 3 2 3 2 2 2" xfId="28819" xr:uid="{FEB05874-AA96-4C3A-A40E-2F3718A94053}"/>
    <cellStyle name="Comma 7 3 2 3 2 2 3" xfId="26424" xr:uid="{321BC57C-4929-4F2A-AB8B-8BF5596252F8}"/>
    <cellStyle name="Comma 7 3 2 3 2 2 4" xfId="18524" xr:uid="{D3EEF176-327A-408E-9BBB-8C3BDE6169C5}"/>
    <cellStyle name="Comma 7 3 2 3 2 3" xfId="10977" xr:uid="{68A0D4CE-7B5F-4751-AD30-677DD43AEC23}"/>
    <cellStyle name="Comma 7 3 2 3 2 3 2" xfId="21357" xr:uid="{DEE53771-88FE-4FB5-A0AF-18B4F08C6191}"/>
    <cellStyle name="Comma 7 3 2 3 2 4" xfId="24202" xr:uid="{5ACDC300-80F5-4574-AE4B-BA33D74AD79A}"/>
    <cellStyle name="Comma 7 3 2 3 2 5" xfId="15691" xr:uid="{27EAE8BC-0A57-4EFA-AD9A-F5DE29E0748A}"/>
    <cellStyle name="Comma 7 3 2 3 3" xfId="3653" xr:uid="{00000000-0005-0000-0000-0000B5020000}"/>
    <cellStyle name="Comma 7 3 2 3 3 2" xfId="29799" xr:uid="{34D7365D-2F51-46D5-8EA2-AABFF5230FC2}"/>
    <cellStyle name="Comma 7 3 2 3 4" xfId="4412" xr:uid="{5056B530-ACD4-453B-8107-ABB5E9A56790}"/>
    <cellStyle name="Comma 7 3 2 3 4 2" xfId="9184" xr:uid="{C3146450-A1D4-429D-8CC8-A6F95F5248A2}"/>
    <cellStyle name="Comma 7 3 2 3 4 2 2" xfId="19564" xr:uid="{1D5F4487-1D7E-4A76-87B7-7F52D3672BAB}"/>
    <cellStyle name="Comma 7 3 2 3 4 3" xfId="12017" xr:uid="{4B9D60CC-1558-4CF5-85C0-E6BAED389BB9}"/>
    <cellStyle name="Comma 7 3 2 3 4 3 2" xfId="22397" xr:uid="{BC6F709E-E6B6-4751-BD45-053EF2E4C980}"/>
    <cellStyle name="Comma 7 3 2 3 4 4" xfId="16731" xr:uid="{986E52A3-796D-4892-814E-09F7E748C9CE}"/>
    <cellStyle name="Comma 7 3 2 3 5" xfId="5621" xr:uid="{B1F56D63-FE69-44E6-98FB-5F3EF823EE62}"/>
    <cellStyle name="Comma 7 3 2 3 5 2" xfId="30381" xr:uid="{ECBC8F51-6AAD-4CED-A384-0858294822D3}"/>
    <cellStyle name="Comma 7 3 2 3 6" xfId="25216" xr:uid="{154D43D2-A138-420D-A033-02AEFF17C681}"/>
    <cellStyle name="Comma 7 3 2 3 7" xfId="13572" xr:uid="{ED17B5BE-5DC5-41C0-B8EA-E786ED290D87}"/>
    <cellStyle name="Comma 7 3 2 4" xfId="1744" xr:uid="{00000000-0005-0000-0000-0000B6020000}"/>
    <cellStyle name="Comma 7 3 2 4 2" xfId="3062" xr:uid="{00000000-0005-0000-0000-000021020000}"/>
    <cellStyle name="Comma 7 3 2 4 2 2" xfId="8142" xr:uid="{F13E98B3-100B-4B0D-95AB-C4F15D236966}"/>
    <cellStyle name="Comma 7 3 2 4 2 2 2" xfId="28817" xr:uid="{36EB78DD-72C5-4617-8665-328D7D513FE6}"/>
    <cellStyle name="Comma 7 3 2 4 2 2 3" xfId="28599" xr:uid="{A6A52FA0-55DD-4771-97D5-B1F70AAD1644}"/>
    <cellStyle name="Comma 7 3 2 4 2 2 4" xfId="18522" xr:uid="{B93A7AAA-832D-4AB4-8EFB-597F00FF11D4}"/>
    <cellStyle name="Comma 7 3 2 4 2 3" xfId="10975" xr:uid="{17D2B5AD-77A7-4E67-A256-1029155F93D9}"/>
    <cellStyle name="Comma 7 3 2 4 2 3 2" xfId="21355" xr:uid="{7041785A-7A25-413F-A5DB-0CE2C42167D9}"/>
    <cellStyle name="Comma 7 3 2 4 2 4" xfId="25467" xr:uid="{597C771E-BB4A-4233-82D8-4728BD2A2410}"/>
    <cellStyle name="Comma 7 3 2 4 2 5" xfId="15689" xr:uid="{DF33B1DB-3AC8-4F7D-80FA-CD346F7437F2}"/>
    <cellStyle name="Comma 7 3 2 4 3" xfId="3646" xr:uid="{00000000-0005-0000-0000-0000B6020000}"/>
    <cellStyle name="Comma 7 3 2 4 3 2" xfId="29842" xr:uid="{59B89780-E2ED-4C95-9DAB-105F3405CE43}"/>
    <cellStyle name="Comma 7 3 2 4 4" xfId="5622" xr:uid="{4CBC5550-7EB1-496E-BF60-43A6D36D04BB}"/>
    <cellStyle name="Comma 7 3 2 4 4 2" xfId="30132" xr:uid="{C8F343CD-746D-434D-B350-06AEC88B8E10}"/>
    <cellStyle name="Comma 7 3 2 4 5" xfId="23477" xr:uid="{AB89610E-F3F8-48F9-972C-144B7BDA3CA3}"/>
    <cellStyle name="Comma 7 3 2 4 6" xfId="13570" xr:uid="{29B1F7CA-6AF3-4C00-B1CA-F2A4C220A07E}"/>
    <cellStyle name="Comma 7 3 2 5" xfId="1739" xr:uid="{00000000-0005-0000-0000-0000B7020000}"/>
    <cellStyle name="Comma 7 3 2 5 2" xfId="2530" xr:uid="{00000000-0005-0000-0000-000022020000}"/>
    <cellStyle name="Comma 7 3 2 5 2 2" xfId="7655" xr:uid="{A0E9BFAD-9D8A-4AEE-91DE-9322FF827AA5}"/>
    <cellStyle name="Comma 7 3 2 5 2 2 2" xfId="18035" xr:uid="{E5039BBF-2D65-4D40-9E6C-7C636B16957D}"/>
    <cellStyle name="Comma 7 3 2 5 2 3" xfId="10488" xr:uid="{35B5DE7E-91A0-47CA-8BA5-FB1F6C6FF05D}"/>
    <cellStyle name="Comma 7 3 2 5 2 3 2" xfId="20868" xr:uid="{96864E27-D39C-4DBD-8DFF-A6044A4EF7A4}"/>
    <cellStyle name="Comma 7 3 2 5 2 4" xfId="27810" xr:uid="{761487A3-48A8-4ADB-AC6D-7E1BE69C1CC4}"/>
    <cellStyle name="Comma 7 3 2 5 2 5" xfId="26158" xr:uid="{B4B66CE1-B6F2-4F67-8423-F1AADE9D1483}"/>
    <cellStyle name="Comma 7 3 2 5 2 6" xfId="15202" xr:uid="{A8870507-7518-4BCB-9454-327410C422C3}"/>
    <cellStyle name="Comma 7 3 2 5 3" xfId="3605" xr:uid="{00000000-0005-0000-0000-0000B7020000}"/>
    <cellStyle name="Comma 7 3 2 5 3 2" xfId="30190" xr:uid="{0F8946E3-5E86-405B-877C-A7E8A6CDF169}"/>
    <cellStyle name="Comma 7 3 2 5 4" xfId="5619" xr:uid="{CB2AB5E2-79BE-4286-B19B-C00594332EC1}"/>
    <cellStyle name="Comma 7 3 2 5 4 2" xfId="30571" xr:uid="{2B745316-B0C5-4D9A-9637-3EE977D20AC6}"/>
    <cellStyle name="Comma 7 3 2 5 5" xfId="24098" xr:uid="{3BFF258C-BC50-4BCC-9B63-6245FE626A5E}"/>
    <cellStyle name="Comma 7 3 2 5 6" xfId="12918" xr:uid="{E6139DF9-D78A-4089-AB4B-9DCD81B11CFB}"/>
    <cellStyle name="Comma 7 3 2 6" xfId="2284" xr:uid="{00000000-0005-0000-0000-00001D020000}"/>
    <cellStyle name="Comma 7 3 2 6 2" xfId="7411" xr:uid="{A7E362AD-5D73-4E3D-B12B-A277A2FDD2F7}"/>
    <cellStyle name="Comma 7 3 2 6 2 2" xfId="17791" xr:uid="{C5AD4C1E-DDD6-4310-B015-606B4FC97896}"/>
    <cellStyle name="Comma 7 3 2 6 2 3" xfId="29977" xr:uid="{5816AFB6-D761-49C0-B11C-CA06096120BA}"/>
    <cellStyle name="Comma 7 3 2 6 3" xfId="10244" xr:uid="{25D427EB-0150-4447-B639-81B1ACDD4E31}"/>
    <cellStyle name="Comma 7 3 2 6 3 2" xfId="20624" xr:uid="{5A66325E-2258-4062-A820-01F53545E615}"/>
    <cellStyle name="Comma 7 3 2 6 4" xfId="24168" xr:uid="{DDFA4CD8-FD8A-4866-B882-62E98133B4D3}"/>
    <cellStyle name="Comma 7 3 2 6 5" xfId="27868" xr:uid="{74DA4B86-DD9C-4196-8B94-6AB9B111BD0A}"/>
    <cellStyle name="Comma 7 3 2 6 6" xfId="14958" xr:uid="{76F9AC0A-5FF2-4D61-A9F9-D36AB4988D8F}"/>
    <cellStyle name="Comma 7 3 2 7" xfId="3823" xr:uid="{03ECEEC2-4353-437D-B316-8B68B00D3AF0}"/>
    <cellStyle name="Comma 7 3 2 7 2" xfId="8656" xr:uid="{FC321E94-E0DF-422E-9D21-379A6AB43E52}"/>
    <cellStyle name="Comma 7 3 2 7 2 2" xfId="19036" xr:uid="{C9377AC6-D02C-42F7-934A-E35C081CB37A}"/>
    <cellStyle name="Comma 7 3 2 7 3" xfId="11489" xr:uid="{7226042D-36BD-4626-9A09-7C3B0CAC6E9D}"/>
    <cellStyle name="Comma 7 3 2 7 3 2" xfId="21869" xr:uid="{56C6763E-4B23-45A2-8980-96AF0AA2DB66}"/>
    <cellStyle name="Comma 7 3 2 7 4" xfId="26014" xr:uid="{95B82187-8DAE-4F1F-9CCC-8243F0699F75}"/>
    <cellStyle name="Comma 7 3 2 7 5" xfId="28239" xr:uid="{D3D7B5F8-DBFA-4AE4-9090-2AF00756E508}"/>
    <cellStyle name="Comma 7 3 2 7 6" xfId="16203" xr:uid="{7340033E-29D4-4F59-9CD9-CD63A94CB483}"/>
    <cellStyle name="Comma 7 3 2 8" xfId="4902" xr:uid="{D494B231-3065-46A7-991F-77B5E1F38C95}"/>
    <cellStyle name="Comma 7 3 2 8 2" xfId="14194" xr:uid="{5D90722A-B20C-4A66-8ED3-5FC56E73A155}"/>
    <cellStyle name="Comma 7 3 2 9" xfId="6647" xr:uid="{53D4C5DF-D7F4-457D-B25E-535083C5157C}"/>
    <cellStyle name="Comma 7 3 2 9 2" xfId="17027" xr:uid="{35C18319-1AA8-4812-83DF-51B3D28E8D33}"/>
    <cellStyle name="Comma 7 3 3" xfId="513" xr:uid="{00000000-0005-0000-0000-0000B8020000}"/>
    <cellStyle name="Comma 7 3 3 10" xfId="24380" xr:uid="{B095ED9A-E6A6-4358-8D41-6CAC37D9ACA2}"/>
    <cellStyle name="Comma 7 3 3 11" xfId="12674" xr:uid="{276D5E48-B257-4623-AE96-58A3FF637E22}"/>
    <cellStyle name="Comma 7 3 3 2" xfId="1746" xr:uid="{00000000-0005-0000-0000-0000B9020000}"/>
    <cellStyle name="Comma 7 3 3 2 2" xfId="3066" xr:uid="{00000000-0005-0000-0000-000025020000}"/>
    <cellStyle name="Comma 7 3 3 2 2 2" xfId="6168" xr:uid="{6D673163-7F25-45B7-9AA1-F6BAB70BA1AD}"/>
    <cellStyle name="Comma 7 3 3 2 2 2 2" xfId="23052" xr:uid="{3960C535-C0D5-4AAD-ACC0-5FE123D84B57}"/>
    <cellStyle name="Comma 7 3 3 2 2 2 2 2" xfId="26322" xr:uid="{4870EA76-F278-4954-BBA8-4B0853FD14F6}"/>
    <cellStyle name="Comma 7 3 3 2 2 2 3" xfId="26303" xr:uid="{6B2C95C1-CA89-4886-9BAE-53679966970B}"/>
    <cellStyle name="Comma 7 3 3 2 2 2 4" xfId="15693" xr:uid="{C39F6264-43EB-45C0-998C-85F1B14F8777}"/>
    <cellStyle name="Comma 7 3 3 2 2 3" xfId="8146" xr:uid="{60F0084C-47A1-450C-B35D-E978A9728065}"/>
    <cellStyle name="Comma 7 3 3 2 2 3 2" xfId="28821" xr:uid="{60E0681C-3332-429E-98C5-E11F9FC3CE26}"/>
    <cellStyle name="Comma 7 3 3 2 2 3 3" xfId="27424" xr:uid="{14737B44-BF9A-4743-B7D7-A60C8B86DAF2}"/>
    <cellStyle name="Comma 7 3 3 2 2 3 4" xfId="18526" xr:uid="{7CF3DAF5-3F6F-4D6E-B0B5-15E00C091941}"/>
    <cellStyle name="Comma 7 3 3 2 2 4" xfId="10979" xr:uid="{3FB21C9B-FA96-4101-920C-B027AB8E0F7B}"/>
    <cellStyle name="Comma 7 3 3 2 2 4 2" xfId="21359" xr:uid="{88877E39-FB71-4E1D-891D-DD615B3A7B4E}"/>
    <cellStyle name="Comma 7 3 3 2 2 5" xfId="25259" xr:uid="{583F0785-B153-484B-9205-7C521E7A9F90}"/>
    <cellStyle name="Comma 7 3 3 2 2 6" xfId="13574" xr:uid="{71064039-8554-45CF-B9BA-3AF98EDAA231}"/>
    <cellStyle name="Comma 7 3 3 2 3" xfId="2681" xr:uid="{00000000-0005-0000-0000-000024020000}"/>
    <cellStyle name="Comma 7 3 3 2 3 2" xfId="7805" xr:uid="{8025719D-927B-4FD9-B8D0-B054039F4F04}"/>
    <cellStyle name="Comma 7 3 3 2 3 2 2" xfId="28549" xr:uid="{B29A9760-6D5F-4B66-8E5E-0E6086D21D40}"/>
    <cellStyle name="Comma 7 3 3 2 3 2 3" xfId="27650" xr:uid="{452DB3A7-01EF-48C3-AD82-EBD49103C8CF}"/>
    <cellStyle name="Comma 7 3 3 2 3 2 4" xfId="18185" xr:uid="{ED409F29-2503-4DF3-9088-B6B4336573B3}"/>
    <cellStyle name="Comma 7 3 3 2 3 3" xfId="10638" xr:uid="{334BFA20-B957-4785-8CFD-5C5BF7E0DD1C}"/>
    <cellStyle name="Comma 7 3 3 2 3 3 2" xfId="21018" xr:uid="{6155405E-6973-4929-BC09-07F196DABC0A}"/>
    <cellStyle name="Comma 7 3 3 2 3 4" xfId="24719" xr:uid="{9D9FA5ED-78ED-4CB5-B534-5C3F9B30C509}"/>
    <cellStyle name="Comma 7 3 3 2 3 5" xfId="15352" xr:uid="{A94BBE13-A7CE-4EA9-B51D-41D660B6391A}"/>
    <cellStyle name="Comma 7 3 3 2 4" xfId="2064" xr:uid="{00000000-0005-0000-0000-0000B9020000}"/>
    <cellStyle name="Comma 7 3 3 2 4 2" xfId="29855" xr:uid="{5C7AF75A-1905-46CE-9EAB-9CB72C707839}"/>
    <cellStyle name="Comma 7 3 3 2 5" xfId="4267" xr:uid="{2D091ED4-EBAB-425A-9D32-765D1829A55C}"/>
    <cellStyle name="Comma 7 3 3 2 5 2" xfId="9039" xr:uid="{60436DBA-7D9B-4783-8D98-40974DC07353}"/>
    <cellStyle name="Comma 7 3 3 2 5 2 2" xfId="19419" xr:uid="{5818C368-9E63-4A42-8663-D5347873C583}"/>
    <cellStyle name="Comma 7 3 3 2 5 3" xfId="11872" xr:uid="{2D763480-9900-4BAF-89BD-548D43463C10}"/>
    <cellStyle name="Comma 7 3 3 2 5 3 2" xfId="22252" xr:uid="{A0785BF4-0595-412C-AC40-3B49CB0B9445}"/>
    <cellStyle name="Comma 7 3 3 2 5 4" xfId="26973" xr:uid="{155FA4AD-2CAE-499D-AD34-4A92FCFAB834}"/>
    <cellStyle name="Comma 7 3 3 2 5 5" xfId="27009" xr:uid="{42CCFA58-44B3-4334-BC5C-52448E92816B}"/>
    <cellStyle name="Comma 7 3 3 2 5 6" xfId="16586" xr:uid="{6EFF85A7-D7C1-484B-B8FA-83F6F12B824F}"/>
    <cellStyle name="Comma 7 3 3 2 6" xfId="5624" xr:uid="{A2D3013C-BE82-4915-92F9-26D6E8EE4189}"/>
    <cellStyle name="Comma 7 3 3 2 6 2" xfId="30478" xr:uid="{F7EC92E0-7A61-4AF6-A6F1-49CD4E3F013E}"/>
    <cellStyle name="Comma 7 3 3 2 7" xfId="23606" xr:uid="{B41E808F-419D-4112-B57C-FE262ACDB723}"/>
    <cellStyle name="Comma 7 3 3 2 8" xfId="13091" xr:uid="{69C5B4E4-141E-4936-8947-D86E9DB215A7}"/>
    <cellStyle name="Comma 7 3 3 3" xfId="1747" xr:uid="{00000000-0005-0000-0000-0000BA020000}"/>
    <cellStyle name="Comma 7 3 3 3 2" xfId="3067" xr:uid="{00000000-0005-0000-0000-000026020000}"/>
    <cellStyle name="Comma 7 3 3 3 2 2" xfId="8147" xr:uid="{4CEC2DAE-59CC-41E6-9646-DCE43190F6F2}"/>
    <cellStyle name="Comma 7 3 3 3 2 2 2" xfId="28822" xr:uid="{E6AEBC26-2139-41EF-BF0E-6B894FFE6D4B}"/>
    <cellStyle name="Comma 7 3 3 3 2 2 3" xfId="27127" xr:uid="{97775F3B-4113-4C11-BAE6-4697DEEDE1B0}"/>
    <cellStyle name="Comma 7 3 3 3 2 2 4" xfId="18527" xr:uid="{FE9E3587-2DFB-4794-AF77-F275E407F326}"/>
    <cellStyle name="Comma 7 3 3 3 2 3" xfId="10980" xr:uid="{8076B583-2B96-4440-8848-174D54D15947}"/>
    <cellStyle name="Comma 7 3 3 3 2 3 2" xfId="21360" xr:uid="{67EF6649-A77E-4EA8-82A8-3E1ECA01B454}"/>
    <cellStyle name="Comma 7 3 3 3 2 4" xfId="25806" xr:uid="{4C1BCBBD-3DB1-4BFC-8D07-489BC0A36833}"/>
    <cellStyle name="Comma 7 3 3 3 2 5" xfId="15694" xr:uid="{1C54CB16-3831-4652-8659-275E82814D49}"/>
    <cellStyle name="Comma 7 3 3 3 3" xfId="3660" xr:uid="{00000000-0005-0000-0000-0000BA020000}"/>
    <cellStyle name="Comma 7 3 3 3 3 2" xfId="29928" xr:uid="{0C9B384D-C08B-49AD-970B-4CE75A0001F6}"/>
    <cellStyle name="Comma 7 3 3 3 4" xfId="4413" xr:uid="{C4ADDF44-032A-408C-84C3-86FFFE4E4013}"/>
    <cellStyle name="Comma 7 3 3 3 4 2" xfId="9185" xr:uid="{42AC00F0-9492-4676-BDB2-357D3B18E427}"/>
    <cellStyle name="Comma 7 3 3 3 4 2 2" xfId="19565" xr:uid="{BC7263AB-8221-4FB6-AD8D-910D472E8471}"/>
    <cellStyle name="Comma 7 3 3 3 4 3" xfId="12018" xr:uid="{8793FEAC-978C-441F-969E-0319CEF0B5C5}"/>
    <cellStyle name="Comma 7 3 3 3 4 3 2" xfId="22398" xr:uid="{6DE8221E-12FE-4309-B6B4-8BE2DE924522}"/>
    <cellStyle name="Comma 7 3 3 3 4 4" xfId="16732" xr:uid="{7FBD3671-E1EF-41B2-87B9-392F9A153064}"/>
    <cellStyle name="Comma 7 3 3 3 5" xfId="5625" xr:uid="{4B07D9D7-1EC9-4371-972C-5A57C883344A}"/>
    <cellStyle name="Comma 7 3 3 3 5 2" xfId="30581" xr:uid="{65648613-2842-4110-99BA-D714295EE561}"/>
    <cellStyle name="Comma 7 3 3 3 6" xfId="25367" xr:uid="{85FC2800-D224-481E-B797-ADD3E02151AE}"/>
    <cellStyle name="Comma 7 3 3 3 7" xfId="13575" xr:uid="{7F1783B6-DD95-4E74-AD72-A664F26C4E68}"/>
    <cellStyle name="Comma 7 3 3 4" xfId="1745" xr:uid="{00000000-0005-0000-0000-0000BB020000}"/>
    <cellStyle name="Comma 7 3 3 4 2" xfId="3065" xr:uid="{00000000-0005-0000-0000-000027020000}"/>
    <cellStyle name="Comma 7 3 3 4 2 2" xfId="8145" xr:uid="{4D74363D-0D00-4E7B-897E-59E3B5B44DBC}"/>
    <cellStyle name="Comma 7 3 3 4 2 2 2" xfId="28820" xr:uid="{9F37E984-F48E-4584-AD19-87C55845FBD4}"/>
    <cellStyle name="Comma 7 3 3 4 2 2 3" xfId="26378" xr:uid="{61BE0BF0-831D-405E-B879-9B9756EAFA22}"/>
    <cellStyle name="Comma 7 3 3 4 2 2 4" xfId="18525" xr:uid="{126C449A-9FBD-47E7-AF9C-2B8653641DD4}"/>
    <cellStyle name="Comma 7 3 3 4 2 3" xfId="10978" xr:uid="{BE834253-CA93-4A8C-B698-F251AD5E218A}"/>
    <cellStyle name="Comma 7 3 3 4 2 3 2" xfId="21358" xr:uid="{079D4537-C508-4A8A-916D-10673C4F3264}"/>
    <cellStyle name="Comma 7 3 3 4 2 4" xfId="25823" xr:uid="{1AC7B645-3C68-475E-B23A-FFD3F1E4DC13}"/>
    <cellStyle name="Comma 7 3 3 4 2 5" xfId="15692" xr:uid="{45B48ACC-05C7-4A8D-9343-9C4B23292EA2}"/>
    <cellStyle name="Comma 7 3 3 4 3" xfId="3573" xr:uid="{00000000-0005-0000-0000-0000BB020000}"/>
    <cellStyle name="Comma 7 3 3 4 3 2" xfId="30313" xr:uid="{82B06D05-C199-426B-B353-431FA367A2C9}"/>
    <cellStyle name="Comma 7 3 3 4 4" xfId="5623" xr:uid="{2F7F323B-1E99-4199-9FD5-7182F60C697E}"/>
    <cellStyle name="Comma 7 3 3 4 4 2" xfId="30749" xr:uid="{87A707DD-5F04-4092-BC99-40AC262061C5}"/>
    <cellStyle name="Comma 7 3 3 4 5" xfId="23253" xr:uid="{D1618A0B-CB18-46B0-B923-3602E8C2202D}"/>
    <cellStyle name="Comma 7 3 3 4 6" xfId="13573" xr:uid="{2CB183F8-626F-484D-9139-18CA7C95B02A}"/>
    <cellStyle name="Comma 7 3 3 5" xfId="2633" xr:uid="{00000000-0005-0000-0000-000028020000}"/>
    <cellStyle name="Comma 7 3 3 5 2" xfId="5895" xr:uid="{36676AAB-8552-4649-A040-455FB81B4509}"/>
    <cellStyle name="Comma 7 3 3 5 2 2" xfId="28726" xr:uid="{61EA2F39-58EF-4AA1-8414-4464AAC1F37B}"/>
    <cellStyle name="Comma 7 3 3 5 2 3" xfId="27166" xr:uid="{4199FBA4-6D09-484B-8FA6-B61397EA8990}"/>
    <cellStyle name="Comma 7 3 3 5 2 4" xfId="15305" xr:uid="{4EE41382-F934-470E-9BCF-026038F49CA2}"/>
    <cellStyle name="Comma 7 3 3 5 3" xfId="7758" xr:uid="{F84413E1-A4AA-46F3-AA5C-C96CE57F48D3}"/>
    <cellStyle name="Comma 7 3 3 5 3 2" xfId="18138" xr:uid="{D90FC7A3-6858-4F70-8F1E-560A2F4D637F}"/>
    <cellStyle name="Comma 7 3 3 5 4" xfId="10591" xr:uid="{98B11636-9509-4EB7-AE8E-0F7E429A0886}"/>
    <cellStyle name="Comma 7 3 3 5 4 2" xfId="20971" xr:uid="{5F169CDB-BD8C-42AB-A687-B6B96BB97414}"/>
    <cellStyle name="Comma 7 3 3 5 5" xfId="23483" xr:uid="{673B89A2-D9A0-4FB6-829E-981024FA279C}"/>
    <cellStyle name="Comma 7 3 3 5 6" xfId="13021" xr:uid="{98B80837-74CF-4003-800B-FE911047C733}"/>
    <cellStyle name="Comma 7 3 3 6" xfId="4130" xr:uid="{757E601D-C209-4CC5-B656-FFAD7B959A42}"/>
    <cellStyle name="Comma 7 3 3 6 2" xfId="8902" xr:uid="{5B3322E2-9EA7-488B-A54E-4F4A79181686}"/>
    <cellStyle name="Comma 7 3 3 6 2 2" xfId="19282" xr:uid="{EEFD30C4-AED4-4D30-8063-D9B6773E4020}"/>
    <cellStyle name="Comma 7 3 3 6 3" xfId="11735" xr:uid="{E396CB88-FFB8-4CFA-8A42-4E5A7370436D}"/>
    <cellStyle name="Comma 7 3 3 6 3 2" xfId="22115" xr:uid="{304CCAD5-770C-41DC-AAC1-56089804D1CD}"/>
    <cellStyle name="Comma 7 3 3 6 4" xfId="25374" xr:uid="{409B246B-C7BF-4347-9604-D47376DB26DA}"/>
    <cellStyle name="Comma 7 3 3 6 5" xfId="26399" xr:uid="{89FE9C46-DA7B-41BF-BD96-9AE917FBE012}"/>
    <cellStyle name="Comma 7 3 3 6 6" xfId="16449" xr:uid="{EDA4B454-3F8F-45CD-A3A4-D8172BE7DA33}"/>
    <cellStyle name="Comma 7 3 3 7" xfId="4904" xr:uid="{7D2A297D-B50D-4072-9432-83DFC3A3C81C}"/>
    <cellStyle name="Comma 7 3 3 7 2" xfId="28270" xr:uid="{B23DF960-54C1-4930-943A-4B16F930C9D5}"/>
    <cellStyle name="Comma 7 3 3 7 3" xfId="26999" xr:uid="{35F7C694-B2D9-4D6C-92D2-583AC0731BB4}"/>
    <cellStyle name="Comma 7 3 3 7 4" xfId="14196" xr:uid="{43D57C78-9D72-49EA-83EC-86203BB79967}"/>
    <cellStyle name="Comma 7 3 3 8" xfId="6649" xr:uid="{801A5F16-1083-4E87-8B88-1308B3B0DFAB}"/>
    <cellStyle name="Comma 7 3 3 8 2" xfId="17029" xr:uid="{1C7780A4-224B-4B89-BC7E-F3F188E97C49}"/>
    <cellStyle name="Comma 7 3 3 9" xfId="9482" xr:uid="{762E7001-323D-4976-9567-7268E23A04AB}"/>
    <cellStyle name="Comma 7 3 3 9 2" xfId="19862" xr:uid="{F6EACF00-00AA-498A-A183-4F83194EC5F5}"/>
    <cellStyle name="Comma 7 3 4" xfId="514" xr:uid="{00000000-0005-0000-0000-0000BC020000}"/>
    <cellStyle name="Comma 7 3 4 10" xfId="13089" xr:uid="{5D18A68E-661D-476A-94EC-6B141504A13B}"/>
    <cellStyle name="Comma 7 3 4 2" xfId="1749" xr:uid="{00000000-0005-0000-0000-0000BD020000}"/>
    <cellStyle name="Comma 7 3 4 2 2" xfId="3068" xr:uid="{00000000-0005-0000-0000-00002A020000}"/>
    <cellStyle name="Comma 7 3 4 2 2 2" xfId="8148" xr:uid="{F1931F2F-FA1E-4610-B819-B83AC5BC1B32}"/>
    <cellStyle name="Comma 7 3 4 2 2 2 2" xfId="28823" xr:uid="{2B34A51E-562E-47FB-AC6C-A9F13E5A62D8}"/>
    <cellStyle name="Comma 7 3 4 2 2 2 3" xfId="28050" xr:uid="{0AA50304-3480-4DF2-BC26-56196F86B5A1}"/>
    <cellStyle name="Comma 7 3 4 2 2 2 4" xfId="18528" xr:uid="{CFD02403-A5B3-4B34-9D98-25744920ABB0}"/>
    <cellStyle name="Comma 7 3 4 2 2 3" xfId="10981" xr:uid="{E51FA6A8-FAC5-4ECF-97FD-3899F69BAA92}"/>
    <cellStyle name="Comma 7 3 4 2 2 3 2" xfId="21361" xr:uid="{1DB3555B-03E2-42F0-8F73-B9E9BC7E756D}"/>
    <cellStyle name="Comma 7 3 4 2 2 4" xfId="25705" xr:uid="{1B9CE304-0B1C-421A-B852-66ECE11A42FD}"/>
    <cellStyle name="Comma 7 3 4 2 2 5" xfId="15695" xr:uid="{0059FB86-B8E1-47DF-B797-187EC693D0B9}"/>
    <cellStyle name="Comma 7 3 4 2 3" xfId="3567" xr:uid="{00000000-0005-0000-0000-0000BD020000}"/>
    <cellStyle name="Comma 7 3 4 2 3 2" xfId="30750" xr:uid="{4A1266E0-A467-411F-9B44-0A393B867132}"/>
    <cellStyle name="Comma 7 3 4 2 4" xfId="5626" xr:uid="{827FF525-FDEF-478D-B14C-FAE5C7BAAA47}"/>
    <cellStyle name="Comma 7 3 4 2 5" xfId="23641" xr:uid="{26E0B30D-3726-4688-865B-D1F3204AE96E}"/>
    <cellStyle name="Comma 7 3 4 2 6" xfId="13576" xr:uid="{F4BA8690-D0E4-4844-9953-93C10169E306}"/>
    <cellStyle name="Comma 7 3 4 3" xfId="1750" xr:uid="{00000000-0005-0000-0000-0000BE020000}"/>
    <cellStyle name="Comma 7 3 4 3 2" xfId="3815" xr:uid="{ED0A20C0-851C-43CE-A244-08046447CC9F}"/>
    <cellStyle name="Comma 7 3 4 3 2 2" xfId="8649" xr:uid="{5743A404-81A7-4FC8-9A73-2CF43BBDF2C9}"/>
    <cellStyle name="Comma 7 3 4 3 2 2 2" xfId="19029" xr:uid="{F761ADC4-7297-49D4-9817-D82A827C461C}"/>
    <cellStyle name="Comma 7 3 4 3 2 3" xfId="11482" xr:uid="{6934031F-9FD8-49C2-B8A8-B2C64565D36A}"/>
    <cellStyle name="Comma 7 3 4 3 2 3 2" xfId="21862" xr:uid="{76527055-D680-47A1-9723-5EAC8171A51D}"/>
    <cellStyle name="Comma 7 3 4 3 2 4" xfId="28363" xr:uid="{69F5C42D-3BBD-48AB-8E63-2E21149E3188}"/>
    <cellStyle name="Comma 7 3 4 3 2 5" xfId="27960" xr:uid="{92A982AB-DFE7-450D-92F7-1A82914FB061}"/>
    <cellStyle name="Comma 7 3 4 3 2 6" xfId="16196" xr:uid="{D910A9D7-AD9D-4B05-B81B-13E8634ECBD0}"/>
    <cellStyle name="Comma 7 3 4 3 3" xfId="24322" xr:uid="{9A324CB1-B7DA-4131-BD6A-B17EB30DB498}"/>
    <cellStyle name="Comma 7 3 4 3 3 2" xfId="30658" xr:uid="{B3F6E383-A00C-4518-A732-FDC1CDDA5C3E}"/>
    <cellStyle name="Comma 7 3 4 3 4" xfId="30012" xr:uid="{F80D1479-CD28-4094-973E-08FF7D707E5F}"/>
    <cellStyle name="Comma 7 3 4 4" xfId="1748" xr:uid="{00000000-0005-0000-0000-0000BF020000}"/>
    <cellStyle name="Comma 7 3 4 4 2" xfId="29691" xr:uid="{BCBFED31-34CA-4077-9BC6-459DE122CFA3}"/>
    <cellStyle name="Comma 7 3 4 5" xfId="4265" xr:uid="{6AC4C019-2C26-44B9-9EC3-E3E2D424E32A}"/>
    <cellStyle name="Comma 7 3 4 5 2" xfId="9037" xr:uid="{BA81BD57-2BE5-4DE4-A24B-9A95219BDEBB}"/>
    <cellStyle name="Comma 7 3 4 5 2 2" xfId="19417" xr:uid="{65304B97-A8D6-4B6E-87B2-4B6DC7C72B44}"/>
    <cellStyle name="Comma 7 3 4 5 3" xfId="11870" xr:uid="{A013C49C-ECA8-41BF-96B3-21AC6B269F3A}"/>
    <cellStyle name="Comma 7 3 4 5 3 2" xfId="22250" xr:uid="{38C1A6FF-C5F3-4E12-BE7A-E04070788C11}"/>
    <cellStyle name="Comma 7 3 4 5 4" xfId="27171" xr:uid="{521A88FC-A998-4017-B759-BC483B8ACAD1}"/>
    <cellStyle name="Comma 7 3 4 5 5" xfId="27645" xr:uid="{9E9C4CCF-96E0-4DBC-B421-7EC98AEB14A6}"/>
    <cellStyle name="Comma 7 3 4 5 6" xfId="16584" xr:uid="{FDCE4580-85C0-4BB6-BD76-D4661603676D}"/>
    <cellStyle name="Comma 7 3 4 6" xfId="4905" xr:uid="{114D2B95-BFD8-40C9-A1CB-957B05832063}"/>
    <cellStyle name="Comma 7 3 4 6 2" xfId="14197" xr:uid="{5BA9B63E-C96B-45DE-8274-2E83DCD2C710}"/>
    <cellStyle name="Comma 7 3 4 7" xfId="6650" xr:uid="{506C9779-95AC-4388-83FE-672925C1B02A}"/>
    <cellStyle name="Comma 7 3 4 7 2" xfId="17030" xr:uid="{EF752B79-A60E-4278-8C80-47B41BB97CC3}"/>
    <cellStyle name="Comma 7 3 4 8" xfId="9483" xr:uid="{6CF38CF9-56BB-4978-954E-7E8E65084293}"/>
    <cellStyle name="Comma 7 3 4 8 2" xfId="19863" xr:uid="{592F35B8-062A-4B9B-B09A-3D462665963C}"/>
    <cellStyle name="Comma 7 3 4 9" xfId="23023" xr:uid="{36677A31-1104-4492-9FE6-428E8689CAF8}"/>
    <cellStyle name="Comma 7 3 5" xfId="1751" xr:uid="{00000000-0005-0000-0000-0000C0020000}"/>
    <cellStyle name="Comma 7 3 5 2" xfId="3069" xr:uid="{00000000-0005-0000-0000-00002B020000}"/>
    <cellStyle name="Comma 7 3 5 2 2" xfId="8149" xr:uid="{2C8E21C5-1468-4AAC-9E90-7A13D1302FAA}"/>
    <cellStyle name="Comma 7 3 5 2 2 2" xfId="28824" xr:uid="{0BD52AC1-38D0-4C37-B305-D192EA862043}"/>
    <cellStyle name="Comma 7 3 5 2 2 3" xfId="26547" xr:uid="{8A656009-1284-4B9B-ADF3-ED1BC0BCC3F2}"/>
    <cellStyle name="Comma 7 3 5 2 2 4" xfId="18529" xr:uid="{128F5D68-5A9F-4E36-98C7-8BB7C0E561AD}"/>
    <cellStyle name="Comma 7 3 5 2 3" xfId="10982" xr:uid="{4DD23474-870F-4639-9FE4-AA6A0949A199}"/>
    <cellStyle name="Comma 7 3 5 2 3 2" xfId="21362" xr:uid="{A0882080-46B6-4B65-A5DA-7FD4934AA4B4}"/>
    <cellStyle name="Comma 7 3 5 2 4" xfId="24167" xr:uid="{A8908E9D-CF07-4CC3-93FE-F91D3CCF9DEE}"/>
    <cellStyle name="Comma 7 3 5 2 5" xfId="15696" xr:uid="{148F4EE9-281E-4E13-BB9F-538AA70BEA61}"/>
    <cellStyle name="Comma 7 3 5 3" xfId="3678" xr:uid="{00000000-0005-0000-0000-0000C0020000}"/>
    <cellStyle name="Comma 7 3 5 3 2" xfId="29824" xr:uid="{01EFC71D-E969-44D1-9564-8E480AE60263}"/>
    <cellStyle name="Comma 7 3 5 4" xfId="4414" xr:uid="{39A94735-439D-4714-8C97-340E07D9B1C2}"/>
    <cellStyle name="Comma 7 3 5 4 2" xfId="9186" xr:uid="{F1BC04F7-E54B-48FE-A1A1-A0DB777BD46E}"/>
    <cellStyle name="Comma 7 3 5 4 2 2" xfId="19566" xr:uid="{1394F04B-CC2D-457C-A8E1-742A6790E496}"/>
    <cellStyle name="Comma 7 3 5 4 3" xfId="12019" xr:uid="{706B6DB9-CD9A-4ED7-B159-DF49DA196DEE}"/>
    <cellStyle name="Comma 7 3 5 4 3 2" xfId="22399" xr:uid="{01A9F026-682A-4472-8503-0CDD994EBD1A}"/>
    <cellStyle name="Comma 7 3 5 4 4" xfId="16733" xr:uid="{C73CAD6C-19D9-4C6A-AF12-4F6E33F0C6C6}"/>
    <cellStyle name="Comma 7 3 5 5" xfId="5627" xr:uid="{2FADE1A1-156D-4770-A59C-1D5D492CFF56}"/>
    <cellStyle name="Comma 7 3 5 5 2" xfId="30445" xr:uid="{1249F929-4CD4-4B5D-838C-1D7640C0A412}"/>
    <cellStyle name="Comma 7 3 5 6" xfId="24707" xr:uid="{CD0367C6-2874-4187-83D9-9B0301BDED90}"/>
    <cellStyle name="Comma 7 3 5 7" xfId="13577" xr:uid="{31C08D88-46F6-44FC-9FAF-C7DFE5A5340F}"/>
    <cellStyle name="Comma 7 3 6" xfId="1752" xr:uid="{00000000-0005-0000-0000-0000C1020000}"/>
    <cellStyle name="Comma 7 3 6 2" xfId="2876" xr:uid="{00000000-0005-0000-0000-00002C020000}"/>
    <cellStyle name="Comma 7 3 6 2 2" xfId="7993" xr:uid="{18FB670C-B086-4649-A49B-AA84A527E1C5}"/>
    <cellStyle name="Comma 7 3 6 2 2 2" xfId="25914" xr:uid="{247261F7-32DF-4C9F-AFC6-1B08B1D6E65D}"/>
    <cellStyle name="Comma 7 3 6 2 2 3" xfId="27828" xr:uid="{DAA8CBF8-1F10-450B-9DE8-9200C3163FD1}"/>
    <cellStyle name="Comma 7 3 6 2 2 4" xfId="18373" xr:uid="{DEA785FC-D636-456D-AF50-1B6058F3F876}"/>
    <cellStyle name="Comma 7 3 6 2 3" xfId="10826" xr:uid="{B9BB6D5B-71C6-485F-AB66-710966D0D397}"/>
    <cellStyle name="Comma 7 3 6 2 3 2" xfId="21206" xr:uid="{3CA70379-CF4C-42E4-B4BE-D9DEA86B0B46}"/>
    <cellStyle name="Comma 7 3 6 2 4" xfId="25752" xr:uid="{F1D9F1EE-C37D-4DBC-9EBE-C21ECE231D19}"/>
    <cellStyle name="Comma 7 3 6 2 5" xfId="15540" xr:uid="{08D89368-48C2-4B55-BAE4-2E63BB5C19EB}"/>
    <cellStyle name="Comma 7 3 6 3" xfId="3584" xr:uid="{00000000-0005-0000-0000-0000C1020000}"/>
    <cellStyle name="Comma 7 3 6 3 2" xfId="29902" xr:uid="{56F55B19-C8BC-474F-9EE2-D4543A094D29}"/>
    <cellStyle name="Comma 7 3 6 4" xfId="5628" xr:uid="{5B76C98F-C0BF-4CF0-91A7-53BE3B77CE07}"/>
    <cellStyle name="Comma 7 3 6 4 2" xfId="30166" xr:uid="{718E8540-5ECA-4D69-955B-9EF3B09F710E}"/>
    <cellStyle name="Comma 7 3 6 5" xfId="25566" xr:uid="{337F0B91-D4CC-4CAA-B6E2-253217A3E564}"/>
    <cellStyle name="Comma 7 3 6 6" xfId="13372" xr:uid="{E5E7021E-60E4-49D3-852D-8B9CBD1B477D}"/>
    <cellStyle name="Comma 7 3 7" xfId="1738" xr:uid="{00000000-0005-0000-0000-0000C2020000}"/>
    <cellStyle name="Comma 7 3 7 2" xfId="2470" xr:uid="{00000000-0005-0000-0000-00002D020000}"/>
    <cellStyle name="Comma 7 3 7 2 2" xfId="7595" xr:uid="{7D845A15-6584-4DF0-BD6D-A91976089349}"/>
    <cellStyle name="Comma 7 3 7 2 2 2" xfId="17975" xr:uid="{3AB9C43A-0755-4D8E-9050-2315D93038AC}"/>
    <cellStyle name="Comma 7 3 7 2 3" xfId="10428" xr:uid="{DD76E025-B3B3-4322-8BD0-B8844AAC6C67}"/>
    <cellStyle name="Comma 7 3 7 2 3 2" xfId="20808" xr:uid="{D23E06C4-78BF-428D-8406-91208AE2099D}"/>
    <cellStyle name="Comma 7 3 7 2 4" xfId="28403" xr:uid="{DC6320A0-6526-4250-87A3-7B1F7EEDCB45}"/>
    <cellStyle name="Comma 7 3 7 2 5" xfId="26971" xr:uid="{A42A7536-2CC4-4B9F-AC77-C927C7495088}"/>
    <cellStyle name="Comma 7 3 7 2 6" xfId="15142" xr:uid="{A8223C2E-A5D3-46BC-8E03-DE32AA84F113}"/>
    <cellStyle name="Comma 7 3 7 3" xfId="3669" xr:uid="{00000000-0005-0000-0000-0000C2020000}"/>
    <cellStyle name="Comma 7 3 7 3 2" xfId="30632" xr:uid="{C010E010-93B0-4074-BE02-D25698ECC4FF}"/>
    <cellStyle name="Comma 7 3 7 4" xfId="5618" xr:uid="{354E9452-958D-4758-AD14-FEC309CF6342}"/>
    <cellStyle name="Comma 7 3 7 5" xfId="22982" xr:uid="{EAAC60EF-B43A-4315-839E-C8B32C50A659}"/>
    <cellStyle name="Comma 7 3 7 6" xfId="12858" xr:uid="{682832E8-95F6-45C8-B43E-58421DD09B80}"/>
    <cellStyle name="Comma 7 3 8" xfId="2224" xr:uid="{00000000-0005-0000-0000-00001C020000}"/>
    <cellStyle name="Comma 7 3 8 2" xfId="7351" xr:uid="{5BC9C21F-183C-4FCE-B8EC-B1B634F9922A}"/>
    <cellStyle name="Comma 7 3 8 2 2" xfId="17731" xr:uid="{1DA734C9-A914-4B89-AFB7-487EBECE364A}"/>
    <cellStyle name="Comma 7 3 8 3" xfId="10184" xr:uid="{2FE99FB6-ECE3-41F4-A934-2F4B90A9C4AB}"/>
    <cellStyle name="Comma 7 3 8 3 2" xfId="20564" xr:uid="{92D13FE9-41BC-4343-9B57-06EAC4534CC4}"/>
    <cellStyle name="Comma 7 3 8 4" xfId="24239" xr:uid="{50855620-BD9B-4122-94BD-2F28CAC11815}"/>
    <cellStyle name="Comma 7 3 8 5" xfId="28643" xr:uid="{ED54405B-B91D-40A4-B0B2-45B0F7BED97A}"/>
    <cellStyle name="Comma 7 3 8 6" xfId="14898" xr:uid="{C5B9B326-55FB-47B5-A3D1-FA1DBA274FDB}"/>
    <cellStyle name="Comma 7 3 9" xfId="3871" xr:uid="{C8A0FAA5-9B7E-4CC6-B126-396DBCBEC0DE}"/>
    <cellStyle name="Comma 7 3 9 2" xfId="8703" xr:uid="{B46FEDDD-A828-4163-B92F-2055CBDEAEB4}"/>
    <cellStyle name="Comma 7 3 9 2 2" xfId="19083" xr:uid="{2034E241-4243-4FAB-90CD-B6EA1F0064C3}"/>
    <cellStyle name="Comma 7 3 9 3" xfId="11536" xr:uid="{F2068EFC-51AD-4FB6-BB65-47749DB0186B}"/>
    <cellStyle name="Comma 7 3 9 3 2" xfId="21916" xr:uid="{2E3C1A11-E99F-4D94-AC42-0F11BDE77AC8}"/>
    <cellStyle name="Comma 7 3 9 4" xfId="25930" xr:uid="{209424B9-46B1-4177-B516-31E1C7847AA8}"/>
    <cellStyle name="Comma 7 3 9 5" xfId="27895" xr:uid="{A8450D4A-2A82-46E6-87BC-80C5ECBA7966}"/>
    <cellStyle name="Comma 7 3 9 6" xfId="16250" xr:uid="{B822606C-21C2-4CB7-955C-9119D754E584}"/>
    <cellStyle name="Comma 7 4" xfId="515" xr:uid="{00000000-0005-0000-0000-0000C3020000}"/>
    <cellStyle name="Comma 7 4 10" xfId="6651" xr:uid="{6CCB234B-3732-4180-9295-30246168D0DE}"/>
    <cellStyle name="Comma 7 4 10 2" xfId="17031" xr:uid="{FE944D4D-C8A5-46A0-B01B-C80842D62473}"/>
    <cellStyle name="Comma 7 4 11" xfId="9484" xr:uid="{50ABA6FC-08DB-406C-BB4A-54F32A4226BD}"/>
    <cellStyle name="Comma 7 4 11 2" xfId="19864" xr:uid="{C827654D-43F0-42CF-BC91-375B9C9A2DA5}"/>
    <cellStyle name="Comma 7 4 12" xfId="24802" xr:uid="{00BF0204-9762-4716-A551-48483A31603F}"/>
    <cellStyle name="Comma 7 4 13" xfId="12436" xr:uid="{13856006-9B60-4428-8901-F69F79C25512}"/>
    <cellStyle name="Comma 7 4 2" xfId="516" xr:uid="{00000000-0005-0000-0000-0000C4020000}"/>
    <cellStyle name="Comma 7 4 2 10" xfId="9485" xr:uid="{C45BCE2B-22E5-4A0D-98DA-7CD2B25CFB72}"/>
    <cellStyle name="Comma 7 4 2 10 2" xfId="19865" xr:uid="{6AE756E6-4060-4F0B-9E6A-DA736F705B0C}"/>
    <cellStyle name="Comma 7 4 2 11" xfId="25398" xr:uid="{E25AB078-2481-493F-BF72-67BB374FB035}"/>
    <cellStyle name="Comma 7 4 2 12" xfId="12517" xr:uid="{0BCCFE48-A043-48E7-AAE1-9BD13473BBED}"/>
    <cellStyle name="Comma 7 4 2 2" xfId="517" xr:uid="{00000000-0005-0000-0000-0000C5020000}"/>
    <cellStyle name="Comma 7 4 2 2 10" xfId="13093" xr:uid="{474830D7-07D3-431C-9957-D008D6DEC804}"/>
    <cellStyle name="Comma 7 4 2 2 2" xfId="1756" xr:uid="{00000000-0005-0000-0000-0000C6020000}"/>
    <cellStyle name="Comma 7 4 2 2 2 2" xfId="3071" xr:uid="{00000000-0005-0000-0000-000031020000}"/>
    <cellStyle name="Comma 7 4 2 2 2 2 2" xfId="8151" xr:uid="{EDFBFDE6-C2AC-4A1B-A48A-ECBE9A76C80F}"/>
    <cellStyle name="Comma 7 4 2 2 2 2 2 2" xfId="28826" xr:uid="{FF22AA6C-8848-44FE-817B-E390CFD62415}"/>
    <cellStyle name="Comma 7 4 2 2 2 2 2 3" xfId="27042" xr:uid="{E7DA5C12-4FDD-472B-AC99-F287BADDBA34}"/>
    <cellStyle name="Comma 7 4 2 2 2 2 2 4" xfId="18531" xr:uid="{EF18A9A0-FF4C-496E-B374-2D3F98E342F5}"/>
    <cellStyle name="Comma 7 4 2 2 2 2 3" xfId="10984" xr:uid="{D374B389-DFB7-4077-AD3D-D1414956DDBF}"/>
    <cellStyle name="Comma 7 4 2 2 2 2 3 2" xfId="21364" xr:uid="{921AD211-D54D-4B02-99A0-38D8C20E35FD}"/>
    <cellStyle name="Comma 7 4 2 2 2 2 4" xfId="25726" xr:uid="{A1B5A541-62DD-4F3C-A2B9-76C97AB30F96}"/>
    <cellStyle name="Comma 7 4 2 2 2 2 5" xfId="15698" xr:uid="{A876339B-699C-4347-AB50-4795736B3C8C}"/>
    <cellStyle name="Comma 7 4 2 2 2 3" xfId="2074" xr:uid="{00000000-0005-0000-0000-0000C6020000}"/>
    <cellStyle name="Comma 7 4 2 2 2 3 2" xfId="29888" xr:uid="{4F337A37-5006-40C0-9DD8-FDDB0D33E443}"/>
    <cellStyle name="Comma 7 4 2 2 2 4" xfId="5630" xr:uid="{0F96B69B-244A-4F6D-84EA-8F9BE20B728E}"/>
    <cellStyle name="Comma 7 4 2 2 2 4 2" xfId="30150" xr:uid="{A3ABA0CF-CC78-47FC-9147-D8CD6814F81A}"/>
    <cellStyle name="Comma 7 4 2 2 2 5" xfId="25274" xr:uid="{6F6DFA54-4A86-4350-BCF4-C833337EB687}"/>
    <cellStyle name="Comma 7 4 2 2 2 6" xfId="13579" xr:uid="{BB1AD97E-9E89-47BC-B3DF-F183196AF99C}"/>
    <cellStyle name="Comma 7 4 2 2 3" xfId="1757" xr:uid="{00000000-0005-0000-0000-0000C7020000}"/>
    <cellStyle name="Comma 7 4 2 2 3 2" xfId="4653" xr:uid="{A56AE9E9-514F-441A-BEA0-FFD7772ABB59}"/>
    <cellStyle name="Comma 7 4 2 2 3 2 2" xfId="9405" xr:uid="{55022EEA-4842-4678-B4EA-ED753185182C}"/>
    <cellStyle name="Comma 7 4 2 2 3 2 2 2" xfId="19785" xr:uid="{590F2FAA-4B8B-4C56-8E81-CD92CEC869BF}"/>
    <cellStyle name="Comma 7 4 2 2 3 2 3" xfId="12238" xr:uid="{432E2E00-1A98-484E-A074-FBC06ECE9C3D}"/>
    <cellStyle name="Comma 7 4 2 2 3 2 3 2" xfId="22618" xr:uid="{2A646215-255F-4235-A75F-A8C071AB7686}"/>
    <cellStyle name="Comma 7 4 2 2 3 2 4" xfId="28074" xr:uid="{388ED87A-BF05-48C1-AAA9-C428EEC71682}"/>
    <cellStyle name="Comma 7 4 2 2 3 2 5" xfId="27266" xr:uid="{7058C08C-414A-4B93-8499-40C15D815A26}"/>
    <cellStyle name="Comma 7 4 2 2 3 2 6" xfId="16952" xr:uid="{C310694A-51E1-48CD-82B7-9455B44364C9}"/>
    <cellStyle name="Comma 7 4 2 2 3 3" xfId="23803" xr:uid="{C3AD8123-48D2-4D44-978E-10B47EC021EC}"/>
    <cellStyle name="Comma 7 4 2 2 3 3 2" xfId="30223" xr:uid="{7EB3F202-E506-43F0-BF0F-7DDD441A718B}"/>
    <cellStyle name="Comma 7 4 2 2 3 4" xfId="30610" xr:uid="{34D95C33-56BC-44D4-A2A6-9E186EED3EA6}"/>
    <cellStyle name="Comma 7 4 2 2 3 5" xfId="29785" xr:uid="{26FF0C5D-D0B0-418C-9969-EA39F41E3A07}"/>
    <cellStyle name="Comma 7 4 2 2 4" xfId="1755" xr:uid="{00000000-0005-0000-0000-0000C8020000}"/>
    <cellStyle name="Comma 7 4 2 2 4 2" xfId="26941" xr:uid="{EACAFCDE-67F4-4E83-A579-0DC3A6628F60}"/>
    <cellStyle name="Comma 7 4 2 2 4 2 2" xfId="30257" xr:uid="{12A1013E-9ABA-4E68-9D33-9A18EEFA6FC4}"/>
    <cellStyle name="Comma 7 4 2 2 4 3" xfId="26332" xr:uid="{C333864C-4DD8-4C48-8E8A-BF6D74E07578}"/>
    <cellStyle name="Comma 7 4 2 2 4 4" xfId="30014" xr:uid="{97097681-E40D-4D56-8CC0-7B62934E320A}"/>
    <cellStyle name="Comma 7 4 2 2 5" xfId="4268" xr:uid="{4C51E4D8-F743-4DB6-846D-6A99EF1E28C9}"/>
    <cellStyle name="Comma 7 4 2 2 5 2" xfId="9040" xr:uid="{FD66BA8B-39FA-421D-ACF0-304D4B252B32}"/>
    <cellStyle name="Comma 7 4 2 2 5 2 2" xfId="19420" xr:uid="{1ADDD720-C7FC-4201-B8B3-B2F16A556C5B}"/>
    <cellStyle name="Comma 7 4 2 2 5 3" xfId="11873" xr:uid="{91611199-EB54-4305-A93B-757A8CCCB962}"/>
    <cellStyle name="Comma 7 4 2 2 5 3 2" xfId="22253" xr:uid="{DC59DBFB-DA34-4F7B-8E76-CC383E74A36A}"/>
    <cellStyle name="Comma 7 4 2 2 5 4" xfId="26660" xr:uid="{7AA1B6D3-94B8-4725-838A-27A287B5A0D0}"/>
    <cellStyle name="Comma 7 4 2 2 5 5" xfId="28413" xr:uid="{781FC03D-2709-4EA3-888D-B585F477CC13}"/>
    <cellStyle name="Comma 7 4 2 2 5 6" xfId="16587" xr:uid="{95E22C73-DEF3-4CF3-8C0C-96AB51B1D510}"/>
    <cellStyle name="Comma 7 4 2 2 6" xfId="4908" xr:uid="{4F05658C-4F8B-4450-8CF2-3C0F842DE943}"/>
    <cellStyle name="Comma 7 4 2 2 6 2" xfId="27809" xr:uid="{3BB74277-8229-4B12-867A-5DDCE5B1C601}"/>
    <cellStyle name="Comma 7 4 2 2 6 3" xfId="26959" xr:uid="{BA5B4B88-4C7E-4D8B-BB9A-4CF57B0987D9}"/>
    <cellStyle name="Comma 7 4 2 2 6 4" xfId="14200" xr:uid="{641BD702-6463-4981-A0CF-AAA51C20EC9B}"/>
    <cellStyle name="Comma 7 4 2 2 7" xfId="6653" xr:uid="{29CFA51F-B91D-472A-A88F-AAFA5013ABB0}"/>
    <cellStyle name="Comma 7 4 2 2 7 2" xfId="17033" xr:uid="{FBA6E820-D212-498D-80FB-8B4FB80C0634}"/>
    <cellStyle name="Comma 7 4 2 2 8" xfId="9486" xr:uid="{8CB5331E-1AEC-455D-AAE1-F89A718D0D5C}"/>
    <cellStyle name="Comma 7 4 2 2 8 2" xfId="19866" xr:uid="{CE9FDB0D-8594-4AE0-B6A4-125E9AFF47E1}"/>
    <cellStyle name="Comma 7 4 2 2 9" xfId="24933" xr:uid="{CCF4802F-B647-45E8-8C90-CC8D4F3B2C96}"/>
    <cellStyle name="Comma 7 4 2 3" xfId="1758" xr:uid="{00000000-0005-0000-0000-0000C9020000}"/>
    <cellStyle name="Comma 7 4 2 3 2" xfId="3072" xr:uid="{00000000-0005-0000-0000-000032020000}"/>
    <cellStyle name="Comma 7 4 2 3 2 2" xfId="8152" xr:uid="{401BA277-190E-4F58-9CDB-792EA14258C3}"/>
    <cellStyle name="Comma 7 4 2 3 2 2 2" xfId="28827" xr:uid="{1BA52ECE-26C0-489B-9DA8-F90D8E7B5CE2}"/>
    <cellStyle name="Comma 7 4 2 3 2 2 3" xfId="26589" xr:uid="{A9A6FA3A-10A1-4B81-9A71-7CB43FE46461}"/>
    <cellStyle name="Comma 7 4 2 3 2 2 4" xfId="18532" xr:uid="{C910133E-F186-4795-B306-35F8DAE47591}"/>
    <cellStyle name="Comma 7 4 2 3 2 3" xfId="10985" xr:uid="{823B96D9-B777-4448-AD31-D8BC2D6D8A43}"/>
    <cellStyle name="Comma 7 4 2 3 2 3 2" xfId="21365" xr:uid="{BEC454D6-21FA-4E5F-8080-F82A664B1815}"/>
    <cellStyle name="Comma 7 4 2 3 2 4" xfId="25569" xr:uid="{CF81D0C3-3EE6-4696-89C5-3B1856A97FDC}"/>
    <cellStyle name="Comma 7 4 2 3 2 5" xfId="15699" xr:uid="{332EB8CD-9113-4FBC-B464-DD354E16ECF1}"/>
    <cellStyle name="Comma 7 4 2 3 3" xfId="3615" xr:uid="{00000000-0005-0000-0000-0000C9020000}"/>
    <cellStyle name="Comma 7 4 2 3 3 2" xfId="29687" xr:uid="{D9BE1944-4975-4810-8743-AEB85F1C1743}"/>
    <cellStyle name="Comma 7 4 2 3 4" xfId="4415" xr:uid="{4B720B26-C75C-4226-9681-0209047D1A81}"/>
    <cellStyle name="Comma 7 4 2 3 4 2" xfId="9187" xr:uid="{E632F89A-5B90-4DF6-B4A8-87869941BBE6}"/>
    <cellStyle name="Comma 7 4 2 3 4 2 2" xfId="19567" xr:uid="{3E0F7026-1F8B-4015-9B9C-9294211715B4}"/>
    <cellStyle name="Comma 7 4 2 3 4 3" xfId="12020" xr:uid="{FA9899FA-E822-41AD-AD85-287577806EBE}"/>
    <cellStyle name="Comma 7 4 2 3 4 3 2" xfId="22400" xr:uid="{8A752706-E6EF-403A-ADAD-CC524FFEA0AD}"/>
    <cellStyle name="Comma 7 4 2 3 4 4" xfId="16734" xr:uid="{05687D9F-3A7B-4E08-8C61-4B266BFF80D4}"/>
    <cellStyle name="Comma 7 4 2 3 5" xfId="5631" xr:uid="{8655C0D7-5098-492F-88C6-7F9808A18537}"/>
    <cellStyle name="Comma 7 4 2 3 5 2" xfId="30377" xr:uid="{F84CB8E1-D5B7-47F0-AB4A-A3A98D61AF73}"/>
    <cellStyle name="Comma 7 4 2 3 6" xfId="24442" xr:uid="{E4AF0C8B-5284-4EFA-BE03-D51C5912C1E1}"/>
    <cellStyle name="Comma 7 4 2 3 7" xfId="13580" xr:uid="{2063385F-3AA0-4A2A-AB6F-AE53FCB5E919}"/>
    <cellStyle name="Comma 7 4 2 4" xfId="1759" xr:uid="{00000000-0005-0000-0000-0000CA020000}"/>
    <cellStyle name="Comma 7 4 2 4 2" xfId="3070" xr:uid="{00000000-0005-0000-0000-000033020000}"/>
    <cellStyle name="Comma 7 4 2 4 2 2" xfId="8150" xr:uid="{67EA87D6-BAC2-4F4C-9F76-DC111D6527C8}"/>
    <cellStyle name="Comma 7 4 2 4 2 2 2" xfId="28825" xr:uid="{81AC2B9C-6945-49EA-9AA8-627AEC46B77A}"/>
    <cellStyle name="Comma 7 4 2 4 2 2 3" xfId="27376" xr:uid="{F9B9B077-BD22-4EA8-822A-C1201A44B9CF}"/>
    <cellStyle name="Comma 7 4 2 4 2 2 4" xfId="18530" xr:uid="{2F5165DE-0F18-4DFA-9E76-C6E360EFF2DE}"/>
    <cellStyle name="Comma 7 4 2 4 2 3" xfId="10983" xr:uid="{4286A93B-BC7B-4C0B-8BA9-376812C755B5}"/>
    <cellStyle name="Comma 7 4 2 4 2 3 2" xfId="21363" xr:uid="{E620A8C8-844D-4CA0-B3E5-A5FB7B8181FD}"/>
    <cellStyle name="Comma 7 4 2 4 2 4" xfId="23864" xr:uid="{7A0B68CE-861E-4016-95DE-F4E04C840222}"/>
    <cellStyle name="Comma 7 4 2 4 2 5" xfId="15697" xr:uid="{F666E2A7-9066-44F5-BC43-15818D545E87}"/>
    <cellStyle name="Comma 7 4 2 4 3" xfId="3638" xr:uid="{00000000-0005-0000-0000-0000CA020000}"/>
    <cellStyle name="Comma 7 4 2 4 3 2" xfId="29838" xr:uid="{8C5F6BFF-6D5D-4702-B206-E8EA08593C62}"/>
    <cellStyle name="Comma 7 4 2 4 4" xfId="5632" xr:uid="{FFE912BB-055C-46DF-8818-DF8382E88359}"/>
    <cellStyle name="Comma 7 4 2 4 4 2" xfId="30128" xr:uid="{07AC32D7-8B7F-44F7-BFD0-A10456E2BBD1}"/>
    <cellStyle name="Comma 7 4 2 4 5" xfId="23067" xr:uid="{769159F0-5C0D-45AD-A13C-86CDBB62F980}"/>
    <cellStyle name="Comma 7 4 2 4 6" xfId="13578" xr:uid="{9800965C-BD53-4754-868D-E5123D35909F}"/>
    <cellStyle name="Comma 7 4 2 5" xfId="1754" xr:uid="{00000000-0005-0000-0000-0000CB020000}"/>
    <cellStyle name="Comma 7 4 2 5 2" xfId="2613" xr:uid="{00000000-0005-0000-0000-000034020000}"/>
    <cellStyle name="Comma 7 4 2 5 2 2" xfId="7738" xr:uid="{264B3417-CBC5-4D83-B7A8-2F55D07895CD}"/>
    <cellStyle name="Comma 7 4 2 5 2 2 2" xfId="18118" xr:uid="{D7BC6FBF-51A4-4330-B851-3EE9DFCAB1C5}"/>
    <cellStyle name="Comma 7 4 2 5 2 3" xfId="10571" xr:uid="{4D31655A-AF45-4744-B266-007F93F7754D}"/>
    <cellStyle name="Comma 7 4 2 5 2 3 2" xfId="20951" xr:uid="{1049E83E-33B6-444A-A210-330810576F5E}"/>
    <cellStyle name="Comma 7 4 2 5 2 4" xfId="27066" xr:uid="{F1FB34C1-7873-4C6B-8ADA-ADE9CE3881D3}"/>
    <cellStyle name="Comma 7 4 2 5 2 5" xfId="26467" xr:uid="{9481BDCD-342A-4F51-B132-7DAB60CB44A7}"/>
    <cellStyle name="Comma 7 4 2 5 2 6" xfId="15285" xr:uid="{D0D03222-D2B4-4757-AF32-F9756CC6E30E}"/>
    <cellStyle name="Comma 7 4 2 5 3" xfId="3673" xr:uid="{00000000-0005-0000-0000-0000CB020000}"/>
    <cellStyle name="Comma 7 4 2 5 3 2" xfId="30186" xr:uid="{B8AD9E9B-F621-4EBC-899E-8164B471710D}"/>
    <cellStyle name="Comma 7 4 2 5 4" xfId="5629" xr:uid="{1C4CAF15-8B85-423C-8049-2DF4B15A9E04}"/>
    <cellStyle name="Comma 7 4 2 5 4 2" xfId="30567" xr:uid="{C48EA6C2-732D-477E-A52B-C371689309FD}"/>
    <cellStyle name="Comma 7 4 2 5 5" xfId="22760" xr:uid="{63A9C5F6-EF77-4C6B-870B-B8420B9A6D50}"/>
    <cellStyle name="Comma 7 4 2 5 6" xfId="13001" xr:uid="{CC3099B8-C7CE-44FA-B70E-D2EAEDDB43B9}"/>
    <cellStyle name="Comma 7 4 2 6" xfId="2285" xr:uid="{00000000-0005-0000-0000-00002F020000}"/>
    <cellStyle name="Comma 7 4 2 6 2" xfId="7412" xr:uid="{E4C36005-5EDC-4729-A3E0-E43290015D95}"/>
    <cellStyle name="Comma 7 4 2 6 2 2" xfId="17792" xr:uid="{178E532A-F0CB-4EAF-AFBB-942C78F28E6D}"/>
    <cellStyle name="Comma 7 4 2 6 2 3" xfId="29978" xr:uid="{C98E9106-5F7C-4658-A2C8-9C61600E3A18}"/>
    <cellStyle name="Comma 7 4 2 6 3" xfId="10245" xr:uid="{C75A9190-3FC3-47E9-9995-2DF8C9F66013}"/>
    <cellStyle name="Comma 7 4 2 6 3 2" xfId="20625" xr:uid="{54290424-A44E-4F48-B2D1-3C3BA61DA7AA}"/>
    <cellStyle name="Comma 7 4 2 6 4" xfId="22817" xr:uid="{A3D6ACC0-116F-4946-83C3-631641F8A836}"/>
    <cellStyle name="Comma 7 4 2 6 5" xfId="26016" xr:uid="{FE68FD12-9154-4AA7-A0C3-CD68D3A9D720}"/>
    <cellStyle name="Comma 7 4 2 6 6" xfId="14959" xr:uid="{6FA8B3BC-ADED-4CC2-8CC3-FFE0A1B68FE5}"/>
    <cellStyle name="Comma 7 4 2 7" xfId="3824" xr:uid="{B14658B2-FCC4-43CD-A4BC-C6FD30075BC7}"/>
    <cellStyle name="Comma 7 4 2 7 2" xfId="8657" xr:uid="{2C356EDD-54BF-4E47-B774-D6E55FADE4F0}"/>
    <cellStyle name="Comma 7 4 2 7 2 2" xfId="19037" xr:uid="{7811949C-31E2-421D-ADBF-A2352D2AA19E}"/>
    <cellStyle name="Comma 7 4 2 7 3" xfId="11490" xr:uid="{6F3A02B3-9DAA-486E-A01B-91AC2E380B47}"/>
    <cellStyle name="Comma 7 4 2 7 3 2" xfId="21870" xr:uid="{56A9FE8D-D055-4A14-AC81-A7470A84DE3E}"/>
    <cellStyle name="Comma 7 4 2 7 4" xfId="26520" xr:uid="{5FBD1249-0C3E-4921-BE51-79EA2CAC9B29}"/>
    <cellStyle name="Comma 7 4 2 7 5" xfId="27751" xr:uid="{91768008-3678-4E3B-BDC5-DF49DC87299E}"/>
    <cellStyle name="Comma 7 4 2 7 6" xfId="16204" xr:uid="{883239F2-5ACA-48AC-92E0-E80092C3F15F}"/>
    <cellStyle name="Comma 7 4 2 8" xfId="4907" xr:uid="{505D3395-F608-44BD-AEA0-71EDAA867C28}"/>
    <cellStyle name="Comma 7 4 2 8 2" xfId="14199" xr:uid="{3D6D5CD5-AE94-4527-93FF-700D5C6AF69C}"/>
    <cellStyle name="Comma 7 4 2 9" xfId="6652" xr:uid="{0A8693F1-C2C0-478E-B194-10661804C34F}"/>
    <cellStyle name="Comma 7 4 2 9 2" xfId="17032" xr:uid="{38F0DE82-D13B-40DA-9557-A7EDD7239E97}"/>
    <cellStyle name="Comma 7 4 3" xfId="518" xr:uid="{00000000-0005-0000-0000-0000CC020000}"/>
    <cellStyle name="Comma 7 4 3 10" xfId="12675" xr:uid="{E6520FE3-3C5C-4157-946D-CBA5C7996F81}"/>
    <cellStyle name="Comma 7 4 3 2" xfId="1761" xr:uid="{00000000-0005-0000-0000-0000CD020000}"/>
    <cellStyle name="Comma 7 4 3 2 2" xfId="3073" xr:uid="{00000000-0005-0000-0000-000036020000}"/>
    <cellStyle name="Comma 7 4 3 2 2 2" xfId="8153" xr:uid="{BF50235C-D9F5-4BE6-8E57-DA842ACA190A}"/>
    <cellStyle name="Comma 7 4 3 2 2 2 2" xfId="28828" xr:uid="{6BC52DD1-A91F-43FE-B3D1-B5A4132182CA}"/>
    <cellStyle name="Comma 7 4 3 2 2 2 3" xfId="26072" xr:uid="{344878CB-20EA-42C7-8ABE-B293196D2670}"/>
    <cellStyle name="Comma 7 4 3 2 2 2 4" xfId="18533" xr:uid="{D22F1899-2944-4CCB-B36A-5E8A124EFFE5}"/>
    <cellStyle name="Comma 7 4 3 2 2 3" xfId="10986" xr:uid="{9DA86617-6C52-4D0B-BB50-D655114B14BB}"/>
    <cellStyle name="Comma 7 4 3 2 2 3 2" xfId="21366" xr:uid="{0D55057B-18DB-43C2-9C52-2A25422470D3}"/>
    <cellStyle name="Comma 7 4 3 2 2 4" xfId="22743" xr:uid="{F680CB1D-9166-446B-BFD5-A9FF7876BB0F}"/>
    <cellStyle name="Comma 7 4 3 2 2 5" xfId="15700" xr:uid="{03C28C1E-303A-4C32-AADB-57485055AA2F}"/>
    <cellStyle name="Comma 7 4 3 2 3" xfId="3666" xr:uid="{00000000-0005-0000-0000-0000CD020000}"/>
    <cellStyle name="Comma 7 4 3 2 3 2" xfId="29856" xr:uid="{E3E18F18-7907-48AD-B0F4-95993971C8EB}"/>
    <cellStyle name="Comma 7 4 3 2 4" xfId="5633" xr:uid="{F42C1CC9-4C1E-4C09-96AA-B1331C9CE94A}"/>
    <cellStyle name="Comma 7 4 3 2 4 2" xfId="30137" xr:uid="{E1EAC2AD-18DA-4E2B-91A5-88D9BFE364A1}"/>
    <cellStyle name="Comma 7 4 3 2 5" xfId="23228" xr:uid="{3B4E2DE3-9C5B-4543-9F55-002A6D0DBA63}"/>
    <cellStyle name="Comma 7 4 3 2 6" xfId="13581" xr:uid="{16383BDD-3E14-46A2-97B6-8F35987451FD}"/>
    <cellStyle name="Comma 7 4 3 3" xfId="1762" xr:uid="{00000000-0005-0000-0000-0000CE020000}"/>
    <cellStyle name="Comma 7 4 3 3 2" xfId="2682" xr:uid="{00000000-0005-0000-0000-000037020000}"/>
    <cellStyle name="Comma 7 4 3 3 2 2" xfId="7806" xr:uid="{9C8CB75C-6DD5-4A6E-8B48-84A31B9706F3}"/>
    <cellStyle name="Comma 7 4 3 3 2 2 2" xfId="18186" xr:uid="{7FFE0B91-DF7A-4B57-B83F-494585391AC3}"/>
    <cellStyle name="Comma 7 4 3 3 2 3" xfId="10639" xr:uid="{61B0738B-6FC2-483F-8B6D-B8217C9393CF}"/>
    <cellStyle name="Comma 7 4 3 3 2 3 2" xfId="21019" xr:uid="{E9091CA8-E1E0-439B-B93F-92F6CEC7289E}"/>
    <cellStyle name="Comma 7 4 3 3 2 4" xfId="15353" xr:uid="{E470E6FC-CA99-4ED1-8669-6D41E198481E}"/>
    <cellStyle name="Comma 7 4 3 3 3" xfId="3617" xr:uid="{00000000-0005-0000-0000-0000CE020000}"/>
    <cellStyle name="Comma 7 4 3 3 3 2" xfId="30200" xr:uid="{86D98185-4E28-4BB4-95FE-53D93D33F922}"/>
    <cellStyle name="Comma 7 4 3 3 4" xfId="5634" xr:uid="{C0C64253-4544-4979-A07F-7EEC2FA73C74}"/>
    <cellStyle name="Comma 7 4 3 3 4 2" xfId="30582" xr:uid="{5EB151B6-5056-4180-A30F-0C70F4C4C13F}"/>
    <cellStyle name="Comma 7 4 3 3 5" xfId="25522" xr:uid="{6F3732D1-E16A-4301-8E3F-B27761CF0255}"/>
    <cellStyle name="Comma 7 4 3 3 6" xfId="13092" xr:uid="{74843E64-0A04-40DD-9985-1B3D8C252F4E}"/>
    <cellStyle name="Comma 7 4 3 4" xfId="1760" xr:uid="{00000000-0005-0000-0000-0000CF020000}"/>
    <cellStyle name="Comma 7 4 3 4 2" xfId="3816" xr:uid="{D8562F3A-33C0-47DC-9768-B5E4819A23FF}"/>
    <cellStyle name="Comma 7 4 3 4 2 2" xfId="8650" xr:uid="{0C5A08FC-7258-4858-96EB-178F2F1D7D2A}"/>
    <cellStyle name="Comma 7 4 3 4 2 2 2" xfId="19030" xr:uid="{61DE5C44-A3CE-4400-870E-4156CE6AF8D3}"/>
    <cellStyle name="Comma 7 4 3 4 2 3" xfId="11483" xr:uid="{640F1C62-E8E9-475D-A089-FC636808A532}"/>
    <cellStyle name="Comma 7 4 3 4 2 3 2" xfId="21863" xr:uid="{12B6440F-867B-4044-B185-A1865D631395}"/>
    <cellStyle name="Comma 7 4 3 4 2 4" xfId="26145" xr:uid="{552BB63E-C010-4D93-B642-D969AD86307D}"/>
    <cellStyle name="Comma 7 4 3 4 2 5" xfId="28036" xr:uid="{EBF27C3A-2657-4D29-AF37-80CC896DFA93}"/>
    <cellStyle name="Comma 7 4 3 4 2 6" xfId="16197" xr:uid="{2B3F23E8-0972-4367-BA90-49DE4C62D40D}"/>
    <cellStyle name="Comma 7 4 3 4 3" xfId="24369" xr:uid="{6022CDEA-3303-4688-AF3E-2A06F16DFF68}"/>
    <cellStyle name="Comma 7 4 3 4 3 2" xfId="30256" xr:uid="{22F73734-D05D-4478-BAFF-5370DAE5FC6C}"/>
    <cellStyle name="Comma 7 4 3 4 4" xfId="30659" xr:uid="{72E1BAA4-F035-442B-B3E3-F1077DCE7408}"/>
    <cellStyle name="Comma 7 4 3 4 5" xfId="29733" xr:uid="{5ED3B31F-9906-480A-9844-5C7FCC5101C9}"/>
    <cellStyle name="Comma 7 4 3 5" xfId="4131" xr:uid="{0C3AEDB6-47D3-4532-AD9F-B747C0D3D348}"/>
    <cellStyle name="Comma 7 4 3 5 2" xfId="8903" xr:uid="{A9D57613-0647-4252-A7DE-F96ACE4D2F25}"/>
    <cellStyle name="Comma 7 4 3 5 2 2" xfId="29010" xr:uid="{3223FC18-17D2-4449-8BCE-D3331DED2D0C}"/>
    <cellStyle name="Comma 7 4 3 5 2 3" xfId="28252" xr:uid="{6C9C8208-8D55-4D64-89B3-93B3A9FA53DD}"/>
    <cellStyle name="Comma 7 4 3 5 2 4" xfId="19283" xr:uid="{6A93D2D0-E2DE-4958-873C-7C9307DAE259}"/>
    <cellStyle name="Comma 7 4 3 5 3" xfId="11736" xr:uid="{5DBDEE2F-CB0E-48E9-B894-F3528BA102EF}"/>
    <cellStyle name="Comma 7 4 3 5 3 2" xfId="22116" xr:uid="{E35B95DF-9B87-4BFF-AE1A-40656154C09C}"/>
    <cellStyle name="Comma 7 4 3 5 4" xfId="24381" xr:uid="{64CB99C8-9B2C-4180-A06C-88ADD89B3129}"/>
    <cellStyle name="Comma 7 4 3 5 5" xfId="16450" xr:uid="{6D5896D9-6706-4E56-88C1-BCFB3F2F4844}"/>
    <cellStyle name="Comma 7 4 3 6" xfId="4909" xr:uid="{DA85075F-94FB-48B1-8890-E36FF3FD70B4}"/>
    <cellStyle name="Comma 7 4 3 6 2" xfId="28141" xr:uid="{4CFE3330-324B-4455-BD55-4159D7D6A5AB}"/>
    <cellStyle name="Comma 7 4 3 6 3" xfId="26163" xr:uid="{BF794F05-5DEE-469D-99FD-CB721AD9A86F}"/>
    <cellStyle name="Comma 7 4 3 6 4" xfId="14201" xr:uid="{253B09F4-F27C-4B2A-ABB8-76CC41B86518}"/>
    <cellStyle name="Comma 7 4 3 7" xfId="6654" xr:uid="{EFDA9DAE-3A68-43F3-A939-F094E59796C1}"/>
    <cellStyle name="Comma 7 4 3 7 2" xfId="27057" xr:uid="{FC4F1DFA-571F-4A4A-A501-8420725FAAB2}"/>
    <cellStyle name="Comma 7 4 3 7 3" xfId="26152" xr:uid="{E58BB649-B87C-4009-B139-0A916F21407C}"/>
    <cellStyle name="Comma 7 4 3 7 4" xfId="17034" xr:uid="{128962EE-7DCA-4045-9132-C4B3DF290F4F}"/>
    <cellStyle name="Comma 7 4 3 8" xfId="9487" xr:uid="{51EE6ED6-E2E0-4CED-910B-E529C0164812}"/>
    <cellStyle name="Comma 7 4 3 8 2" xfId="19867" xr:uid="{30253037-7FE3-4B81-8FD0-86D6676B1E60}"/>
    <cellStyle name="Comma 7 4 3 9" xfId="24011" xr:uid="{518B04B8-B99A-4BF2-90A8-E4814A881679}"/>
    <cellStyle name="Comma 7 4 4" xfId="519" xr:uid="{00000000-0005-0000-0000-0000D0020000}"/>
    <cellStyle name="Comma 7 4 4 10" xfId="13582" xr:uid="{8F87A287-EAB1-4464-80D3-D813300FA58E}"/>
    <cellStyle name="Comma 7 4 4 2" xfId="1764" xr:uid="{00000000-0005-0000-0000-0000D1020000}"/>
    <cellStyle name="Comma 7 4 4 2 2" xfId="25673" xr:uid="{87CCBCDE-2E7E-4962-9235-BD2EE4E989AF}"/>
    <cellStyle name="Comma 7 4 4 2 2 2" xfId="30314" xr:uid="{153F291D-87C2-450D-A7A0-F680D85B8646}"/>
    <cellStyle name="Comma 7 4 4 2 3" xfId="24977" xr:uid="{BAF6A2DD-6226-43D4-A684-8150AEF97C75}"/>
    <cellStyle name="Comma 7 4 4 2 4" xfId="30036" xr:uid="{E108B18F-39C8-4C45-A6FD-E3F8A8FF9864}"/>
    <cellStyle name="Comma 7 4 4 3" xfId="1765" xr:uid="{00000000-0005-0000-0000-0000D2020000}"/>
    <cellStyle name="Comma 7 4 4 3 2" xfId="29670" xr:uid="{E0A089C9-2560-468A-9BF9-D3A5C27EC407}"/>
    <cellStyle name="Comma 7 4 4 4" xfId="1763" xr:uid="{00000000-0005-0000-0000-0000D3020000}"/>
    <cellStyle name="Comma 7 4 4 4 2" xfId="30060" xr:uid="{EC72577B-05A8-4C57-91C4-F7163534A993}"/>
    <cellStyle name="Comma 7 4 4 5" xfId="4416" xr:uid="{A79976AD-E645-441A-AD6C-97FE5F3FEE87}"/>
    <cellStyle name="Comma 7 4 4 5 2" xfId="9188" xr:uid="{5CEDBA4A-068F-49F2-8742-EED7FB556728}"/>
    <cellStyle name="Comma 7 4 4 5 2 2" xfId="19568" xr:uid="{C1D73A54-DF06-43E1-B02D-70138DAC0F65}"/>
    <cellStyle name="Comma 7 4 4 5 3" xfId="12021" xr:uid="{F1F12C03-26D3-472A-A199-CA3BBADF4FF8}"/>
    <cellStyle name="Comma 7 4 4 5 3 2" xfId="22401" xr:uid="{D0600EDC-19A8-4DBE-B021-6AD9B46BC449}"/>
    <cellStyle name="Comma 7 4 4 5 4" xfId="16735" xr:uid="{E03EF074-59AE-4958-9A55-F8150CEC62AC}"/>
    <cellStyle name="Comma 7 4 4 6" xfId="4910" xr:uid="{B5894034-0CBE-4849-944D-A2145E2BA423}"/>
    <cellStyle name="Comma 7 4 4 6 2" xfId="14202" xr:uid="{E0144BC8-5106-4878-99BF-3ABA15849A30}"/>
    <cellStyle name="Comma 7 4 4 7" xfId="6655" xr:uid="{1CE7CD24-6A9B-47E4-A2C8-994D2158C902}"/>
    <cellStyle name="Comma 7 4 4 7 2" xfId="17035" xr:uid="{9A7E1A0B-0986-4842-8671-42445014E238}"/>
    <cellStyle name="Comma 7 4 4 8" xfId="9488" xr:uid="{0AFF9412-21A3-490D-997B-AFB0902370A2}"/>
    <cellStyle name="Comma 7 4 4 8 2" xfId="19868" xr:uid="{2A59CC9B-4745-4CEF-9C04-AE114DA413E5}"/>
    <cellStyle name="Comma 7 4 4 9" xfId="25013" xr:uid="{DA3D3D37-93EA-45C0-8D23-6DE1759E4E8B}"/>
    <cellStyle name="Comma 7 4 5" xfId="1766" xr:uid="{00000000-0005-0000-0000-0000D4020000}"/>
    <cellStyle name="Comma 7 4 5 2" xfId="2877" xr:uid="{00000000-0005-0000-0000-000039020000}"/>
    <cellStyle name="Comma 7 4 5 2 2" xfId="7994" xr:uid="{3436F44C-B494-4C12-B062-B05AE390F7DB}"/>
    <cellStyle name="Comma 7 4 5 2 2 2" xfId="28137" xr:uid="{C4C8EBBF-1363-4EDA-8249-8E2FAC6E891D}"/>
    <cellStyle name="Comma 7 4 5 2 2 3" xfId="28408" xr:uid="{A8388C42-FB4F-4E71-9665-28D8309C8F99}"/>
    <cellStyle name="Comma 7 4 5 2 2 4" xfId="18374" xr:uid="{010E3599-4041-494C-9E8B-47211047F9C8}"/>
    <cellStyle name="Comma 7 4 5 2 3" xfId="10827" xr:uid="{E234D908-EA01-4B18-A72C-F9A351E71EA5}"/>
    <cellStyle name="Comma 7 4 5 2 3 2" xfId="21207" xr:uid="{92EF256B-DCA1-4DAD-A75D-2632903337D1}"/>
    <cellStyle name="Comma 7 4 5 2 4" xfId="23631" xr:uid="{3DF51C16-BD7D-45E9-821B-7CB0DAC33938}"/>
    <cellStyle name="Comma 7 4 5 2 5" xfId="15541" xr:uid="{39C585DA-A2B8-4368-A749-A353297DF4B4}"/>
    <cellStyle name="Comma 7 4 5 3" xfId="3557" xr:uid="{00000000-0005-0000-0000-0000D4020000}"/>
    <cellStyle name="Comma 7 4 5 3 2" xfId="29825" xr:uid="{1A054FAA-C23B-438E-B09F-831651EFBF0C}"/>
    <cellStyle name="Comma 7 4 5 4" xfId="5635" xr:uid="{F25F8ABD-E47B-4ED6-8D3F-4A5C88232BBD}"/>
    <cellStyle name="Comma 7 4 5 4 2" xfId="30103" xr:uid="{61672B65-BB11-427F-94F6-F1423E22C476}"/>
    <cellStyle name="Comma 7 4 5 5" xfId="24303" xr:uid="{34F8396F-3D25-4222-B311-5C22B2557EDE}"/>
    <cellStyle name="Comma 7 4 5 6" xfId="13373" xr:uid="{BD057F28-3B5C-4119-8DED-40BF81C07833}"/>
    <cellStyle name="Comma 7 4 6" xfId="1767" xr:uid="{00000000-0005-0000-0000-0000D5020000}"/>
    <cellStyle name="Comma 7 4 6 2" xfId="2450" xr:uid="{00000000-0005-0000-0000-00003A020000}"/>
    <cellStyle name="Comma 7 4 6 2 2" xfId="7575" xr:uid="{0EC8745B-CADC-4E90-A2A4-B929D2A07332}"/>
    <cellStyle name="Comma 7 4 6 2 2 2" xfId="17955" xr:uid="{8DAB496C-B792-4CAD-B564-5C584D52771C}"/>
    <cellStyle name="Comma 7 4 6 2 3" xfId="10408" xr:uid="{E940CE41-6AA0-4542-ADA4-02A6AA67B06A}"/>
    <cellStyle name="Comma 7 4 6 2 3 2" xfId="20788" xr:uid="{FD7A1908-EC3C-4637-BA0B-59DE488C5758}"/>
    <cellStyle name="Comma 7 4 6 2 4" xfId="28250" xr:uid="{97D421FA-B512-4A65-9020-4AD1C995F528}"/>
    <cellStyle name="Comma 7 4 6 2 5" xfId="27195" xr:uid="{0F71882D-9EE9-4AF9-BB8E-5D4AE3A4E7BE}"/>
    <cellStyle name="Comma 7 4 6 2 6" xfId="15122" xr:uid="{284E2CD2-1AE5-4730-B259-FED1EA434687}"/>
    <cellStyle name="Comma 7 4 6 3" xfId="3598" xr:uid="{00000000-0005-0000-0000-0000D5020000}"/>
    <cellStyle name="Comma 7 4 6 3 2" xfId="30167" xr:uid="{48F7D93A-ABDB-4C11-9B75-4B76603CE954}"/>
    <cellStyle name="Comma 7 4 6 4" xfId="5636" xr:uid="{21A9B409-13AB-40F1-85E0-8DA63EC6AEB6}"/>
    <cellStyle name="Comma 7 4 6 4 2" xfId="30517" xr:uid="{FE71D49B-2F6C-4534-A307-39C99B5DC042}"/>
    <cellStyle name="Comma 7 4 6 5" xfId="25568" xr:uid="{10683595-BF23-4CD4-A616-26D637111E13}"/>
    <cellStyle name="Comma 7 4 6 6" xfId="12838" xr:uid="{0809ABC4-139C-4EA3-B4E0-B861784C5782}"/>
    <cellStyle name="Comma 7 4 7" xfId="1753" xr:uid="{00000000-0005-0000-0000-0000D6020000}"/>
    <cellStyle name="Comma 7 4 7 2" xfId="2204" xr:uid="{00000000-0005-0000-0000-00002E020000}"/>
    <cellStyle name="Comma 7 4 7 2 2" xfId="7331" xr:uid="{31F03D0B-5349-4749-B7D7-0B78895A88A5}"/>
    <cellStyle name="Comma 7 4 7 2 2 2" xfId="17711" xr:uid="{F4B4C7F2-E13A-4989-B108-93D02447DCAB}"/>
    <cellStyle name="Comma 7 4 7 2 3" xfId="10164" xr:uid="{BB85DFE3-E287-438D-B6A4-802C96684C4D}"/>
    <cellStyle name="Comma 7 4 7 2 3 2" xfId="20544" xr:uid="{906FE7D4-FA9C-4C0E-83E2-8D42A9C15F0F}"/>
    <cellStyle name="Comma 7 4 7 2 4" xfId="26243" xr:uid="{339CF1EF-81BC-4493-A9F7-6146948D3329}"/>
    <cellStyle name="Comma 7 4 7 2 5" xfId="27631" xr:uid="{E101F0AA-CAB3-44BF-99B8-EFD37EC09B6D}"/>
    <cellStyle name="Comma 7 4 7 2 6" xfId="14878" xr:uid="{160A4B17-A6AC-42DF-8C9C-AE7E27C74696}"/>
    <cellStyle name="Comma 7 4 7 3" xfId="3586" xr:uid="{00000000-0005-0000-0000-0000D6020000}"/>
    <cellStyle name="Comma 7 4 7 3 2" xfId="30633" xr:uid="{221B0C8D-AC92-4096-B09C-FE7ABCD93C44}"/>
    <cellStyle name="Comma 7 4 7 4" xfId="23783" xr:uid="{809982DD-55F7-4340-A2D8-962BFBBD17E2}"/>
    <cellStyle name="Comma 7 4 8" xfId="3872" xr:uid="{6D2C64E3-2EB5-4B5F-AB7C-2CFD353A925B}"/>
    <cellStyle name="Comma 7 4 8 2" xfId="8704" xr:uid="{418BB3BF-3B1D-4B63-9BA4-95B5E7B8F262}"/>
    <cellStyle name="Comma 7 4 8 2 2" xfId="19084" xr:uid="{6EB814DC-1EEE-4F0F-9A34-5AF4EF51B40F}"/>
    <cellStyle name="Comma 7 4 8 3" xfId="11537" xr:uid="{D5273CD8-F233-422C-8111-01D3A8CC2859}"/>
    <cellStyle name="Comma 7 4 8 3 2" xfId="21917" xr:uid="{C4937901-0BE3-44C0-B3B0-3522436B49CC}"/>
    <cellStyle name="Comma 7 4 8 4" xfId="26606" xr:uid="{208E59B3-CE85-479B-9D7C-C1E8DADA5EC0}"/>
    <cellStyle name="Comma 7 4 8 5" xfId="26557" xr:uid="{69AD928B-C453-4838-ACD3-276462F0F02B}"/>
    <cellStyle name="Comma 7 4 8 6" xfId="16251" xr:uid="{02070642-8455-4E33-9387-9A0B89000FF9}"/>
    <cellStyle name="Comma 7 4 9" xfId="4906" xr:uid="{AB73B4F1-1147-49B8-BA9C-978935F8249C}"/>
    <cellStyle name="Comma 7 4 9 2" xfId="26524" xr:uid="{A999B94A-0626-4C4E-9E27-FDD4334FC110}"/>
    <cellStyle name="Comma 7 4 9 3" xfId="26850" xr:uid="{95DD793D-BD7E-4FCF-A213-6E764638978F}"/>
    <cellStyle name="Comma 7 4 9 4" xfId="14198" xr:uid="{5569E507-C9A7-4281-98A1-8AC6F1D59175}"/>
    <cellStyle name="Comma 7 5" xfId="520" xr:uid="{00000000-0005-0000-0000-0000D7020000}"/>
    <cellStyle name="Comma 7 5 10" xfId="6656" xr:uid="{5646055F-E7BE-4976-8537-AD1E59322F6A}"/>
    <cellStyle name="Comma 7 5 10 2" xfId="17036" xr:uid="{CE0E45D4-7EE2-4722-BC34-D70527B4C2C8}"/>
    <cellStyle name="Comma 7 5 11" xfId="9489" xr:uid="{7717B620-F26A-4871-B6F1-33D9316F7E93}"/>
    <cellStyle name="Comma 7 5 11 2" xfId="19869" xr:uid="{D05A5041-035E-485E-94FC-5DD078A197C5}"/>
    <cellStyle name="Comma 7 5 12" xfId="22919" xr:uid="{69324D7E-F973-4021-B3C7-B6AD117E2B83}"/>
    <cellStyle name="Comma 7 5 13" xfId="12518" xr:uid="{37A7B014-FB51-47D1-AB9F-B6D1A1CCDEAE}"/>
    <cellStyle name="Comma 7 5 2" xfId="521" xr:uid="{00000000-0005-0000-0000-0000D8020000}"/>
    <cellStyle name="Comma 7 5 2 10" xfId="23732" xr:uid="{7271B6E7-9EC8-45ED-A39F-6A2EE9205006}"/>
    <cellStyle name="Comma 7 5 2 11" xfId="12676" xr:uid="{E3C414B1-985B-448E-A888-8F93AF525D4B}"/>
    <cellStyle name="Comma 7 5 2 2" xfId="522" xr:uid="{00000000-0005-0000-0000-0000D9020000}"/>
    <cellStyle name="Comma 7 5 2 2 2" xfId="1771" xr:uid="{00000000-0005-0000-0000-0000DA020000}"/>
    <cellStyle name="Comma 7 5 2 2 2 2" xfId="24739" xr:uid="{CE9739E2-0E6C-4012-8352-FEFC55D4E5E8}"/>
    <cellStyle name="Comma 7 5 2 2 2 2 2" xfId="29889" xr:uid="{035A0FFF-3BB3-48DD-8D0B-110B07B63339}"/>
    <cellStyle name="Comma 7 5 2 2 2 3" xfId="25615" xr:uid="{E11AB7C8-071A-4B09-83C8-46783A515B04}"/>
    <cellStyle name="Comma 7 5 2 2 2 4" xfId="30503" xr:uid="{05A964D2-27C6-4D4B-839E-527977CE7956}"/>
    <cellStyle name="Comma 7 5 2 2 2 5" xfId="29759" xr:uid="{3A063438-83F6-49DE-AED1-2E127896094E}"/>
    <cellStyle name="Comma 7 5 2 2 3" xfId="1772" xr:uid="{00000000-0005-0000-0000-0000DB020000}"/>
    <cellStyle name="Comma 7 5 2 2 3 2" xfId="27030" xr:uid="{4FA6F6FF-3998-4705-9D32-C8FCE46C3B75}"/>
    <cellStyle name="Comma 7 5 2 2 3 2 2" xfId="29950" xr:uid="{4FC47439-222E-47F2-92F2-C24124901B9C}"/>
    <cellStyle name="Comma 7 5 2 2 3 3" xfId="27386" xr:uid="{6C331F4C-E5CD-4B44-968E-0F45ABC4B5DD}"/>
    <cellStyle name="Comma 7 5 2 2 3 4" xfId="30611" xr:uid="{E5CF4F11-5194-4391-B5AD-A2B0D3394163}"/>
    <cellStyle name="Comma 7 5 2 2 3 5" xfId="29707" xr:uid="{734F98C3-5B42-4F8A-8A48-A3B5018BA0F9}"/>
    <cellStyle name="Comma 7 5 2 2 4" xfId="1770" xr:uid="{00000000-0005-0000-0000-0000DC020000}"/>
    <cellStyle name="Comma 7 5 2 2 4 2" xfId="30315" xr:uid="{63EE88B9-A175-439F-9109-60C3DDB5C12B}"/>
    <cellStyle name="Comma 7 5 2 2 4 3" xfId="30751" xr:uid="{5F346C39-B2A3-4FA5-9034-0E53E1E7CCFC}"/>
    <cellStyle name="Comma 7 5 2 2 4 4" xfId="30037" xr:uid="{9409017A-6077-4C69-AA47-61292E1EAE04}"/>
    <cellStyle name="Comma 7 5 2 2 5" xfId="4913" xr:uid="{292E7043-3ECC-4B86-8A68-9553D6F91E71}"/>
    <cellStyle name="Comma 7 5 2 2 5 2" xfId="26639" xr:uid="{499C625A-4CCE-4EF2-A8EA-D9B86F988028}"/>
    <cellStyle name="Comma 7 5 2 2 5 3" xfId="28695" xr:uid="{9658C0DE-99BE-4E79-987E-4296B294C41E}"/>
    <cellStyle name="Comma 7 5 2 2 5 4" xfId="14205" xr:uid="{5B1BE0DE-DB06-4CD0-9D5C-33FEDCF65142}"/>
    <cellStyle name="Comma 7 5 2 2 6" xfId="6658" xr:uid="{D1C9BAC6-1A7E-4DF8-AC19-F1503F2DB7E5}"/>
    <cellStyle name="Comma 7 5 2 2 6 2" xfId="17038" xr:uid="{F5D565DB-66DB-4426-83FE-CA2C1B834E84}"/>
    <cellStyle name="Comma 7 5 2 2 7" xfId="9491" xr:uid="{6A31CE58-6B40-4C65-BC91-7AFB0091B658}"/>
    <cellStyle name="Comma 7 5 2 2 7 2" xfId="19871" xr:uid="{0210F76D-6388-4692-9950-53EF0FA1D003}"/>
    <cellStyle name="Comma 7 5 2 2 8" xfId="23886" xr:uid="{5D62CAE4-9906-433E-88E3-AABC571647DB}"/>
    <cellStyle name="Comma 7 5 2 2 9" xfId="13583" xr:uid="{83868C91-B072-4CE9-B1C4-182C922D8C7E}"/>
    <cellStyle name="Comma 7 5 2 3" xfId="1773" xr:uid="{00000000-0005-0000-0000-0000DD020000}"/>
    <cellStyle name="Comma 7 5 2 3 2" xfId="2683" xr:uid="{00000000-0005-0000-0000-00003E020000}"/>
    <cellStyle name="Comma 7 5 2 3 2 2" xfId="7807" xr:uid="{D680A6ED-2E5B-494C-B20D-A469A372655C}"/>
    <cellStyle name="Comma 7 5 2 3 2 2 2" xfId="18187" xr:uid="{C2A50A2D-2117-475D-8CF9-BB8184BA4D36}"/>
    <cellStyle name="Comma 7 5 2 3 2 3" xfId="10640" xr:uid="{8F13F77B-5886-4B31-9A6B-6F7BBF4680C1}"/>
    <cellStyle name="Comma 7 5 2 3 2 3 2" xfId="21020" xr:uid="{806E31E5-44E7-4543-8EE7-D88714002892}"/>
    <cellStyle name="Comma 7 5 2 3 2 4" xfId="15354" xr:uid="{2B1DDC52-F985-4BDE-9709-0D693B7B1532}"/>
    <cellStyle name="Comma 7 5 2 3 3" xfId="3604" xr:uid="{00000000-0005-0000-0000-0000DD020000}"/>
    <cellStyle name="Comma 7 5 2 3 3 2" xfId="30081" xr:uid="{6F9B7E32-56CE-41EE-9E4E-1B190174A53E}"/>
    <cellStyle name="Comma 7 5 2 3 4" xfId="5637" xr:uid="{22F7C8BC-3E9A-4B2A-806B-9A80343B7F05}"/>
    <cellStyle name="Comma 7 5 2 3 4 2" xfId="30374" xr:uid="{A336CAA5-3000-40C2-BF56-8F57B6CA6D0F}"/>
    <cellStyle name="Comma 7 5 2 3 5" xfId="24910" xr:uid="{F8A8837A-C407-4E3F-923E-3AFB3C58AF5E}"/>
    <cellStyle name="Comma 7 5 2 3 6" xfId="13094" xr:uid="{D1E8E6CF-0015-404D-A40C-C30BA51A8475}"/>
    <cellStyle name="Comma 7 5 2 4" xfId="1774" xr:uid="{00000000-0005-0000-0000-0000DE020000}"/>
    <cellStyle name="Comma 7 5 2 4 2" xfId="4661" xr:uid="{2293452D-99F2-4CAD-A165-3292E92C43D0}"/>
    <cellStyle name="Comma 7 5 2 4 2 2" xfId="9410" xr:uid="{8490B5E4-6184-4B5A-B643-0B3560AA6B22}"/>
    <cellStyle name="Comma 7 5 2 4 2 2 2" xfId="19790" xr:uid="{FCFB48EE-F3DA-40D4-827B-447D467F4461}"/>
    <cellStyle name="Comma 7 5 2 4 2 3" xfId="12243" xr:uid="{6AD03675-E70A-43EC-8DE8-396BC8465545}"/>
    <cellStyle name="Comma 7 5 2 4 2 3 2" xfId="22623" xr:uid="{389CCCCB-5BE5-4301-9249-F53BBA9D0DA1}"/>
    <cellStyle name="Comma 7 5 2 4 2 4" xfId="26518" xr:uid="{70ABF6DC-7723-4A8F-99BB-4DB503F16498}"/>
    <cellStyle name="Comma 7 5 2 4 2 5" xfId="28688" xr:uid="{797ADB1F-1EB8-4FFC-B4C7-4F772DF04221}"/>
    <cellStyle name="Comma 7 5 2 4 2 6" xfId="16957" xr:uid="{54EA9394-C352-4F3E-8333-563BD2D23845}"/>
    <cellStyle name="Comma 7 5 2 4 3" xfId="23108" xr:uid="{4651104D-9B11-4DF9-AF50-B53CB8D8197E}"/>
    <cellStyle name="Comma 7 5 2 4 3 2" xfId="30125" xr:uid="{06442A01-1E3F-45CC-AFDC-D3A269C4EEDE}"/>
    <cellStyle name="Comma 7 5 2 4 4" xfId="30466" xr:uid="{E431B092-20EB-4181-B3A7-9632ACC2ECFC}"/>
    <cellStyle name="Comma 7 5 2 4 5" xfId="29767" xr:uid="{567A5396-815C-48BA-A665-C2047CA721CB}"/>
    <cellStyle name="Comma 7 5 2 5" xfId="1769" xr:uid="{00000000-0005-0000-0000-0000DF020000}"/>
    <cellStyle name="Comma 7 5 2 5 2" xfId="22841" xr:uid="{D1DB451F-6159-4A74-9B86-700896744C6A}"/>
    <cellStyle name="Comma 7 5 2 5 2 2" xfId="29917" xr:uid="{1C334A2D-C5C0-4580-98BB-7C6B7B7201DE}"/>
    <cellStyle name="Comma 7 5 2 5 3" xfId="23334" xr:uid="{93AFDCE7-C4AA-4008-818F-D54818BF790E}"/>
    <cellStyle name="Comma 7 5 2 5 4" xfId="30555" xr:uid="{069853E2-0414-40FA-B438-F2CE908BA1C2}"/>
    <cellStyle name="Comma 7 5 2 5 5" xfId="29796" xr:uid="{6BC73FE7-77C9-4125-81FA-BDC416E2BC80}"/>
    <cellStyle name="Comma 7 5 2 6" xfId="4132" xr:uid="{6C3FB44E-C3DD-459C-9389-910BF7DB3F9C}"/>
    <cellStyle name="Comma 7 5 2 6 2" xfId="8904" xr:uid="{A90DD8B8-339C-4DFD-9955-5E5A304CC0C4}"/>
    <cellStyle name="Comma 7 5 2 6 2 2" xfId="19284" xr:uid="{B57EC07F-43BA-45E8-95C3-065ABF189734}"/>
    <cellStyle name="Comma 7 5 2 6 2 3" xfId="29980" xr:uid="{7E31C1F0-CCA1-41EA-ACF9-BBE72609B3D2}"/>
    <cellStyle name="Comma 7 5 2 6 3" xfId="11737" xr:uid="{BB3C0E05-D031-4229-ABCD-7D9AF0680012}"/>
    <cellStyle name="Comma 7 5 2 6 3 2" xfId="22117" xr:uid="{EA49C380-52C9-4106-9534-2C5AB97684E3}"/>
    <cellStyle name="Comma 7 5 2 6 4" xfId="26569" xr:uid="{13B4D00C-BF5B-4937-9643-02477EBF71E3}"/>
    <cellStyle name="Comma 7 5 2 6 5" xfId="26506" xr:uid="{AFC1D15D-FE69-4DC5-A4C1-3A148A010EFD}"/>
    <cellStyle name="Comma 7 5 2 6 6" xfId="16451" xr:uid="{1ECDBD2A-CFE2-498B-8B43-F4E11D0599D1}"/>
    <cellStyle name="Comma 7 5 2 7" xfId="4912" xr:uid="{2FF2228D-1314-47F7-A649-B753533FBC8D}"/>
    <cellStyle name="Comma 7 5 2 7 2" xfId="27243" xr:uid="{C4EC5E6E-8F0B-49C6-9EB5-C71C495229DB}"/>
    <cellStyle name="Comma 7 5 2 7 3" xfId="27798" xr:uid="{6DAD2BEF-7EBF-4C6E-A116-18EA70E465FB}"/>
    <cellStyle name="Comma 7 5 2 7 3 2" xfId="30660" xr:uid="{B5027B5E-BCE4-4731-A23B-E8627E08DA3B}"/>
    <cellStyle name="Comma 7 5 2 7 4" xfId="14204" xr:uid="{4BE345BD-8721-4E6B-966D-99DA1638117A}"/>
    <cellStyle name="Comma 7 5 2 8" xfId="6657" xr:uid="{1C3ECEF6-26DB-46B5-BD5A-292C97DA5F61}"/>
    <cellStyle name="Comma 7 5 2 8 2" xfId="17037" xr:uid="{9B548DB4-02BF-4262-AC9A-890BCBFFCE8F}"/>
    <cellStyle name="Comma 7 5 2 9" xfId="9490" xr:uid="{7A9069B7-FCFB-48A7-B514-C0CD8B93DE19}"/>
    <cellStyle name="Comma 7 5 2 9 2" xfId="19870" xr:uid="{C0F14D28-BF11-45A9-8B65-1362B87914A1}"/>
    <cellStyle name="Comma 7 5 3" xfId="523" xr:uid="{00000000-0005-0000-0000-0000E0020000}"/>
    <cellStyle name="Comma 7 5 3 10" xfId="13584" xr:uid="{B1FF3BE9-35A9-4F2E-AB1A-162D9D826A92}"/>
    <cellStyle name="Comma 7 5 3 2" xfId="1776" xr:uid="{00000000-0005-0000-0000-0000E1020000}"/>
    <cellStyle name="Comma 7 5 3 2 2" xfId="22792" xr:uid="{0F83F840-92B1-4135-BB5C-61014B1EB3FA}"/>
    <cellStyle name="Comma 7 5 3 2 2 2" xfId="29857" xr:uid="{24D1FA89-AB87-4C0D-8093-C5C4A82DA174}"/>
    <cellStyle name="Comma 7 5 3 2 3" xfId="24071" xr:uid="{8A811A5F-863A-432D-8845-82D7A335A18F}"/>
    <cellStyle name="Comma 7 5 3 2 3 2" xfId="26964" xr:uid="{ACD1A0F0-669A-46F3-822C-B3E39EEFFB34}"/>
    <cellStyle name="Comma 7 5 3 2 4" xfId="30479" xr:uid="{AC9A6111-84CA-4D22-B22E-9785A03AD00F}"/>
    <cellStyle name="Comma 7 5 3 2 5" xfId="29782" xr:uid="{DD711645-01E0-41FB-8683-C12C52B0F296}"/>
    <cellStyle name="Comma 7 5 3 3" xfId="1777" xr:uid="{00000000-0005-0000-0000-0000E2020000}"/>
    <cellStyle name="Comma 7 5 3 3 2" xfId="29929" xr:uid="{DEA4396A-E7ED-4330-8B81-C57381471FCA}"/>
    <cellStyle name="Comma 7 5 3 3 3" xfId="30201" xr:uid="{3996C079-1904-47B0-9491-F9CDE6F0E88B}"/>
    <cellStyle name="Comma 7 5 3 3 4" xfId="30583" xr:uid="{D4DC904A-0EA3-4E53-9692-5AFC4F8427DC}"/>
    <cellStyle name="Comma 7 5 3 3 5" xfId="29786" xr:uid="{2D169CDE-2330-4706-8E50-7ACAAADB0955}"/>
    <cellStyle name="Comma 7 5 3 4" xfId="1775" xr:uid="{00000000-0005-0000-0000-0000E3020000}"/>
    <cellStyle name="Comma 7 5 3 4 2" xfId="25794" xr:uid="{C46FFFC4-5367-43D9-A0F2-883957F7948E}"/>
    <cellStyle name="Comma 7 5 3 4 2 2" xfId="30316" xr:uid="{6C11EE3C-C7F2-4C9A-A9AC-E88D57DF797D}"/>
    <cellStyle name="Comma 7 5 3 4 3" xfId="25050" xr:uid="{B860A217-F0E0-4C8F-8370-1FADC8BB8F47}"/>
    <cellStyle name="Comma 7 5 3 4 4" xfId="30038" xr:uid="{56224C35-6DF3-4DD8-80BD-11F00CCEAA75}"/>
    <cellStyle name="Comma 7 5 3 5" xfId="4417" xr:uid="{C9503F72-C980-4EA6-9C7B-463E12EBFCF4}"/>
    <cellStyle name="Comma 7 5 3 5 2" xfId="9189" xr:uid="{5A1C26EA-F208-48EE-86DD-9FFC88BAFD19}"/>
    <cellStyle name="Comma 7 5 3 5 2 2" xfId="19569" xr:uid="{FCD690AC-5AC5-4154-904A-D83197D1328E}"/>
    <cellStyle name="Comma 7 5 3 5 3" xfId="12022" xr:uid="{FE1AF542-490F-455D-B3A3-CBC2CF555370}"/>
    <cellStyle name="Comma 7 5 3 5 3 2" xfId="22402" xr:uid="{00BE9369-0DF0-4924-8996-08D0CF6B80B1}"/>
    <cellStyle name="Comma 7 5 3 5 4" xfId="26390" xr:uid="{6B4CBF57-0C58-4E6E-8425-E119C9F18CE3}"/>
    <cellStyle name="Comma 7 5 3 5 5" xfId="26812" xr:uid="{2D16A3FA-6801-4321-9577-5BCA3F3D3CF6}"/>
    <cellStyle name="Comma 7 5 3 5 6" xfId="16736" xr:uid="{16B91357-5D72-4047-8D44-EA5C0437341A}"/>
    <cellStyle name="Comma 7 5 3 6" xfId="4914" xr:uid="{52DF5D1D-58FF-4F8F-A9B2-66477038F575}"/>
    <cellStyle name="Comma 7 5 3 6 2" xfId="27201" xr:uid="{6326BB40-03C3-4902-9C37-66E177A6EE9F}"/>
    <cellStyle name="Comma 7 5 3 6 3" xfId="26126" xr:uid="{8D6A2465-16E8-4E6F-A741-2AF012D9129F}"/>
    <cellStyle name="Comma 7 5 3 6 4" xfId="14206" xr:uid="{B4665CA3-479F-4BA8-B01A-97C19FE4190B}"/>
    <cellStyle name="Comma 7 5 3 7" xfId="6659" xr:uid="{1AFEB5F0-FB19-4185-86EE-541F27F587A7}"/>
    <cellStyle name="Comma 7 5 3 7 2" xfId="17039" xr:uid="{958F4867-4E4C-4A39-88B9-A6A66A6A68B3}"/>
    <cellStyle name="Comma 7 5 3 8" xfId="9492" xr:uid="{4B8908AE-1128-4C15-8990-7885F7F4F125}"/>
    <cellStyle name="Comma 7 5 3 8 2" xfId="19872" xr:uid="{57CCC8A8-3DAE-4B38-9E91-BA0D903C5B64}"/>
    <cellStyle name="Comma 7 5 3 9" xfId="25476" xr:uid="{07803372-5954-4D9E-9D44-7FB4212F89A6}"/>
    <cellStyle name="Comma 7 5 4" xfId="524" xr:uid="{00000000-0005-0000-0000-0000E4020000}"/>
    <cellStyle name="Comma 7 5 4 2" xfId="1779" xr:uid="{00000000-0005-0000-0000-0000E5020000}"/>
    <cellStyle name="Comma 7 5 4 2 2" xfId="24447" xr:uid="{BF2EC34A-698B-443F-AAE6-00CE8E0BD838}"/>
    <cellStyle name="Comma 7 5 4 2 2 2" xfId="30295" xr:uid="{2E844F51-A89B-4D18-99C8-7A5FC6DC6239}"/>
    <cellStyle name="Comma 7 5 4 2 3" xfId="25559" xr:uid="{57C8C355-B884-4ABB-8802-01C4ABA7B528}"/>
    <cellStyle name="Comma 7 5 4 2 4" xfId="30023" xr:uid="{B4F410CD-C155-44F5-8839-8A6005D607B9}"/>
    <cellStyle name="Comma 7 5 4 3" xfId="1780" xr:uid="{00000000-0005-0000-0000-0000E6020000}"/>
    <cellStyle name="Comma 7 5 4 3 2" xfId="29747" xr:uid="{12E6E2B4-A980-4F94-A62F-1111EFA457AC}"/>
    <cellStyle name="Comma 7 5 4 4" xfId="1778" xr:uid="{00000000-0005-0000-0000-0000E7020000}"/>
    <cellStyle name="Comma 7 5 4 4 2" xfId="30061" xr:uid="{8F645145-D9CC-4064-8FBC-3939C75D04FF}"/>
    <cellStyle name="Comma 7 5 4 5" xfId="4915" xr:uid="{DB919833-4F3D-4DD0-92E0-182B07EEBA4A}"/>
    <cellStyle name="Comma 7 5 4 5 2" xfId="14207" xr:uid="{40ACD453-DF55-4FFD-A391-5CE1BDDCA524}"/>
    <cellStyle name="Comma 7 5 4 6" xfId="6660" xr:uid="{3A3D3219-E4C3-4D65-9D99-82110F79AA60}"/>
    <cellStyle name="Comma 7 5 4 6 2" xfId="17040" xr:uid="{279B2CF0-A082-4FCF-9AAF-773691DA413F}"/>
    <cellStyle name="Comma 7 5 4 7" xfId="9493" xr:uid="{FCA469A8-8931-48F6-926A-41861DF39F45}"/>
    <cellStyle name="Comma 7 5 4 7 2" xfId="19873" xr:uid="{55A2D2CF-771F-45C4-8325-93696FF6CA25}"/>
    <cellStyle name="Comma 7 5 4 8" xfId="22755" xr:uid="{A900A73F-8391-41AF-A37D-A96D0AAB769A}"/>
    <cellStyle name="Comma 7 5 4 9" xfId="13374" xr:uid="{5991FD6E-E04B-4B1E-8779-90B5E1B3389E}"/>
    <cellStyle name="Comma 7 5 5" xfId="1781" xr:uid="{00000000-0005-0000-0000-0000E8020000}"/>
    <cellStyle name="Comma 7 5 5 2" xfId="2510" xr:uid="{00000000-0005-0000-0000-000041020000}"/>
    <cellStyle name="Comma 7 5 5 2 2" xfId="7635" xr:uid="{8BD04E5F-2AF6-4CAB-B0E4-9422C199D6EF}"/>
    <cellStyle name="Comma 7 5 5 2 2 2" xfId="18015" xr:uid="{1522A619-7A17-43D7-9F68-0A37B7D1ACB6}"/>
    <cellStyle name="Comma 7 5 5 2 3" xfId="10468" xr:uid="{F92458F7-2A4F-44FD-AEF2-734C921800EA}"/>
    <cellStyle name="Comma 7 5 5 2 3 2" xfId="20848" xr:uid="{AC8B4F3C-0517-4D8B-A400-6A262C563C4C}"/>
    <cellStyle name="Comma 7 5 5 2 4" xfId="15182" xr:uid="{C2388372-8FDB-4F2C-93F5-96DE42466C4F}"/>
    <cellStyle name="Comma 7 5 5 3" xfId="3668" xr:uid="{00000000-0005-0000-0000-0000E8020000}"/>
    <cellStyle name="Comma 7 5 5 3 2" xfId="30104" xr:uid="{3FB64A46-2D66-470A-BB6E-4ABBEAA15EBA}"/>
    <cellStyle name="Comma 7 5 5 4" xfId="5638" xr:uid="{549DF708-A440-479B-B2F3-1DB44B4EF640}"/>
    <cellStyle name="Comma 7 5 5 4 2" xfId="30446" xr:uid="{6D86E3D2-F213-4F38-B7D4-495114928FFF}"/>
    <cellStyle name="Comma 7 5 5 5" xfId="23830" xr:uid="{7ABF10FD-54AF-4FCB-A30B-74C19BFAC23C}"/>
    <cellStyle name="Comma 7 5 5 6" xfId="12898" xr:uid="{2299A01D-B91F-4761-845C-904B07E66C70}"/>
    <cellStyle name="Comma 7 5 6" xfId="1782" xr:uid="{00000000-0005-0000-0000-0000E9020000}"/>
    <cellStyle name="Comma 7 5 6 2" xfId="2286" xr:uid="{00000000-0005-0000-0000-00003B020000}"/>
    <cellStyle name="Comma 7 5 6 2 2" xfId="7413" xr:uid="{96301E53-3181-48FB-8AC6-3E2E435B2651}"/>
    <cellStyle name="Comma 7 5 6 2 2 2" xfId="17793" xr:uid="{E5BBB9F5-82C1-44B3-AB90-B6D07CA561EC}"/>
    <cellStyle name="Comma 7 5 6 2 3" xfId="10246" xr:uid="{1C344A61-EF6C-4749-8CC5-F367E86BAEC6}"/>
    <cellStyle name="Comma 7 5 6 2 3 2" xfId="20626" xr:uid="{6F00D7DF-26C0-4026-B970-FCDB35570BB5}"/>
    <cellStyle name="Comma 7 5 6 2 4" xfId="26704" xr:uid="{25367A79-03FE-4E99-A6D9-B39A4C021B71}"/>
    <cellStyle name="Comma 7 5 6 2 5" xfId="28078" xr:uid="{81956DED-55C2-46FF-BA51-2B1FE576EDA6}"/>
    <cellStyle name="Comma 7 5 6 2 6" xfId="14960" xr:uid="{1FC506FA-B02F-4406-BE5D-1A0AB0002CD6}"/>
    <cellStyle name="Comma 7 5 6 3" xfId="3709" xr:uid="{00000000-0005-0000-0000-0000E9020000}"/>
    <cellStyle name="Comma 7 5 6 3 2" xfId="30168" xr:uid="{93BB06AA-731B-4403-930F-B1E188140E43}"/>
    <cellStyle name="Comma 7 5 6 4" xfId="23749" xr:uid="{28F6DA41-D61A-4D0F-9CA7-CAF5D179111F}"/>
    <cellStyle name="Comma 7 5 6 4 2" xfId="30518" xr:uid="{A68004AF-D111-4F88-BC25-F3F49C6B4A47}"/>
    <cellStyle name="Comma 7 5 7" xfId="1768" xr:uid="{00000000-0005-0000-0000-0000EA020000}"/>
    <cellStyle name="Comma 7 5 7 2" xfId="25768" xr:uid="{F584A0C8-D732-472C-8BC3-DCA82A4452C1}"/>
    <cellStyle name="Comma 7 5 7 2 2" xfId="30235" xr:uid="{34007AC6-EE1A-41EB-8BAE-A0331B79BE8C}"/>
    <cellStyle name="Comma 7 5 7 3" xfId="24312" xr:uid="{DE1C596D-9290-445D-A960-F019D4EBE472}"/>
    <cellStyle name="Comma 7 5 7 4" xfId="29979" xr:uid="{4831EF2E-FB05-48FC-9811-23AA50883EC3}"/>
    <cellStyle name="Comma 7 5 8" xfId="3873" xr:uid="{48CD740C-5852-4F71-8415-A59533214287}"/>
    <cellStyle name="Comma 7 5 8 2" xfId="8705" xr:uid="{2092291F-6D19-473F-B830-5642A321C9E0}"/>
    <cellStyle name="Comma 7 5 8 2 2" xfId="19085" xr:uid="{3C3C96BC-C15B-42E8-A25D-DFE52D72489C}"/>
    <cellStyle name="Comma 7 5 8 3" xfId="11538" xr:uid="{45226AFF-2E75-4335-B2ED-828ECCDB1B2E}"/>
    <cellStyle name="Comma 7 5 8 3 2" xfId="21918" xr:uid="{3BD3D099-5148-4FEB-9872-FEC1BB64264A}"/>
    <cellStyle name="Comma 7 5 8 4" xfId="27227" xr:uid="{9D9EC285-B6D7-4808-A5A5-F2B84F97DB89}"/>
    <cellStyle name="Comma 7 5 8 5" xfId="26603" xr:uid="{EA04B149-B8A8-46AB-8B5F-D3490B78CF45}"/>
    <cellStyle name="Comma 7 5 8 6" xfId="16252" xr:uid="{0F497EE2-3708-464E-B533-49B9C695DDE7}"/>
    <cellStyle name="Comma 7 5 9" xfId="4911" xr:uid="{EFAE726E-D909-4F3A-A93D-88D212696C5B}"/>
    <cellStyle name="Comma 7 5 9 2" xfId="27480" xr:uid="{5BA3817F-2561-481C-A447-26DAD1F5D2D1}"/>
    <cellStyle name="Comma 7 5 9 3" xfId="28118" xr:uid="{F59C1B3D-7808-45AB-A87E-F0FFD805067B}"/>
    <cellStyle name="Comma 7 5 9 4" xfId="14203" xr:uid="{F41FDCFE-A946-4145-AE37-811A2338AAC6}"/>
    <cellStyle name="Comma 7 6" xfId="525" xr:uid="{00000000-0005-0000-0000-0000EB020000}"/>
    <cellStyle name="Comma 7 6 10" xfId="6661" xr:uid="{3C922A1C-3EDF-4ADB-BCF9-4AAAD0AD9E0B}"/>
    <cellStyle name="Comma 7 6 10 2" xfId="17041" xr:uid="{7F79C41C-4C72-473D-8C7E-2F2111D1976D}"/>
    <cellStyle name="Comma 7 6 11" xfId="9494" xr:uid="{64755B39-2642-4500-B52C-9B7320D95F8E}"/>
    <cellStyle name="Comma 7 6 11 2" xfId="19874" xr:uid="{DFB4B661-D0C2-4C9C-98F4-4E5EC8E5A97B}"/>
    <cellStyle name="Comma 7 6 12" xfId="23727" xr:uid="{5BEAD8CD-3BBE-4F24-849F-DEB87F170612}"/>
    <cellStyle name="Comma 7 6 13" xfId="12519" xr:uid="{30036AA6-4C98-40E0-9CD5-00847A39A7FB}"/>
    <cellStyle name="Comma 7 6 2" xfId="526" xr:uid="{00000000-0005-0000-0000-0000EC020000}"/>
    <cellStyle name="Comma 7 6 2 10" xfId="25115" xr:uid="{814FE15A-4D33-47EF-8D30-EACB30C37661}"/>
    <cellStyle name="Comma 7 6 2 11" xfId="12677" xr:uid="{6724AC7A-9AE5-497A-A10F-2236E9674140}"/>
    <cellStyle name="Comma 7 6 2 2" xfId="527" xr:uid="{00000000-0005-0000-0000-0000ED020000}"/>
    <cellStyle name="Comma 7 6 2 2 2" xfId="1786" xr:uid="{00000000-0005-0000-0000-0000EE020000}"/>
    <cellStyle name="Comma 7 6 2 2 2 2" xfId="24580" xr:uid="{5DC6A7E0-F1A5-4CA2-B4F1-40AE2DEBE743}"/>
    <cellStyle name="Comma 7 6 2 2 2 2 2" xfId="29890" xr:uid="{56015A03-560F-4706-9E9E-6FFD79D8AAE2}"/>
    <cellStyle name="Comma 7 6 2 2 2 3" xfId="23934" xr:uid="{E36F713B-902C-474C-93D2-2A68907E4954}"/>
    <cellStyle name="Comma 7 6 2 2 2 4" xfId="30504" xr:uid="{322988CA-1910-424E-B747-483A6C6725B2}"/>
    <cellStyle name="Comma 7 6 2 2 2 5" xfId="29694" xr:uid="{84636C49-8A65-410B-BB31-1E23AEDD30F7}"/>
    <cellStyle name="Comma 7 6 2 2 3" xfId="1787" xr:uid="{00000000-0005-0000-0000-0000EF020000}"/>
    <cellStyle name="Comma 7 6 2 2 3 2" xfId="28556" xr:uid="{5E0339E1-F027-4441-B67C-359CFFC3FA81}"/>
    <cellStyle name="Comma 7 6 2 2 3 2 2" xfId="29951" xr:uid="{D92C99B0-48DD-4041-BD3A-EEACCDA24EE9}"/>
    <cellStyle name="Comma 7 6 2 2 3 3" xfId="26688" xr:uid="{49DBD4AD-E167-4C32-A3F1-77C9BEF24AA4}"/>
    <cellStyle name="Comma 7 6 2 2 3 4" xfId="30612" xr:uid="{31D2F634-0050-4DE7-BE0B-E162A91B62EF}"/>
    <cellStyle name="Comma 7 6 2 2 3 5" xfId="29713" xr:uid="{F1D13610-E817-4B4A-99D1-5B9C81CE1C91}"/>
    <cellStyle name="Comma 7 6 2 2 4" xfId="1785" xr:uid="{00000000-0005-0000-0000-0000F0020000}"/>
    <cellStyle name="Comma 7 6 2 2 4 2" xfId="30317" xr:uid="{ACE7FC54-C42D-451C-B01D-4971DFC4603A}"/>
    <cellStyle name="Comma 7 6 2 2 4 3" xfId="30752" xr:uid="{0E978E7C-1AF8-48C6-B85F-80B87A6151C2}"/>
    <cellStyle name="Comma 7 6 2 2 4 4" xfId="30039" xr:uid="{BF227BB7-7049-4370-976B-70BB1F145F2A}"/>
    <cellStyle name="Comma 7 6 2 2 5" xfId="4918" xr:uid="{568104A5-BF9E-4CAB-8466-A723EBB6FFCC}"/>
    <cellStyle name="Comma 7 6 2 2 5 2" xfId="27423" xr:uid="{6D27C4D8-3DCA-45E9-B4AB-2A98FB1E5EE5}"/>
    <cellStyle name="Comma 7 6 2 2 5 3" xfId="27497" xr:uid="{C946227B-FD3C-4022-B083-3E43AC2359BB}"/>
    <cellStyle name="Comma 7 6 2 2 5 4" xfId="14210" xr:uid="{E793957B-5283-40B1-A140-FAE3C320445E}"/>
    <cellStyle name="Comma 7 6 2 2 6" xfId="6663" xr:uid="{08D01A92-D402-4010-8F82-1B92687A9318}"/>
    <cellStyle name="Comma 7 6 2 2 6 2" xfId="17043" xr:uid="{2B0FA746-237E-4BCF-9749-FA783E15E6B1}"/>
    <cellStyle name="Comma 7 6 2 2 7" xfId="9496" xr:uid="{CB4BEAF8-8EA1-4E64-B2B4-DB3E3BE6CFC4}"/>
    <cellStyle name="Comma 7 6 2 2 7 2" xfId="19876" xr:uid="{D7BF4F8A-54A9-412F-8ACF-CC7A9377CEF4}"/>
    <cellStyle name="Comma 7 6 2 2 8" xfId="23651" xr:uid="{46A5AAB7-7F4C-49F6-98ED-6349F507F456}"/>
    <cellStyle name="Comma 7 6 2 2 9" xfId="13585" xr:uid="{BF096EB4-D816-419A-A0CF-AECE1917DBF7}"/>
    <cellStyle name="Comma 7 6 2 3" xfId="1788" xr:uid="{00000000-0005-0000-0000-0000F1020000}"/>
    <cellStyle name="Comma 7 6 2 3 2" xfId="2684" xr:uid="{00000000-0005-0000-0000-000045020000}"/>
    <cellStyle name="Comma 7 6 2 3 2 2" xfId="7808" xr:uid="{BF3D237B-7A5C-4AAA-888F-27E9372A55C6}"/>
    <cellStyle name="Comma 7 6 2 3 2 2 2" xfId="18188" xr:uid="{C7FBD44B-FA60-4D74-A7B2-1672FA506946}"/>
    <cellStyle name="Comma 7 6 2 3 2 3" xfId="10641" xr:uid="{6E4FC81E-5D87-4568-B43B-22C6D3B722B4}"/>
    <cellStyle name="Comma 7 6 2 3 2 3 2" xfId="21021" xr:uid="{4C3A11D8-3CA8-4B93-8360-3532C16154E6}"/>
    <cellStyle name="Comma 7 6 2 3 2 4" xfId="15355" xr:uid="{F5ABC2AE-96BF-4503-97DF-050751112AFA}"/>
    <cellStyle name="Comma 7 6 2 3 3" xfId="3618" xr:uid="{00000000-0005-0000-0000-0000F1020000}"/>
    <cellStyle name="Comma 7 6 2 3 3 2" xfId="30079" xr:uid="{58B12813-5B04-4B1B-8255-BFB334E4FFEB}"/>
    <cellStyle name="Comma 7 6 2 3 4" xfId="5639" xr:uid="{A859882B-B923-4E27-B0EB-8C0E2A828252}"/>
    <cellStyle name="Comma 7 6 2 3 4 2" xfId="30371" xr:uid="{C7816C74-ED35-4C3F-BF31-A304014B6C67}"/>
    <cellStyle name="Comma 7 6 2 3 5" xfId="24408" xr:uid="{EC228E64-B2C8-4AC7-BE4E-D17338AB1515}"/>
    <cellStyle name="Comma 7 6 2 3 6" xfId="13095" xr:uid="{C208DBAA-B733-4EC3-AE62-2CF8D1447AE0}"/>
    <cellStyle name="Comma 7 6 2 4" xfId="1789" xr:uid="{00000000-0005-0000-0000-0000F2020000}"/>
    <cellStyle name="Comma 7 6 2 4 2" xfId="4664" xr:uid="{50E6BFA1-74EF-4B19-9EE4-646816D6291E}"/>
    <cellStyle name="Comma 7 6 2 4 2 2" xfId="9412" xr:uid="{6712593D-4D90-4972-B5EA-F02A2074CDB3}"/>
    <cellStyle name="Comma 7 6 2 4 2 2 2" xfId="19792" xr:uid="{8E197436-3704-4568-9E55-6040B877C7C6}"/>
    <cellStyle name="Comma 7 6 2 4 2 3" xfId="12245" xr:uid="{3CB18AEA-CAC2-4D64-9896-F6D9491787E4}"/>
    <cellStyle name="Comma 7 6 2 4 2 3 2" xfId="22625" xr:uid="{0DAC3779-A367-4685-9318-BD1DC710C257}"/>
    <cellStyle name="Comma 7 6 2 4 2 4" xfId="25844" xr:uid="{90FCDCF5-0E73-428A-AD01-8BD32EE7A20A}"/>
    <cellStyle name="Comma 7 6 2 4 2 5" xfId="26944" xr:uid="{FDEAC753-4E39-4E73-BA38-3471ED455783}"/>
    <cellStyle name="Comma 7 6 2 4 2 6" xfId="16959" xr:uid="{FB80DAFC-A2F7-40F0-AB68-3C4DEBDA971E}"/>
    <cellStyle name="Comma 7 6 2 4 3" xfId="23503" xr:uid="{04889AB2-5596-4889-95C2-683574FB893B}"/>
    <cellStyle name="Comma 7 6 2 4 3 2" xfId="30122" xr:uid="{669F66FD-3B34-4807-B518-193FF5F3C38F}"/>
    <cellStyle name="Comma 7 6 2 4 4" xfId="30464" xr:uid="{62F86E56-BF4B-4980-9E1D-68E80ED398F7}"/>
    <cellStyle name="Comma 7 6 2 4 5" xfId="29784" xr:uid="{849BC7DB-4F74-4820-966E-CFC4B42A4A10}"/>
    <cellStyle name="Comma 7 6 2 5" xfId="1784" xr:uid="{00000000-0005-0000-0000-0000F3020000}"/>
    <cellStyle name="Comma 7 6 2 5 2" xfId="25694" xr:uid="{43A0D14E-D700-4A27-B4AB-31B149617AFF}"/>
    <cellStyle name="Comma 7 6 2 5 2 2" xfId="29915" xr:uid="{106CC7AE-4027-40DD-9FC6-82EE78D075EA}"/>
    <cellStyle name="Comma 7 6 2 5 3" xfId="24099" xr:uid="{54D0671A-307C-4728-BC97-C34C5ECF5973}"/>
    <cellStyle name="Comma 7 6 2 5 4" xfId="30542" xr:uid="{C3985192-EEAC-4085-8D34-C2DE06759C30}"/>
    <cellStyle name="Comma 7 6 2 5 5" xfId="29728" xr:uid="{0C0535A2-6351-4DEA-8087-1C53338633A9}"/>
    <cellStyle name="Comma 7 6 2 6" xfId="4133" xr:uid="{F945E186-3247-4F6C-B426-F7EFD44BCD80}"/>
    <cellStyle name="Comma 7 6 2 6 2" xfId="8905" xr:uid="{DE90C64F-E618-43DD-89D7-72CB5AD9AA83}"/>
    <cellStyle name="Comma 7 6 2 6 2 2" xfId="19285" xr:uid="{10632414-1D65-4747-948E-6E1245FE22D9}"/>
    <cellStyle name="Comma 7 6 2 6 2 3" xfId="29982" xr:uid="{A960D9F2-8470-4306-B39E-5C3EE128F846}"/>
    <cellStyle name="Comma 7 6 2 6 3" xfId="11738" xr:uid="{5AB719FF-2D36-40CA-B87B-E0EEB0F6B2A4}"/>
    <cellStyle name="Comma 7 6 2 6 3 2" xfId="22118" xr:uid="{EF699C44-1A09-41A7-875A-469875BB7530}"/>
    <cellStyle name="Comma 7 6 2 6 4" xfId="27116" xr:uid="{E4AFD861-E5CC-47DE-95E7-34710AD78800}"/>
    <cellStyle name="Comma 7 6 2 6 5" xfId="26444" xr:uid="{5506A1C8-F541-44DE-857E-8369B4475383}"/>
    <cellStyle name="Comma 7 6 2 6 6" xfId="16452" xr:uid="{6857E195-9D92-4D19-A4E3-236B3934BF3B}"/>
    <cellStyle name="Comma 7 6 2 7" xfId="4917" xr:uid="{FE403337-2F0D-4875-BE3F-AE4E3512D1C4}"/>
    <cellStyle name="Comma 7 6 2 7 2" xfId="27185" xr:uid="{223CDA76-39A1-462B-B62D-67B01570377D}"/>
    <cellStyle name="Comma 7 6 2 7 3" xfId="25876" xr:uid="{2EA461FC-8742-4111-9649-6F3E9C6FB2B2}"/>
    <cellStyle name="Comma 7 6 2 7 3 2" xfId="30661" xr:uid="{A52EC643-67C3-410D-9905-4987578D6A12}"/>
    <cellStyle name="Comma 7 6 2 7 4" xfId="14209" xr:uid="{3D7978FF-A8A6-4159-87A7-1406E29B3FFC}"/>
    <cellStyle name="Comma 7 6 2 8" xfId="6662" xr:uid="{6BFB99A7-C150-4A32-91F9-F00DD3F6570A}"/>
    <cellStyle name="Comma 7 6 2 8 2" xfId="17042" xr:uid="{E695DF8E-2F2C-42CB-86B7-745C00487F72}"/>
    <cellStyle name="Comma 7 6 2 9" xfId="9495" xr:uid="{9FEF4260-B3EB-478D-9250-28C108D44304}"/>
    <cellStyle name="Comma 7 6 2 9 2" xfId="19875" xr:uid="{994A1F05-8638-445F-81D5-DDF77F57B939}"/>
    <cellStyle name="Comma 7 6 3" xfId="528" xr:uid="{00000000-0005-0000-0000-0000F4020000}"/>
    <cellStyle name="Comma 7 6 3 10" xfId="13586" xr:uid="{56574CA9-3593-4025-BED2-E7C628883E83}"/>
    <cellStyle name="Comma 7 6 3 2" xfId="1791" xr:uid="{00000000-0005-0000-0000-0000F5020000}"/>
    <cellStyle name="Comma 7 6 3 2 2" xfId="22751" xr:uid="{593812E3-2DDF-4E3E-AF86-94AFED44583B}"/>
    <cellStyle name="Comma 7 6 3 2 2 2" xfId="29858" xr:uid="{80497C63-E814-45F6-AC2C-6F31C0D90206}"/>
    <cellStyle name="Comma 7 6 3 2 3" xfId="25625" xr:uid="{EF760203-0895-4660-ABBE-998EE7974075}"/>
    <cellStyle name="Comma 7 6 3 2 3 2" xfId="26189" xr:uid="{817FEF4E-F9EF-4ACF-AE83-5398CABA09AF}"/>
    <cellStyle name="Comma 7 6 3 2 4" xfId="30480" xr:uid="{B4D2E217-B8AF-4981-9680-8AAB12662F88}"/>
    <cellStyle name="Comma 7 6 3 2 5" xfId="29795" xr:uid="{3895A1F0-C3C6-4049-B49C-7CC4C4487AE7}"/>
    <cellStyle name="Comma 7 6 3 3" xfId="1792" xr:uid="{00000000-0005-0000-0000-0000F6020000}"/>
    <cellStyle name="Comma 7 6 3 3 2" xfId="29930" xr:uid="{0CD9FCAD-BEB2-47D2-8C55-68ACCD2EA5A4}"/>
    <cellStyle name="Comma 7 6 3 3 3" xfId="30202" xr:uid="{A38DFDDC-FDFB-4906-A8A5-987D4CF89C52}"/>
    <cellStyle name="Comma 7 6 3 3 4" xfId="30584" xr:uid="{435C9EF3-2304-46F6-8443-8B90A8296BCD}"/>
    <cellStyle name="Comma 7 6 3 3 5" xfId="29715" xr:uid="{67FAC57F-F78D-4237-9C7D-CF648ABE2FDE}"/>
    <cellStyle name="Comma 7 6 3 4" xfId="1790" xr:uid="{00000000-0005-0000-0000-0000F7020000}"/>
    <cellStyle name="Comma 7 6 3 4 2" xfId="26138" xr:uid="{E6EA9670-01AD-4097-8942-F95C02BBB311}"/>
    <cellStyle name="Comma 7 6 3 4 2 2" xfId="30318" xr:uid="{F89961C1-FEB1-496B-BD24-147764CD8FA6}"/>
    <cellStyle name="Comma 7 6 3 4 3" xfId="27843" xr:uid="{2083A926-FFA6-4312-9EFE-62A3FA2AB227}"/>
    <cellStyle name="Comma 7 6 3 4 4" xfId="30040" xr:uid="{DE13C726-DBFD-474F-BCAE-0CA08C10D35F}"/>
    <cellStyle name="Comma 7 6 3 5" xfId="4418" xr:uid="{17EE87F9-E15C-49D6-B698-675BFE4FD544}"/>
    <cellStyle name="Comma 7 6 3 5 2" xfId="9190" xr:uid="{B9F2C594-CA1B-4D92-82B7-FE9881B6570F}"/>
    <cellStyle name="Comma 7 6 3 5 2 2" xfId="19570" xr:uid="{8CB3C512-BA74-4514-9D59-133ED75F9BC5}"/>
    <cellStyle name="Comma 7 6 3 5 3" xfId="12023" xr:uid="{6457D9C0-646F-48BD-A790-54F396FCF5C2}"/>
    <cellStyle name="Comma 7 6 3 5 3 2" xfId="22403" xr:uid="{2AE34014-F6E9-43B0-A9B5-3B3CA21E8788}"/>
    <cellStyle name="Comma 7 6 3 5 4" xfId="28330" xr:uid="{182E924A-FF7E-42F9-9D6F-3A88F64A8DB2}"/>
    <cellStyle name="Comma 7 6 3 5 5" xfId="26327" xr:uid="{F635D046-8281-43E0-AD08-5830F511022A}"/>
    <cellStyle name="Comma 7 6 3 5 6" xfId="16737" xr:uid="{F9D2678E-A41C-40F6-972B-1B0C4D2A6423}"/>
    <cellStyle name="Comma 7 6 3 6" xfId="4919" xr:uid="{33EFC1D5-54EB-4630-90A0-666D9DDD8F4A}"/>
    <cellStyle name="Comma 7 6 3 6 2" xfId="27263" xr:uid="{3DBEA452-D5B7-4573-9611-B22636B32724}"/>
    <cellStyle name="Comma 7 6 3 6 3" xfId="27857" xr:uid="{18868A69-83E5-43C1-B06F-3600A8F65256}"/>
    <cellStyle name="Comma 7 6 3 6 4" xfId="14211" xr:uid="{9E573F68-FCB4-4BA3-B42E-E92861EC75F0}"/>
    <cellStyle name="Comma 7 6 3 7" xfId="6664" xr:uid="{7052F44D-9F59-41BC-8F0E-03F9C92B062F}"/>
    <cellStyle name="Comma 7 6 3 7 2" xfId="17044" xr:uid="{C390A5C7-FDCB-42E1-917F-5CF360D52B23}"/>
    <cellStyle name="Comma 7 6 3 8" xfId="9497" xr:uid="{EA7EDDA5-DEB2-4B2A-B71E-B6740F9D6D4A}"/>
    <cellStyle name="Comma 7 6 3 8 2" xfId="19877" xr:uid="{B355EA29-EC2F-469C-A830-D4B3E64D5A5E}"/>
    <cellStyle name="Comma 7 6 3 9" xfId="23264" xr:uid="{C9357FCF-C68B-423E-8713-5590C530334C}"/>
    <cellStyle name="Comma 7 6 4" xfId="529" xr:uid="{00000000-0005-0000-0000-0000F8020000}"/>
    <cellStyle name="Comma 7 6 4 2" xfId="1794" xr:uid="{00000000-0005-0000-0000-0000F9020000}"/>
    <cellStyle name="Comma 7 6 4 2 2" xfId="23917" xr:uid="{461306F4-CC51-41EF-898A-E9488C332240}"/>
    <cellStyle name="Comma 7 6 4 2 2 2" xfId="30296" xr:uid="{1A5E22F3-5F5E-44F1-A09D-68AA3C8AC8DD}"/>
    <cellStyle name="Comma 7 6 4 2 3" xfId="24294" xr:uid="{089D13FD-4729-4D15-80E1-E28074858099}"/>
    <cellStyle name="Comma 7 6 4 2 4" xfId="30024" xr:uid="{905ED446-9DA0-49E1-9767-843FA936E96C}"/>
    <cellStyle name="Comma 7 6 4 3" xfId="1795" xr:uid="{00000000-0005-0000-0000-0000FA020000}"/>
    <cellStyle name="Comma 7 6 4 3 2" xfId="29787" xr:uid="{950E7DF2-9941-427C-84B1-DDAF364DDDB9}"/>
    <cellStyle name="Comma 7 6 4 4" xfId="1793" xr:uid="{00000000-0005-0000-0000-0000FB020000}"/>
    <cellStyle name="Comma 7 6 4 4 2" xfId="30062" xr:uid="{0E606E7A-3171-46ED-ACEF-8177AA2FA308}"/>
    <cellStyle name="Comma 7 6 4 5" xfId="4920" xr:uid="{2C77362A-6873-444E-B14C-FAA30BCA57CB}"/>
    <cellStyle name="Comma 7 6 4 5 2" xfId="14212" xr:uid="{C6C22BA0-4EEC-40BF-9A2B-ECD4F30E0328}"/>
    <cellStyle name="Comma 7 6 4 6" xfId="6665" xr:uid="{B5D98CB2-C2F7-4A23-B0A0-CAFC738FBDA2}"/>
    <cellStyle name="Comma 7 6 4 6 2" xfId="17045" xr:uid="{CB0A4849-9D34-4D9C-828B-FA1FD7A9C39E}"/>
    <cellStyle name="Comma 7 6 4 7" xfId="9498" xr:uid="{A7F82291-B191-4B31-9A00-3C33733B7CDB}"/>
    <cellStyle name="Comma 7 6 4 7 2" xfId="19878" xr:uid="{895531C1-A89E-4C95-A546-1604F409EE1B}"/>
    <cellStyle name="Comma 7 6 4 8" xfId="23399" xr:uid="{1B88D223-F22D-4CD0-9B37-64E4FFB2E99C}"/>
    <cellStyle name="Comma 7 6 4 9" xfId="13375" xr:uid="{D6DEE421-8356-4C29-8B02-F990C6140E48}"/>
    <cellStyle name="Comma 7 6 5" xfId="1796" xr:uid="{00000000-0005-0000-0000-0000FC020000}"/>
    <cellStyle name="Comma 7 6 5 2" xfId="2573" xr:uid="{00000000-0005-0000-0000-000048020000}"/>
    <cellStyle name="Comma 7 6 5 2 2" xfId="7698" xr:uid="{214766C4-5442-4056-BBCF-25EFC9D14903}"/>
    <cellStyle name="Comma 7 6 5 2 2 2" xfId="18078" xr:uid="{7ABFEC52-D2E5-4E24-985B-B77C47CD40DF}"/>
    <cellStyle name="Comma 7 6 5 2 3" xfId="10531" xr:uid="{E4338EB2-8C0F-49BC-AB64-1C26551D1A54}"/>
    <cellStyle name="Comma 7 6 5 2 3 2" xfId="20911" xr:uid="{EE5AFDC6-F44C-47C9-AC73-44AAC855D5F6}"/>
    <cellStyle name="Comma 7 6 5 2 4" xfId="15245" xr:uid="{091C491E-3118-48B7-8179-E6285792460D}"/>
    <cellStyle name="Comma 7 6 5 3" xfId="2063" xr:uid="{00000000-0005-0000-0000-0000FC020000}"/>
    <cellStyle name="Comma 7 6 5 3 2" xfId="30105" xr:uid="{405AF788-4A6D-4945-833E-65BF5A048767}"/>
    <cellStyle name="Comma 7 6 5 4" xfId="5640" xr:uid="{E6B8AE12-F1B5-499A-8F3E-004979DA9C30}"/>
    <cellStyle name="Comma 7 6 5 4 2" xfId="30447" xr:uid="{F594A216-397C-4FF5-AD64-48A15D047B3F}"/>
    <cellStyle name="Comma 7 6 5 5" xfId="23316" xr:uid="{186F7AEF-2327-4ED2-96ED-D56E6A0454EA}"/>
    <cellStyle name="Comma 7 6 5 6" xfId="12961" xr:uid="{E7DC528C-F130-4FF3-A64C-873FB2F5F56E}"/>
    <cellStyle name="Comma 7 6 6" xfId="1797" xr:uid="{00000000-0005-0000-0000-0000FD020000}"/>
    <cellStyle name="Comma 7 6 6 2" xfId="2287" xr:uid="{00000000-0005-0000-0000-000042020000}"/>
    <cellStyle name="Comma 7 6 6 2 2" xfId="7414" xr:uid="{DC0BA885-AAD0-406B-8C49-1F80B01D3139}"/>
    <cellStyle name="Comma 7 6 6 2 2 2" xfId="17794" xr:uid="{097FC72B-A4B1-41F1-89FA-E497A9C55EB6}"/>
    <cellStyle name="Comma 7 6 6 2 3" xfId="10247" xr:uid="{519F6ED0-7B20-436A-85EB-0745016D725D}"/>
    <cellStyle name="Comma 7 6 6 2 3 2" xfId="20627" xr:uid="{DF8105FF-DC48-4A5A-A798-92E7F20D62BA}"/>
    <cellStyle name="Comma 7 6 6 2 4" xfId="28720" xr:uid="{E1AB2579-9A5D-455E-A557-06AF11B88023}"/>
    <cellStyle name="Comma 7 6 6 2 5" xfId="27130" xr:uid="{9AA29743-1BB0-42A7-8142-D25BC83613CB}"/>
    <cellStyle name="Comma 7 6 6 2 6" xfId="14961" xr:uid="{D4CDCE7D-8BC5-43F6-B455-A2D94633B00D}"/>
    <cellStyle name="Comma 7 6 6 3" xfId="3566" xr:uid="{00000000-0005-0000-0000-0000FD020000}"/>
    <cellStyle name="Comma 7 6 6 3 2" xfId="30169" xr:uid="{BFCC3292-299C-447A-857B-573EC4F6EFD9}"/>
    <cellStyle name="Comma 7 6 6 4" xfId="25443" xr:uid="{42872B52-D575-49A2-AA17-DDB0CA2A7F99}"/>
    <cellStyle name="Comma 7 6 6 4 2" xfId="30519" xr:uid="{B89AC444-E950-4D4C-9A7D-1EB05FA932B5}"/>
    <cellStyle name="Comma 7 6 7" xfId="1783" xr:uid="{00000000-0005-0000-0000-0000FE020000}"/>
    <cellStyle name="Comma 7 6 7 2" xfId="27963" xr:uid="{1D32C5D1-031B-4E2E-A3F9-D5DB05CFD04C}"/>
    <cellStyle name="Comma 7 6 7 2 2" xfId="30236" xr:uid="{D02C99EF-C3B1-42F4-841D-D31FD045CD2A}"/>
    <cellStyle name="Comma 7 6 7 3" xfId="26878" xr:uid="{B323087D-4CC4-4BF7-B52C-5DE2B8509722}"/>
    <cellStyle name="Comma 7 6 7 4" xfId="29981" xr:uid="{B2624C91-6082-4239-A204-BF56447116DA}"/>
    <cellStyle name="Comma 7 6 8" xfId="3874" xr:uid="{A243BA53-A050-43A4-8A3D-C78E4411F594}"/>
    <cellStyle name="Comma 7 6 8 2" xfId="8706" xr:uid="{733A62D6-3F62-4B36-8242-2EBEEB5A247A}"/>
    <cellStyle name="Comma 7 6 8 2 2" xfId="19086" xr:uid="{81A8AB01-5EDE-492D-B7C3-58BE425DAAA2}"/>
    <cellStyle name="Comma 7 6 8 3" xfId="11539" xr:uid="{B218D86A-0B04-4ADA-B846-E6BC15240D73}"/>
    <cellStyle name="Comma 7 6 8 3 2" xfId="21919" xr:uid="{F31D6500-97F9-4A0D-A795-B6A0706BA972}"/>
    <cellStyle name="Comma 7 6 8 4" xfId="26595" xr:uid="{CAC20320-2EAC-4B05-8692-6D3045E06A47}"/>
    <cellStyle name="Comma 7 6 8 5" xfId="27356" xr:uid="{DEE963F9-8BF7-4796-ACC9-4FE8D34367F4}"/>
    <cellStyle name="Comma 7 6 8 6" xfId="16253" xr:uid="{2D16975B-8A13-4782-9163-3507B8A142AF}"/>
    <cellStyle name="Comma 7 6 9" xfId="4916" xr:uid="{E140A11C-3D15-4805-ADFA-F3493BC37417}"/>
    <cellStyle name="Comma 7 6 9 2" xfId="27838" xr:uid="{DBD250EF-0CB8-46C9-8225-D7982C860CC2}"/>
    <cellStyle name="Comma 7 6 9 3" xfId="26539" xr:uid="{E121BB5B-DD5E-428B-81BD-221BD63329A9}"/>
    <cellStyle name="Comma 7 6 9 4" xfId="14208" xr:uid="{4BEFEFAE-F8A4-43F4-B877-5A604371F221}"/>
    <cellStyle name="Comma 7 7" xfId="530" xr:uid="{00000000-0005-0000-0000-0000FF020000}"/>
    <cellStyle name="Comma 7 7 10" xfId="9499" xr:uid="{50FDD31A-098F-48AB-B132-9EE274435206}"/>
    <cellStyle name="Comma 7 7 10 2" xfId="19879" xr:uid="{A8FC17F2-4D77-4ADA-AD8A-911C3D7D6DEA}"/>
    <cellStyle name="Comma 7 7 11" xfId="25361" xr:uid="{118FA5C7-65DC-45FE-B93C-6554CEF9BCA8}"/>
    <cellStyle name="Comma 7 7 12" xfId="12520" xr:uid="{FF46BF83-0098-4B24-9994-7447DE95D4C9}"/>
    <cellStyle name="Comma 7 7 2" xfId="531" xr:uid="{00000000-0005-0000-0000-000000030000}"/>
    <cellStyle name="Comma 7 7 2 2" xfId="1800" xr:uid="{00000000-0005-0000-0000-000001030000}"/>
    <cellStyle name="Comma 7 7 2 2 2" xfId="2878" xr:uid="{00000000-0005-0000-0000-00004B020000}"/>
    <cellStyle name="Comma 7 7 2 2 2 2" xfId="7995" xr:uid="{D28A7FE0-815E-40F6-B577-8EE44F14115F}"/>
    <cellStyle name="Comma 7 7 2 2 2 2 2" xfId="18375" xr:uid="{7E714202-2115-41B1-BE5B-C9B27748611D}"/>
    <cellStyle name="Comma 7 7 2 2 2 3" xfId="10828" xr:uid="{F74D12D5-5D88-48FF-9BD2-A7E636270A5A}"/>
    <cellStyle name="Comma 7 7 2 2 2 3 2" xfId="21208" xr:uid="{95D531FD-307A-4FF7-8544-4302C89D47C7}"/>
    <cellStyle name="Comma 7 7 2 2 2 4" xfId="27272" xr:uid="{2D36A089-837D-4523-ABDD-F77154AE563C}"/>
    <cellStyle name="Comma 7 7 2 2 2 5" xfId="27935" xr:uid="{DCC99E43-CDA7-4EDE-81A0-F6B7B059AB6F}"/>
    <cellStyle name="Comma 7 7 2 2 2 6" xfId="15542" xr:uid="{04D0BAE1-45A9-4878-AF22-2CF922039EBE}"/>
    <cellStyle name="Comma 7 7 2 2 3" xfId="3580" xr:uid="{00000000-0005-0000-0000-000001030000}"/>
    <cellStyle name="Comma 7 7 2 2 3 2" xfId="30086" xr:uid="{E9FAB91B-7745-4DE5-B39C-D885F68BDE63}"/>
    <cellStyle name="Comma 7 7 2 2 4" xfId="5641" xr:uid="{E60974FD-09CC-420F-88A2-C27C1F08E48E}"/>
    <cellStyle name="Comma 7 7 2 2 4 2" xfId="30389" xr:uid="{BD950274-E857-4FE6-9E17-F05BF62A829B}"/>
    <cellStyle name="Comma 7 7 2 2 5" xfId="23738" xr:uid="{DDB5FC3F-E011-4CC3-8D63-61A5361B71E1}"/>
    <cellStyle name="Comma 7 7 2 2 6" xfId="13376" xr:uid="{A6B18B30-EDDD-470D-BDBF-EDBB2C02A202}"/>
    <cellStyle name="Comma 7 7 2 3" xfId="1801" xr:uid="{00000000-0005-0000-0000-000002030000}"/>
    <cellStyle name="Comma 7 7 2 3 2" xfId="25033" xr:uid="{6BDD10C8-D5D2-4B16-8186-157162E3C65A}"/>
    <cellStyle name="Comma 7 7 2 3 2 2" xfId="29859" xr:uid="{190CADBA-3543-40CB-9CBC-0593A84C667C}"/>
    <cellStyle name="Comma 7 7 2 3 3" xfId="23910" xr:uid="{53A23F6E-80A4-406E-B3C9-3A9ED17968CC}"/>
    <cellStyle name="Comma 7 7 2 3 4" xfId="30481" xr:uid="{DAD30521-BEB6-4C0F-8A36-71B0DD33AFB0}"/>
    <cellStyle name="Comma 7 7 2 3 5" xfId="29755" xr:uid="{0D72037E-84B2-4411-9A38-96E2123B7E91}"/>
    <cellStyle name="Comma 7 7 2 4" xfId="1799" xr:uid="{00000000-0005-0000-0000-000003030000}"/>
    <cellStyle name="Comma 7 7 2 4 2" xfId="25969" xr:uid="{928C0968-72D2-40CF-B38F-C587FD022FFD}"/>
    <cellStyle name="Comma 7 7 2 4 2 2" xfId="29931" xr:uid="{9626209A-FCD0-4B85-BEB6-CB58618B5AE6}"/>
    <cellStyle name="Comma 7 7 2 4 3" xfId="26523" xr:uid="{CAC2A65E-3A8D-42D8-84C7-B38C0C2F5982}"/>
    <cellStyle name="Comma 7 7 2 4 4" xfId="30585" xr:uid="{8527C4D7-CFF3-4426-A1DE-C7968FB4CA91}"/>
    <cellStyle name="Comma 7 7 2 4 5" xfId="29723" xr:uid="{FDADAC64-C1CA-4150-AA43-899B3C21AD2C}"/>
    <cellStyle name="Comma 7 7 2 5" xfId="4922" xr:uid="{239690F2-C5AE-4138-BA4B-E931B00A0C76}"/>
    <cellStyle name="Comma 7 7 2 5 2" xfId="27397" xr:uid="{6C46E5A6-E068-48A6-84C8-923B14C8C664}"/>
    <cellStyle name="Comma 7 7 2 5 2 2" xfId="29984" xr:uid="{086E47D8-DF77-4C4A-880A-4EDFD3CEFC82}"/>
    <cellStyle name="Comma 7 7 2 5 3" xfId="26345" xr:uid="{1121C310-24E6-43B1-AD4B-C5140617375D}"/>
    <cellStyle name="Comma 7 7 2 5 4" xfId="14214" xr:uid="{E085C55D-9818-4A07-9CBC-6D2769FAA9C6}"/>
    <cellStyle name="Comma 7 7 2 6" xfId="6667" xr:uid="{DD6743ED-F36E-42EF-BCC8-D247E79BEAB5}"/>
    <cellStyle name="Comma 7 7 2 6 2" xfId="28191" xr:uid="{09C40607-E8D7-4EDF-8CAD-2BBBB59E95FE}"/>
    <cellStyle name="Comma 7 7 2 6 3" xfId="25851" xr:uid="{DF3D8436-B356-46BD-B73F-05EBED1C5A82}"/>
    <cellStyle name="Comma 7 7 2 6 3 2" xfId="30709" xr:uid="{3785AB9F-A93C-472F-8CF6-BDDC2B458B90}"/>
    <cellStyle name="Comma 7 7 2 6 4" xfId="17047" xr:uid="{6560A0A3-9F8F-4350-B9D6-8C08EAF729FA}"/>
    <cellStyle name="Comma 7 7 2 7" xfId="9500" xr:uid="{142BE0BF-F0C7-4044-B001-825484052DB6}"/>
    <cellStyle name="Comma 7 7 2 7 2" xfId="19880" xr:uid="{84AFA158-7969-4E74-A9C1-00288C7EAD7F}"/>
    <cellStyle name="Comma 7 7 2 8" xfId="23570" xr:uid="{B2713F2F-A70B-459F-89CB-BF8108D1CB18}"/>
    <cellStyle name="Comma 7 7 2 9" xfId="12678" xr:uid="{90971410-4F47-4005-9D38-04964861F1BA}"/>
    <cellStyle name="Comma 7 7 3" xfId="532" xr:uid="{00000000-0005-0000-0000-000004030000}"/>
    <cellStyle name="Comma 7 7 3 2" xfId="1803" xr:uid="{00000000-0005-0000-0000-000005030000}"/>
    <cellStyle name="Comma 7 7 3 2 2" xfId="28253" xr:uid="{48865CA2-C9C0-4384-9537-03BE2E1C1AEF}"/>
    <cellStyle name="Comma 7 7 3 2 2 2" xfId="29671" xr:uid="{1D371F7B-BB7E-4BA3-9F0E-D4931984CD7B}"/>
    <cellStyle name="Comma 7 7 3 2 3" xfId="26167" xr:uid="{9DA42141-736D-4760-973F-3846DDC86D5D}"/>
    <cellStyle name="Comma 7 7 3 3" xfId="1804" xr:uid="{00000000-0005-0000-0000-000006030000}"/>
    <cellStyle name="Comma 7 7 3 3 2" xfId="30063" xr:uid="{8B6FFAD3-7D8B-443B-94F6-8E75DCA0FEB8}"/>
    <cellStyle name="Comma 7 7 3 4" xfId="1802" xr:uid="{00000000-0005-0000-0000-000007030000}"/>
    <cellStyle name="Comma 7 7 3 4 2" xfId="30364" xr:uid="{812F1FA8-1909-401B-BE92-10BE3041B996}"/>
    <cellStyle name="Comma 7 7 3 5" xfId="4923" xr:uid="{8A800B21-38D2-4169-9A0A-C7CE2DCA6913}"/>
    <cellStyle name="Comma 7 7 3 5 2" xfId="27775" xr:uid="{CAC9E993-7576-48F2-90FB-B70206948F53}"/>
    <cellStyle name="Comma 7 7 3 5 3" xfId="28095" xr:uid="{DE909C5A-C2CB-4711-96D7-5834683A1C78}"/>
    <cellStyle name="Comma 7 7 3 5 4" xfId="14215" xr:uid="{2C8A9832-13D5-4034-8A46-573276CE087F}"/>
    <cellStyle name="Comma 7 7 3 6" xfId="6668" xr:uid="{3F43B62D-2338-43C2-89F5-E9BB71FB2183}"/>
    <cellStyle name="Comma 7 7 3 6 2" xfId="17048" xr:uid="{180EEF6C-AB5A-45C3-8317-609457B02BCF}"/>
    <cellStyle name="Comma 7 7 3 7" xfId="9501" xr:uid="{49A3CF87-C7C0-484A-9E72-9F82C0BF2CD2}"/>
    <cellStyle name="Comma 7 7 3 7 2" xfId="19881" xr:uid="{E964E7FB-30E3-4BAB-82A9-8AEB293FFDF0}"/>
    <cellStyle name="Comma 7 7 3 8" xfId="23300" xr:uid="{5096E029-B4D1-48BF-ABDA-3CDC57159BE6}"/>
    <cellStyle name="Comma 7 7 3 9" xfId="13096" xr:uid="{B0F81821-31D7-4208-8FE0-992320CEBD42}"/>
    <cellStyle name="Comma 7 7 4" xfId="1805" xr:uid="{00000000-0005-0000-0000-000008030000}"/>
    <cellStyle name="Comma 7 7 4 2" xfId="2288" xr:uid="{00000000-0005-0000-0000-000049020000}"/>
    <cellStyle name="Comma 7 7 4 2 2" xfId="7415" xr:uid="{F6D21630-6982-45E4-8F24-E3C9FFF045AE}"/>
    <cellStyle name="Comma 7 7 4 2 2 2" xfId="17795" xr:uid="{0EEBBDB9-627A-4B75-83EB-DBD19366E7CC}"/>
    <cellStyle name="Comma 7 7 4 2 3" xfId="10248" xr:uid="{AEA8E18D-997D-4E37-AD37-EF558E62476D}"/>
    <cellStyle name="Comma 7 7 4 2 3 2" xfId="20628" xr:uid="{60FC6F78-5B6C-463A-A447-570A1A607AF0}"/>
    <cellStyle name="Comma 7 7 4 2 4" xfId="26754" xr:uid="{019723D5-8315-480B-8F55-49C0F9153DF4}"/>
    <cellStyle name="Comma 7 7 4 2 5" xfId="27795" xr:uid="{042291AB-C325-4A62-BC20-890E333216F9}"/>
    <cellStyle name="Comma 7 7 4 2 6" xfId="14962" xr:uid="{FDB895C9-DDCC-4F51-B6E5-EBE8D4F40A4C}"/>
    <cellStyle name="Comma 7 7 4 3" xfId="2059" xr:uid="{00000000-0005-0000-0000-000008030000}"/>
    <cellStyle name="Comma 7 7 4 3 2" xfId="30106" xr:uid="{394BAD9E-4C0E-470E-83E0-F2C15F66DA48}"/>
    <cellStyle name="Comma 7 7 4 4" xfId="23744" xr:uid="{619F8327-B3EE-4273-8887-4963F8146300}"/>
    <cellStyle name="Comma 7 7 4 4 2" xfId="30448" xr:uid="{C81E0002-2FA3-4410-83BE-C7163DCAB72A}"/>
    <cellStyle name="Comma 7 7 5" xfId="1806" xr:uid="{00000000-0005-0000-0000-000009030000}"/>
    <cellStyle name="Comma 7 7 5 2" xfId="25672" xr:uid="{6DCCAF9D-3C6C-4CF6-ADEB-8BDFB46B6777}"/>
    <cellStyle name="Comma 7 7 5 2 2" xfId="29903" xr:uid="{7C3D3AAA-8E17-4DF6-8100-36D88A9A7977}"/>
    <cellStyle name="Comma 7 7 5 3" xfId="24747" xr:uid="{3D5F4592-4DA7-47D0-9EA5-0B5125233E85}"/>
    <cellStyle name="Comma 7 7 5 4" xfId="30520" xr:uid="{7AD906BA-D8CE-4AE6-94F3-58325AB5929E}"/>
    <cellStyle name="Comma 7 7 5 5" xfId="29773" xr:uid="{040E76D9-66D9-4FE1-8656-DB603D899750}"/>
    <cellStyle name="Comma 7 7 6" xfId="1798" xr:uid="{00000000-0005-0000-0000-00000A030000}"/>
    <cellStyle name="Comma 7 7 6 2" xfId="27388" xr:uid="{FD0E0FBD-37AE-490F-91F8-9CCBB4423EF3}"/>
    <cellStyle name="Comma 7 7 6 2 2" xfId="30237" xr:uid="{BE61A21F-0644-4324-87D2-775420D0E911}"/>
    <cellStyle name="Comma 7 7 6 3" xfId="26161" xr:uid="{9E7C1505-9440-4656-81A5-60B0DA959126}"/>
    <cellStyle name="Comma 7 7 6 4" xfId="29983" xr:uid="{F5C0365F-0E1C-43A5-8C45-FAFACD0C806C}"/>
    <cellStyle name="Comma 7 7 7" xfId="3875" xr:uid="{63484131-385A-48FC-9577-827A00C6C209}"/>
    <cellStyle name="Comma 7 7 7 2" xfId="8707" xr:uid="{6B6E3777-A3F2-4DBF-8000-9E1C7145C7F7}"/>
    <cellStyle name="Comma 7 7 7 2 2" xfId="28966" xr:uid="{93D6C549-71AE-47E8-8365-1C72267D5D1F}"/>
    <cellStyle name="Comma 7 7 7 2 3" xfId="26597" xr:uid="{93FAB1B6-5EB6-47EA-9CAF-F284522760BF}"/>
    <cellStyle name="Comma 7 7 7 2 4" xfId="19087" xr:uid="{475EB69E-4EBA-446C-88F4-239C3C6C2AF1}"/>
    <cellStyle name="Comma 7 7 7 3" xfId="11540" xr:uid="{7DD52BCC-0988-4F95-90B7-2B0A471E3CB8}"/>
    <cellStyle name="Comma 7 7 7 3 2" xfId="21920" xr:uid="{9527B6D8-C9DB-46D7-9789-1171994ADE03}"/>
    <cellStyle name="Comma 7 7 7 4" xfId="28443" xr:uid="{2A04695C-E94E-4851-A7B6-EF551D4FACA7}"/>
    <cellStyle name="Comma 7 7 7 5" xfId="16254" xr:uid="{2AE89966-7AA3-4AD8-AF85-26D5201500BB}"/>
    <cellStyle name="Comma 7 7 8" xfId="4921" xr:uid="{1FF9725F-9C5C-4FEF-A994-E5879C35E46B}"/>
    <cellStyle name="Comma 7 7 8 2" xfId="26560" xr:uid="{F4F273FE-BBED-4FD3-A033-BAEA2F2F1D9B}"/>
    <cellStyle name="Comma 7 7 8 3" xfId="26220" xr:uid="{B5C319B4-74FC-456F-AD1E-DD4723D1A541}"/>
    <cellStyle name="Comma 7 7 8 4" xfId="14213" xr:uid="{9CDD5C5C-5C26-48FC-8E43-907198F456A1}"/>
    <cellStyle name="Comma 7 7 9" xfId="6666" xr:uid="{5D28B574-6165-49B6-9C0A-67D3A5BE9D44}"/>
    <cellStyle name="Comma 7 7 9 2" xfId="28353" xr:uid="{D8B50F86-FF86-4730-90EF-51DF93B57945}"/>
    <cellStyle name="Comma 7 7 9 3" xfId="26617" xr:uid="{5FDBDD01-9F65-4C69-8015-93A6A1BC3AE7}"/>
    <cellStyle name="Comma 7 7 9 4" xfId="17046" xr:uid="{E630287C-B041-4CC3-A8BF-95F48E308AAD}"/>
    <cellStyle name="Comma 7 8" xfId="533" xr:uid="{00000000-0005-0000-0000-00000B030000}"/>
    <cellStyle name="Comma 7 8 10" xfId="9502" xr:uid="{461F5D78-4212-4B9A-BA8E-E1658EDA4F9C}"/>
    <cellStyle name="Comma 7 8 10 2" xfId="19882" xr:uid="{154366DA-16BF-43D6-87AE-1FD7DB703DB4}"/>
    <cellStyle name="Comma 7 8 11" xfId="25560" xr:uid="{7BB37B85-2E11-4E16-93D5-DE9A40AB2DA7}"/>
    <cellStyle name="Comma 7 8 12" xfId="12521" xr:uid="{4E7BAA29-FD58-4EA4-B2C8-58E0CB3D8D7B}"/>
    <cellStyle name="Comma 7 8 2" xfId="534" xr:uid="{00000000-0005-0000-0000-00000C030000}"/>
    <cellStyle name="Comma 7 8 2 2" xfId="1809" xr:uid="{00000000-0005-0000-0000-00000D030000}"/>
    <cellStyle name="Comma 7 8 2 2 2" xfId="2879" xr:uid="{00000000-0005-0000-0000-00004F020000}"/>
    <cellStyle name="Comma 7 8 2 2 2 2" xfId="7996" xr:uid="{CD53C1D8-009B-4791-9A8C-45599DAAB69E}"/>
    <cellStyle name="Comma 7 8 2 2 2 2 2" xfId="18376" xr:uid="{6DA734DC-28A7-4035-BE93-E085BC2161E4}"/>
    <cellStyle name="Comma 7 8 2 2 2 3" xfId="10829" xr:uid="{74B8DE86-C376-4E09-838B-42B6BE90821A}"/>
    <cellStyle name="Comma 7 8 2 2 2 3 2" xfId="21209" xr:uid="{B7791B1F-4DA4-4DDB-B1B7-190DD76C2FB9}"/>
    <cellStyle name="Comma 7 8 2 2 2 4" xfId="26069" xr:uid="{F150A47D-E926-48B2-BF75-9DE9AEF8B5B0}"/>
    <cellStyle name="Comma 7 8 2 2 2 5" xfId="27837" xr:uid="{EDF632D7-0D70-4B26-81C2-8C3E2A45B60A}"/>
    <cellStyle name="Comma 7 8 2 2 2 6" xfId="15543" xr:uid="{50E5CF0A-F2B3-4711-B935-FCE736EECF79}"/>
    <cellStyle name="Comma 7 8 2 2 3" xfId="3672" xr:uid="{00000000-0005-0000-0000-00000D030000}"/>
    <cellStyle name="Comma 7 8 2 2 3 2" xfId="30087" xr:uid="{909C66EC-5FFB-4670-8C21-5C13AFF789EE}"/>
    <cellStyle name="Comma 7 8 2 2 4" xfId="5642" xr:uid="{9E374B7E-CF60-47C4-B1DD-BDBD665548B0}"/>
    <cellStyle name="Comma 7 8 2 2 4 2" xfId="30390" xr:uid="{479139DA-A849-4B3A-87CB-C6ADC959A219}"/>
    <cellStyle name="Comma 7 8 2 2 5" xfId="24713" xr:uid="{9A5A09C9-3914-4354-B649-7132336C7DB3}"/>
    <cellStyle name="Comma 7 8 2 2 6" xfId="13377" xr:uid="{6C81D992-67E6-4CFD-8DBA-855A2E3A856C}"/>
    <cellStyle name="Comma 7 8 2 3" xfId="1810" xr:uid="{00000000-0005-0000-0000-00000E030000}"/>
    <cellStyle name="Comma 7 8 2 3 2" xfId="23652" xr:uid="{EB25C3F5-EA75-465E-A70E-F7B9887AEA1A}"/>
    <cellStyle name="Comma 7 8 2 3 2 2" xfId="29860" xr:uid="{89595E1A-6E78-4BF6-9629-AD0CD63E4869}"/>
    <cellStyle name="Comma 7 8 2 3 3" xfId="23270" xr:uid="{E168AB56-CAC1-4EAC-9C84-294233F63871}"/>
    <cellStyle name="Comma 7 8 2 3 4" xfId="30482" xr:uid="{B3B1281B-01D8-4E3E-AA3C-4D3AE3CA609B}"/>
    <cellStyle name="Comma 7 8 2 3 5" xfId="29718" xr:uid="{8B9CD7AD-D774-4AFE-B82E-9A4A746ADD12}"/>
    <cellStyle name="Comma 7 8 2 4" xfId="1808" xr:uid="{00000000-0005-0000-0000-00000F030000}"/>
    <cellStyle name="Comma 7 8 2 4 2" xfId="27624" xr:uid="{E4811423-FA33-410A-9876-3E8BEC2D3065}"/>
    <cellStyle name="Comma 7 8 2 4 2 2" xfId="29932" xr:uid="{C22D0513-01E7-4CD2-86D4-428E11A6CECA}"/>
    <cellStyle name="Comma 7 8 2 4 3" xfId="25917" xr:uid="{EABA93C2-25D5-4451-B9DE-9B5893A33E3F}"/>
    <cellStyle name="Comma 7 8 2 4 4" xfId="30586" xr:uid="{B3DCDCC2-8D24-4D3A-AA2E-3D1FDA26F375}"/>
    <cellStyle name="Comma 7 8 2 4 5" xfId="29778" xr:uid="{F05089DA-99D9-481D-8693-5E6EC8ED8B57}"/>
    <cellStyle name="Comma 7 8 2 5" xfId="4925" xr:uid="{D1A1F25A-7A3B-40B1-BEC3-4D4C61326147}"/>
    <cellStyle name="Comma 7 8 2 5 2" xfId="28323" xr:uid="{F6F8DF29-AD51-47CE-B45E-C2AD691D54BC}"/>
    <cellStyle name="Comma 7 8 2 5 2 2" xfId="29986" xr:uid="{3CE0A5F5-0FFA-4B75-AA10-A2766172B25A}"/>
    <cellStyle name="Comma 7 8 2 5 3" xfId="26730" xr:uid="{1E6E70BF-F1F1-448D-BA1B-C77D9E174168}"/>
    <cellStyle name="Comma 7 8 2 5 4" xfId="14217" xr:uid="{75CA7517-6A37-4BB9-AEC6-F672F6B531A4}"/>
    <cellStyle name="Comma 7 8 2 6" xfId="6670" xr:uid="{0981CEDA-989B-4C0C-B248-B66D8E8C1C01}"/>
    <cellStyle name="Comma 7 8 2 6 2" xfId="27155" xr:uid="{136CBA79-2251-444D-AC2F-3F6842052E5E}"/>
    <cellStyle name="Comma 7 8 2 6 3" xfId="27897" xr:uid="{16623E2B-23F0-471E-B292-20EDEFF4FA11}"/>
    <cellStyle name="Comma 7 8 2 6 3 2" xfId="30710" xr:uid="{783DEF0A-02C8-441C-AE16-1128806EF5C9}"/>
    <cellStyle name="Comma 7 8 2 6 4" xfId="17050" xr:uid="{AC21FBA9-A74E-4B2A-A66B-7E2177BDFDB9}"/>
    <cellStyle name="Comma 7 8 2 7" xfId="9503" xr:uid="{0C4FF75F-2AC2-4B80-9E5D-01B19B29264B}"/>
    <cellStyle name="Comma 7 8 2 7 2" xfId="19883" xr:uid="{66501C24-DCC0-4357-B57E-5A839A2717AC}"/>
    <cellStyle name="Comma 7 8 2 8" xfId="23029" xr:uid="{AAF3A4F9-B1B1-46C1-9D32-F0C7BCE6CA49}"/>
    <cellStyle name="Comma 7 8 2 9" xfId="12679" xr:uid="{6EF18D4A-69CC-4574-9887-CDB47C37F0AE}"/>
    <cellStyle name="Comma 7 8 3" xfId="535" xr:uid="{00000000-0005-0000-0000-000010030000}"/>
    <cellStyle name="Comma 7 8 3 2" xfId="1812" xr:uid="{00000000-0005-0000-0000-000011030000}"/>
    <cellStyle name="Comma 7 8 3 2 2" xfId="27696" xr:uid="{EE97ABFA-D157-4430-A325-5B0F3B9991C9}"/>
    <cellStyle name="Comma 7 8 3 2 2 2" xfId="29751" xr:uid="{47D32C09-6EFB-4F68-B5EE-FC0A7320724C}"/>
    <cellStyle name="Comma 7 8 3 2 3" xfId="26347" xr:uid="{96658A2E-F3EC-4CC7-885E-17AFB1B42EAE}"/>
    <cellStyle name="Comma 7 8 3 3" xfId="1813" xr:uid="{00000000-0005-0000-0000-000012030000}"/>
    <cellStyle name="Comma 7 8 3 3 2" xfId="30064" xr:uid="{68742110-8003-42AC-BBC8-810E4B585B33}"/>
    <cellStyle name="Comma 7 8 3 4" xfId="1811" xr:uid="{00000000-0005-0000-0000-000013030000}"/>
    <cellStyle name="Comma 7 8 3 4 2" xfId="30365" xr:uid="{1BB5BB66-252C-4BDA-BDAE-5F7017E6B0FE}"/>
    <cellStyle name="Comma 7 8 3 5" xfId="4926" xr:uid="{F0790063-54C7-4AD8-9AE8-CBE6BFE99F5F}"/>
    <cellStyle name="Comma 7 8 3 5 2" xfId="26396" xr:uid="{7FBAB89E-9A2E-4B30-8DE2-1B5B9E1B3B7B}"/>
    <cellStyle name="Comma 7 8 3 5 3" xfId="26961" xr:uid="{905EB402-36F7-4334-AF2B-CBB7E0930E43}"/>
    <cellStyle name="Comma 7 8 3 5 4" xfId="14218" xr:uid="{CAF63625-BA47-433D-A2E5-6C304B8F5ADB}"/>
    <cellStyle name="Comma 7 8 3 6" xfId="6671" xr:uid="{D64777B9-39B4-4016-BBF2-2AE4971EE1AF}"/>
    <cellStyle name="Comma 7 8 3 6 2" xfId="17051" xr:uid="{8C8B1E7D-DE6D-448A-8E09-94964748D0F6}"/>
    <cellStyle name="Comma 7 8 3 7" xfId="9504" xr:uid="{84A33AD1-D033-409D-82FF-8B36F66D65E4}"/>
    <cellStyle name="Comma 7 8 3 7 2" xfId="19884" xr:uid="{F7BC0EF3-BD9E-4B91-929E-4003ECF93E0D}"/>
    <cellStyle name="Comma 7 8 3 8" xfId="25291" xr:uid="{B1225EDF-EBF5-4B5F-8E6C-B3A8C984E342}"/>
    <cellStyle name="Comma 7 8 3 9" xfId="13097" xr:uid="{526BFBFF-DA58-4A8D-AD4E-0152291E5DBC}"/>
    <cellStyle name="Comma 7 8 4" xfId="1814" xr:uid="{00000000-0005-0000-0000-000014030000}"/>
    <cellStyle name="Comma 7 8 4 2" xfId="2289" xr:uid="{00000000-0005-0000-0000-00004D020000}"/>
    <cellStyle name="Comma 7 8 4 2 2" xfId="7416" xr:uid="{867495F1-1ECD-434E-A732-4E7A6A51DB48}"/>
    <cellStyle name="Comma 7 8 4 2 2 2" xfId="17796" xr:uid="{E78E2C73-FC82-4138-9644-A92D78C309B8}"/>
    <cellStyle name="Comma 7 8 4 2 3" xfId="10249" xr:uid="{BD492B3B-C3AD-4B81-BCB2-620D31CFDE8F}"/>
    <cellStyle name="Comma 7 8 4 2 3 2" xfId="20629" xr:uid="{396078FF-E548-4743-A8C6-FC817F04D910}"/>
    <cellStyle name="Comma 7 8 4 2 4" xfId="28332" xr:uid="{61DC55D1-8713-427D-9465-1702ADABBB63}"/>
    <cellStyle name="Comma 7 8 4 2 5" xfId="27441" xr:uid="{8D7AEC3E-A32C-440C-BB97-EF9226F8256A}"/>
    <cellStyle name="Comma 7 8 4 2 6" xfId="14963" xr:uid="{8B56D362-DC89-4A56-87CD-D5060D7A5E83}"/>
    <cellStyle name="Comma 7 8 4 3" xfId="3599" xr:uid="{00000000-0005-0000-0000-000014030000}"/>
    <cellStyle name="Comma 7 8 4 3 2" xfId="30107" xr:uid="{B4CE76B6-DAA1-4365-A357-733A803909C1}"/>
    <cellStyle name="Comma 7 8 4 4" xfId="24318" xr:uid="{26CBA72F-2AA8-4AE1-958A-63A49970CB47}"/>
    <cellStyle name="Comma 7 8 4 4 2" xfId="30449" xr:uid="{150949BA-F7C1-4698-8BF9-93090789416E}"/>
    <cellStyle name="Comma 7 8 5" xfId="1815" xr:uid="{00000000-0005-0000-0000-000015030000}"/>
    <cellStyle name="Comma 7 8 5 2" xfId="23786" xr:uid="{79A225CD-EE67-4FD6-AD4B-AA6D75F99659}"/>
    <cellStyle name="Comma 7 8 5 2 2" xfId="29904" xr:uid="{7B0EFACD-8EAD-4144-B706-05CC9941C0EE}"/>
    <cellStyle name="Comma 7 8 5 3" xfId="24113" xr:uid="{BE8CBB68-BEC0-4594-95E1-007E844A55A2}"/>
    <cellStyle name="Comma 7 8 5 4" xfId="30521" xr:uid="{5F3A7DF2-38A5-4183-A37F-6BF3225E1336}"/>
    <cellStyle name="Comma 7 8 5 5" xfId="29700" xr:uid="{5A0B6306-0F0B-43A6-90C6-A74CD38626CB}"/>
    <cellStyle name="Comma 7 8 6" xfId="1807" xr:uid="{00000000-0005-0000-0000-000016030000}"/>
    <cellStyle name="Comma 7 8 6 2" xfId="28223" xr:uid="{1CA307A6-ECBB-4DCD-88E9-ED86F26BE09F}"/>
    <cellStyle name="Comma 7 8 6 2 2" xfId="30238" xr:uid="{D6252012-15CF-4956-B3D2-74138280692A}"/>
    <cellStyle name="Comma 7 8 6 3" xfId="27679" xr:uid="{47269680-C7F1-443B-94CC-DB37DC94BFF9}"/>
    <cellStyle name="Comma 7 8 6 4" xfId="29985" xr:uid="{6852716B-D0F0-4BCC-B0AE-7327E2934116}"/>
    <cellStyle name="Comma 7 8 7" xfId="3876" xr:uid="{4E1B37EE-892E-4B22-8A57-FAF1D1C6572E}"/>
    <cellStyle name="Comma 7 8 7 2" xfId="8708" xr:uid="{598D5516-2486-45CE-A842-83BBF8BFD9B2}"/>
    <cellStyle name="Comma 7 8 7 2 2" xfId="28967" xr:uid="{38C60BAA-5968-415B-9F0C-9B0A90809A03}"/>
    <cellStyle name="Comma 7 8 7 2 3" xfId="27200" xr:uid="{3212C4AC-5E4E-45E3-864E-6A8AA009C1C6}"/>
    <cellStyle name="Comma 7 8 7 2 4" xfId="19088" xr:uid="{AD156519-36F4-42C5-978F-CDB42CF7CE6E}"/>
    <cellStyle name="Comma 7 8 7 3" xfId="11541" xr:uid="{34AD759C-EECD-4EB7-A985-94EC25B6BD7C}"/>
    <cellStyle name="Comma 7 8 7 3 2" xfId="21921" xr:uid="{30F5E2A8-98E4-412F-98EA-9E6712A6434F}"/>
    <cellStyle name="Comma 7 8 7 4" xfId="28446" xr:uid="{6D0CA708-58AB-4A0A-8CA3-30F241B6BC9D}"/>
    <cellStyle name="Comma 7 8 7 5" xfId="16255" xr:uid="{F58FAA39-5F5F-40F3-8809-91C495ED2C5F}"/>
    <cellStyle name="Comma 7 8 8" xfId="4924" xr:uid="{FC361A54-B3B9-4526-A514-2FFB01AC2745}"/>
    <cellStyle name="Comma 7 8 8 2" xfId="27984" xr:uid="{CF2A26E8-C53A-49CB-ABB2-819806C7B2B5}"/>
    <cellStyle name="Comma 7 8 8 3" xfId="27485" xr:uid="{E208AC5E-DC00-4A5C-A8D5-24888A084401}"/>
    <cellStyle name="Comma 7 8 8 4" xfId="14216" xr:uid="{FF28E469-B7B7-4857-9622-C399099D8EE9}"/>
    <cellStyle name="Comma 7 8 9" xfId="6669" xr:uid="{B324349D-72A9-450E-9A21-C6036A1E6171}"/>
    <cellStyle name="Comma 7 8 9 2" xfId="28314" xr:uid="{D52010AA-3F8B-4FC2-9CB4-D35A2BD78896}"/>
    <cellStyle name="Comma 7 8 9 3" xfId="27606" xr:uid="{9327B767-1AD5-4B81-9BD1-7CF1E8F56090}"/>
    <cellStyle name="Comma 7 8 9 4" xfId="17049" xr:uid="{3B500CB7-EABF-4A64-AA2B-FAB952617488}"/>
    <cellStyle name="Comma 7 9" xfId="536" xr:uid="{00000000-0005-0000-0000-000017030000}"/>
    <cellStyle name="Comma 7 9 10" xfId="12513" xr:uid="{CA8F814C-E18C-478F-8492-0E3678FE41EE}"/>
    <cellStyle name="Comma 7 9 2" xfId="1817" xr:uid="{00000000-0005-0000-0000-000018030000}"/>
    <cellStyle name="Comma 7 9 2 2" xfId="3074" xr:uid="{00000000-0005-0000-0000-000052020000}"/>
    <cellStyle name="Comma 7 9 2 2 2" xfId="8154" xr:uid="{7EB1558F-4BBD-401A-9BB1-02827B491119}"/>
    <cellStyle name="Comma 7 9 2 2 2 2" xfId="18534" xr:uid="{A51FDFC9-0670-48B5-99DC-EA7F265E4998}"/>
    <cellStyle name="Comma 7 9 2 2 3" xfId="10987" xr:uid="{5A4792B8-16DA-4A10-B4BA-D0A16135D4E9}"/>
    <cellStyle name="Comma 7 9 2 2 3 2" xfId="21367" xr:uid="{407AA900-0444-45C7-87FB-519CD37F3547}"/>
    <cellStyle name="Comma 7 9 2 2 4" xfId="24622" xr:uid="{263D3238-FB6A-4166-9E0F-9A170E5F5491}"/>
    <cellStyle name="Comma 7 9 2 2 5" xfId="26913" xr:uid="{E0B26200-B909-460C-ADFE-F623EC31F0AD}"/>
    <cellStyle name="Comma 7 9 2 2 6" xfId="15701" xr:uid="{4D0F8B44-F253-416E-9952-95114F5388B3}"/>
    <cellStyle name="Comma 7 9 2 3" xfId="3539" xr:uid="{00000000-0005-0000-0000-000018030000}"/>
    <cellStyle name="Comma 7 9 2 3 2" xfId="26006" xr:uid="{A8C73E7C-8AB8-418B-A3AD-AE2E8770E7B7}"/>
    <cellStyle name="Comma 7 9 2 3 2 2" xfId="29803" xr:uid="{61C4C762-C237-4E41-8A45-567C15C76D46}"/>
    <cellStyle name="Comma 7 9 2 3 3" xfId="26207" xr:uid="{F5144315-CC66-497E-B687-52E38566539C}"/>
    <cellStyle name="Comma 7 9 2 4" xfId="5643" xr:uid="{26AB8BAA-7C90-4332-A8E8-C3C028A6FB41}"/>
    <cellStyle name="Comma 7 9 2 4 2" xfId="30085" xr:uid="{F2A100DB-F40E-47B9-BD64-27A89A107F7B}"/>
    <cellStyle name="Comma 7 9 2 5" xfId="23296" xr:uid="{862CD927-F753-4FFB-9BA2-947802506C9D}"/>
    <cellStyle name="Comma 7 9 2 5 2" xfId="26384" xr:uid="{1DBF96B7-8112-4682-8CB5-A2B389146D52}"/>
    <cellStyle name="Comma 7 9 2 6" xfId="27145" xr:uid="{0D7A1526-65E0-4B55-9E48-AE83E29A2405}"/>
    <cellStyle name="Comma 7 9 2 7" xfId="13587" xr:uid="{3F6E615D-8E56-45E3-9BAA-34C81C32ED6C}"/>
    <cellStyle name="Comma 7 9 3" xfId="1818" xr:uid="{00000000-0005-0000-0000-000019030000}"/>
    <cellStyle name="Comma 7 9 3 2" xfId="2676" xr:uid="{00000000-0005-0000-0000-000053020000}"/>
    <cellStyle name="Comma 7 9 3 2 2" xfId="7800" xr:uid="{EE094E1D-91DD-4AF9-9924-669D955F4440}"/>
    <cellStyle name="Comma 7 9 3 2 2 2" xfId="18180" xr:uid="{168E5124-944A-4736-8237-BA275D072811}"/>
    <cellStyle name="Comma 7 9 3 2 3" xfId="10633" xr:uid="{8DE6D478-554F-48FC-97D3-FC2A598600F1}"/>
    <cellStyle name="Comma 7 9 3 2 3 2" xfId="21013" xr:uid="{BFCF240F-9FCF-4BBE-8720-4984D125AD11}"/>
    <cellStyle name="Comma 7 9 3 2 4" xfId="15347" xr:uid="{068C15C1-0248-4BB5-91C4-591913BAB33F}"/>
    <cellStyle name="Comma 7 9 3 3" xfId="3679" xr:uid="{00000000-0005-0000-0000-000019030000}"/>
    <cellStyle name="Comma 7 9 3 3 2" xfId="30136" xr:uid="{DAC70103-5E24-4CD6-AE4D-EF7D2C6AC160}"/>
    <cellStyle name="Comma 7 9 3 4" xfId="5644" xr:uid="{E6BE7499-77E4-463B-BA19-0EA0E6022915}"/>
    <cellStyle name="Comma 7 9 3 4 2" xfId="30475" xr:uid="{1BAD0FFD-AF67-46BD-9C08-9931E396119F}"/>
    <cellStyle name="Comma 7 9 3 5" xfId="25276" xr:uid="{7D0B094D-0CA5-4323-8D1E-92D1204A0A44}"/>
    <cellStyle name="Comma 7 9 3 6" xfId="13084" xr:uid="{2CB02459-2C4D-42D2-BC60-59F6E613B83F}"/>
    <cellStyle name="Comma 7 9 4" xfId="1816" xr:uid="{00000000-0005-0000-0000-00001A030000}"/>
    <cellStyle name="Comma 7 9 4 2" xfId="2281" xr:uid="{00000000-0005-0000-0000-000051020000}"/>
    <cellStyle name="Comma 7 9 4 2 2" xfId="7408" xr:uid="{ECA70E22-B669-47E5-B237-A70B09FDC2A2}"/>
    <cellStyle name="Comma 7 9 4 2 2 2" xfId="17788" xr:uid="{1D6C3169-C893-45C9-B5B3-340E7E6A62A5}"/>
    <cellStyle name="Comma 7 9 4 2 3" xfId="10241" xr:uid="{11770743-9A61-4906-A0ED-1A5ACCCDCA38}"/>
    <cellStyle name="Comma 7 9 4 2 3 2" xfId="20621" xr:uid="{7675E9C0-FB1D-44AD-B035-05F10DA62EA6}"/>
    <cellStyle name="Comma 7 9 4 2 4" xfId="27526" xr:uid="{95FCDC5A-9251-463A-A380-C6D5AD704ABD}"/>
    <cellStyle name="Comma 7 9 4 2 5" xfId="27305" xr:uid="{324D5791-4AA4-4432-A12B-D8FC4773221C}"/>
    <cellStyle name="Comma 7 9 4 2 6" xfId="14955" xr:uid="{F01CC1D9-EF50-417F-A807-BBAB256F29E1}"/>
    <cellStyle name="Comma 7 9 4 3" xfId="3554" xr:uid="{00000000-0005-0000-0000-00001A030000}"/>
    <cellStyle name="Comma 7 9 4 3 2" xfId="30197" xr:uid="{AE9DA63B-265A-4110-AE80-E75344302F4D}"/>
    <cellStyle name="Comma 7 9 4 4" xfId="24762" xr:uid="{B4293C2A-2C20-4FDE-A651-4B5858E9672E}"/>
    <cellStyle name="Comma 7 9 4 4 2" xfId="30580" xr:uid="{BCF7060A-1F74-44B4-BE70-96B116CE61FD}"/>
    <cellStyle name="Comma 7 9 5" xfId="3820" xr:uid="{3D055A9D-8184-4A6C-9135-4B8A07BEEB18}"/>
    <cellStyle name="Comma 7 9 5 2" xfId="8653" xr:uid="{7EB7CAAC-EB41-4A44-8227-8CF10A5544D8}"/>
    <cellStyle name="Comma 7 9 5 2 2" xfId="28960" xr:uid="{5CC8E82A-50BA-42E3-9621-4DBC89A6A158}"/>
    <cellStyle name="Comma 7 9 5 2 3" xfId="27856" xr:uid="{A5444BD1-DD3C-40FE-AECF-8FCD53DAD86E}"/>
    <cellStyle name="Comma 7 9 5 2 4" xfId="19033" xr:uid="{71F6C542-F48E-4D3B-A0C7-337AF60739F8}"/>
    <cellStyle name="Comma 7 9 5 3" xfId="11486" xr:uid="{3BD67E6A-DC58-4E0D-997C-E91619E70115}"/>
    <cellStyle name="Comma 7 9 5 3 2" xfId="21866" xr:uid="{CD9BBADF-ACEF-46B7-BFF9-58818B2D56C8}"/>
    <cellStyle name="Comma 7 9 5 4" xfId="25785" xr:uid="{D48D0E3E-A5CA-4B91-83E5-67DD914A8009}"/>
    <cellStyle name="Comma 7 9 5 5" xfId="16200" xr:uid="{F94D35A4-ECAF-49AC-BD3F-70DB8DD4B1B3}"/>
    <cellStyle name="Comma 7 9 6" xfId="4927" xr:uid="{D22195E0-32A3-453D-9C14-4748AEF3F690}"/>
    <cellStyle name="Comma 7 9 6 2" xfId="26466" xr:uid="{B179DB98-8514-4BDE-8987-D81C391102FC}"/>
    <cellStyle name="Comma 7 9 6 3" xfId="26827" xr:uid="{D9F1185C-06C9-42E9-B7C4-CEDEA200AE0E}"/>
    <cellStyle name="Comma 7 9 6 3 2" xfId="30655" xr:uid="{C61D9D21-7EDE-4863-9E07-6C99FF2A77C6}"/>
    <cellStyle name="Comma 7 9 6 4" xfId="14219" xr:uid="{1D9C0D45-4A3E-4F7A-9E4C-C409913351A3}"/>
    <cellStyle name="Comma 7 9 7" xfId="6672" xr:uid="{A29537A1-F65B-4843-AF0C-05B168F8C09C}"/>
    <cellStyle name="Comma 7 9 7 2" xfId="27161" xr:uid="{55520C70-263D-4AB1-9319-FCA27D1942CD}"/>
    <cellStyle name="Comma 7 9 7 3" xfId="28105" xr:uid="{3DEC0D27-D036-43CE-80BF-8AA8FB19AFF0}"/>
    <cellStyle name="Comma 7 9 7 4" xfId="17052" xr:uid="{34C2D03F-AC0D-41F1-9799-D9E2EBFC00DD}"/>
    <cellStyle name="Comma 7 9 8" xfId="9505" xr:uid="{8F55B808-19E6-440B-84BB-7FBA72F377C5}"/>
    <cellStyle name="Comma 7 9 8 2" xfId="19885" xr:uid="{1D27389B-E2DF-4746-8101-736D586E99AF}"/>
    <cellStyle name="Comma 7 9 9" xfId="25140" xr:uid="{80C7AA19-964D-41F1-ACB4-443F7B2D85F5}"/>
    <cellStyle name="Comma 8" xfId="537" xr:uid="{00000000-0005-0000-0000-00001B030000}"/>
    <cellStyle name="Comma 9" xfId="538" xr:uid="{00000000-0005-0000-0000-00001C030000}"/>
    <cellStyle name="Comma 9 10" xfId="4928" xr:uid="{D81A1123-0425-468A-A1BB-1DD38680E9D1}"/>
    <cellStyle name="Comma 9 10 2" xfId="26367" xr:uid="{2F7F6436-B119-4AAD-9BB4-535464C9DAF3}"/>
    <cellStyle name="Comma 9 10 3" xfId="26330" xr:uid="{11FB18E3-EF94-4ED6-AAB4-FB17CD4BE561}"/>
    <cellStyle name="Comma 9 10 4" xfId="14220" xr:uid="{C2272325-F265-4852-9258-DAE0CE633BD7}"/>
    <cellStyle name="Comma 9 11" xfId="6673" xr:uid="{95397FF4-3D6A-4510-9989-BDDD317F97F2}"/>
    <cellStyle name="Comma 9 11 2" xfId="17053" xr:uid="{6A8550DD-A343-468B-A01C-05090AE9B719}"/>
    <cellStyle name="Comma 9 12" xfId="9506" xr:uid="{37183DA1-35CA-425D-87D1-F35C8D8A3F5E}"/>
    <cellStyle name="Comma 9 12 2" xfId="19886" xr:uid="{AA8AB3EF-C4D8-40C4-888D-AD22826DDFE1}"/>
    <cellStyle name="Comma 9 13" xfId="24007" xr:uid="{90CABFF4-ACC6-474D-BA61-1A43940CC5A2}"/>
    <cellStyle name="Comma 9 14" xfId="12406" xr:uid="{E2A8DE87-DBCD-4E16-9E4C-5722B7CB5393}"/>
    <cellStyle name="Comma 9 2" xfId="539" xr:uid="{00000000-0005-0000-0000-00001D030000}"/>
    <cellStyle name="Comma 9 2 10" xfId="6674" xr:uid="{800B4AE7-61CF-406F-BD50-717A47770535}"/>
    <cellStyle name="Comma 9 2 10 2" xfId="17054" xr:uid="{EA88CEC4-AC8C-4B27-B2D7-D33FADE80FF7}"/>
    <cellStyle name="Comma 9 2 11" xfId="9507" xr:uid="{F115FB81-E8DA-404A-892D-70F80F1B972C}"/>
    <cellStyle name="Comma 9 2 11 2" xfId="19887" xr:uid="{D7387538-8BF7-4F07-8FF0-AA9EC494776E}"/>
    <cellStyle name="Comma 9 2 12" xfId="24299" xr:uid="{E705879D-9FBA-4AEB-9FC8-2CC39AD5F36B}"/>
    <cellStyle name="Comma 9 2 13" xfId="12466" xr:uid="{8235A749-3C40-4A9B-8E8C-82B30F51A632}"/>
    <cellStyle name="Comma 9 2 2" xfId="540" xr:uid="{00000000-0005-0000-0000-00001E030000}"/>
    <cellStyle name="Comma 9 2 2 10" xfId="9508" xr:uid="{60CE9C71-F376-4025-821D-C30B7ED78186}"/>
    <cellStyle name="Comma 9 2 2 10 2" xfId="19888" xr:uid="{18234C9B-D2F9-4D6B-A13E-6C37086F7DF7}"/>
    <cellStyle name="Comma 9 2 2 11" xfId="25519" xr:uid="{6F546E97-01B6-477F-8094-EFA3F2FE1901}"/>
    <cellStyle name="Comma 9 2 2 12" xfId="12523" xr:uid="{DA9AA6E8-DB69-4F4C-A37A-A4469B73781E}"/>
    <cellStyle name="Comma 9 2 2 2" xfId="1822" xr:uid="{00000000-0005-0000-0000-00001F030000}"/>
    <cellStyle name="Comma 9 2 2 2 2" xfId="3076" xr:uid="{00000000-0005-0000-0000-000059020000}"/>
    <cellStyle name="Comma 9 2 2 2 2 2" xfId="6169" xr:uid="{1695681D-ACBD-434B-92F0-1F63368C6589}"/>
    <cellStyle name="Comma 9 2 2 2 2 2 2" xfId="25923" xr:uid="{1B1CBA3A-40E4-44FA-A7A4-CC0EB921C6F7}"/>
    <cellStyle name="Comma 9 2 2 2 2 2 3" xfId="26613" xr:uid="{DC9B371E-C0E3-4F73-83D3-29213CEBA90B}"/>
    <cellStyle name="Comma 9 2 2 2 2 2 4" xfId="15703" xr:uid="{447748E3-8314-4430-86E0-135F2EC6ED2D}"/>
    <cellStyle name="Comma 9 2 2 2 2 3" xfId="8156" xr:uid="{8046AE2B-9CD5-45A1-9232-B44A496B2A17}"/>
    <cellStyle name="Comma 9 2 2 2 2 3 2" xfId="18536" xr:uid="{F9F494A4-A347-41BB-86CB-E0B86E0FE416}"/>
    <cellStyle name="Comma 9 2 2 2 2 4" xfId="10989" xr:uid="{9B606771-FA20-4716-AFBD-6E37C66FE5D7}"/>
    <cellStyle name="Comma 9 2 2 2 2 4 2" xfId="21369" xr:uid="{90959D85-FFB6-4460-9FE8-52FDA187F7E2}"/>
    <cellStyle name="Comma 9 2 2 2 2 5" xfId="23820" xr:uid="{AD747A12-C7F9-41AF-8F2D-7D7060459104}"/>
    <cellStyle name="Comma 9 2 2 2 2 6" xfId="27342" xr:uid="{1A746590-4CA1-467D-848F-B895E1094CB2}"/>
    <cellStyle name="Comma 9 2 2 2 2 7" xfId="13589" xr:uid="{E7ABC69F-1CB5-411E-9E74-C2F9145DA71A}"/>
    <cellStyle name="Comma 9 2 2 2 3" xfId="2687" xr:uid="{00000000-0005-0000-0000-000058020000}"/>
    <cellStyle name="Comma 9 2 2 2 3 2" xfId="7811" xr:uid="{2128038F-D34A-47F5-90D6-38092A039B87}"/>
    <cellStyle name="Comma 9 2 2 2 3 2 2" xfId="27021" xr:uid="{A3DF1628-9D36-42BB-8086-112FB6BCA36B}"/>
    <cellStyle name="Comma 9 2 2 2 3 2 3" xfId="27860" xr:uid="{A5C60455-71A0-4AFE-8333-7E52BDF26654}"/>
    <cellStyle name="Comma 9 2 2 2 3 2 4" xfId="18191" xr:uid="{D77EA3DE-65CE-420F-B482-3F239AB4629E}"/>
    <cellStyle name="Comma 9 2 2 2 3 3" xfId="10644" xr:uid="{21EEC8A8-4538-49B0-9259-9092C61F7629}"/>
    <cellStyle name="Comma 9 2 2 2 3 3 2" xfId="21024" xr:uid="{6EF02B8B-FD2A-423A-9119-A24F9D043202}"/>
    <cellStyle name="Comma 9 2 2 2 3 4" xfId="25012" xr:uid="{E65E7057-6A9B-4E73-B147-10E224C434CB}"/>
    <cellStyle name="Comma 9 2 2 2 3 5" xfId="15358" xr:uid="{65EDEDBF-9135-4EDF-B076-15DD1724FE14}"/>
    <cellStyle name="Comma 9 2 2 2 4" xfId="2046" xr:uid="{00000000-0005-0000-0000-00001F030000}"/>
    <cellStyle name="Comma 9 2 2 2 4 2" xfId="26109" xr:uid="{122440CA-696A-44E0-9E96-A87373C105F9}"/>
    <cellStyle name="Comma 9 2 2 2 4 2 2" xfId="29807" xr:uid="{9CD47C27-4524-4449-BAB5-1AE590D4F8B8}"/>
    <cellStyle name="Comma 9 2 2 2 4 3" xfId="27292" xr:uid="{4E4768B2-7AB8-4453-8074-05036922F932}"/>
    <cellStyle name="Comma 9 2 2 2 5" xfId="4269" xr:uid="{15F18BA8-7F97-4777-9066-8253069EFE6E}"/>
    <cellStyle name="Comma 9 2 2 2 5 2" xfId="9041" xr:uid="{9FE3AAF4-1EE5-47ED-B8D4-F93ABC268CE4}"/>
    <cellStyle name="Comma 9 2 2 2 5 2 2" xfId="19421" xr:uid="{6A6573BE-1A19-4442-870C-069C69D8A52C}"/>
    <cellStyle name="Comma 9 2 2 2 5 3" xfId="11874" xr:uid="{D66D2D42-7EBA-40C4-BE58-4D64A5059408}"/>
    <cellStyle name="Comma 9 2 2 2 5 3 2" xfId="22254" xr:uid="{6B46C0D7-EBC5-4194-90D8-6BCEC8A7CC97}"/>
    <cellStyle name="Comma 9 2 2 2 5 4" xfId="28387" xr:uid="{7BC0D46E-3348-466F-8DFC-3BD610176F0D}"/>
    <cellStyle name="Comma 9 2 2 2 5 5" xfId="27901" xr:uid="{B715E0BE-8612-4D9B-8094-A86B31BEC63D}"/>
    <cellStyle name="Comma 9 2 2 2 5 6" xfId="16588" xr:uid="{16CD614C-D92C-43D8-816F-40DF7AA64539}"/>
    <cellStyle name="Comma 9 2 2 2 6" xfId="5647" xr:uid="{668570A6-D60D-4778-B198-50FD03580688}"/>
    <cellStyle name="Comma 9 2 2 2 6 2" xfId="30392" xr:uid="{F7B07FA9-1D6B-4148-83FD-789EE1A95CE4}"/>
    <cellStyle name="Comma 9 2 2 2 7" xfId="25138" xr:uid="{C3EE7BD6-8743-4519-9C3D-CB652EFF1857}"/>
    <cellStyle name="Comma 9 2 2 2 8" xfId="13100" xr:uid="{E9F47D49-DC26-47D8-9B66-DEB5C8F17696}"/>
    <cellStyle name="Comma 9 2 2 3" xfId="1823" xr:uid="{00000000-0005-0000-0000-000020030000}"/>
    <cellStyle name="Comma 9 2 2 3 2" xfId="3077" xr:uid="{00000000-0005-0000-0000-00005A020000}"/>
    <cellStyle name="Comma 9 2 2 3 2 2" xfId="8157" xr:uid="{BA1A08A8-8F25-42BA-8FF5-CF4370543494}"/>
    <cellStyle name="Comma 9 2 2 3 2 2 2" xfId="28830" xr:uid="{FEA450FD-A44B-4F78-B887-6FBB04F43C55}"/>
    <cellStyle name="Comma 9 2 2 3 2 2 3" xfId="26385" xr:uid="{4ABFB2F1-EFEF-44B5-B10D-DE0D3C6BDABA}"/>
    <cellStyle name="Comma 9 2 2 3 2 2 4" xfId="18537" xr:uid="{6D88F806-B1B0-4D9A-BBC6-DBDC26EA2E99}"/>
    <cellStyle name="Comma 9 2 2 3 2 3" xfId="10990" xr:uid="{4C570C57-C828-4E9B-9C5B-D3D470D1304A}"/>
    <cellStyle name="Comma 9 2 2 3 2 3 2" xfId="21370" xr:uid="{85E85D4A-641F-4B1F-B4B2-73E48F5F3F73}"/>
    <cellStyle name="Comma 9 2 2 3 2 4" xfId="24874" xr:uid="{3C1C18F6-326F-4101-B42C-CAFA790586F4}"/>
    <cellStyle name="Comma 9 2 2 3 2 5" xfId="15704" xr:uid="{5E62D3EB-52D8-4B2A-8967-E1EC80A96F32}"/>
    <cellStyle name="Comma 9 2 2 3 3" xfId="2090" xr:uid="{00000000-0005-0000-0000-000020030000}"/>
    <cellStyle name="Comma 9 2 2 3 3 2" xfId="29862" xr:uid="{3845FB3E-6AD2-42A8-89EC-761F96A2C194}"/>
    <cellStyle name="Comma 9 2 2 3 4" xfId="4419" xr:uid="{51ADD6C0-603D-4098-9009-CBEFA0A69A4B}"/>
    <cellStyle name="Comma 9 2 2 3 4 2" xfId="9191" xr:uid="{F3BDC41A-CFD9-47C5-A0ED-1DF0D97D107C}"/>
    <cellStyle name="Comma 9 2 2 3 4 2 2" xfId="19571" xr:uid="{6A163FFC-6407-458E-95EF-1755EB510D2C}"/>
    <cellStyle name="Comma 9 2 2 3 4 3" xfId="12024" xr:uid="{B8CDA8CB-E142-4092-9D7D-1F70CFFAECDF}"/>
    <cellStyle name="Comma 9 2 2 3 4 3 2" xfId="22404" xr:uid="{A2F09515-9B43-40E8-8E58-EDBDFCCA4661}"/>
    <cellStyle name="Comma 9 2 2 3 4 4" xfId="16738" xr:uid="{EAE4FB54-618E-4BD5-8A10-FD59118FE55B}"/>
    <cellStyle name="Comma 9 2 2 3 5" xfId="5648" xr:uid="{1753FA6C-087A-430B-A68A-C681B0D13A8B}"/>
    <cellStyle name="Comma 9 2 2 3 5 2" xfId="30484" xr:uid="{B660FD25-DC41-46D3-B9D6-0EE751DB93FD}"/>
    <cellStyle name="Comma 9 2 2 3 6" xfId="24154" xr:uid="{41DAB614-918F-4599-BF83-9AA4B418D79E}"/>
    <cellStyle name="Comma 9 2 2 3 7" xfId="13590" xr:uid="{2E3B28A3-F72F-46DD-9CA8-18228347FB64}"/>
    <cellStyle name="Comma 9 2 2 4" xfId="1821" xr:uid="{00000000-0005-0000-0000-000021030000}"/>
    <cellStyle name="Comma 9 2 2 4 2" xfId="3075" xr:uid="{00000000-0005-0000-0000-00005B020000}"/>
    <cellStyle name="Comma 9 2 2 4 2 2" xfId="8155" xr:uid="{3821D36B-E30A-436A-ADD2-C492AC21B492}"/>
    <cellStyle name="Comma 9 2 2 4 2 2 2" xfId="28829" xr:uid="{75B182AE-DD33-43EB-BD11-5250C85A4E01}"/>
    <cellStyle name="Comma 9 2 2 4 2 2 3" xfId="26310" xr:uid="{BA6A95AF-6109-40B1-B3B9-241F006D302F}"/>
    <cellStyle name="Comma 9 2 2 4 2 2 4" xfId="18535" xr:uid="{6DC6F597-8D99-4D70-85A2-BCF10AE0AD8E}"/>
    <cellStyle name="Comma 9 2 2 4 2 3" xfId="10988" xr:uid="{2A3734C0-6283-4588-9F43-DBEA24F07785}"/>
    <cellStyle name="Comma 9 2 2 4 2 3 2" xfId="21368" xr:uid="{73BB00D0-276E-47F7-A419-031530E0420D}"/>
    <cellStyle name="Comma 9 2 2 4 2 4" xfId="26316" xr:uid="{4114B98C-05CB-4B13-B488-16099DD307AD}"/>
    <cellStyle name="Comma 9 2 2 4 2 5" xfId="15702" xr:uid="{6AE8E6BF-8A14-431C-99B4-E9E63BED19BF}"/>
    <cellStyle name="Comma 9 2 2 4 3" xfId="3607" xr:uid="{00000000-0005-0000-0000-000021030000}"/>
    <cellStyle name="Comma 9 2 2 4 3 2" xfId="29934" xr:uid="{682E6BE6-EEC7-48ED-AA36-ACE44DD19F8A}"/>
    <cellStyle name="Comma 9 2 2 4 4" xfId="5646" xr:uid="{8B26A1BB-AE5F-48D9-8E42-E69CDD492616}"/>
    <cellStyle name="Comma 9 2 2 4 4 2" xfId="30204" xr:uid="{EFC6A903-414D-4304-876D-ECDCB105CE24}"/>
    <cellStyle name="Comma 9 2 2 4 5" xfId="24327" xr:uid="{8BA3453A-B276-4F0C-8B80-BF13CA76962C}"/>
    <cellStyle name="Comma 9 2 2 4 6" xfId="13588" xr:uid="{1A9E97E1-72D1-4AFC-BB30-AF8F5B6BAA27}"/>
    <cellStyle name="Comma 9 2 2 5" xfId="2642" xr:uid="{00000000-0005-0000-0000-00005C020000}"/>
    <cellStyle name="Comma 9 2 2 5 2" xfId="5904" xr:uid="{45A164FE-5FE9-43B5-9529-C545256EB1C7}"/>
    <cellStyle name="Comma 9 2 2 5 2 2" xfId="28650" xr:uid="{F52522D7-FE86-4CED-8031-4C36F7BDC289}"/>
    <cellStyle name="Comma 9 2 2 5 2 3" xfId="27235" xr:uid="{C3BE4EB7-43AA-4AC7-BEFF-8B26A3BE7026}"/>
    <cellStyle name="Comma 9 2 2 5 2 4" xfId="15314" xr:uid="{08E79145-1382-4681-9832-B0F6E2DADE39}"/>
    <cellStyle name="Comma 9 2 2 5 3" xfId="7767" xr:uid="{5D0B9A8F-12FE-41D9-A9E6-A0FC75FD3FD8}"/>
    <cellStyle name="Comma 9 2 2 5 3 2" xfId="18147" xr:uid="{0A8DFB72-F3C6-4083-88C0-C732F813D519}"/>
    <cellStyle name="Comma 9 2 2 5 4" xfId="10600" xr:uid="{4B064456-B3B1-4B04-A024-41F9964ADD43}"/>
    <cellStyle name="Comma 9 2 2 5 4 2" xfId="20980" xr:uid="{755E6D50-A281-4A13-84B5-51D522FD572A}"/>
    <cellStyle name="Comma 9 2 2 5 5" xfId="23656" xr:uid="{435834F1-E757-4761-960E-34D3DB17B906}"/>
    <cellStyle name="Comma 9 2 2 5 6" xfId="13031" xr:uid="{5AE173AE-BF38-4842-AA91-78EA7873D122}"/>
    <cellStyle name="Comma 9 2 2 6" xfId="2291" xr:uid="{00000000-0005-0000-0000-000057020000}"/>
    <cellStyle name="Comma 9 2 2 6 2" xfId="7418" xr:uid="{F0EED383-DED6-4BF2-97EE-EDD10841C3A9}"/>
    <cellStyle name="Comma 9 2 2 6 2 2" xfId="17798" xr:uid="{E2E25D04-1C5B-42F3-971A-9693DBE7026D}"/>
    <cellStyle name="Comma 9 2 2 6 3" xfId="10251" xr:uid="{94DC420B-AA21-4FD5-93D5-21B40811B1C2}"/>
    <cellStyle name="Comma 9 2 2 6 3 2" xfId="20631" xr:uid="{E6D15CCE-188C-46C1-8F19-27097D48CB9C}"/>
    <cellStyle name="Comma 9 2 2 6 4" xfId="22652" xr:uid="{D0547388-BB56-43F0-887B-5DC1986503B8}"/>
    <cellStyle name="Comma 9 2 2 6 5" xfId="26805" xr:uid="{140F2489-462A-432C-AAD8-2C4B4DBDF3A3}"/>
    <cellStyle name="Comma 9 2 2 6 6" xfId="14965" xr:uid="{93BB5F1A-804A-42CC-B8EB-C9CEF1F05211}"/>
    <cellStyle name="Comma 9 2 2 7" xfId="3826" xr:uid="{F187D117-A490-47DB-9E10-75EB17734E90}"/>
    <cellStyle name="Comma 9 2 2 7 2" xfId="8659" xr:uid="{644F7400-21EC-44AC-96AB-03542AB9BCFE}"/>
    <cellStyle name="Comma 9 2 2 7 2 2" xfId="19039" xr:uid="{C00F856F-2CD0-4E3B-A3DA-35E428B0F0FE}"/>
    <cellStyle name="Comma 9 2 2 7 3" xfId="11492" xr:uid="{DC85BDFB-B499-4C6E-A0B1-105AFB53FA00}"/>
    <cellStyle name="Comma 9 2 2 7 3 2" xfId="21872" xr:uid="{2AB65E47-B840-4E3A-9190-E4321AA48705}"/>
    <cellStyle name="Comma 9 2 2 7 4" xfId="26443" xr:uid="{0585DF1F-C5C2-4D34-BBE6-8DFF8DBF905E}"/>
    <cellStyle name="Comma 9 2 2 7 5" xfId="28042" xr:uid="{BEC9E2EF-CCA4-4CC5-8AB1-C4763C60ED1D}"/>
    <cellStyle name="Comma 9 2 2 7 6" xfId="16206" xr:uid="{F05C9D44-64C0-4600-BDB2-376264D8F02B}"/>
    <cellStyle name="Comma 9 2 2 8" xfId="4930" xr:uid="{3AD1A3B8-0529-4279-AFBA-6A259E6478D4}"/>
    <cellStyle name="Comma 9 2 2 8 2" xfId="14222" xr:uid="{3A55FC0C-5526-4111-8F2F-A420A93B599F}"/>
    <cellStyle name="Comma 9 2 2 9" xfId="6675" xr:uid="{6EFE6E0B-F24A-4847-A285-0AA765FBEBDF}"/>
    <cellStyle name="Comma 9 2 2 9 2" xfId="17055" xr:uid="{0ECC4CAE-5358-4A94-B368-95E70F3C5906}"/>
    <cellStyle name="Comma 9 2 3" xfId="541" xr:uid="{00000000-0005-0000-0000-000022030000}"/>
    <cellStyle name="Comma 9 2 3 10" xfId="12681" xr:uid="{F4C62D95-DF88-450B-B844-5FCA3C4178EF}"/>
    <cellStyle name="Comma 9 2 3 2" xfId="1825" xr:uid="{00000000-0005-0000-0000-000023030000}"/>
    <cellStyle name="Comma 9 2 3 2 2" xfId="3078" xr:uid="{00000000-0005-0000-0000-00005E020000}"/>
    <cellStyle name="Comma 9 2 3 2 2 2" xfId="8158" xr:uid="{00C34E79-4A12-4FEF-8FD7-A120007AC003}"/>
    <cellStyle name="Comma 9 2 3 2 2 2 2" xfId="28831" xr:uid="{9400F8BF-E03C-47B4-8A73-79D8316A2F57}"/>
    <cellStyle name="Comma 9 2 3 2 2 2 3" xfId="28633" xr:uid="{7A2BE245-EA15-44B8-97A3-BD9684DEFF4F}"/>
    <cellStyle name="Comma 9 2 3 2 2 2 4" xfId="18538" xr:uid="{11C459B9-9635-43E5-A2CE-CA3DDB0927D6}"/>
    <cellStyle name="Comma 9 2 3 2 2 3" xfId="10991" xr:uid="{179EA3D4-61C5-47DF-BA03-BCD2392F900C}"/>
    <cellStyle name="Comma 9 2 3 2 2 3 2" xfId="21371" xr:uid="{2A1FE7AD-F25F-4C3B-8926-616BF3F7D3E5}"/>
    <cellStyle name="Comma 9 2 3 2 2 4" xfId="25748" xr:uid="{942CDB3C-31B9-48FD-A9C8-9181B9986ACB}"/>
    <cellStyle name="Comma 9 2 3 2 2 5" xfId="15705" xr:uid="{A62BBE42-1AD1-4C98-BC5F-080129262303}"/>
    <cellStyle name="Comma 9 2 3 2 3" xfId="3698" xr:uid="{00000000-0005-0000-0000-000023030000}"/>
    <cellStyle name="Comma 9 2 3 2 3 2" xfId="30319" xr:uid="{7480BCAD-B9A7-49AC-9515-F60FBE9CDDA1}"/>
    <cellStyle name="Comma 9 2 3 2 4" xfId="5649" xr:uid="{E79966CE-366E-44ED-8CF4-EF18FE3B9A08}"/>
    <cellStyle name="Comma 9 2 3 2 4 2" xfId="30753" xr:uid="{61DC9569-E09F-4FDA-A9B6-81B673BA63FE}"/>
    <cellStyle name="Comma 9 2 3 2 5" xfId="23091" xr:uid="{7BC34336-6CF0-4232-A50B-C2757E6B9AA2}"/>
    <cellStyle name="Comma 9 2 3 2 6" xfId="13591" xr:uid="{AE8E06AD-96D0-46A8-B033-8D8865597D33}"/>
    <cellStyle name="Comma 9 2 3 3" xfId="1826" xr:uid="{00000000-0005-0000-0000-000024030000}"/>
    <cellStyle name="Comma 9 2 3 3 2" xfId="2686" xr:uid="{00000000-0005-0000-0000-00005F020000}"/>
    <cellStyle name="Comma 9 2 3 3 2 2" xfId="7810" xr:uid="{B9ACF73D-5345-46F9-B10F-7BF577F6FA2C}"/>
    <cellStyle name="Comma 9 2 3 3 2 2 2" xfId="18190" xr:uid="{7BDE12E2-F66C-43CB-A936-014FC451446C}"/>
    <cellStyle name="Comma 9 2 3 3 2 3" xfId="10643" xr:uid="{7B796FA2-53F4-4E07-ACB6-8A1AA81C96CF}"/>
    <cellStyle name="Comma 9 2 3 3 2 3 2" xfId="21023" xr:uid="{865B3BD9-33FF-4391-A8D9-6B5ECEDC6CF6}"/>
    <cellStyle name="Comma 9 2 3 3 2 4" xfId="15357" xr:uid="{372507FF-8B1F-490B-A74C-426CD780667A}"/>
    <cellStyle name="Comma 9 2 3 3 3" xfId="2079" xr:uid="{00000000-0005-0000-0000-000024030000}"/>
    <cellStyle name="Comma 9 2 3 3 3 2" xfId="30663" xr:uid="{167A7164-1C39-4AE4-84F6-847E90F820E0}"/>
    <cellStyle name="Comma 9 2 3 3 4" xfId="5650" xr:uid="{CE82BC05-DECC-433A-A1AE-079FA93D71A1}"/>
    <cellStyle name="Comma 9 2 3 3 5" xfId="25041" xr:uid="{6B690C1C-4E4E-4CEB-9458-3070211420B8}"/>
    <cellStyle name="Comma 9 2 3 3 6" xfId="13099" xr:uid="{9A279FFC-6243-4F00-B96A-9C2520A46EDC}"/>
    <cellStyle name="Comma 9 2 3 4" xfId="1824" xr:uid="{00000000-0005-0000-0000-000025030000}"/>
    <cellStyle name="Comma 9 2 3 4 2" xfId="4655" xr:uid="{2B316BF8-A02B-4FA6-9E0C-A81BF302FB1E}"/>
    <cellStyle name="Comma 9 2 3 4 2 2" xfId="9407" xr:uid="{83C3117E-0556-4527-B429-6733E7FC28FB}"/>
    <cellStyle name="Comma 9 2 3 4 2 2 2" xfId="19787" xr:uid="{75F44DC8-6775-40EE-BB1B-FE5900228869}"/>
    <cellStyle name="Comma 9 2 3 4 2 3" xfId="12240" xr:uid="{02383733-3AC8-4F33-847D-F4EDED4B1500}"/>
    <cellStyle name="Comma 9 2 3 4 2 3 2" xfId="22620" xr:uid="{7E9B7457-55E4-47A6-AEC3-2AB45A85A26B}"/>
    <cellStyle name="Comma 9 2 3 4 2 4" xfId="28309" xr:uid="{517B9FA5-CA7B-4147-8281-57997331AEA6}"/>
    <cellStyle name="Comma 9 2 3 4 2 5" xfId="27040" xr:uid="{67CB897C-285F-4C47-BC05-557ED67C8AB1}"/>
    <cellStyle name="Comma 9 2 3 4 2 6" xfId="16954" xr:uid="{3AB9AAA6-8579-4953-89F0-8E36A6C0DD15}"/>
    <cellStyle name="Comma 9 2 3 4 3" xfId="22758" xr:uid="{53723204-0815-4045-A056-7FCD23F7396E}"/>
    <cellStyle name="Comma 9 2 3 5" xfId="4135" xr:uid="{58960FB7-AA3D-4773-B9E0-BAA94B5F7831}"/>
    <cellStyle name="Comma 9 2 3 5 2" xfId="8907" xr:uid="{45BD0102-A3DB-46F1-B996-4B740B50B967}"/>
    <cellStyle name="Comma 9 2 3 5 2 2" xfId="29012" xr:uid="{FD6FD515-24A7-44F7-9B6A-EE8B41326D0B}"/>
    <cellStyle name="Comma 9 2 3 5 2 3" xfId="27360" xr:uid="{4196D849-59CB-4781-A66E-CA6616B641F1}"/>
    <cellStyle name="Comma 9 2 3 5 2 4" xfId="19287" xr:uid="{1B49DD98-D93E-4499-8109-0BF6F8E1781D}"/>
    <cellStyle name="Comma 9 2 3 5 3" xfId="11740" xr:uid="{FEEBFF0E-3A22-490B-94EE-A20B651F3918}"/>
    <cellStyle name="Comma 9 2 3 5 3 2" xfId="22120" xr:uid="{7BCDA1FB-7008-4553-90F2-782DDE9547DF}"/>
    <cellStyle name="Comma 9 2 3 5 4" xfId="28102" xr:uid="{6B05F112-D1B4-4987-9ED9-AD61916186A5}"/>
    <cellStyle name="Comma 9 2 3 5 5" xfId="16454" xr:uid="{E2103747-DE1C-424E-A121-811632EDB617}"/>
    <cellStyle name="Comma 9 2 3 6" xfId="4931" xr:uid="{B11DD8E7-1558-472B-8FE9-B7DE5AE1C3AA}"/>
    <cellStyle name="Comma 9 2 3 6 2" xfId="28259" xr:uid="{B5064F52-1DEC-48C6-AD6C-94D57ED80CDC}"/>
    <cellStyle name="Comma 9 2 3 6 3" xfId="27717" xr:uid="{90953E80-ECF8-4692-9972-22BB6C8DE61E}"/>
    <cellStyle name="Comma 9 2 3 6 4" xfId="14223" xr:uid="{6FE659B4-9790-4D04-B838-7A04B11F19B9}"/>
    <cellStyle name="Comma 9 2 3 7" xfId="6676" xr:uid="{A3767453-1D26-4077-9762-3232EF5FAEF7}"/>
    <cellStyle name="Comma 9 2 3 7 2" xfId="28416" xr:uid="{C0ECF8F6-3BBF-4631-AE2A-78AAE82D9245}"/>
    <cellStyle name="Comma 9 2 3 7 3" xfId="27284" xr:uid="{A1AC7B48-6458-4882-A59B-BA808F918EEC}"/>
    <cellStyle name="Comma 9 2 3 7 4" xfId="17056" xr:uid="{C6323C8C-63AA-4061-9C69-B64F539EFDEC}"/>
    <cellStyle name="Comma 9 2 3 8" xfId="9509" xr:uid="{19B45FED-76C2-4145-940D-2F2BC325C947}"/>
    <cellStyle name="Comma 9 2 3 8 2" xfId="19889" xr:uid="{A7D0349A-2623-433A-82FA-CC129D323731}"/>
    <cellStyle name="Comma 9 2 3 9" xfId="25166" xr:uid="{491DEFD9-42C7-46F8-B951-F96D761D4FA0}"/>
    <cellStyle name="Comma 9 2 4" xfId="1827" xr:uid="{00000000-0005-0000-0000-000026030000}"/>
    <cellStyle name="Comma 9 2 4 2" xfId="3079" xr:uid="{00000000-0005-0000-0000-000060020000}"/>
    <cellStyle name="Comma 9 2 4 2 2" xfId="8159" xr:uid="{3871DE92-AD0D-4C55-9FDA-EB07377910AF}"/>
    <cellStyle name="Comma 9 2 4 2 2 2" xfId="28832" xr:uid="{35DDB46A-9F32-451D-BE4A-FB8BA2BFC5CB}"/>
    <cellStyle name="Comma 9 2 4 2 2 3" xfId="27382" xr:uid="{1D429F61-482C-40AA-9F51-7ED2D3E08585}"/>
    <cellStyle name="Comma 9 2 4 2 2 4" xfId="18539" xr:uid="{E513781B-C37F-4A79-B6A8-73A52D5D952C}"/>
    <cellStyle name="Comma 9 2 4 2 3" xfId="10992" xr:uid="{5FAD14CD-9E4E-4A54-B659-08425DC4EB51}"/>
    <cellStyle name="Comma 9 2 4 2 3 2" xfId="21372" xr:uid="{D5BA3C34-8A17-499D-9401-2290B594129A}"/>
    <cellStyle name="Comma 9 2 4 2 4" xfId="25662" xr:uid="{DE4B7DEE-3DFB-4D95-9D94-5B6697CA1424}"/>
    <cellStyle name="Comma 9 2 4 2 5" xfId="15706" xr:uid="{B32A986E-B469-403A-9A26-89063FFD10F3}"/>
    <cellStyle name="Comma 9 2 4 3" xfId="3619" xr:uid="{00000000-0005-0000-0000-000026030000}"/>
    <cellStyle name="Comma 9 2 4 3 2" xfId="29827" xr:uid="{45CBF197-3C13-4AE9-BFD9-04E9C69328F1}"/>
    <cellStyle name="Comma 9 2 4 4" xfId="4420" xr:uid="{730607A7-848F-4DD4-AC1A-3254E1DC46BC}"/>
    <cellStyle name="Comma 9 2 4 4 2" xfId="9192" xr:uid="{C7AB3644-B0B6-4154-BE4F-C29BF5ECB030}"/>
    <cellStyle name="Comma 9 2 4 4 2 2" xfId="19572" xr:uid="{7AE53B1F-54DA-4F06-99C4-5B8CE011620E}"/>
    <cellStyle name="Comma 9 2 4 4 3" xfId="12025" xr:uid="{05AB095B-DD55-4F70-B186-D55D3B66DE04}"/>
    <cellStyle name="Comma 9 2 4 4 3 2" xfId="22405" xr:uid="{83C0AEC2-D7F8-4FB1-8063-95763749ADDC}"/>
    <cellStyle name="Comma 9 2 4 4 4" xfId="27981" xr:uid="{48E7C24F-7C7F-4635-9EBC-9D453F175853}"/>
    <cellStyle name="Comma 9 2 4 4 5" xfId="28162" xr:uid="{38EC5DA3-2ECC-43FA-AFF3-4E44C4962149}"/>
    <cellStyle name="Comma 9 2 4 4 6" xfId="16739" xr:uid="{E7145DA8-4655-4CB9-96FD-E1E6B4F01E4F}"/>
    <cellStyle name="Comma 9 2 4 5" xfId="5651" xr:uid="{D9BE428C-8235-4EF9-B20E-E5BB3AFC6747}"/>
    <cellStyle name="Comma 9 2 4 5 2" xfId="30450" xr:uid="{A922E28E-3E59-4589-88F8-7FC730375F43}"/>
    <cellStyle name="Comma 9 2 4 6" xfId="24676" xr:uid="{6EEEF6C0-BA3C-4450-82E6-71744843DDBB}"/>
    <cellStyle name="Comma 9 2 4 7" xfId="13592" xr:uid="{81F21B33-152E-41A4-8622-BE740F8B59B3}"/>
    <cellStyle name="Comma 9 2 5" xfId="1828" xr:uid="{00000000-0005-0000-0000-000027030000}"/>
    <cellStyle name="Comma 9 2 5 2" xfId="2881" xr:uid="{00000000-0005-0000-0000-000061020000}"/>
    <cellStyle name="Comma 9 2 5 2 2" xfId="7998" xr:uid="{30435070-21F0-450E-8F48-DD2475E78426}"/>
    <cellStyle name="Comma 9 2 5 2 2 2" xfId="27245" xr:uid="{B2DCA550-CDEE-430E-8093-FA1E260FBBA3}"/>
    <cellStyle name="Comma 9 2 5 2 2 3" xfId="26153" xr:uid="{A90172AA-ECBA-49AF-A27D-7287150C6C55}"/>
    <cellStyle name="Comma 9 2 5 2 2 4" xfId="18378" xr:uid="{BB53FA4A-1DDF-48F5-8459-C96D8C66B94A}"/>
    <cellStyle name="Comma 9 2 5 2 3" xfId="10831" xr:uid="{8DBDF390-F889-45B9-8090-2E42DC2B125A}"/>
    <cellStyle name="Comma 9 2 5 2 3 2" xfId="21211" xr:uid="{3D817999-D32B-42D4-A4EE-FDDC6CAAAB75}"/>
    <cellStyle name="Comma 9 2 5 2 4" xfId="28531" xr:uid="{EFD68B7B-CEB1-42E8-96C8-A4CE64C8ED24}"/>
    <cellStyle name="Comma 9 2 5 2 5" xfId="15545" xr:uid="{178AD210-1937-49B9-920C-01104FD1710F}"/>
    <cellStyle name="Comma 9 2 5 3" xfId="3537" xr:uid="{00000000-0005-0000-0000-000027030000}"/>
    <cellStyle name="Comma 9 2 5 3 2" xfId="29905" xr:uid="{2A96A8E2-0B2F-4E21-8C52-01FD71612040}"/>
    <cellStyle name="Comma 9 2 5 4" xfId="5652" xr:uid="{D7164F72-134C-4D46-901D-95E30936FD2B}"/>
    <cellStyle name="Comma 9 2 5 4 2" xfId="30171" xr:uid="{FBA71531-219B-4775-8158-C73689C6DE9D}"/>
    <cellStyle name="Comma 9 2 5 5" xfId="25505" xr:uid="{683D3246-020B-45A9-8F05-CD8C07E60BC7}"/>
    <cellStyle name="Comma 9 2 5 6" xfId="13379" xr:uid="{D127C0C3-511A-4158-94C4-3B598D743006}"/>
    <cellStyle name="Comma 9 2 6" xfId="1820" xr:uid="{00000000-0005-0000-0000-000028030000}"/>
    <cellStyle name="Comma 9 2 6 2" xfId="2540" xr:uid="{00000000-0005-0000-0000-000062020000}"/>
    <cellStyle name="Comma 9 2 6 2 2" xfId="7665" xr:uid="{12A85B8F-612E-4B7E-8375-3FD272B72C3E}"/>
    <cellStyle name="Comma 9 2 6 2 2 2" xfId="18045" xr:uid="{63602DFF-BD8A-4BE0-91FF-331DD6264E16}"/>
    <cellStyle name="Comma 9 2 6 2 3" xfId="10498" xr:uid="{61B4E7AC-8DB2-43F1-868D-FAA2881C85E4}"/>
    <cellStyle name="Comma 9 2 6 2 3 2" xfId="20878" xr:uid="{1BB267DC-2623-4AAD-9299-6628C1181669}"/>
    <cellStyle name="Comma 9 2 6 2 4" xfId="28008" xr:uid="{93DFBBE4-AEC2-43A7-B32D-98AE37918C88}"/>
    <cellStyle name="Comma 9 2 6 2 5" xfId="27053" xr:uid="{3C93F917-4687-49AB-A2DE-9CFA582651C6}"/>
    <cellStyle name="Comma 9 2 6 2 6" xfId="15212" xr:uid="{B954EB0A-A415-4D84-A87E-51039639E08C}"/>
    <cellStyle name="Comma 9 2 6 3" xfId="3706" xr:uid="{00000000-0005-0000-0000-000028030000}"/>
    <cellStyle name="Comma 9 2 6 3 2" xfId="30635" xr:uid="{0F8410C8-E620-42E7-917B-8ED604C709E9}"/>
    <cellStyle name="Comma 9 2 6 4" xfId="5645" xr:uid="{D898191B-5E99-42ED-AE9E-BA7EEF98ED5F}"/>
    <cellStyle name="Comma 9 2 6 5" xfId="23855" xr:uid="{D61276F4-B8A3-4202-B41B-BD1945D207E6}"/>
    <cellStyle name="Comma 9 2 6 6" xfId="12928" xr:uid="{0F80994B-85B6-4398-ADA2-8150445C52AA}"/>
    <cellStyle name="Comma 9 2 7" xfId="2234" xr:uid="{00000000-0005-0000-0000-000056020000}"/>
    <cellStyle name="Comma 9 2 7 2" xfId="7361" xr:uid="{C4B32B00-5182-49D8-9EA5-796AE2208F5A}"/>
    <cellStyle name="Comma 9 2 7 2 2" xfId="26720" xr:uid="{E24BCB5C-C6EA-4FDB-9EC3-913147FB8779}"/>
    <cellStyle name="Comma 9 2 7 2 3" xfId="28268" xr:uid="{90482539-1104-4FEC-A0B4-4BBC91205F8D}"/>
    <cellStyle name="Comma 9 2 7 2 4" xfId="17741" xr:uid="{A997357B-75E5-4FBD-8E85-7D845313D2E4}"/>
    <cellStyle name="Comma 9 2 7 3" xfId="10194" xr:uid="{6CC74026-AB08-411B-B16F-52096AABA2AE}"/>
    <cellStyle name="Comma 9 2 7 3 2" xfId="20574" xr:uid="{D660BE8F-3CEC-43C8-B3F2-515CBFAE10A6}"/>
    <cellStyle name="Comma 9 2 7 4" xfId="25034" xr:uid="{6B933433-0728-4A4C-81A0-760F81048C5E}"/>
    <cellStyle name="Comma 9 2 7 5" xfId="14908" xr:uid="{9E029389-AF9E-4E2C-80CF-C3A6CB490564}"/>
    <cellStyle name="Comma 9 2 8" xfId="3878" xr:uid="{14ABF57D-7E2D-49B0-92F4-00CADDA395CB}"/>
    <cellStyle name="Comma 9 2 8 2" xfId="8710" xr:uid="{A7E88751-1D29-4175-B2B8-DA20A976F5E3}"/>
    <cellStyle name="Comma 9 2 8 2 2" xfId="19090" xr:uid="{E69C0CF9-2C8E-461A-BD73-73D7F51D1663}"/>
    <cellStyle name="Comma 9 2 8 3" xfId="11543" xr:uid="{95E42C6C-C80A-4C6F-AEA5-4FFFB2425A1A}"/>
    <cellStyle name="Comma 9 2 8 3 2" xfId="21923" xr:uid="{7A3F958E-C57F-4788-976D-1AE8E6A57944}"/>
    <cellStyle name="Comma 9 2 8 4" xfId="26413" xr:uid="{FD7B0B76-E8B9-487D-8AAD-C9933C1ACB6C}"/>
    <cellStyle name="Comma 9 2 8 5" xfId="27761" xr:uid="{AC65A6F0-19BB-40A6-9BE0-0678F17B6B3B}"/>
    <cellStyle name="Comma 9 2 8 6" xfId="16257" xr:uid="{6C8D399F-9CD0-4228-9326-262AC491334C}"/>
    <cellStyle name="Comma 9 2 9" xfId="4929" xr:uid="{BD7D2C77-C633-4CFC-AAC8-AEB80D7AE154}"/>
    <cellStyle name="Comma 9 2 9 2" xfId="25984" xr:uid="{FF5AE70A-CB98-46FE-AEBC-034F7A064D0C}"/>
    <cellStyle name="Comma 9 2 9 3" xfId="27780" xr:uid="{9617A20E-B9DC-4147-BB81-6D931C61435A}"/>
    <cellStyle name="Comma 9 2 9 4" xfId="14221" xr:uid="{B60DB025-08CD-4CE5-A225-EF26AA61A2E6}"/>
    <cellStyle name="Comma 9 3" xfId="542" xr:uid="{00000000-0005-0000-0000-000029030000}"/>
    <cellStyle name="Comma 9 3 10" xfId="9510" xr:uid="{E7E81DE3-7484-41E0-8FA9-F356A46CD991}"/>
    <cellStyle name="Comma 9 3 10 2" xfId="19890" xr:uid="{ABE7FEB3-D309-49D2-9D77-CEDDF86F8FC8}"/>
    <cellStyle name="Comma 9 3 11" xfId="24495" xr:uid="{D4380A83-A032-4878-B2BD-F5EDC2355B6A}"/>
    <cellStyle name="Comma 9 3 12" xfId="12522" xr:uid="{1EC29B22-E11A-4F03-9D04-7890D63A35C8}"/>
    <cellStyle name="Comma 9 3 2" xfId="1830" xr:uid="{00000000-0005-0000-0000-00002A030000}"/>
    <cellStyle name="Comma 9 3 2 2" xfId="3081" xr:uid="{00000000-0005-0000-0000-000065020000}"/>
    <cellStyle name="Comma 9 3 2 2 2" xfId="6170" xr:uid="{5D3F1E2F-6C13-4865-A186-7E6BC20EDFBA}"/>
    <cellStyle name="Comma 9 3 2 2 2 2" xfId="24147" xr:uid="{7FAC486F-3150-4423-B79F-82D92D5D4315}"/>
    <cellStyle name="Comma 9 3 2 2 2 2 2" xfId="28013" xr:uid="{6EDB3307-FB2D-428A-B7BB-51FD25238CFA}"/>
    <cellStyle name="Comma 9 3 2 2 2 3" xfId="26869" xr:uid="{652D5C03-1AD5-43F2-95C2-87421CEC1E98}"/>
    <cellStyle name="Comma 9 3 2 2 2 4" xfId="15708" xr:uid="{4A7AF802-84FA-4651-8493-69DBEFBEF268}"/>
    <cellStyle name="Comma 9 3 2 2 3" xfId="8161" xr:uid="{41C885F3-2F9F-457C-9A41-B93334694117}"/>
    <cellStyle name="Comma 9 3 2 2 3 2" xfId="18541" xr:uid="{52F9EBF8-6C8D-4A10-9E5C-BDDF8CD76353}"/>
    <cellStyle name="Comma 9 3 2 2 4" xfId="10994" xr:uid="{6690BEA3-7986-4505-B2F3-1A50EFC06E03}"/>
    <cellStyle name="Comma 9 3 2 2 4 2" xfId="21374" xr:uid="{16FA8055-7EF8-4083-8B83-CB2D93CE4C92}"/>
    <cellStyle name="Comma 9 3 2 2 5" xfId="24468" xr:uid="{C74E39ED-E802-4F6C-B356-E5113AB4E949}"/>
    <cellStyle name="Comma 9 3 2 2 6" xfId="27865" xr:uid="{1092D0DD-8FB3-44DD-86EE-6FC6DA4E3B78}"/>
    <cellStyle name="Comma 9 3 2 2 7" xfId="13594" xr:uid="{20D41558-9592-4905-9B8D-FAFB5DB1DBDE}"/>
    <cellStyle name="Comma 9 3 2 3" xfId="2688" xr:uid="{00000000-0005-0000-0000-000064020000}"/>
    <cellStyle name="Comma 9 3 2 3 2" xfId="7812" xr:uid="{45825168-987C-424D-9B12-52F792D7F9B4}"/>
    <cellStyle name="Comma 9 3 2 3 2 2" xfId="28522" xr:uid="{E0FBFBB5-EC4B-4CDC-A0B7-7F4A0932546C}"/>
    <cellStyle name="Comma 9 3 2 3 2 3" xfId="28378" xr:uid="{B1C725C8-4663-4026-A58A-6EC98692EB7D}"/>
    <cellStyle name="Comma 9 3 2 3 2 4" xfId="18192" xr:uid="{CF70C67C-65D6-4BF2-9FF7-5986B90AEE6F}"/>
    <cellStyle name="Comma 9 3 2 3 3" xfId="10645" xr:uid="{51C13CA6-B671-4F5D-917F-E88F4B3AEAF6}"/>
    <cellStyle name="Comma 9 3 2 3 3 2" xfId="21025" xr:uid="{4A99DD87-1800-46CD-ADE8-C5F3EF349A55}"/>
    <cellStyle name="Comma 9 3 2 3 4" xfId="22681" xr:uid="{3EB0B22D-8F5E-48CF-B5FA-63B60A9EE603}"/>
    <cellStyle name="Comma 9 3 2 3 5" xfId="15359" xr:uid="{F541BCBC-753B-4B7B-AEF7-D891549388FA}"/>
    <cellStyle name="Comma 9 3 2 4" xfId="3695" xr:uid="{00000000-0005-0000-0000-00002A030000}"/>
    <cellStyle name="Comma 9 3 2 4 2" xfId="26650" xr:uid="{5A147B94-5AF9-4CDC-8BC6-C737EBE8A913}"/>
    <cellStyle name="Comma 9 3 2 4 2 2" xfId="29806" xr:uid="{6CAE6B69-05DF-42E1-B0B3-D75A722A36E3}"/>
    <cellStyle name="Comma 9 3 2 4 3" xfId="26683" xr:uid="{FB1D1AC5-9D11-429C-BF39-EEAC07E5768E}"/>
    <cellStyle name="Comma 9 3 2 5" xfId="4270" xr:uid="{F1DB953E-CDE1-43E8-9BEA-964C5E5A9856}"/>
    <cellStyle name="Comma 9 3 2 5 2" xfId="9042" xr:uid="{F26FC550-BC30-48DE-A2FC-AF981BC732EC}"/>
    <cellStyle name="Comma 9 3 2 5 2 2" xfId="19422" xr:uid="{6FDAA852-56CA-4BF6-BB17-4AA7D4E56C64}"/>
    <cellStyle name="Comma 9 3 2 5 3" xfId="11875" xr:uid="{A33959D1-ED4C-4C55-92A7-CC84556D1C9C}"/>
    <cellStyle name="Comma 9 3 2 5 3 2" xfId="22255" xr:uid="{D062A147-5A9C-4F48-A79B-58F7E85DB901}"/>
    <cellStyle name="Comma 9 3 2 5 4" xfId="27367" xr:uid="{FD0C7BF0-A587-4637-98FE-1287570FBD22}"/>
    <cellStyle name="Comma 9 3 2 5 5" xfId="28426" xr:uid="{A03FA1EB-B70A-4B0D-B080-7587374271FE}"/>
    <cellStyle name="Comma 9 3 2 5 6" xfId="16589" xr:uid="{9A425600-8E7C-4649-8D14-D414987A8C3D}"/>
    <cellStyle name="Comma 9 3 2 6" xfId="5654" xr:uid="{77D156F7-476C-46F2-93AE-31A8AC882BEE}"/>
    <cellStyle name="Comma 9 3 2 6 2" xfId="30391" xr:uid="{7D299EB8-5BAF-4D5C-B4E2-12E4DA979709}"/>
    <cellStyle name="Comma 9 3 2 7" xfId="25227" xr:uid="{32CD50D2-C9AE-4571-939C-C8C54DC3B34F}"/>
    <cellStyle name="Comma 9 3 2 8" xfId="13101" xr:uid="{B68D3080-BA5F-48EA-9188-311DC047BBAB}"/>
    <cellStyle name="Comma 9 3 3" xfId="1831" xr:uid="{00000000-0005-0000-0000-00002B030000}"/>
    <cellStyle name="Comma 9 3 3 2" xfId="3082" xr:uid="{00000000-0005-0000-0000-000066020000}"/>
    <cellStyle name="Comma 9 3 3 2 2" xfId="8162" xr:uid="{30BFB4DD-F5E5-4102-846B-4027E615BCE0}"/>
    <cellStyle name="Comma 9 3 3 2 2 2" xfId="28834" xr:uid="{1D3DCD9E-22E3-4A2B-BFEA-68D716F7632B}"/>
    <cellStyle name="Comma 9 3 3 2 2 3" xfId="27469" xr:uid="{761CFDA3-BD8E-439D-AE3A-6616D3D38BC8}"/>
    <cellStyle name="Comma 9 3 3 2 2 4" xfId="18542" xr:uid="{6FF6D2FD-49D1-478F-8C56-148E459735BA}"/>
    <cellStyle name="Comma 9 3 3 2 3" xfId="10995" xr:uid="{8A4A876A-3AFA-455C-9C42-6A97F80DED57}"/>
    <cellStyle name="Comma 9 3 3 2 3 2" xfId="21375" xr:uid="{9FE326AD-216F-4337-A89B-6ED14C842C11}"/>
    <cellStyle name="Comma 9 3 3 2 4" xfId="24095" xr:uid="{4A6A6AAB-A78E-43A5-A912-AA5037B542FD}"/>
    <cellStyle name="Comma 9 3 3 2 5" xfId="15709" xr:uid="{4224EED2-F5B5-4C80-A76D-50B890931CA9}"/>
    <cellStyle name="Comma 9 3 3 3" xfId="3705" xr:uid="{00000000-0005-0000-0000-00002B030000}"/>
    <cellStyle name="Comma 9 3 3 3 2" xfId="29861" xr:uid="{A7DF811B-E7A4-4AF6-9208-B412078C52D1}"/>
    <cellStyle name="Comma 9 3 3 4" xfId="4421" xr:uid="{18170F86-C2D3-41E7-9BBC-5C6417543022}"/>
    <cellStyle name="Comma 9 3 3 4 2" xfId="9193" xr:uid="{26B92FD6-E0D8-470C-9556-778A5F8FEAFF}"/>
    <cellStyle name="Comma 9 3 3 4 2 2" xfId="19573" xr:uid="{F377DAD8-5711-4268-8A8B-9A61CD9EDB6C}"/>
    <cellStyle name="Comma 9 3 3 4 3" xfId="12026" xr:uid="{84CDBBE9-88B1-45BB-84B9-365383A18EEB}"/>
    <cellStyle name="Comma 9 3 3 4 3 2" xfId="22406" xr:uid="{11C3063F-87D1-4D1E-B343-A620DEF1A22B}"/>
    <cellStyle name="Comma 9 3 3 4 4" xfId="16740" xr:uid="{A83B7572-DEFE-4674-B9BC-F693F0EB8DA2}"/>
    <cellStyle name="Comma 9 3 3 5" xfId="5655" xr:uid="{B525BE71-296E-4A8D-A239-535718B25E1D}"/>
    <cellStyle name="Comma 9 3 3 5 2" xfId="30483" xr:uid="{629EAD89-A14A-4C23-8FB1-3EC130E036C0}"/>
    <cellStyle name="Comma 9 3 3 6" xfId="24665" xr:uid="{3D67FC07-C30E-4BB2-B210-DB9C3EA33BDF}"/>
    <cellStyle name="Comma 9 3 3 7" xfId="13595" xr:uid="{5FA0F202-D403-4101-916A-106D8E59EF14}"/>
    <cellStyle name="Comma 9 3 4" xfId="1829" xr:uid="{00000000-0005-0000-0000-00002C030000}"/>
    <cellStyle name="Comma 9 3 4 2" xfId="3080" xr:uid="{00000000-0005-0000-0000-000067020000}"/>
    <cellStyle name="Comma 9 3 4 2 2" xfId="8160" xr:uid="{A44917E5-A260-4E57-A00D-74E81142C856}"/>
    <cellStyle name="Comma 9 3 4 2 2 2" xfId="28833" xr:uid="{E1D0D1D7-BCBC-4025-A9A4-65F4CA9D0DA2}"/>
    <cellStyle name="Comma 9 3 4 2 2 3" xfId="26695" xr:uid="{6EFBF9CB-8F8C-49E7-9369-5F3AF238C536}"/>
    <cellStyle name="Comma 9 3 4 2 2 4" xfId="18540" xr:uid="{411A0BFC-0770-4A0F-9BFF-5513F5ADE6E2}"/>
    <cellStyle name="Comma 9 3 4 2 3" xfId="10993" xr:uid="{379F143A-75EE-4D4F-83EE-FE40F42B0461}"/>
    <cellStyle name="Comma 9 3 4 2 3 2" xfId="21373" xr:uid="{0A5CACF6-8CDA-4E18-9620-A72C6691C0CE}"/>
    <cellStyle name="Comma 9 3 4 2 4" xfId="25175" xr:uid="{96CFF20C-9ADF-43F2-ABAD-249183DF8F3F}"/>
    <cellStyle name="Comma 9 3 4 2 5" xfId="15707" xr:uid="{12C4A8BE-B9AB-4776-A2A2-D7A439B32A7B}"/>
    <cellStyle name="Comma 9 3 4 3" xfId="3670" xr:uid="{00000000-0005-0000-0000-00002C030000}"/>
    <cellStyle name="Comma 9 3 4 3 2" xfId="29933" xr:uid="{00C11A13-1BF0-4656-AEAC-CE17241B2F3C}"/>
    <cellStyle name="Comma 9 3 4 4" xfId="5653" xr:uid="{2992C92C-8EDE-4819-B747-CFD197F07934}"/>
    <cellStyle name="Comma 9 3 4 4 2" xfId="30203" xr:uid="{EF93AA4E-5A55-4E86-AA55-3A2DEE0F977F}"/>
    <cellStyle name="Comma 9 3 4 5" xfId="22864" xr:uid="{7A0D85F2-7603-4244-8EA4-BCE31E460284}"/>
    <cellStyle name="Comma 9 3 4 6" xfId="13593" xr:uid="{E59C85B5-D30B-41E2-8D24-850FCB8A133A}"/>
    <cellStyle name="Comma 9 3 5" xfId="2583" xr:uid="{00000000-0005-0000-0000-000068020000}"/>
    <cellStyle name="Comma 9 3 5 2" xfId="5848" xr:uid="{9AFCFEEE-2505-4F6D-A481-F03D7C6B099D}"/>
    <cellStyle name="Comma 9 3 5 2 2" xfId="27706" xr:uid="{71638D3E-073B-465B-8079-C421AEEF8FCF}"/>
    <cellStyle name="Comma 9 3 5 2 3" xfId="28111" xr:uid="{88E78A97-D798-40B1-B121-601BFA26463A}"/>
    <cellStyle name="Comma 9 3 5 2 4" xfId="15255" xr:uid="{876EBB0C-63E8-4A7B-9EDA-9C1C3871BA2F}"/>
    <cellStyle name="Comma 9 3 5 3" xfId="7708" xr:uid="{BEA5950F-02E1-43FC-B1F1-A36C58FBB631}"/>
    <cellStyle name="Comma 9 3 5 3 2" xfId="18088" xr:uid="{FF85433C-FEC8-47E7-B6A5-8EEC6298B380}"/>
    <cellStyle name="Comma 9 3 5 4" xfId="10541" xr:uid="{65183B43-D80D-49BA-BEF9-F6E503BD1F06}"/>
    <cellStyle name="Comma 9 3 5 4 2" xfId="20921" xr:uid="{21238C72-15FC-4007-A9F9-B93D39F31BED}"/>
    <cellStyle name="Comma 9 3 5 5" xfId="23343" xr:uid="{E1FCD651-C478-44B8-92D8-7921DAE26410}"/>
    <cellStyle name="Comma 9 3 5 6" xfId="12971" xr:uid="{D658D3A0-00E0-4869-960E-19BC6F8649B5}"/>
    <cellStyle name="Comma 9 3 6" xfId="2290" xr:uid="{00000000-0005-0000-0000-000063020000}"/>
    <cellStyle name="Comma 9 3 6 2" xfId="7417" xr:uid="{025F373A-BE43-4E48-85A7-5A7239E2FC8F}"/>
    <cellStyle name="Comma 9 3 6 2 2" xfId="17797" xr:uid="{A00288B0-3EAD-4837-B259-F6C4CCB3457F}"/>
    <cellStyle name="Comma 9 3 6 3" xfId="10250" xr:uid="{CA02812C-EBA4-4234-A901-7D6F1FC3AB91}"/>
    <cellStyle name="Comma 9 3 6 3 2" xfId="20630" xr:uid="{8FCD722B-FB2D-486A-89B1-ACD6791E1381}"/>
    <cellStyle name="Comma 9 3 6 4" xfId="25403" xr:uid="{7C46B817-38A3-42C6-882C-98B3949A937A}"/>
    <cellStyle name="Comma 9 3 6 5" xfId="27260" xr:uid="{93B1D2DF-2A26-4BF0-ACE2-6FB4605820E9}"/>
    <cellStyle name="Comma 9 3 6 6" xfId="14964" xr:uid="{828B998B-8124-4DEA-903D-2B09FAA8B816}"/>
    <cellStyle name="Comma 9 3 7" xfId="3825" xr:uid="{9D146E72-9673-49A7-806E-FB272B5C17CE}"/>
    <cellStyle name="Comma 9 3 7 2" xfId="8658" xr:uid="{BC26A82D-0058-4EFB-8C47-948475657A86}"/>
    <cellStyle name="Comma 9 3 7 2 2" xfId="19038" xr:uid="{55C8ACED-B877-4D7A-A9B1-AC60BCE92CAA}"/>
    <cellStyle name="Comma 9 3 7 3" xfId="11491" xr:uid="{FDD557D6-8B8B-4718-92FD-32760A075EE3}"/>
    <cellStyle name="Comma 9 3 7 3 2" xfId="21871" xr:uid="{0FD211B6-4E5B-487B-87A0-EE2F7A318503}"/>
    <cellStyle name="Comma 9 3 7 4" xfId="26117" xr:uid="{0E9C60C0-50AC-45C5-A9CD-C7BE1E7C0246}"/>
    <cellStyle name="Comma 9 3 7 5" xfId="28094" xr:uid="{1633684F-EEAE-4F4D-8516-7185672DF3DD}"/>
    <cellStyle name="Comma 9 3 7 6" xfId="16205" xr:uid="{301EE679-6692-44AB-93B8-513D570952F7}"/>
    <cellStyle name="Comma 9 3 8" xfId="4932" xr:uid="{77B32B7E-E9F2-43A7-9503-9206BCE0429D}"/>
    <cellStyle name="Comma 9 3 8 2" xfId="14224" xr:uid="{84EDABC1-9EAF-47EA-9F3B-282B5B0532D7}"/>
    <cellStyle name="Comma 9 3 9" xfId="6677" xr:uid="{E1EE7C5D-FE69-4EF7-AC70-A5F4889A2F0D}"/>
    <cellStyle name="Comma 9 3 9 2" xfId="17057" xr:uid="{742713B6-8D96-48AF-8C04-8C2D9EA52616}"/>
    <cellStyle name="Comma 9 4" xfId="543" xr:uid="{00000000-0005-0000-0000-00002D030000}"/>
    <cellStyle name="Comma 9 4 10" xfId="12680" xr:uid="{3C78FD5E-2306-4C10-B6FB-57929E2C1CCB}"/>
    <cellStyle name="Comma 9 4 2" xfId="1833" xr:uid="{00000000-0005-0000-0000-00002E030000}"/>
    <cellStyle name="Comma 9 4 2 2" xfId="3083" xr:uid="{00000000-0005-0000-0000-00006A020000}"/>
    <cellStyle name="Comma 9 4 2 2 2" xfId="8163" xr:uid="{D45C281E-EDA4-4C74-897C-FA30A35FA9EC}"/>
    <cellStyle name="Comma 9 4 2 2 2 2" xfId="28835" xr:uid="{5EAC4C5F-3550-465C-8620-97567FEA2F7B}"/>
    <cellStyle name="Comma 9 4 2 2 2 3" xfId="28400" xr:uid="{D04C0551-F87A-4571-AF8D-4BD6E13F12A9}"/>
    <cellStyle name="Comma 9 4 2 2 2 4" xfId="18543" xr:uid="{0B0475C1-0F95-4754-8A42-092F6CFCE269}"/>
    <cellStyle name="Comma 9 4 2 2 3" xfId="10996" xr:uid="{505883EF-447C-4761-BB1F-648E3A0C6355}"/>
    <cellStyle name="Comma 9 4 2 2 3 2" xfId="21376" xr:uid="{3D737D26-8D47-42D5-BB22-1E4818534386}"/>
    <cellStyle name="Comma 9 4 2 2 4" xfId="24005" xr:uid="{96A29539-771F-4E38-884F-6CC3BCAFD248}"/>
    <cellStyle name="Comma 9 4 2 2 5" xfId="15710" xr:uid="{412DA1D9-9811-42B5-8081-0F6DE9609973}"/>
    <cellStyle name="Comma 9 4 2 3" xfId="2863" xr:uid="{00000000-0005-0000-0000-00002E030000}"/>
    <cellStyle name="Comma 9 4 2 3 2" xfId="29877" xr:uid="{061B9042-9E57-4B9F-87EC-2C1F341E8174}"/>
    <cellStyle name="Comma 9 4 2 4" xfId="5656" xr:uid="{FACDA99C-DDD8-460F-90C1-E63427823092}"/>
    <cellStyle name="Comma 9 4 2 4 2" xfId="30141" xr:uid="{8621393E-9259-415F-9805-5D0AAB569A79}"/>
    <cellStyle name="Comma 9 4 2 5" xfId="24264" xr:uid="{3265BF72-9522-42AA-B61C-3BDC8B8C2FEA}"/>
    <cellStyle name="Comma 9 4 2 6" xfId="13596" xr:uid="{777200A9-6584-4AD9-8F33-936578F81C45}"/>
    <cellStyle name="Comma 9 4 3" xfId="1834" xr:uid="{00000000-0005-0000-0000-00002F030000}"/>
    <cellStyle name="Comma 9 4 3 2" xfId="2685" xr:uid="{00000000-0005-0000-0000-00006B020000}"/>
    <cellStyle name="Comma 9 4 3 2 2" xfId="7809" xr:uid="{E331375F-8633-44FE-825C-9D28423035A0}"/>
    <cellStyle name="Comma 9 4 3 2 2 2" xfId="18189" xr:uid="{1DAC768A-1B7D-40B1-827C-C4417E242BA6}"/>
    <cellStyle name="Comma 9 4 3 2 3" xfId="10642" xr:uid="{70FCB1B9-77A8-47C2-8CD6-DDBFED7DE979}"/>
    <cellStyle name="Comma 9 4 3 2 3 2" xfId="21022" xr:uid="{F4D14E92-635C-44F3-AF4A-2EE9D0000A5A}"/>
    <cellStyle name="Comma 9 4 3 2 4" xfId="15356" xr:uid="{A80AE682-E449-4C51-8007-0414D76349D1}"/>
    <cellStyle name="Comma 9 4 3 3" xfId="2865" xr:uid="{00000000-0005-0000-0000-00002F030000}"/>
    <cellStyle name="Comma 9 4 3 3 2" xfId="30214" xr:uid="{7D586016-A06D-4674-88A3-F21447B9B3B2}"/>
    <cellStyle name="Comma 9 4 3 4" xfId="5657" xr:uid="{5A2DC35C-DA84-47EE-9C97-6ECF34E3F1B9}"/>
    <cellStyle name="Comma 9 4 3 4 2" xfId="30599" xr:uid="{97392EA3-13FA-4469-A072-3AB842297629}"/>
    <cellStyle name="Comma 9 4 3 5" xfId="23996" xr:uid="{5E6A089C-D917-41FC-BC1A-85B936181ADC}"/>
    <cellStyle name="Comma 9 4 3 6" xfId="13098" xr:uid="{CA7AFE53-3DF3-4060-99A5-F06C7E393E9D}"/>
    <cellStyle name="Comma 9 4 4" xfId="1832" xr:uid="{00000000-0005-0000-0000-000030030000}"/>
    <cellStyle name="Comma 9 4 4 2" xfId="4625" xr:uid="{FE65B954-A8A9-4EAA-8C9D-BB93F9307337}"/>
    <cellStyle name="Comma 9 4 4 2 2" xfId="9397" xr:uid="{CC2D082B-9568-4061-BFBC-7503E89197A5}"/>
    <cellStyle name="Comma 9 4 4 2 2 2" xfId="19777" xr:uid="{1081FF1A-E036-4CD8-8BA8-9FC86411E3A1}"/>
    <cellStyle name="Comma 9 4 4 2 3" xfId="12230" xr:uid="{857A7544-3BCE-4D2B-A6D8-4060EFC69FAD}"/>
    <cellStyle name="Comma 9 4 4 2 3 2" xfId="22610" xr:uid="{3C845386-DD0D-4613-A146-6785A04FC2CA}"/>
    <cellStyle name="Comma 9 4 4 2 4" xfId="28495" xr:uid="{A373CDC8-DBDB-4B19-BFB6-C534F20C37EB}"/>
    <cellStyle name="Comma 9 4 4 2 5" xfId="26181" xr:uid="{54DC8C73-61C9-4057-873E-9401108C2B6F}"/>
    <cellStyle name="Comma 9 4 4 2 6" xfId="16944" xr:uid="{52C391CC-B8A7-420E-80D5-E049C16AC34D}"/>
    <cellStyle name="Comma 9 4 4 3" xfId="25130" xr:uid="{2F96BC45-D1A8-477B-912B-54E4C4A93C35}"/>
    <cellStyle name="Comma 9 4 4 3 2" xfId="30258" xr:uid="{1E716984-C588-471C-BCA7-8412DC31FA68}"/>
    <cellStyle name="Comma 9 4 4 4" xfId="30662" xr:uid="{723EA10A-99C6-4E19-9608-A3B4B2AC10CD}"/>
    <cellStyle name="Comma 9 4 4 5" xfId="29714" xr:uid="{4EB8567F-A296-49BC-A0D4-717ADD14DB6D}"/>
    <cellStyle name="Comma 9 4 5" xfId="4134" xr:uid="{3A5B6A9D-E2F9-4176-8736-970E7F931A38}"/>
    <cellStyle name="Comma 9 4 5 2" xfId="8906" xr:uid="{231E58DE-E60E-4884-A444-43E1D087A008}"/>
    <cellStyle name="Comma 9 4 5 2 2" xfId="29011" xr:uid="{50BE6FA5-AEA9-4730-8B03-94597896F2AC}"/>
    <cellStyle name="Comma 9 4 5 2 3" xfId="27946" xr:uid="{FC375E88-CEB9-42BF-B05D-CC17C8C7FACB}"/>
    <cellStyle name="Comma 9 4 5 2 4" xfId="19286" xr:uid="{8C961C43-0FD4-4DE2-AF9A-F682BF2269EA}"/>
    <cellStyle name="Comma 9 4 5 3" xfId="11739" xr:uid="{97DBAD62-6B6E-4B36-BEDA-3E9C71377653}"/>
    <cellStyle name="Comma 9 4 5 3 2" xfId="22119" xr:uid="{5B2E8434-CDB6-4456-9914-5C1A52D21BA2}"/>
    <cellStyle name="Comma 9 4 5 4" xfId="23808" xr:uid="{43B1E241-E8F2-4E70-A670-726EB7856799}"/>
    <cellStyle name="Comma 9 4 5 5" xfId="16453" xr:uid="{1D690D66-5B99-40BC-A859-3606B2565E5A}"/>
    <cellStyle name="Comma 9 4 6" xfId="4933" xr:uid="{0091691E-B76B-4D47-B30A-70E1F774625F}"/>
    <cellStyle name="Comma 9 4 6 2" xfId="27140" xr:uid="{03F91043-8AF1-4A18-845A-F17760B2E279}"/>
    <cellStyle name="Comma 9 4 6 3" xfId="26024" xr:uid="{60957D1F-98E5-47F2-8A98-70467DECF462}"/>
    <cellStyle name="Comma 9 4 6 4" xfId="14225" xr:uid="{5C397A5E-5721-42D2-9020-F116BDBE3D50}"/>
    <cellStyle name="Comma 9 4 7" xfId="6678" xr:uid="{BF37F11C-F416-4874-9EC2-E625A9DD0D55}"/>
    <cellStyle name="Comma 9 4 7 2" xfId="25856" xr:uid="{6DBE41EF-36D8-4C35-8416-709ECA033017}"/>
    <cellStyle name="Comma 9 4 7 3" xfId="27649" xr:uid="{12019546-0995-48DF-B220-09A66AC498C8}"/>
    <cellStyle name="Comma 9 4 7 4" xfId="17058" xr:uid="{32AF84CE-B18D-464C-A70E-6DE5EC154F9A}"/>
    <cellStyle name="Comma 9 4 8" xfId="9511" xr:uid="{9CB2F9B3-66D1-40D1-952E-C5E337CE3155}"/>
    <cellStyle name="Comma 9 4 8 2" xfId="19891" xr:uid="{EACFA2CD-C989-4EFF-B1E9-0B93E72AA165}"/>
    <cellStyle name="Comma 9 4 9" xfId="23380" xr:uid="{DC4BC53C-6F1B-438D-AE51-C463E2080EF4}"/>
    <cellStyle name="Comma 9 5" xfId="544" xr:uid="{00000000-0005-0000-0000-000031030000}"/>
    <cellStyle name="Comma 9 5 10" xfId="13597" xr:uid="{83B15E35-6B93-4D49-AEF8-1630BB09035E}"/>
    <cellStyle name="Comma 9 5 2" xfId="1836" xr:uid="{00000000-0005-0000-0000-000032030000}"/>
    <cellStyle name="Comma 9 5 2 2" xfId="23872" xr:uid="{DCC8170A-53AF-458D-A295-81F5DBDF94FB}"/>
    <cellStyle name="Comma 9 5 2 2 2" xfId="30320" xr:uid="{C0797181-6D12-4CA0-8AD2-7317FE61BCA2}"/>
    <cellStyle name="Comma 9 5 2 3" xfId="25740" xr:uid="{BD4F76CC-DB4F-408A-9F04-DD94FC6E59F4}"/>
    <cellStyle name="Comma 9 5 2 4" xfId="30041" xr:uid="{14609DBF-9C7C-481A-AC97-684620CDE65F}"/>
    <cellStyle name="Comma 9 5 3" xfId="1837" xr:uid="{00000000-0005-0000-0000-000033030000}"/>
    <cellStyle name="Comma 9 5 3 2" xfId="29730" xr:uid="{1A993835-785C-4ED4-A5A7-A25E04CF2A32}"/>
    <cellStyle name="Comma 9 5 4" xfId="1835" xr:uid="{00000000-0005-0000-0000-000034030000}"/>
    <cellStyle name="Comma 9 5 4 2" xfId="30065" xr:uid="{6DAA956E-11BB-439A-8374-312B49D3C7A0}"/>
    <cellStyle name="Comma 9 5 5" xfId="4422" xr:uid="{8EC6386D-C2C1-405F-852E-EAC3F4EC2A41}"/>
    <cellStyle name="Comma 9 5 5 2" xfId="9194" xr:uid="{8A7F21B0-5A5D-4C74-B81C-486ACD5191D6}"/>
    <cellStyle name="Comma 9 5 5 2 2" xfId="19574" xr:uid="{E6AFE00C-408F-49CE-97BB-B98173877846}"/>
    <cellStyle name="Comma 9 5 5 3" xfId="12027" xr:uid="{5D6BBF46-0E92-42E9-8FE6-45DB54368DB5}"/>
    <cellStyle name="Comma 9 5 5 3 2" xfId="22407" xr:uid="{BDC8279A-D582-4486-AC4B-D513E2A5B65C}"/>
    <cellStyle name="Comma 9 5 5 4" xfId="16741" xr:uid="{537E17A7-7BE3-4DD4-B5E0-334C97CB41B1}"/>
    <cellStyle name="Comma 9 5 6" xfId="4934" xr:uid="{3BEECAB2-096E-478B-8733-052CC5DA46D1}"/>
    <cellStyle name="Comma 9 5 6 2" xfId="14226" xr:uid="{132FD597-578A-4B73-932F-F8193B464CB5}"/>
    <cellStyle name="Comma 9 5 7" xfId="6679" xr:uid="{C13BDEBE-EC6F-4B5B-B3FF-187FD5333AD1}"/>
    <cellStyle name="Comma 9 5 7 2" xfId="17059" xr:uid="{640FFE14-AE5F-4D33-94EA-47F986E50348}"/>
    <cellStyle name="Comma 9 5 8" xfId="9512" xr:uid="{A92927A1-ABCD-49F8-9AAF-A2700459F7EF}"/>
    <cellStyle name="Comma 9 5 8 2" xfId="19892" xr:uid="{6FC0863A-4F9B-40B6-857E-4D242A7598FA}"/>
    <cellStyle name="Comma 9 5 9" xfId="25537" xr:uid="{D2C37B91-35F4-4516-8914-A4B4F52CA9F9}"/>
    <cellStyle name="Comma 9 6" xfId="1838" xr:uid="{00000000-0005-0000-0000-000035030000}"/>
    <cellStyle name="Comma 9 6 2" xfId="2880" xr:uid="{00000000-0005-0000-0000-00006D020000}"/>
    <cellStyle name="Comma 9 6 2 2" xfId="7997" xr:uid="{F8DF9D05-4BF2-44A5-8B37-515E769FFBD5}"/>
    <cellStyle name="Comma 9 6 2 2 2" xfId="28512" xr:uid="{72FA9D96-51E4-4F4A-978B-4A85F827A191}"/>
    <cellStyle name="Comma 9 6 2 2 3" xfId="28128" xr:uid="{13D8EEBD-E61C-47F1-8E6D-4914C778CF50}"/>
    <cellStyle name="Comma 9 6 2 2 4" xfId="18377" xr:uid="{2FBE579A-0724-40CE-A96C-AE6C5A8A6738}"/>
    <cellStyle name="Comma 9 6 2 3" xfId="10830" xr:uid="{117361D7-DE3B-48DA-A416-490B2DBE8F56}"/>
    <cellStyle name="Comma 9 6 2 3 2" xfId="21210" xr:uid="{4B1EFDCC-AF3A-4AA3-A4B3-4EA13FEE091E}"/>
    <cellStyle name="Comma 9 6 2 4" xfId="23707" xr:uid="{52309564-43A7-44AD-ACC3-88FC48623B4F}"/>
    <cellStyle name="Comma 9 6 2 5" xfId="15544" xr:uid="{A5167BCE-42C2-4F06-B756-5F61D70AB861}"/>
    <cellStyle name="Comma 9 6 3" xfId="3701" xr:uid="{00000000-0005-0000-0000-000035030000}"/>
    <cellStyle name="Comma 9 6 3 2" xfId="29826" xr:uid="{AC9BCF63-4B2B-484F-AA90-8E88783D4FA4}"/>
    <cellStyle name="Comma 9 6 4" xfId="5658" xr:uid="{F0889DBC-5892-417F-8EE7-FA192F9E9925}"/>
    <cellStyle name="Comma 9 6 4 2" xfId="30108" xr:uid="{F046B0DF-BE6E-4F5A-AA9D-92E48DD5120A}"/>
    <cellStyle name="Comma 9 6 5" xfId="24583" xr:uid="{56AB86CB-57DE-41F5-A230-5CEEE65EC711}"/>
    <cellStyle name="Comma 9 6 6" xfId="13378" xr:uid="{9075C2A9-E0C7-42DA-8F05-B5C16EE5D13C}"/>
    <cellStyle name="Comma 9 7" xfId="1839" xr:uid="{00000000-0005-0000-0000-000036030000}"/>
    <cellStyle name="Comma 9 7 2" xfId="2480" xr:uid="{00000000-0005-0000-0000-00006E020000}"/>
    <cellStyle name="Comma 9 7 2 2" xfId="7605" xr:uid="{D5B135C5-3CB5-4DF1-B349-0B52A0BC6519}"/>
    <cellStyle name="Comma 9 7 2 2 2" xfId="17985" xr:uid="{839A207B-8E9A-435A-B9A2-4DB69BB8C548}"/>
    <cellStyle name="Comma 9 7 2 3" xfId="10438" xr:uid="{7A2A9931-09CA-4C00-8628-5260613B428F}"/>
    <cellStyle name="Comma 9 7 2 3 2" xfId="20818" xr:uid="{BB635F78-7B5F-469E-A4E1-A95E414DCC15}"/>
    <cellStyle name="Comma 9 7 2 4" xfId="27708" xr:uid="{E697571F-732E-4AA2-8232-8ADA520FD7E3}"/>
    <cellStyle name="Comma 9 7 2 5" xfId="27043" xr:uid="{2C8384A5-EDEB-4BC1-BCE6-5F8E40BA29C5}"/>
    <cellStyle name="Comma 9 7 2 6" xfId="15152" xr:uid="{5BA22906-1C66-4AAA-9480-D2A998B67ED2}"/>
    <cellStyle name="Comma 9 7 3" xfId="3659" xr:uid="{00000000-0005-0000-0000-000036030000}"/>
    <cellStyle name="Comma 9 7 3 2" xfId="30170" xr:uid="{3776C0E2-7711-47E7-BB60-604112A9375C}"/>
    <cellStyle name="Comma 9 7 4" xfId="5659" xr:uid="{30261AFC-BC09-4145-A1C1-20C674F34240}"/>
    <cellStyle name="Comma 9 7 4 2" xfId="30522" xr:uid="{824E33A7-0CED-46A9-A734-54AED55A5D1E}"/>
    <cellStyle name="Comma 9 7 5" xfId="24924" xr:uid="{29E6EB39-4CF9-46EE-BB9A-ACC34553CA10}"/>
    <cellStyle name="Comma 9 7 6" xfId="12868" xr:uid="{B716D2F0-27D6-45B7-9D21-02D2AFFE409C}"/>
    <cellStyle name="Comma 9 8" xfId="1819" xr:uid="{00000000-0005-0000-0000-000037030000}"/>
    <cellStyle name="Comma 9 8 2" xfId="2174" xr:uid="{00000000-0005-0000-0000-000055020000}"/>
    <cellStyle name="Comma 9 8 2 2" xfId="7301" xr:uid="{0681815D-DA0A-44AC-B63D-096C72FAF05F}"/>
    <cellStyle name="Comma 9 8 2 2 2" xfId="17681" xr:uid="{4E66BBA4-5680-4D52-8C98-7FD554A826E1}"/>
    <cellStyle name="Comma 9 8 2 3" xfId="10134" xr:uid="{8A8E8938-B03B-4A5B-B9C5-378A6A3693A6}"/>
    <cellStyle name="Comma 9 8 2 3 2" xfId="20514" xr:uid="{50971F9A-6718-488A-A0F2-E7DA43E14EA9}"/>
    <cellStyle name="Comma 9 8 2 4" xfId="27925" xr:uid="{0F5FA70B-01F5-4593-A104-BDD6E3273FAB}"/>
    <cellStyle name="Comma 9 8 2 5" xfId="25964" xr:uid="{B66DC2D6-5D54-4F8E-82C0-EC4FEB159109}"/>
    <cellStyle name="Comma 9 8 2 6" xfId="14848" xr:uid="{80F29169-2463-4D00-9FF7-78830790E047}"/>
    <cellStyle name="Comma 9 8 3" xfId="3546" xr:uid="{00000000-0005-0000-0000-000037030000}"/>
    <cellStyle name="Comma 9 8 3 2" xfId="30634" xr:uid="{9FC84921-35B3-40AC-B2C3-E4DAE82DB324}"/>
    <cellStyle name="Comma 9 8 4" xfId="25254" xr:uid="{002E24B2-B2C8-44B9-8713-3DE11B6D9157}"/>
    <cellStyle name="Comma 9 9" xfId="3877" xr:uid="{843F6AD1-FCB4-445A-AA8D-FE1C9F50769F}"/>
    <cellStyle name="Comma 9 9 2" xfId="8709" xr:uid="{95A34064-24CD-4754-9807-8A57438B2F68}"/>
    <cellStyle name="Comma 9 9 2 2" xfId="19089" xr:uid="{7555BDD1-0452-4A18-A1C8-2D9D28563F51}"/>
    <cellStyle name="Comma 9 9 3" xfId="11542" xr:uid="{6B5AB9F2-6D06-45A2-91F3-BB97F134CEA2}"/>
    <cellStyle name="Comma 9 9 3 2" xfId="21922" xr:uid="{5C5B9B25-98D4-49A4-940B-809F1F4D44DD}"/>
    <cellStyle name="Comma 9 9 4" xfId="28054" xr:uid="{86BCF2E4-A5F7-4B4D-9E16-0B7509DA28D2}"/>
    <cellStyle name="Comma 9 9 5" xfId="28683" xr:uid="{7A68E2DD-3DD2-483A-8D01-3717E66A3056}"/>
    <cellStyle name="Comma 9 9 6" xfId="16256" xr:uid="{C6FC2547-1541-496E-83B5-C02EE9239EC9}"/>
    <cellStyle name="Currency" xfId="545" builtinId="4"/>
    <cellStyle name="Currency 10" xfId="9513" xr:uid="{E689EB5D-FEBE-4207-8328-F59950977F17}"/>
    <cellStyle name="Currency 10 2" xfId="19893" xr:uid="{2B6095D5-BCD8-4CCD-85E7-EE646FEB2A7C}"/>
    <cellStyle name="Currency 2" xfId="546" xr:uid="{00000000-0005-0000-0000-000039030000}"/>
    <cellStyle name="Currency 2 2" xfId="547" xr:uid="{00000000-0005-0000-0000-00003A030000}"/>
    <cellStyle name="Currency 2 2 2" xfId="1841" xr:uid="{00000000-0005-0000-0000-00003B030000}"/>
    <cellStyle name="Currency 2 2 2 2" xfId="25523" xr:uid="{F33B5A7B-A6F4-4F39-9943-AAAD1FE7791C}"/>
    <cellStyle name="Currency 2 2 2 2 2" xfId="29987" xr:uid="{1D389E65-39AC-4C5F-B93A-CBB78158E023}"/>
    <cellStyle name="Currency 2 2 2 2 3" xfId="29729" xr:uid="{1A88D7B9-7200-4498-B657-6B21D2C37794}"/>
    <cellStyle name="Currency 2 2 2 3" xfId="25761" xr:uid="{8F717FAC-E6A7-4309-961E-F4148D0E234D}"/>
    <cellStyle name="Currency 2 2 3" xfId="1842" xr:uid="{00000000-0005-0000-0000-00003C030000}"/>
    <cellStyle name="Currency 2 2 4" xfId="1840" xr:uid="{00000000-0005-0000-0000-00003D030000}"/>
    <cellStyle name="Currency 2 3" xfId="548" xr:uid="{00000000-0005-0000-0000-00003E030000}"/>
    <cellStyle name="Currency 2 4" xfId="549" xr:uid="{00000000-0005-0000-0000-00003F030000}"/>
    <cellStyle name="Currency 2 4 10" xfId="27032" xr:uid="{E2BB59DD-EAC6-4905-8F26-36D6C8445F5A}"/>
    <cellStyle name="Currency 2 4 11" xfId="14228" xr:uid="{EFB3DA06-E140-4491-AB6E-684BE1B48751}"/>
    <cellStyle name="Currency 2 4 2" xfId="550" xr:uid="{00000000-0005-0000-0000-000040030000}"/>
    <cellStyle name="Currency 2 4 2 2" xfId="1845" xr:uid="{00000000-0005-0000-0000-000041030000}"/>
    <cellStyle name="Currency 2 4 2 2 2" xfId="29688" xr:uid="{F1847642-F42D-4B55-98E1-A2EADCB57C1B}"/>
    <cellStyle name="Currency 2 4 2 3" xfId="1846" xr:uid="{00000000-0005-0000-0000-000042030000}"/>
    <cellStyle name="Currency 2 4 2 3 2" xfId="30075" xr:uid="{D0CDD897-3FAD-4F78-9743-8364A49D3CA4}"/>
    <cellStyle name="Currency 2 4 2 4" xfId="1844" xr:uid="{00000000-0005-0000-0000-000043030000}"/>
    <cellStyle name="Currency 2 4 2 4 2" xfId="30369" xr:uid="{EA91FAAF-516B-4CA9-BC77-B171CE4664A2}"/>
    <cellStyle name="Currency 2 4 2 5" xfId="6682" xr:uid="{6B07941A-733F-4265-B589-986D489FB7FB}"/>
    <cellStyle name="Currency 2 4 2 5 2" xfId="17062" xr:uid="{A75C8787-838D-458D-9893-435FAFB16D29}"/>
    <cellStyle name="Currency 2 4 2 6" xfId="9515" xr:uid="{4A2CCE91-071D-4DFC-94AA-3F311A8B76DD}"/>
    <cellStyle name="Currency 2 4 2 6 2" xfId="19895" xr:uid="{F9F12B49-8742-44E9-86C5-23FD4B485300}"/>
    <cellStyle name="Currency 2 4 2 7" xfId="25185" xr:uid="{8C613C50-0C1C-451F-91C4-8486798283CE}"/>
    <cellStyle name="Currency 2 4 2 8" xfId="14229" xr:uid="{F0C44351-F905-47A4-AD58-729DEE0B4430}"/>
    <cellStyle name="Currency 2 4 3" xfId="1847" xr:uid="{00000000-0005-0000-0000-000044030000}"/>
    <cellStyle name="Currency 2 4 3 2" xfId="29835" xr:uid="{E6019835-0591-440B-A2ED-EAF47599D654}"/>
    <cellStyle name="Currency 2 4 3 3" xfId="30118" xr:uid="{3B1EAF23-F960-40D9-B807-A36EB70515F5}"/>
    <cellStyle name="Currency 2 4 3 4" xfId="30460" xr:uid="{C4B5AABE-75DC-4113-BEDA-78C632C4339C}"/>
    <cellStyle name="Currency 2 4 3 5" xfId="29722" xr:uid="{ECE00371-BA52-4281-B6CC-92D8D5614E3B}"/>
    <cellStyle name="Currency 2 4 4" xfId="1848" xr:uid="{00000000-0005-0000-0000-000045030000}"/>
    <cellStyle name="Currency 2 4 4 2" xfId="29912" xr:uid="{6DF8F423-C087-4B2C-B167-6CBA346A60D4}"/>
    <cellStyle name="Currency 2 4 4 3" xfId="30182" xr:uid="{AFD56A5E-5764-48C5-BB95-31945540157B}"/>
    <cellStyle name="Currency 2 4 4 4" xfId="30532" xr:uid="{ED9C430B-4090-4AF1-A79C-ADFBD245207E}"/>
    <cellStyle name="Currency 2 4 4 5" xfId="29739" xr:uid="{DA16D4FD-4031-4FC7-96C5-5648C5EDECA0}"/>
    <cellStyle name="Currency 2 4 5" xfId="1843" xr:uid="{00000000-0005-0000-0000-000046030000}"/>
    <cellStyle name="Currency 2 4 5 2" xfId="29988" xr:uid="{F8C29550-42D4-4401-AC68-11AB992541C3}"/>
    <cellStyle name="Currency 2 4 5 3" xfId="29781" xr:uid="{0DAE40EA-6245-4ED2-9A3A-0CC6B2CA28CC}"/>
    <cellStyle name="Currency 2 4 6" xfId="6681" xr:uid="{8CFBB05E-FC06-4B48-9CB7-78AB3B06959E}"/>
    <cellStyle name="Currency 2 4 6 2" xfId="17061" xr:uid="{24208534-EA6E-486C-9511-89CD5A46A0BC}"/>
    <cellStyle name="Currency 2 4 6 2 2" xfId="29717" xr:uid="{55417BA0-FCDF-4178-91CB-01134053A68A}"/>
    <cellStyle name="Currency 2 4 7" xfId="9514" xr:uid="{E9C1AF90-268C-4F7A-A2C6-48777BDDBCCB}"/>
    <cellStyle name="Currency 2 4 7 2" xfId="19894" xr:uid="{58A25324-231A-479A-B501-749E4161E97F}"/>
    <cellStyle name="Currency 2 4 8" xfId="24633" xr:uid="{27BCA51D-A890-4632-B002-5D71C0530BA5}"/>
    <cellStyle name="Currency 2 4 9" xfId="22901" xr:uid="{F015D0BA-F72C-4632-855D-37F062B28834}"/>
    <cellStyle name="Currency 2 4 9 2" xfId="30362" xr:uid="{B8E2FB3D-4176-475A-A493-BF9A72C8BFAA}"/>
    <cellStyle name="Currency 2 5" xfId="1849" xr:uid="{00000000-0005-0000-0000-000047030000}"/>
    <cellStyle name="Currency 2 5 2" xfId="29711" xr:uid="{FE7760F5-F7D8-4231-8C22-AC2ADB5518C6}"/>
    <cellStyle name="Currency 2 5 3" xfId="29696" xr:uid="{54B5D87B-7826-4283-844B-3EF90E89D976}"/>
    <cellStyle name="Currency 3" xfId="551" xr:uid="{00000000-0005-0000-0000-000048030000}"/>
    <cellStyle name="Currency 3 2" xfId="552" xr:uid="{00000000-0005-0000-0000-000049030000}"/>
    <cellStyle name="Currency 3 2 2" xfId="1851" xr:uid="{00000000-0005-0000-0000-00004A030000}"/>
    <cellStyle name="Currency 3 2 3" xfId="1852" xr:uid="{00000000-0005-0000-0000-00004B030000}"/>
    <cellStyle name="Currency 3 2 4" xfId="1850" xr:uid="{00000000-0005-0000-0000-00004C030000}"/>
    <cellStyle name="Currency 3 2 5" xfId="6683" xr:uid="{4FCFE811-3755-46F4-8803-2EFC844A90DA}"/>
    <cellStyle name="Currency 3 2 5 2" xfId="17063" xr:uid="{1F927C96-6E01-4C40-9B2D-7222789598FC}"/>
    <cellStyle name="Currency 3 2 6" xfId="9516" xr:uid="{A25B73E7-4A18-4EDD-982A-FC35F1B762F1}"/>
    <cellStyle name="Currency 3 2 6 2" xfId="19896" xr:uid="{FCE94371-A497-4F1A-B43C-D5DF03027CDF}"/>
    <cellStyle name="Currency 3 2 7" xfId="25617" xr:uid="{E1682AC9-7E11-46F4-8DF3-337BFBCF6CAC}"/>
    <cellStyle name="Currency 3 2 8" xfId="14230" xr:uid="{ADDB2CFA-D549-4A22-A71D-B2AEB10EA70D}"/>
    <cellStyle name="Currency 4" xfId="553" xr:uid="{00000000-0005-0000-0000-00004D030000}"/>
    <cellStyle name="Currency 4 10" xfId="554" xr:uid="{00000000-0005-0000-0000-00004E030000}"/>
    <cellStyle name="Currency 4 10 10" xfId="12682" xr:uid="{C89A52B3-84DE-4D56-AB19-F2222440D6C3}"/>
    <cellStyle name="Currency 4 10 2" xfId="1855" xr:uid="{00000000-0005-0000-0000-00004F030000}"/>
    <cellStyle name="Currency 4 10 2 2" xfId="3084" xr:uid="{00000000-0005-0000-0000-000075020000}"/>
    <cellStyle name="Currency 4 10 2 2 2" xfId="8164" xr:uid="{7A792EC4-ACE5-466A-BF18-DA894CE6B7E6}"/>
    <cellStyle name="Currency 4 10 2 2 2 2" xfId="18544" xr:uid="{82EF5D85-311B-4726-91D4-7AEA7459CB9A}"/>
    <cellStyle name="Currency 4 10 2 2 3" xfId="10997" xr:uid="{18F09CAA-3970-48F4-8028-B9700EEADCCB}"/>
    <cellStyle name="Currency 4 10 2 2 3 2" xfId="21377" xr:uid="{FBE3B2B8-BF65-4F7D-810C-65B197035DF8}"/>
    <cellStyle name="Currency 4 10 2 2 4" xfId="28669" xr:uid="{6B3573D9-B002-4527-BE7A-14C87DB37E3F}"/>
    <cellStyle name="Currency 4 10 2 2 5" xfId="28003" xr:uid="{3458A60A-E96B-4782-9C92-3C1E6BE08ED3}"/>
    <cellStyle name="Currency 4 10 2 2 6" xfId="15711" xr:uid="{EE4DF844-B7A5-4C38-8430-F6129C4964E3}"/>
    <cellStyle name="Currency 4 10 2 3" xfId="2052" xr:uid="{00000000-0005-0000-0000-00004F030000}"/>
    <cellStyle name="Currency 4 10 2 3 2" xfId="30093" xr:uid="{97B1972D-CBDE-470C-9DB0-FF5CB0CD1627}"/>
    <cellStyle name="Currency 4 10 2 4" xfId="5660" xr:uid="{A2AAE002-0A20-488C-9C52-4228652B0BF6}"/>
    <cellStyle name="Currency 4 10 2 4 2" xfId="30404" xr:uid="{18C962F6-61D8-4C24-A8BE-AB0E51EF3F30}"/>
    <cellStyle name="Currency 4 10 2 5" xfId="25410" xr:uid="{B0582985-45F2-4C4B-80A7-F2EC0648FFB9}"/>
    <cellStyle name="Currency 4 10 2 6" xfId="13598" xr:uid="{22E4A5B0-9FF4-47B3-85B5-231E69F48698}"/>
    <cellStyle name="Currency 4 10 3" xfId="1856" xr:uid="{00000000-0005-0000-0000-000050030000}"/>
    <cellStyle name="Currency 4 10 3 2" xfId="24734" xr:uid="{CA990BB0-C204-4B40-886F-F2954B0D0D94}"/>
    <cellStyle name="Currency 4 10 3 2 2" xfId="29876" xr:uid="{55F03D39-880A-44F6-925B-3E1A8AD018E7}"/>
    <cellStyle name="Currency 4 10 3 3" xfId="24531" xr:uid="{7D6C6936-280A-4C1C-8BFF-53EA962C5745}"/>
    <cellStyle name="Currency 4 10 3 4" xfId="30500" xr:uid="{DE26DECD-D681-4CFC-B655-673475B7C84E}"/>
    <cellStyle name="Currency 4 10 3 5" xfId="29750" xr:uid="{20DA1195-5098-47B2-950A-25F27AD1C584}"/>
    <cellStyle name="Currency 4 10 4" xfId="1854" xr:uid="{00000000-0005-0000-0000-000051030000}"/>
    <cellStyle name="Currency 4 10 4 2" xfId="24284" xr:uid="{ED9A845B-35BA-45AD-AF0D-05D9F0ECF894}"/>
    <cellStyle name="Currency 4 10 4 2 2" xfId="29947" xr:uid="{C039F42A-5E2C-4A2D-9A1B-AF6FA4B32356}"/>
    <cellStyle name="Currency 4 10 4 3" xfId="23779" xr:uid="{D5B3556B-A73E-4DB9-A41F-1F71F0BEC923}"/>
    <cellStyle name="Currency 4 10 4 4" xfId="30598" xr:uid="{322EDE84-8FB9-489D-9905-42864099F8B4}"/>
    <cellStyle name="Currency 4 10 4 5" xfId="29683" xr:uid="{D98ADCD7-71C5-4193-9150-C44F3E98B337}"/>
    <cellStyle name="Currency 4 10 5" xfId="4136" xr:uid="{28316C04-2271-4F96-8382-FEA953367420}"/>
    <cellStyle name="Currency 4 10 5 2" xfId="8908" xr:uid="{21AE18FF-01CE-414B-8875-3BAD9B9FCB74}"/>
    <cellStyle name="Currency 4 10 5 2 2" xfId="19288" xr:uid="{9966A440-B95F-4ADC-9324-D570952B48A6}"/>
    <cellStyle name="Currency 4 10 5 2 3" xfId="29990" xr:uid="{8406E1DF-9945-40F3-9553-E488DEADC525}"/>
    <cellStyle name="Currency 4 10 5 3" xfId="11741" xr:uid="{8EDF15E3-3BF4-4105-81C3-E58B929AF5B2}"/>
    <cellStyle name="Currency 4 10 5 3 2" xfId="22121" xr:uid="{567DDC84-5198-4391-AC59-3C901AD1288D}"/>
    <cellStyle name="Currency 4 10 5 4" xfId="25951" xr:uid="{60920962-F1EA-43F0-A991-A08232A9634E}"/>
    <cellStyle name="Currency 4 10 5 5" xfId="28207" xr:uid="{D87AB717-F7E9-4807-B0A8-76E8CF9660A8}"/>
    <cellStyle name="Currency 4 10 5 6" xfId="16455" xr:uid="{B11E6810-51CE-4318-A490-C1192DB9235C}"/>
    <cellStyle name="Currency 4 10 6" xfId="4937" xr:uid="{F803A6F7-BC98-40BE-B52A-DDBD368BD4A7}"/>
    <cellStyle name="Currency 4 10 6 2" xfId="28038" xr:uid="{24DF6FA4-CC8D-41D8-A018-9EF7C39184F9}"/>
    <cellStyle name="Currency 4 10 6 3" xfId="28439" xr:uid="{BE24D556-7083-4982-A77C-092D2A3B50D3}"/>
    <cellStyle name="Currency 4 10 6 3 2" xfId="30754" xr:uid="{F148F9F7-9B79-479F-BE16-A90F6745CF37}"/>
    <cellStyle name="Currency 4 10 6 4" xfId="14232" xr:uid="{77673FEB-C8F7-4DBD-9C8B-128DB655EB07}"/>
    <cellStyle name="Currency 4 10 7" xfId="6685" xr:uid="{E7B1152D-13C8-4C51-99D0-C1CE86CA2672}"/>
    <cellStyle name="Currency 4 10 7 2" xfId="17065" xr:uid="{9F440BE2-68A6-4EF1-861E-6FCD31280449}"/>
    <cellStyle name="Currency 4 10 8" xfId="9518" xr:uid="{69CFF2B3-C837-4AF4-82CA-58394D59C04B}"/>
    <cellStyle name="Currency 4 10 8 2" xfId="19898" xr:uid="{2252050E-2952-4216-9021-BCEE2F54784E}"/>
    <cellStyle name="Currency 4 10 9" xfId="24282" xr:uid="{6C0D5AE9-E8ED-4663-A503-398A88041B84}"/>
    <cellStyle name="Currency 4 11" xfId="555" xr:uid="{00000000-0005-0000-0000-000052030000}"/>
    <cellStyle name="Currency 4 11 2" xfId="1858" xr:uid="{00000000-0005-0000-0000-000053030000}"/>
    <cellStyle name="Currency 4 11 2 2" xfId="25670" xr:uid="{6AE32305-D723-4F2B-9726-69A14A97E3DF}"/>
    <cellStyle name="Currency 4 11 2 2 2" xfId="30025" xr:uid="{DE24A0C8-AC20-4FF4-8AB9-55CDA7643F90}"/>
    <cellStyle name="Currency 4 11 2 3" xfId="22791" xr:uid="{5ABBA574-11C1-4A53-8D6F-81175CE6891C}"/>
    <cellStyle name="Currency 4 11 2 4" xfId="30711" xr:uid="{F020D0E5-0D2F-4CC2-BB62-8B03B310571C}"/>
    <cellStyle name="Currency 4 11 2 5" xfId="29708" xr:uid="{EDE2BE9A-D493-43FF-AFB3-7491A471BFDC}"/>
    <cellStyle name="Currency 4 11 3" xfId="1859" xr:uid="{00000000-0005-0000-0000-000054030000}"/>
    <cellStyle name="Currency 4 11 3 2" xfId="29788" xr:uid="{91C2BE66-6793-4CAF-AA0D-9A9718FC82C3}"/>
    <cellStyle name="Currency 4 11 4" xfId="1857" xr:uid="{00000000-0005-0000-0000-000055030000}"/>
    <cellStyle name="Currency 4 11 4 2" xfId="30066" xr:uid="{03463877-3FC2-430F-B8F5-C4299AB32292}"/>
    <cellStyle name="Currency 4 11 5" xfId="4938" xr:uid="{BFC9E390-F889-4696-9995-875A71621CBA}"/>
    <cellStyle name="Currency 4 11 5 2" xfId="14233" xr:uid="{8AECC12D-B054-4142-9C5F-758968040410}"/>
    <cellStyle name="Currency 4 11 6" xfId="6686" xr:uid="{0B58B3C8-2CC9-497F-8371-C9F709B7FDE3}"/>
    <cellStyle name="Currency 4 11 6 2" xfId="17066" xr:uid="{3DC1AB66-354C-4573-99AC-B2AFCBB0FB06}"/>
    <cellStyle name="Currency 4 11 7" xfId="9519" xr:uid="{8147509B-15A1-4C96-A0C2-45BD4C595CC9}"/>
    <cellStyle name="Currency 4 11 7 2" xfId="19899" xr:uid="{41CBA3BB-6B53-4097-A6A0-65C21B147329}"/>
    <cellStyle name="Currency 4 11 8" xfId="25120" xr:uid="{04ACA9BD-851F-42B7-91D0-95019CD4E73C}"/>
    <cellStyle name="Currency 4 11 9" xfId="13380" xr:uid="{F2C1A7B9-8D2A-4045-8439-6F7BD31BCAD2}"/>
    <cellStyle name="Currency 4 12" xfId="1860" xr:uid="{00000000-0005-0000-0000-000056030000}"/>
    <cellStyle name="Currency 4 12 2" xfId="2435" xr:uid="{00000000-0005-0000-0000-000077020000}"/>
    <cellStyle name="Currency 4 12 2 2" xfId="7560" xr:uid="{3D331767-DFA7-49F7-B67B-E2844C1A1125}"/>
    <cellStyle name="Currency 4 12 2 2 2" xfId="17940" xr:uid="{47AE85F2-3195-456D-AD1F-5296A0FD07A1}"/>
    <cellStyle name="Currency 4 12 2 3" xfId="10393" xr:uid="{74AA856C-1546-48A1-902B-0B9C48E13197}"/>
    <cellStyle name="Currency 4 12 2 3 2" xfId="20773" xr:uid="{DB56C7FD-1566-4A75-8FCC-9C848565BFF6}"/>
    <cellStyle name="Currency 4 12 2 4" xfId="15107" xr:uid="{29096738-BB6A-486C-9D3B-D9E98C7DF5A2}"/>
    <cellStyle name="Currency 4 12 3" xfId="3606" xr:uid="{00000000-0005-0000-0000-000056030000}"/>
    <cellStyle name="Currency 4 12 3 2" xfId="30109" xr:uid="{229DD9C0-2F04-4BCF-91AE-82D416DA03C6}"/>
    <cellStyle name="Currency 4 12 4" xfId="5661" xr:uid="{442882FD-A814-4225-99B5-C1E0B22554C2}"/>
    <cellStyle name="Currency 4 12 4 2" xfId="30451" xr:uid="{4D085FEF-22D3-4D50-BC0C-9A786F35DDEB}"/>
    <cellStyle name="Currency 4 12 5" xfId="22761" xr:uid="{63F35A41-69FD-49A0-A60E-7B3978025D2D}"/>
    <cellStyle name="Currency 4 12 6" xfId="12822" xr:uid="{BE8AD55E-3093-4446-86E2-D073A8C1FFA1}"/>
    <cellStyle name="Currency 4 13" xfId="1861" xr:uid="{00000000-0005-0000-0000-000057030000}"/>
    <cellStyle name="Currency 4 13 2" xfId="2165" xr:uid="{00000000-0005-0000-0000-000073020000}"/>
    <cellStyle name="Currency 4 13 2 2" xfId="7292" xr:uid="{ED095754-1457-4145-9AB5-64B9CBFBC360}"/>
    <cellStyle name="Currency 4 13 2 2 2" xfId="17672" xr:uid="{8091C615-6AC9-417A-9B8D-39A46392F9F0}"/>
    <cellStyle name="Currency 4 13 2 3" xfId="10125" xr:uid="{842A2EB4-2F05-4C39-8A60-C6703A06F64D}"/>
    <cellStyle name="Currency 4 13 2 3 2" xfId="20505" xr:uid="{258F88F9-5150-4BC3-96C5-9ED93391EAFF}"/>
    <cellStyle name="Currency 4 13 2 4" xfId="28297" xr:uid="{53E75C48-0B63-4183-9B7C-D7E63C929532}"/>
    <cellStyle name="Currency 4 13 2 5" xfId="27338" xr:uid="{C17836A6-C549-4DBA-A4BB-6076037FA8EE}"/>
    <cellStyle name="Currency 4 13 2 6" xfId="14839" xr:uid="{14041440-C9DD-441B-854D-DD8735680B6E}"/>
    <cellStyle name="Currency 4 13 3" xfId="2077" xr:uid="{00000000-0005-0000-0000-000057030000}"/>
    <cellStyle name="Currency 4 13 3 2" xfId="30172" xr:uid="{7EC63DD1-512D-4BA1-AB46-C10EA5986453}"/>
    <cellStyle name="Currency 4 13 4" xfId="23379" xr:uid="{D88FAFBE-9691-4F2E-80BC-179C5A201D6E}"/>
    <cellStyle name="Currency 4 13 4 2" xfId="30523" xr:uid="{35680716-0537-4D66-BBD1-2C8AE6A13415}"/>
    <cellStyle name="Currency 4 14" xfId="1853" xr:uid="{00000000-0005-0000-0000-000058030000}"/>
    <cellStyle name="Currency 4 14 2" xfId="25803" xr:uid="{FBE6B4CA-BCAB-44EE-A7E9-70F4C6699F61}"/>
    <cellStyle name="Currency 4 14 2 2" xfId="30239" xr:uid="{DD1B03B2-6797-4A39-88A1-3111A80F3BFA}"/>
    <cellStyle name="Currency 4 14 3" xfId="25776" xr:uid="{9A16FB8B-ADB5-4AC7-9F1A-D13AAB955871}"/>
    <cellStyle name="Currency 4 14 4" xfId="29989" xr:uid="{1AECFFB8-E482-4099-AF8A-05E71E693688}"/>
    <cellStyle name="Currency 4 15" xfId="3881" xr:uid="{8A16B6F4-4C91-4357-9C17-F36A8BA48B18}"/>
    <cellStyle name="Currency 4 15 2" xfId="8713" xr:uid="{8EB94A9F-EF8B-4EA7-897E-FE94FBF423D5}"/>
    <cellStyle name="Currency 4 15 2 2" xfId="19093" xr:uid="{98BB6A6F-5B49-4748-8DB0-C0E4275141D6}"/>
    <cellStyle name="Currency 4 15 3" xfId="11546" xr:uid="{38A5F320-0DE0-46D5-A927-27C5471EBED7}"/>
    <cellStyle name="Currency 4 15 3 2" xfId="21926" xr:uid="{571A51F8-6074-48F7-BBB4-1AC0F039850E}"/>
    <cellStyle name="Currency 4 15 4" xfId="27295" xr:uid="{B2877688-2F6B-4368-95B5-4718C229756B}"/>
    <cellStyle name="Currency 4 15 5" xfId="26519" xr:uid="{C27C6762-C1D9-464C-B909-10F478B0DAED}"/>
    <cellStyle name="Currency 4 15 6" xfId="16260" xr:uid="{C60FEDF8-8FD8-476E-B86E-1BEECE6D3847}"/>
    <cellStyle name="Currency 4 16" xfId="4936" xr:uid="{2E48FC4A-ACA0-4D64-BB27-D26AB243475C}"/>
    <cellStyle name="Currency 4 16 2" xfId="27591" xr:uid="{7DBE2F17-F500-45BB-8C28-33AA7DF16E87}"/>
    <cellStyle name="Currency 4 16 3" xfId="26841" xr:uid="{5E6EA418-A6FA-41B7-A169-4158FC19B3FD}"/>
    <cellStyle name="Currency 4 16 4" xfId="14231" xr:uid="{E5BB4F4D-65E4-4119-89EF-B26E1F145ED9}"/>
    <cellStyle name="Currency 4 17" xfId="6684" xr:uid="{23119076-1826-438F-A532-AFC5D5908B0C}"/>
    <cellStyle name="Currency 4 17 2" xfId="17064" xr:uid="{84C8C268-56AD-4B42-9168-6A1E80FAA892}"/>
    <cellStyle name="Currency 4 18" xfId="9517" xr:uid="{DEE09A3A-0523-4291-B302-B35F22E14947}"/>
    <cellStyle name="Currency 4 18 2" xfId="19897" xr:uid="{B2E97F39-C4B4-4017-88F1-E8DB22F1FEF5}"/>
    <cellStyle name="Currency 4 19" xfId="22844" xr:uid="{CD82A28B-6BBC-4D24-BA6B-DBE201BB073F}"/>
    <cellStyle name="Currency 4 2" xfId="556" xr:uid="{00000000-0005-0000-0000-000059030000}"/>
    <cellStyle name="Currency 4 2 10" xfId="4939" xr:uid="{7CE55DFC-6AB4-49FF-B062-66C91C3D19B3}"/>
    <cellStyle name="Currency 4 2 10 2" xfId="27654" xr:uid="{B5983676-F40C-431A-A600-57A48763A5C4}"/>
    <cellStyle name="Currency 4 2 10 3" xfId="26911" xr:uid="{2AA3DBB0-A053-4C1D-ACC6-1B9B3D63B6E8}"/>
    <cellStyle name="Currency 4 2 10 4" xfId="14234" xr:uid="{D104C87A-7ABC-4ED6-A828-217CB3DD3CA6}"/>
    <cellStyle name="Currency 4 2 11" xfId="6687" xr:uid="{B5AC1A94-00AB-423D-9ED8-093C7331C0FA}"/>
    <cellStyle name="Currency 4 2 11 2" xfId="17067" xr:uid="{FA29BC29-6948-4046-9E61-620462271D69}"/>
    <cellStyle name="Currency 4 2 12" xfId="9520" xr:uid="{99278EF3-BC64-40D5-A41C-D1BBB7E92051}"/>
    <cellStyle name="Currency 4 2 12 2" xfId="19900" xr:uid="{CF63DCC8-C075-4F0E-9FCB-66AA89898ADA}"/>
    <cellStyle name="Currency 4 2 13" xfId="23306" xr:uid="{C0F291B2-0F24-468C-A470-39546BA1EA8C}"/>
    <cellStyle name="Currency 4 2 14" xfId="12420" xr:uid="{61B0A083-6D10-4333-BA5F-38A9CD77F14B}"/>
    <cellStyle name="Currency 4 2 2" xfId="557" xr:uid="{00000000-0005-0000-0000-00005A030000}"/>
    <cellStyle name="Currency 4 2 2 10" xfId="6688" xr:uid="{E924E7D5-EEB2-48A0-AB3C-FC2465E48362}"/>
    <cellStyle name="Currency 4 2 2 10 2" xfId="17068" xr:uid="{2AC6DD1D-EB61-45BE-863B-CD2611824E85}"/>
    <cellStyle name="Currency 4 2 2 11" xfId="9521" xr:uid="{E04CC9AF-519D-4284-9439-E38B1CBDB025}"/>
    <cellStyle name="Currency 4 2 2 11 2" xfId="19901" xr:uid="{179D9FE8-DC4A-4A66-90F9-01A96618D461}"/>
    <cellStyle name="Currency 4 2 2 12" xfId="24835" xr:uid="{557BFA1C-DCB3-4381-8D1D-328BAAF1BB48}"/>
    <cellStyle name="Currency 4 2 2 13" xfId="12480" xr:uid="{48380BA2-5D42-43E8-9181-C7C6489F582C}"/>
    <cellStyle name="Currency 4 2 2 2" xfId="558" xr:uid="{00000000-0005-0000-0000-00005B030000}"/>
    <cellStyle name="Currency 4 2 2 2 10" xfId="9522" xr:uid="{D7792FC4-660D-4C69-8479-83A98CBA5288}"/>
    <cellStyle name="Currency 4 2 2 2 10 2" xfId="19902" xr:uid="{F61283B0-DDE0-4A4D-8DDA-38AF6E104196}"/>
    <cellStyle name="Currency 4 2 2 2 11" xfId="23796" xr:uid="{6BFC9E81-2557-4A8A-A80C-6DBBCE540376}"/>
    <cellStyle name="Currency 4 2 2 2 12" xfId="12526" xr:uid="{BD0B3595-35FD-4A85-BCA8-12D04857AA2D}"/>
    <cellStyle name="Currency 4 2 2 2 2" xfId="1865" xr:uid="{00000000-0005-0000-0000-00005C030000}"/>
    <cellStyle name="Currency 4 2 2 2 2 2" xfId="3086" xr:uid="{00000000-0005-0000-0000-00007C020000}"/>
    <cellStyle name="Currency 4 2 2 2 2 2 2" xfId="6171" xr:uid="{3688B7CC-920A-49CE-8F5C-A63ADC39A1FD}"/>
    <cellStyle name="Currency 4 2 2 2 2 2 2 2" xfId="28276" xr:uid="{DCF2970D-8D47-4C4A-B66C-0F5DF9A0326F}"/>
    <cellStyle name="Currency 4 2 2 2 2 2 2 3" xfId="28319" xr:uid="{43DE835C-E4BB-4BA9-AE0C-0D6D1B34494B}"/>
    <cellStyle name="Currency 4 2 2 2 2 2 2 4" xfId="15713" xr:uid="{B4E63A51-BF19-41A6-A3F9-C86E5DA7D71B}"/>
    <cellStyle name="Currency 4 2 2 2 2 2 3" xfId="8166" xr:uid="{11B0660F-2B66-45A8-ABB5-D7786E6025C7}"/>
    <cellStyle name="Currency 4 2 2 2 2 2 3 2" xfId="18546" xr:uid="{3677FF65-3179-47D8-BF89-8023B736CC7B}"/>
    <cellStyle name="Currency 4 2 2 2 2 2 4" xfId="10999" xr:uid="{F4B7426D-37A2-4AD3-9108-2BF0B5D8E954}"/>
    <cellStyle name="Currency 4 2 2 2 2 2 4 2" xfId="21379" xr:uid="{E1A63A5C-6CD3-4859-A95B-383D2421C311}"/>
    <cellStyle name="Currency 4 2 2 2 2 2 5" xfId="25288" xr:uid="{3B11134B-3D6C-47C6-9D7D-3220DDA33DE8}"/>
    <cellStyle name="Currency 4 2 2 2 2 2 6" xfId="27210" xr:uid="{8F821E97-BBE8-4B19-903E-01305D917831}"/>
    <cellStyle name="Currency 4 2 2 2 2 2 7" xfId="13600" xr:uid="{2F5E4AA7-08A4-4739-9D5C-0FD9A020F792}"/>
    <cellStyle name="Currency 4 2 2 2 2 3" xfId="2693" xr:uid="{00000000-0005-0000-0000-00007B020000}"/>
    <cellStyle name="Currency 4 2 2 2 2 3 2" xfId="7817" xr:uid="{1FF16178-2B08-4E6A-AB25-0B4BFD600FA2}"/>
    <cellStyle name="Currency 4 2 2 2 2 3 2 2" xfId="28006" xr:uid="{BA6C94ED-13EE-42EF-B9BB-F915C33DECC8}"/>
    <cellStyle name="Currency 4 2 2 2 2 3 2 3" xfId="27468" xr:uid="{8236B4FE-D5FC-4F0B-9702-DB72491E0818}"/>
    <cellStyle name="Currency 4 2 2 2 2 3 2 4" xfId="18197" xr:uid="{CE04EA8D-052C-4BBD-93ED-F0D5F91FA45F}"/>
    <cellStyle name="Currency 4 2 2 2 2 3 3" xfId="10650" xr:uid="{9CFBD146-D83F-4CC8-AF4A-A9B8D5843DF2}"/>
    <cellStyle name="Currency 4 2 2 2 2 3 3 2" xfId="21030" xr:uid="{4AFCC743-FA0D-4F2A-94CB-96E5BC9C847F}"/>
    <cellStyle name="Currency 4 2 2 2 2 3 4" xfId="24059" xr:uid="{C57C7806-3BB8-4151-AFF1-2022B9C2BAA7}"/>
    <cellStyle name="Currency 4 2 2 2 2 3 5" xfId="15364" xr:uid="{C5369981-2202-4D8C-9F0D-B27E3412C25A}"/>
    <cellStyle name="Currency 4 2 2 2 2 4" xfId="3703" xr:uid="{00000000-0005-0000-0000-00005C030000}"/>
    <cellStyle name="Currency 4 2 2 2 2 4 2" xfId="26599" xr:uid="{F886625C-0AFC-492F-A3D1-E841A6F7365F}"/>
    <cellStyle name="Currency 4 2 2 2 2 4 2 2" xfId="29811" xr:uid="{408AAA48-FB94-431D-BB57-6D0E832A1FB1}"/>
    <cellStyle name="Currency 4 2 2 2 2 4 3" xfId="26881" xr:uid="{F81CAD20-DEED-47B7-BD1C-8459B3A8B952}"/>
    <cellStyle name="Currency 4 2 2 2 2 5" xfId="4272" xr:uid="{DB678E1F-F1EB-415D-8189-981646C9AD72}"/>
    <cellStyle name="Currency 4 2 2 2 2 5 2" xfId="9044" xr:uid="{A997A002-51DC-428D-9D9A-8390B6CA7F20}"/>
    <cellStyle name="Currency 4 2 2 2 2 5 2 2" xfId="19424" xr:uid="{5779248A-0167-4B0D-97F6-18172432DF5A}"/>
    <cellStyle name="Currency 4 2 2 2 2 5 3" xfId="11877" xr:uid="{B570B061-A6FE-4BE4-8262-8A3A437A7EC0}"/>
    <cellStyle name="Currency 4 2 2 2 2 5 3 2" xfId="22257" xr:uid="{549C98A1-7C4B-4065-9044-14CFB49B77DC}"/>
    <cellStyle name="Currency 4 2 2 2 2 5 4" xfId="27521" xr:uid="{0E0B8DDC-1564-46C0-BC44-A2A8C5F7C96A}"/>
    <cellStyle name="Currency 4 2 2 2 2 5 5" xfId="27603" xr:uid="{69244FEA-B661-4569-8F52-94339BC4842D}"/>
    <cellStyle name="Currency 4 2 2 2 2 5 6" xfId="16591" xr:uid="{A45FA4F4-052B-49EC-A1CC-7DEE362FD4CB}"/>
    <cellStyle name="Currency 4 2 2 2 2 6" xfId="5664" xr:uid="{BF7DF391-C85B-4BD0-A2FA-E856C1E1B837}"/>
    <cellStyle name="Currency 4 2 2 2 2 6 2" xfId="30395" xr:uid="{DDF0733D-3B58-4CA3-983F-2ED39E05FFD9}"/>
    <cellStyle name="Currency 4 2 2 2 2 7" xfId="22683" xr:uid="{AB73C219-89C9-4191-8E87-5E4330197BFE}"/>
    <cellStyle name="Currency 4 2 2 2 2 8" xfId="13106" xr:uid="{1655F9DF-4D17-4F9F-9CAE-DC6F8C6EF0E8}"/>
    <cellStyle name="Currency 4 2 2 2 3" xfId="1866" xr:uid="{00000000-0005-0000-0000-00005D030000}"/>
    <cellStyle name="Currency 4 2 2 2 3 2" xfId="3087" xr:uid="{00000000-0005-0000-0000-00007D020000}"/>
    <cellStyle name="Currency 4 2 2 2 3 2 2" xfId="8167" xr:uid="{9D23410F-F07A-447E-A7A6-0CAFF5985449}"/>
    <cellStyle name="Currency 4 2 2 2 3 2 2 2" xfId="28837" xr:uid="{06941125-7C96-42BA-A28D-34E6CCA3D8C6}"/>
    <cellStyle name="Currency 4 2 2 2 3 2 2 3" xfId="26853" xr:uid="{77F1A8C5-0AA4-4CC9-9F31-861556EFC010}"/>
    <cellStyle name="Currency 4 2 2 2 3 2 2 4" xfId="18547" xr:uid="{E759ECE0-2A5E-40BE-86E4-AE97AA408258}"/>
    <cellStyle name="Currency 4 2 2 2 3 2 3" xfId="11000" xr:uid="{BA158067-73CD-43F9-AEB2-2278BDB95667}"/>
    <cellStyle name="Currency 4 2 2 2 3 2 3 2" xfId="21380" xr:uid="{E1421810-EB1E-48A1-B126-9B300EE9C975}"/>
    <cellStyle name="Currency 4 2 2 2 3 2 4" xfId="25648" xr:uid="{256A75EC-637D-4BE9-AD3C-BB4054B363D8}"/>
    <cellStyle name="Currency 4 2 2 2 3 2 5" xfId="15714" xr:uid="{EBFF9E94-0DD9-4222-A386-91E2CA987D69}"/>
    <cellStyle name="Currency 4 2 2 2 3 3" xfId="2088" xr:uid="{00000000-0005-0000-0000-00005D030000}"/>
    <cellStyle name="Currency 4 2 2 2 3 3 2" xfId="29865" xr:uid="{5A82FC3D-AD2A-49BC-B76B-554B5D1F14DB}"/>
    <cellStyle name="Currency 4 2 2 2 3 4" xfId="4423" xr:uid="{3F8880EA-BDCC-4264-BCE8-60BF4BA92E42}"/>
    <cellStyle name="Currency 4 2 2 2 3 4 2" xfId="9195" xr:uid="{FD36FD56-46F6-4D3B-B9F6-689E1F5F0734}"/>
    <cellStyle name="Currency 4 2 2 2 3 4 2 2" xfId="19575" xr:uid="{6F9AA829-FAFE-4260-A170-9D6A9F5DEBC9}"/>
    <cellStyle name="Currency 4 2 2 2 3 4 3" xfId="12028" xr:uid="{749C648E-FE14-4E78-88E1-738DB6998D09}"/>
    <cellStyle name="Currency 4 2 2 2 3 4 3 2" xfId="22408" xr:uid="{8C8B550F-F6E7-4047-A75E-4E13D2B95563}"/>
    <cellStyle name="Currency 4 2 2 2 3 4 4" xfId="16742" xr:uid="{0A45D439-F008-4276-BCCC-1A592538F7EB}"/>
    <cellStyle name="Currency 4 2 2 2 3 5" xfId="5665" xr:uid="{2D7828CB-E2C0-4146-9476-187DEA31046E}"/>
    <cellStyle name="Currency 4 2 2 2 3 5 2" xfId="30488" xr:uid="{D567E77D-FE2A-493D-9B6F-C78113242F52}"/>
    <cellStyle name="Currency 4 2 2 2 3 6" xfId="22667" xr:uid="{15B918AE-678C-49C0-9E66-682B52E15F1F}"/>
    <cellStyle name="Currency 4 2 2 2 3 7" xfId="13601" xr:uid="{CD1D9F12-7423-4636-BB08-F1DA4C51B085}"/>
    <cellStyle name="Currency 4 2 2 2 4" xfId="1864" xr:uid="{00000000-0005-0000-0000-00005E030000}"/>
    <cellStyle name="Currency 4 2 2 2 4 2" xfId="3085" xr:uid="{00000000-0005-0000-0000-00007E020000}"/>
    <cellStyle name="Currency 4 2 2 2 4 2 2" xfId="8165" xr:uid="{3E0C9CBD-1BDD-4D4D-AC3B-38B36802B03E}"/>
    <cellStyle name="Currency 4 2 2 2 4 2 2 2" xfId="28836" xr:uid="{6D84C83D-A4D2-4098-AD3E-999BE8D72815}"/>
    <cellStyle name="Currency 4 2 2 2 4 2 2 3" xfId="27099" xr:uid="{E06DE2C2-9923-4FB1-B7F5-5027FA1F3B76}"/>
    <cellStyle name="Currency 4 2 2 2 4 2 2 4" xfId="18545" xr:uid="{70AEAA82-E9C7-4677-B3D2-4A044445B867}"/>
    <cellStyle name="Currency 4 2 2 2 4 2 3" xfId="10998" xr:uid="{87D96046-58A7-4656-BC78-7523A2D5308F}"/>
    <cellStyle name="Currency 4 2 2 2 4 2 3 2" xfId="21378" xr:uid="{911DE9A5-E645-4507-9539-A78CE5E85084}"/>
    <cellStyle name="Currency 4 2 2 2 4 2 4" xfId="27550" xr:uid="{9E5508BD-0A72-4689-AF3B-59B978984740}"/>
    <cellStyle name="Currency 4 2 2 2 4 2 5" xfId="15712" xr:uid="{F311196B-7DF4-4496-A2E5-2D96B7A7FEA7}"/>
    <cellStyle name="Currency 4 2 2 2 4 3" xfId="3587" xr:uid="{00000000-0005-0000-0000-00005E030000}"/>
    <cellStyle name="Currency 4 2 2 2 4 3 2" xfId="29937" xr:uid="{3E37F4CB-9DFA-4926-82EE-4A8DEBDA3C34}"/>
    <cellStyle name="Currency 4 2 2 2 4 4" xfId="5663" xr:uid="{06882770-1EE0-45F0-A226-52CE0F863C5B}"/>
    <cellStyle name="Currency 4 2 2 2 4 4 2" xfId="30208" xr:uid="{149E8547-0AAE-4346-B0FA-B8FDD05C86DB}"/>
    <cellStyle name="Currency 4 2 2 2 4 5" xfId="24698" xr:uid="{68697844-2BE1-45A1-8C80-4FCA89377120}"/>
    <cellStyle name="Currency 4 2 2 2 4 6" xfId="13599" xr:uid="{3B8B31F1-F86F-4BB4-B066-241BD2D4A438}"/>
    <cellStyle name="Currency 4 2 2 2 5" xfId="2649" xr:uid="{00000000-0005-0000-0000-00007F020000}"/>
    <cellStyle name="Currency 4 2 2 2 5 2" xfId="5911" xr:uid="{83E46272-0DC1-48F9-A571-1CF062190DDF}"/>
    <cellStyle name="Currency 4 2 2 2 5 2 2" xfId="26289" xr:uid="{28B265D6-57F6-46F1-B54D-41941B40D1D7}"/>
    <cellStyle name="Currency 4 2 2 2 5 2 3" xfId="28173" xr:uid="{DC7D8C25-8C23-4107-BDC1-B746510148FB}"/>
    <cellStyle name="Currency 4 2 2 2 5 2 4" xfId="15321" xr:uid="{A98FC3E3-572A-40ED-A21E-F5ECEABB3036}"/>
    <cellStyle name="Currency 4 2 2 2 5 3" xfId="7774" xr:uid="{25711A40-4108-4F35-A2B4-70F996F6CED1}"/>
    <cellStyle name="Currency 4 2 2 2 5 3 2" xfId="18154" xr:uid="{3408E077-60C0-4AFB-95A8-135D5E7B625E}"/>
    <cellStyle name="Currency 4 2 2 2 5 4" xfId="10607" xr:uid="{704F98E0-1C98-4DFD-9553-83B92A07B364}"/>
    <cellStyle name="Currency 4 2 2 2 5 4 2" xfId="20987" xr:uid="{A371C0BE-95BF-4651-940A-4FB05495D601}"/>
    <cellStyle name="Currency 4 2 2 2 5 5" xfId="23496" xr:uid="{60D28789-341B-47F0-8C26-505604337F32}"/>
    <cellStyle name="Currency 4 2 2 2 5 6" xfId="13045" xr:uid="{6ED3DC99-6AC8-4E10-BAE0-B6C7CD7F2146}"/>
    <cellStyle name="Currency 4 2 2 2 6" xfId="2294" xr:uid="{00000000-0005-0000-0000-00007A020000}"/>
    <cellStyle name="Currency 4 2 2 2 6 2" xfId="7421" xr:uid="{F671DDA7-3E30-4C62-82F6-73444BD626D3}"/>
    <cellStyle name="Currency 4 2 2 2 6 2 2" xfId="17801" xr:uid="{DDDE0EDC-E9B1-422B-8168-05F3B033392F}"/>
    <cellStyle name="Currency 4 2 2 2 6 3" xfId="10254" xr:uid="{BCEA1E7E-7C7A-447F-9F10-C5A83EEDA9C7}"/>
    <cellStyle name="Currency 4 2 2 2 6 3 2" xfId="20634" xr:uid="{C45980F5-9E3F-4555-B7F5-17068C6F33AC}"/>
    <cellStyle name="Currency 4 2 2 2 6 4" xfId="22867" xr:uid="{518C6954-DE2D-4A1F-B51B-FD39A6713FDC}"/>
    <cellStyle name="Currency 4 2 2 2 6 5" xfId="26799" xr:uid="{CBFD2042-DFFD-4375-BCFF-EC63999D1C44}"/>
    <cellStyle name="Currency 4 2 2 2 6 6" xfId="14968" xr:uid="{0492F95F-2C72-41AC-8F42-86FE9E07F6D7}"/>
    <cellStyle name="Currency 4 2 2 2 7" xfId="3829" xr:uid="{AEDD572E-49A8-4592-81DB-9FDFE8A31D30}"/>
    <cellStyle name="Currency 4 2 2 2 7 2" xfId="8662" xr:uid="{F5FA23B3-90C2-4BF7-A52B-E182D1D987E7}"/>
    <cellStyle name="Currency 4 2 2 2 7 2 2" xfId="19042" xr:uid="{D96DD5AE-ECD6-4C43-8598-7B0529A20AB6}"/>
    <cellStyle name="Currency 4 2 2 2 7 3" xfId="11495" xr:uid="{BBF68987-22E1-4A7F-9D1E-3AEE85A9A77A}"/>
    <cellStyle name="Currency 4 2 2 2 7 3 2" xfId="21875" xr:uid="{F0317D2F-E882-438D-ADF9-5A31A6255D9C}"/>
    <cellStyle name="Currency 4 2 2 2 7 4" xfId="26216" xr:uid="{6750DDDB-9048-4B28-97CC-33D0EF6C2B58}"/>
    <cellStyle name="Currency 4 2 2 2 7 5" xfId="26293" xr:uid="{73484976-F7E6-4EF2-BE00-4B7F773BD133}"/>
    <cellStyle name="Currency 4 2 2 2 7 6" xfId="16209" xr:uid="{1750DA11-4588-4CA5-8D39-D176BD0A9D3D}"/>
    <cellStyle name="Currency 4 2 2 2 8" xfId="4941" xr:uid="{740CED31-770C-481C-B112-BA20FC30C448}"/>
    <cellStyle name="Currency 4 2 2 2 8 2" xfId="14236" xr:uid="{D5F5BC0A-4A43-44E9-BE67-3E39B11243A7}"/>
    <cellStyle name="Currency 4 2 2 2 9" xfId="6689" xr:uid="{A7F7E3E4-0F05-4536-9E3B-CC3F3C6D97F5}"/>
    <cellStyle name="Currency 4 2 2 2 9 2" xfId="17069" xr:uid="{7D8C6FF3-2185-4AF1-9706-F4F5A1E7BD83}"/>
    <cellStyle name="Currency 4 2 2 3" xfId="559" xr:uid="{00000000-0005-0000-0000-00005F030000}"/>
    <cellStyle name="Currency 4 2 2 3 10" xfId="12684" xr:uid="{12FB2570-54E9-49DD-9D58-A74BA829CB74}"/>
    <cellStyle name="Currency 4 2 2 3 2" xfId="1868" xr:uid="{00000000-0005-0000-0000-000060030000}"/>
    <cellStyle name="Currency 4 2 2 3 2 2" xfId="3088" xr:uid="{00000000-0005-0000-0000-000081020000}"/>
    <cellStyle name="Currency 4 2 2 3 2 2 2" xfId="8168" xr:uid="{2D1CDA98-77C7-48FC-960A-6583ECA88D6E}"/>
    <cellStyle name="Currency 4 2 2 3 2 2 2 2" xfId="28838" xr:uid="{18A7D48F-E35C-43F1-BA04-69DE9CF7540D}"/>
    <cellStyle name="Currency 4 2 2 3 2 2 2 3" xfId="28626" xr:uid="{D5812786-C032-4CDF-9EDA-498A1EE67794}"/>
    <cellStyle name="Currency 4 2 2 3 2 2 2 4" xfId="18548" xr:uid="{45EED34F-0258-46DF-8948-96EFD8EAFA27}"/>
    <cellStyle name="Currency 4 2 2 3 2 2 3" xfId="11001" xr:uid="{6F15308D-77B7-45E6-8AD3-9B2CFCA37476}"/>
    <cellStyle name="Currency 4 2 2 3 2 2 3 2" xfId="21381" xr:uid="{7F1298BF-0552-4CFA-B969-9AB32C01784D}"/>
    <cellStyle name="Currency 4 2 2 3 2 2 4" xfId="24201" xr:uid="{1DAE9C54-2866-43E3-8327-95AAB3BC852E}"/>
    <cellStyle name="Currency 4 2 2 3 2 2 5" xfId="15715" xr:uid="{7AE32027-111A-482B-B7C3-2C8BEBD24D70}"/>
    <cellStyle name="Currency 4 2 2 3 2 3" xfId="3588" xr:uid="{00000000-0005-0000-0000-000060030000}"/>
    <cellStyle name="Currency 4 2 2 3 2 3 2" xfId="30321" xr:uid="{8FB3802A-6A7A-4A98-AD89-8FE51DCDD7D4}"/>
    <cellStyle name="Currency 4 2 2 3 2 4" xfId="5666" xr:uid="{8018743C-C0EA-4511-8D4B-89AF2CE609A2}"/>
    <cellStyle name="Currency 4 2 2 3 2 4 2" xfId="30755" xr:uid="{EFCBEFCD-5CD6-441B-A1C1-B7224032AAB9}"/>
    <cellStyle name="Currency 4 2 2 3 2 5" xfId="24413" xr:uid="{1F3EC9DF-3A17-44F8-BCD3-8F434B9ACAE7}"/>
    <cellStyle name="Currency 4 2 2 3 2 6" xfId="13602" xr:uid="{D2ED86B0-06EC-40E1-B798-C5EA65BD5F87}"/>
    <cellStyle name="Currency 4 2 2 3 3" xfId="1869" xr:uid="{00000000-0005-0000-0000-000061030000}"/>
    <cellStyle name="Currency 4 2 2 3 3 2" xfId="2692" xr:uid="{00000000-0005-0000-0000-000082020000}"/>
    <cellStyle name="Currency 4 2 2 3 3 2 2" xfId="7816" xr:uid="{E7254797-DD52-4F58-B785-D77F75FC3C5E}"/>
    <cellStyle name="Currency 4 2 2 3 3 2 2 2" xfId="18196" xr:uid="{F9AA6FD1-34E3-4F94-A6AC-969C0D5DB479}"/>
    <cellStyle name="Currency 4 2 2 3 3 2 3" xfId="10649" xr:uid="{1A451A4B-7CE6-4ECD-9171-CA89AA3AC624}"/>
    <cellStyle name="Currency 4 2 2 3 3 2 3 2" xfId="21029" xr:uid="{06392627-01C8-474B-9D68-76A9C022F644}"/>
    <cellStyle name="Currency 4 2 2 3 3 2 4" xfId="15363" xr:uid="{539A20AD-36D9-4CB3-B257-FCB66F05D8B7}"/>
    <cellStyle name="Currency 4 2 2 3 3 3" xfId="3657" xr:uid="{00000000-0005-0000-0000-000061030000}"/>
    <cellStyle name="Currency 4 2 2 3 3 3 2" xfId="30666" xr:uid="{73B98A93-F9D8-4646-A243-987F6780DCA8}"/>
    <cellStyle name="Currency 4 2 2 3 3 4" xfId="5667" xr:uid="{54673D43-2BB9-4497-8CC5-C0E86AE657BC}"/>
    <cellStyle name="Currency 4 2 2 3 3 5" xfId="24679" xr:uid="{8D09122D-84F4-4960-9374-9E24DCCB9E3A}"/>
    <cellStyle name="Currency 4 2 2 3 3 6" xfId="13105" xr:uid="{B6B5EFCA-9112-4ABA-BFEE-B840EF71AE48}"/>
    <cellStyle name="Currency 4 2 2 3 4" xfId="1867" xr:uid="{00000000-0005-0000-0000-000062030000}"/>
    <cellStyle name="Currency 4 2 2 3 4 2" xfId="4657" xr:uid="{CC980793-D0C8-4424-A7C5-AE4A8E64578E}"/>
    <cellStyle name="Currency 4 2 2 3 4 2 2" xfId="9409" xr:uid="{AED29F7E-434E-42FA-8E6A-C66FF95573B4}"/>
    <cellStyle name="Currency 4 2 2 3 4 2 2 2" xfId="19789" xr:uid="{3117212E-7C17-4F6C-9C44-E06FC96A4C80}"/>
    <cellStyle name="Currency 4 2 2 3 4 2 3" xfId="12242" xr:uid="{011EA6B3-49D7-4835-AAD1-9FBAB145647D}"/>
    <cellStyle name="Currency 4 2 2 3 4 2 3 2" xfId="22622" xr:uid="{8337E57A-7EAC-4C18-8CA6-458217DE41E4}"/>
    <cellStyle name="Currency 4 2 2 3 4 2 4" xfId="25925" xr:uid="{DC08C6D1-B735-40EB-A43C-FF0621B728A5}"/>
    <cellStyle name="Currency 4 2 2 3 4 2 5" xfId="26459" xr:uid="{DE2F6A7B-293C-4CCE-9EAD-3A88EB6DCAF3}"/>
    <cellStyle name="Currency 4 2 2 3 4 2 6" xfId="16956" xr:uid="{0D780D72-C747-452F-A29B-D4296A86D028}"/>
    <cellStyle name="Currency 4 2 2 3 4 3" xfId="25278" xr:uid="{8CE549D3-FDA6-487B-943C-0B255D4EA3CA}"/>
    <cellStyle name="Currency 4 2 2 3 5" xfId="4138" xr:uid="{95FA858A-2BDC-4173-BFEE-BF2ABA95A8C7}"/>
    <cellStyle name="Currency 4 2 2 3 5 2" xfId="8910" xr:uid="{1C92966F-C3D2-4662-B0CA-E68A72E70994}"/>
    <cellStyle name="Currency 4 2 2 3 5 2 2" xfId="29014" xr:uid="{9831571E-A929-40C4-9791-AFA563C1D249}"/>
    <cellStyle name="Currency 4 2 2 3 5 2 3" xfId="27999" xr:uid="{3A23BD10-8C90-4E9E-A470-3426702BB18A}"/>
    <cellStyle name="Currency 4 2 2 3 5 2 4" xfId="19290" xr:uid="{90BD0B2D-3193-410C-96C9-313653765774}"/>
    <cellStyle name="Currency 4 2 2 3 5 3" xfId="11743" xr:uid="{426FC3C0-6268-42CE-8128-FC1454B2F22D}"/>
    <cellStyle name="Currency 4 2 2 3 5 3 2" xfId="22123" xr:uid="{C265E806-E5E1-4BD8-8320-E58B3EE5BF41}"/>
    <cellStyle name="Currency 4 2 2 3 5 4" xfId="26185" xr:uid="{590F1586-4CEF-447B-9C49-1778174C47A7}"/>
    <cellStyle name="Currency 4 2 2 3 5 5" xfId="16457" xr:uid="{9AB822C2-1588-42F8-943D-E0258AB25A9A}"/>
    <cellStyle name="Currency 4 2 2 3 6" xfId="4942" xr:uid="{66E85FEB-3D31-49A1-8112-4EA1334B0591}"/>
    <cellStyle name="Currency 4 2 2 3 6 2" xfId="25932" xr:uid="{A128CCC4-F47A-4B50-A174-18F517781FE9}"/>
    <cellStyle name="Currency 4 2 2 3 6 3" xfId="27597" xr:uid="{0A2C335F-ADB7-43CE-AEB9-B2A88B3C7C2A}"/>
    <cellStyle name="Currency 4 2 2 3 6 4" xfId="14237" xr:uid="{F7241AC6-56D9-4A60-98A9-B4C740F85212}"/>
    <cellStyle name="Currency 4 2 2 3 7" xfId="6690" xr:uid="{86F2CBE7-DEE3-4F39-B0A0-F72FF436338F}"/>
    <cellStyle name="Currency 4 2 2 3 7 2" xfId="27507" xr:uid="{682B9FDD-1A05-400E-92AE-A006F4ABDC57}"/>
    <cellStyle name="Currency 4 2 2 3 7 3" xfId="27081" xr:uid="{CE759CE1-7EF2-445D-BC83-7828FB74C5F0}"/>
    <cellStyle name="Currency 4 2 2 3 7 4" xfId="17070" xr:uid="{FD0314CA-2EC9-4017-AA15-A8E7FF309620}"/>
    <cellStyle name="Currency 4 2 2 3 8" xfId="9523" xr:uid="{AFD745C1-6FE5-41C6-9F9B-3C2CD35EBF91}"/>
    <cellStyle name="Currency 4 2 2 3 8 2" xfId="19903" xr:uid="{47128C4A-90B2-49E8-9482-60BEA9C11F66}"/>
    <cellStyle name="Currency 4 2 2 3 9" xfId="25214" xr:uid="{3120D515-0BF3-471E-B23D-AC38E91AAB33}"/>
    <cellStyle name="Currency 4 2 2 4" xfId="1870" xr:uid="{00000000-0005-0000-0000-000063030000}"/>
    <cellStyle name="Currency 4 2 2 4 2" xfId="3089" xr:uid="{00000000-0005-0000-0000-000083020000}"/>
    <cellStyle name="Currency 4 2 2 4 2 2" xfId="8169" xr:uid="{B249E808-69BA-41E5-8517-06DD57AB579C}"/>
    <cellStyle name="Currency 4 2 2 4 2 2 2" xfId="28839" xr:uid="{D6F6C0B3-24CD-49D3-9FE1-5B5A449CBB59}"/>
    <cellStyle name="Currency 4 2 2 4 2 2 3" xfId="27663" xr:uid="{FE1F9BD8-45C0-4168-80EA-FFDAF9B57489}"/>
    <cellStyle name="Currency 4 2 2 4 2 2 4" xfId="18549" xr:uid="{F48EE902-35A7-4BF1-9B26-C1E31B105C17}"/>
    <cellStyle name="Currency 4 2 2 4 2 3" xfId="11002" xr:uid="{E1C145DE-9ED4-4C61-A237-6B63AB3CB48E}"/>
    <cellStyle name="Currency 4 2 2 4 2 3 2" xfId="21382" xr:uid="{B0FC5EB6-BB8C-4AB1-B5D6-872074AAD62C}"/>
    <cellStyle name="Currency 4 2 2 4 2 4" xfId="25710" xr:uid="{A6864269-8090-4440-A199-8765F072ADFD}"/>
    <cellStyle name="Currency 4 2 2 4 2 5" xfId="15716" xr:uid="{1A8C1341-98D4-4639-9C51-3862C5A8F731}"/>
    <cellStyle name="Currency 4 2 2 4 3" xfId="3658" xr:uid="{00000000-0005-0000-0000-000063030000}"/>
    <cellStyle name="Currency 4 2 2 4 3 2" xfId="29829" xr:uid="{1A51262E-488A-4FC4-B909-7D750502702B}"/>
    <cellStyle name="Currency 4 2 2 4 4" xfId="4424" xr:uid="{CF69BC13-52B8-4798-8E81-C7268A38C4FA}"/>
    <cellStyle name="Currency 4 2 2 4 4 2" xfId="9196" xr:uid="{25EC9408-17FB-4110-9134-B0181A0953B7}"/>
    <cellStyle name="Currency 4 2 2 4 4 2 2" xfId="19576" xr:uid="{EB5CBB7B-9B8D-4BF2-A01D-4B991EC898A3}"/>
    <cellStyle name="Currency 4 2 2 4 4 3" xfId="12029" xr:uid="{45D01D25-64E5-4D7B-B559-F428CC890CC5}"/>
    <cellStyle name="Currency 4 2 2 4 4 3 2" xfId="22409" xr:uid="{B1793D73-9662-4491-B6B8-AD4071769B2C}"/>
    <cellStyle name="Currency 4 2 2 4 4 4" xfId="26830" xr:uid="{86EEE576-954E-46C6-8F94-D72670018F49}"/>
    <cellStyle name="Currency 4 2 2 4 4 5" xfId="27078" xr:uid="{B8309A1A-9020-4BB3-B765-C3DD96BB5058}"/>
    <cellStyle name="Currency 4 2 2 4 4 6" xfId="16743" xr:uid="{80C1B030-FA98-4752-BD54-270B469BDE53}"/>
    <cellStyle name="Currency 4 2 2 4 5" xfId="5668" xr:uid="{9E1FAF8C-48F2-4F7F-A8B8-765DCFB35246}"/>
    <cellStyle name="Currency 4 2 2 4 5 2" xfId="30452" xr:uid="{3A95ECF4-FEB7-402D-BA0F-5CF0F907BDDB}"/>
    <cellStyle name="Currency 4 2 2 4 6" xfId="23817" xr:uid="{35ADBFBA-A85C-477A-84F5-63440B36A8E0}"/>
    <cellStyle name="Currency 4 2 2 4 7" xfId="13603" xr:uid="{5DF953C3-1FED-4440-A60D-B6FE9F74927B}"/>
    <cellStyle name="Currency 4 2 2 5" xfId="1871" xr:uid="{00000000-0005-0000-0000-000064030000}"/>
    <cellStyle name="Currency 4 2 2 5 2" xfId="2883" xr:uid="{00000000-0005-0000-0000-000084020000}"/>
    <cellStyle name="Currency 4 2 2 5 2 2" xfId="8000" xr:uid="{39A33189-87A6-47F7-AE7B-3CE47C8BD1E0}"/>
    <cellStyle name="Currency 4 2 2 5 2 2 2" xfId="28696" xr:uid="{CB894F0A-1EC9-4C97-B186-4672DCD65E4E}"/>
    <cellStyle name="Currency 4 2 2 5 2 2 3" xfId="27641" xr:uid="{C1626618-0956-44A0-841F-AC04F55A02CD}"/>
    <cellStyle name="Currency 4 2 2 5 2 2 4" xfId="18380" xr:uid="{6E6533DC-EAC9-4A28-9F2E-162B9DFA2256}"/>
    <cellStyle name="Currency 4 2 2 5 2 3" xfId="10833" xr:uid="{C2851AB1-8DD7-440F-9C38-6DB498380CD3}"/>
    <cellStyle name="Currency 4 2 2 5 2 3 2" xfId="21213" xr:uid="{17197483-858B-441E-8415-CE8B299F041B}"/>
    <cellStyle name="Currency 4 2 2 5 2 4" xfId="28513" xr:uid="{D122D015-4BB5-48E6-8525-1DB2A3C3DCB6}"/>
    <cellStyle name="Currency 4 2 2 5 2 5" xfId="15547" xr:uid="{06D4D528-8926-46F3-A3DA-B3E62D726AD4}"/>
    <cellStyle name="Currency 4 2 2 5 3" xfId="3583" xr:uid="{00000000-0005-0000-0000-000064030000}"/>
    <cellStyle name="Currency 4 2 2 5 3 2" xfId="29906" xr:uid="{C867F8B9-F7ED-46C4-8675-6B748791C2DB}"/>
    <cellStyle name="Currency 4 2 2 5 4" xfId="5669" xr:uid="{58D8500D-FBEA-4C98-8081-053458571054}"/>
    <cellStyle name="Currency 4 2 2 5 4 2" xfId="30174" xr:uid="{723E4263-3A82-42BA-81E5-418A958C0B73}"/>
    <cellStyle name="Currency 4 2 2 5 5" xfId="24709" xr:uid="{1126450A-31DB-4C4F-A335-641F4D6358E9}"/>
    <cellStyle name="Currency 4 2 2 5 6" xfId="13382" xr:uid="{B9CC0FFD-36D7-45F1-8435-2944F2221DC5}"/>
    <cellStyle name="Currency 4 2 2 6" xfId="1863" xr:uid="{00000000-0005-0000-0000-000065030000}"/>
    <cellStyle name="Currency 4 2 2 6 2" xfId="2554" xr:uid="{00000000-0005-0000-0000-000085020000}"/>
    <cellStyle name="Currency 4 2 2 6 2 2" xfId="7679" xr:uid="{3D87AF66-468E-446E-8E2A-12333BEEC211}"/>
    <cellStyle name="Currency 4 2 2 6 2 2 2" xfId="18059" xr:uid="{9D1B622F-8CE9-4FAE-8DE9-FF2B53091631}"/>
    <cellStyle name="Currency 4 2 2 6 2 3" xfId="10512" xr:uid="{AE359255-6574-4D24-BC2C-EC9BC5BE4DD1}"/>
    <cellStyle name="Currency 4 2 2 6 2 3 2" xfId="20892" xr:uid="{B859BCC4-C3FA-4BDC-A65D-0286EBFF7CE3}"/>
    <cellStyle name="Currency 4 2 2 6 2 4" xfId="28247" xr:uid="{A12BB49D-A8F9-4964-9A34-0C236A16D621}"/>
    <cellStyle name="Currency 4 2 2 6 2 5" xfId="25942" xr:uid="{B0A45D3E-317E-4D72-B4F1-4EEBBA210DD0}"/>
    <cellStyle name="Currency 4 2 2 6 2 6" xfId="15226" xr:uid="{F8B74700-4FBE-4A67-97B7-952F3D106425}"/>
    <cellStyle name="Currency 4 2 2 6 3" xfId="3622" xr:uid="{00000000-0005-0000-0000-000065030000}"/>
    <cellStyle name="Currency 4 2 2 6 3 2" xfId="30637" xr:uid="{1ECFDA6E-DFA0-4056-B1A6-5BD287678B8B}"/>
    <cellStyle name="Currency 4 2 2 6 4" xfId="5662" xr:uid="{229CF4C7-E3F3-480B-A319-0C1C5676E734}"/>
    <cellStyle name="Currency 4 2 2 6 5" xfId="25123" xr:uid="{07D8DC91-EC45-4BF7-9FC3-FFAF7C1D6E88}"/>
    <cellStyle name="Currency 4 2 2 6 6" xfId="12942" xr:uid="{A5B3E042-E960-477F-9489-5C7CF4EE0B5B}"/>
    <cellStyle name="Currency 4 2 2 7" xfId="2248" xr:uid="{00000000-0005-0000-0000-000079020000}"/>
    <cellStyle name="Currency 4 2 2 7 2" xfId="7375" xr:uid="{CF61BC43-D246-40C1-8228-F46B8E85AA20}"/>
    <cellStyle name="Currency 4 2 2 7 2 2" xfId="27457" xr:uid="{155B2DC9-5B67-461A-8EAA-84F12AA59FCC}"/>
    <cellStyle name="Currency 4 2 2 7 2 3" xfId="27141" xr:uid="{F94D2FD7-9A02-40AF-8B43-7BF5C73AF079}"/>
    <cellStyle name="Currency 4 2 2 7 2 4" xfId="17755" xr:uid="{DBAA10A6-010A-4A90-8EA4-0D37EA7DA690}"/>
    <cellStyle name="Currency 4 2 2 7 3" xfId="10208" xr:uid="{B5A59965-5130-43D4-BD34-6120EF025F3B}"/>
    <cellStyle name="Currency 4 2 2 7 3 2" xfId="20588" xr:uid="{C290ED95-C53C-4400-AF1F-4BBD0AF54E79}"/>
    <cellStyle name="Currency 4 2 2 7 4" xfId="25139" xr:uid="{263A0DD8-E8EA-4EAC-8584-88E97C69B1A3}"/>
    <cellStyle name="Currency 4 2 2 7 5" xfId="14922" xr:uid="{83F0063F-A364-4B33-9973-13665D2F9F7E}"/>
    <cellStyle name="Currency 4 2 2 8" xfId="3883" xr:uid="{02D6025C-9008-4080-A62F-87941E94EAC3}"/>
    <cellStyle name="Currency 4 2 2 8 2" xfId="8715" xr:uid="{31ABCD9A-557C-4FBD-B23D-4E8EA293FC85}"/>
    <cellStyle name="Currency 4 2 2 8 2 2" xfId="19095" xr:uid="{00DFE264-E757-4BD1-BEED-EDC5FF6E9E40}"/>
    <cellStyle name="Currency 4 2 2 8 3" xfId="11548" xr:uid="{555440EB-A1AE-4960-8CF0-72DF55CCC59F}"/>
    <cellStyle name="Currency 4 2 2 8 3 2" xfId="21928" xr:uid="{86593793-E730-4EA6-BCCA-C72710799FA4}"/>
    <cellStyle name="Currency 4 2 2 8 4" xfId="27788" xr:uid="{F66A2384-47A5-4FA5-820D-9018DE561E82}"/>
    <cellStyle name="Currency 4 2 2 8 5" xfId="26745" xr:uid="{186FE025-C58D-40FD-8360-E37021ADA0FB}"/>
    <cellStyle name="Currency 4 2 2 8 6" xfId="16262" xr:uid="{A5E47255-A51E-4511-8025-47516A45DD44}"/>
    <cellStyle name="Currency 4 2 2 9" xfId="4940" xr:uid="{A4837D9E-0938-4336-AB79-069CE2A75BEB}"/>
    <cellStyle name="Currency 4 2 2 9 2" xfId="28367" xr:uid="{3DF05A3F-F5D8-48EB-9C06-9CE90129E617}"/>
    <cellStyle name="Currency 4 2 2 9 3" xfId="27347" xr:uid="{34372BF1-5B0F-4D78-8F8E-BE7F7FE86EE0}"/>
    <cellStyle name="Currency 4 2 2 9 4" xfId="14235" xr:uid="{B87B5004-9D66-42A9-B637-834375DCC983}"/>
    <cellStyle name="Currency 4 2 3" xfId="560" xr:uid="{00000000-0005-0000-0000-000066030000}"/>
    <cellStyle name="Currency 4 2 3 10" xfId="9524" xr:uid="{695ED208-2620-44DF-8ED8-E638FF8739D1}"/>
    <cellStyle name="Currency 4 2 3 10 2" xfId="19904" xr:uid="{8EC27CBF-38A1-4ACC-A7E0-07191E691C39}"/>
    <cellStyle name="Currency 4 2 3 11" xfId="23275" xr:uid="{E3E388FA-5DD8-4981-84F3-518176296E34}"/>
    <cellStyle name="Currency 4 2 3 12" xfId="12525" xr:uid="{92D5FDE4-7754-4360-AE4E-375B07903A2C}"/>
    <cellStyle name="Currency 4 2 3 2" xfId="1873" xr:uid="{00000000-0005-0000-0000-000067030000}"/>
    <cellStyle name="Currency 4 2 3 2 2" xfId="3091" xr:uid="{00000000-0005-0000-0000-000088020000}"/>
    <cellStyle name="Currency 4 2 3 2 2 2" xfId="6172" xr:uid="{529FDFE1-490E-439F-9A13-75EB267CAC06}"/>
    <cellStyle name="Currency 4 2 3 2 2 2 2" xfId="25786" xr:uid="{F431D705-0B00-4DD5-933D-39E3B7975FE7}"/>
    <cellStyle name="Currency 4 2 3 2 2 2 2 2" xfId="28577" xr:uid="{33859A7B-3E3E-44FA-AB81-4F9A6CEE3E82}"/>
    <cellStyle name="Currency 4 2 3 2 2 2 3" xfId="27869" xr:uid="{A981DF5B-5B04-4B53-915B-2398880F7EA4}"/>
    <cellStyle name="Currency 4 2 3 2 2 2 4" xfId="15718" xr:uid="{C24EDAA9-5D1E-4600-86CF-2ED8BEF3ABA6}"/>
    <cellStyle name="Currency 4 2 3 2 2 3" xfId="8171" xr:uid="{34656554-6727-4A10-9ACA-B181A3EE2E28}"/>
    <cellStyle name="Currency 4 2 3 2 2 3 2" xfId="18551" xr:uid="{F72D74B5-7058-43DA-857E-5760BF2B87F3}"/>
    <cellStyle name="Currency 4 2 3 2 2 4" xfId="11004" xr:uid="{5932ADF4-53B9-4E05-9A00-5465848E08D8}"/>
    <cellStyle name="Currency 4 2 3 2 2 4 2" xfId="21384" xr:uid="{525AD4BB-1C5B-4334-9322-D0C6B119D911}"/>
    <cellStyle name="Currency 4 2 3 2 2 5" xfId="24238" xr:uid="{1A5353D5-0119-46F7-B2FB-9B1991F58909}"/>
    <cellStyle name="Currency 4 2 3 2 2 6" xfId="26206" xr:uid="{2BC38E44-7C15-46FF-BAD3-946606B00C78}"/>
    <cellStyle name="Currency 4 2 3 2 2 7" xfId="13605" xr:uid="{6932969E-A1A3-4AC4-8909-D1F94B61B969}"/>
    <cellStyle name="Currency 4 2 3 2 3" xfId="2694" xr:uid="{00000000-0005-0000-0000-000087020000}"/>
    <cellStyle name="Currency 4 2 3 2 3 2" xfId="7818" xr:uid="{5DFFB09E-D274-43B4-B6E0-BD55CF92B166}"/>
    <cellStyle name="Currency 4 2 3 2 3 2 2" xfId="28182" xr:uid="{63F14ABF-E145-4E7D-B680-BE1E0C62CDDA}"/>
    <cellStyle name="Currency 4 2 3 2 3 2 3" xfId="27692" xr:uid="{7619C5EA-2AFE-4ABE-BAFA-968FD09C35B7}"/>
    <cellStyle name="Currency 4 2 3 2 3 2 4" xfId="18198" xr:uid="{421F896E-D0D1-4FB9-A760-44BC4C8C6E60}"/>
    <cellStyle name="Currency 4 2 3 2 3 3" xfId="10651" xr:uid="{845C16D8-8D3E-41C7-8397-39891DB842CE}"/>
    <cellStyle name="Currency 4 2 3 2 3 3 2" xfId="21031" xr:uid="{4541039F-E2E9-43CB-B98F-E3493F725D50}"/>
    <cellStyle name="Currency 4 2 3 2 3 4" xfId="24102" xr:uid="{43A3297C-4A6C-4FA1-84AD-A107F954B7B8}"/>
    <cellStyle name="Currency 4 2 3 2 3 5" xfId="15365" xr:uid="{4D537A8F-8D36-4A54-87CC-7F5812182BA3}"/>
    <cellStyle name="Currency 4 2 3 2 4" xfId="3616" xr:uid="{00000000-0005-0000-0000-000067030000}"/>
    <cellStyle name="Currency 4 2 3 2 4 2" xfId="28594" xr:uid="{34300D74-C053-4AAD-9447-88E2ED878C9A}"/>
    <cellStyle name="Currency 4 2 3 2 4 2 2" xfId="29810" xr:uid="{AD24DAA0-8336-4913-A8C7-F22D7D5AE337}"/>
    <cellStyle name="Currency 4 2 3 2 4 3" xfId="26231" xr:uid="{149D8F1A-E6C2-4FB7-87CA-FA6E9DD07168}"/>
    <cellStyle name="Currency 4 2 3 2 5" xfId="4273" xr:uid="{6C21EA1C-5FC1-4AF8-8D45-861CCF0AD6F3}"/>
    <cellStyle name="Currency 4 2 3 2 5 2" xfId="9045" xr:uid="{D2CE4BA3-C487-47E9-9CAE-F483B713702D}"/>
    <cellStyle name="Currency 4 2 3 2 5 2 2" xfId="19425" xr:uid="{4E1B1DE2-BE2D-429C-ABFB-2D7273E3FB02}"/>
    <cellStyle name="Currency 4 2 3 2 5 3" xfId="11878" xr:uid="{BE6DA673-B497-4F82-B97B-096E06E1E983}"/>
    <cellStyle name="Currency 4 2 3 2 5 3 2" xfId="22258" xr:uid="{819E14CE-8029-4574-8034-A7B24823BEAB}"/>
    <cellStyle name="Currency 4 2 3 2 5 4" xfId="28717" xr:uid="{61A02F48-DA36-4DA1-BB9A-2CEFB590F505}"/>
    <cellStyle name="Currency 4 2 3 2 5 5" xfId="25921" xr:uid="{329B915E-4F03-4FBD-9623-05CA2ADFF798}"/>
    <cellStyle name="Currency 4 2 3 2 5 6" xfId="16592" xr:uid="{7C3E439B-919E-4FBE-BCB6-38BA65C38AC5}"/>
    <cellStyle name="Currency 4 2 3 2 6" xfId="5671" xr:uid="{ECC4CDE5-61C7-4742-B2AF-01B672A90F98}"/>
    <cellStyle name="Currency 4 2 3 2 6 2" xfId="30394" xr:uid="{FBA9C99A-42A8-4104-AF6C-E400F9685CD2}"/>
    <cellStyle name="Currency 4 2 3 2 7" xfId="23523" xr:uid="{E6D4F43F-005B-44E0-A529-E07D81929683}"/>
    <cellStyle name="Currency 4 2 3 2 8" xfId="13107" xr:uid="{2F7DCC0A-CB6C-48C1-8D0F-8FB466F04FD1}"/>
    <cellStyle name="Currency 4 2 3 3" xfId="1874" xr:uid="{00000000-0005-0000-0000-000068030000}"/>
    <cellStyle name="Currency 4 2 3 3 2" xfId="3092" xr:uid="{00000000-0005-0000-0000-000089020000}"/>
    <cellStyle name="Currency 4 2 3 3 2 2" xfId="8172" xr:uid="{D83CBDCA-093F-4CCB-8B52-A7FE5C85D8BC}"/>
    <cellStyle name="Currency 4 2 3 3 2 2 2" xfId="28841" xr:uid="{8E98CBE0-E801-4D1E-8075-39B91C1C3D46}"/>
    <cellStyle name="Currency 4 2 3 3 2 2 3" xfId="28362" xr:uid="{19617199-D83D-4AC7-90B6-59B24B7F329C}"/>
    <cellStyle name="Currency 4 2 3 3 2 2 4" xfId="18552" xr:uid="{3E2E16FA-DCE9-46FF-B8A4-F05A297A4526}"/>
    <cellStyle name="Currency 4 2 3 3 2 3" xfId="11005" xr:uid="{7CFAE4A0-4080-4C07-80C7-E28373BFBF7D}"/>
    <cellStyle name="Currency 4 2 3 3 2 3 2" xfId="21385" xr:uid="{D0FE9186-B2E3-43CB-B7F5-B0B8BC9A5375}"/>
    <cellStyle name="Currency 4 2 3 3 2 4" xfId="25536" xr:uid="{44024CD4-E30C-4AB6-BC07-6BA716230037}"/>
    <cellStyle name="Currency 4 2 3 3 2 5" xfId="15719" xr:uid="{9693027F-2390-42EA-BA52-62532ADB1EB8}"/>
    <cellStyle name="Currency 4 2 3 3 3" xfId="3696" xr:uid="{00000000-0005-0000-0000-000068030000}"/>
    <cellStyle name="Currency 4 2 3 3 3 2" xfId="29864" xr:uid="{46E2CF13-63DD-40DD-8FEC-F8C3259D0153}"/>
    <cellStyle name="Currency 4 2 3 3 4" xfId="4425" xr:uid="{5BDB5EC5-CCD8-4C46-BD80-392ACA59EAB0}"/>
    <cellStyle name="Currency 4 2 3 3 4 2" xfId="9197" xr:uid="{C1E69659-3681-45CB-91F0-E14049CFA03C}"/>
    <cellStyle name="Currency 4 2 3 3 4 2 2" xfId="19577" xr:uid="{85A96AB0-93FD-45A8-96BD-571FE5277C62}"/>
    <cellStyle name="Currency 4 2 3 3 4 3" xfId="12030" xr:uid="{DF8D0B10-B80B-4C88-AA50-4ED2ED041C8A}"/>
    <cellStyle name="Currency 4 2 3 3 4 3 2" xfId="22410" xr:uid="{4FB6F006-0045-4513-A45D-725B561FB53A}"/>
    <cellStyle name="Currency 4 2 3 3 4 4" xfId="16744" xr:uid="{856CCB70-DBD9-45B6-B09F-84B16CE69444}"/>
    <cellStyle name="Currency 4 2 3 3 5" xfId="5672" xr:uid="{742C104B-D487-477C-A233-160ADA915D3F}"/>
    <cellStyle name="Currency 4 2 3 3 5 2" xfId="30487" xr:uid="{C0FD7B6C-6283-42DD-89EF-E5FA5F37848A}"/>
    <cellStyle name="Currency 4 2 3 3 6" xfId="24725" xr:uid="{BD39BC1E-AABB-4030-A7E8-3000083EDE7C}"/>
    <cellStyle name="Currency 4 2 3 3 7" xfId="13606" xr:uid="{F03C87AD-13DC-43F5-B66B-1FB7AEC9B24E}"/>
    <cellStyle name="Currency 4 2 3 4" xfId="1872" xr:uid="{00000000-0005-0000-0000-000069030000}"/>
    <cellStyle name="Currency 4 2 3 4 2" xfId="3090" xr:uid="{00000000-0005-0000-0000-00008A020000}"/>
    <cellStyle name="Currency 4 2 3 4 2 2" xfId="8170" xr:uid="{5C881F30-0B2B-4648-A0A4-7DBA5ED0CCAD}"/>
    <cellStyle name="Currency 4 2 3 4 2 2 2" xfId="28840" xr:uid="{AC3AFC22-5037-4FFD-B57F-C0946715E48A}"/>
    <cellStyle name="Currency 4 2 3 4 2 2 3" xfId="27348" xr:uid="{814C2E99-50A8-4FF5-8C1F-28C53EAAAF84}"/>
    <cellStyle name="Currency 4 2 3 4 2 2 4" xfId="18550" xr:uid="{D6C59507-A017-43D8-903A-AB98D4BECB59}"/>
    <cellStyle name="Currency 4 2 3 4 2 3" xfId="11003" xr:uid="{7D840997-B835-4F73-AEA9-AC9E4299B1E8}"/>
    <cellStyle name="Currency 4 2 3 4 2 3 2" xfId="21383" xr:uid="{958B9C8A-4531-4E13-B949-0D70D92A0A8B}"/>
    <cellStyle name="Currency 4 2 3 4 2 4" xfId="24006" xr:uid="{2F9351C4-E203-419F-9DCF-75B9A7A27534}"/>
    <cellStyle name="Currency 4 2 3 4 2 5" xfId="15717" xr:uid="{887C9BDA-5D0E-4F0C-8D00-8C51FE003AF2}"/>
    <cellStyle name="Currency 4 2 3 4 3" xfId="2078" xr:uid="{00000000-0005-0000-0000-000069030000}"/>
    <cellStyle name="Currency 4 2 3 4 3 2" xfId="29936" xr:uid="{B12C88F8-4D92-441A-8758-472BA7339A62}"/>
    <cellStyle name="Currency 4 2 3 4 4" xfId="5670" xr:uid="{49E33153-542F-4E88-B6C3-166F4B1C18DC}"/>
    <cellStyle name="Currency 4 2 3 4 4 2" xfId="30207" xr:uid="{2FC31BBA-AF4C-47B0-9B9F-F1009D5C0ED5}"/>
    <cellStyle name="Currency 4 2 3 4 5" xfId="22650" xr:uid="{62BA27C6-77E6-41BD-8D63-3BCD72104C5F}"/>
    <cellStyle name="Currency 4 2 3 4 6" xfId="13604" xr:uid="{A451A3AB-0BB6-4084-8903-9C99083D7011}"/>
    <cellStyle name="Currency 4 2 3 5" xfId="2597" xr:uid="{00000000-0005-0000-0000-00008B020000}"/>
    <cellStyle name="Currency 4 2 3 5 2" xfId="5862" xr:uid="{BF8B7BF8-8050-4AE5-86B0-FCA739EDFF6C}"/>
    <cellStyle name="Currency 4 2 3 5 2 2" xfId="27996" xr:uid="{52F07813-E789-4CF5-9D08-E661A5C701DE}"/>
    <cellStyle name="Currency 4 2 3 5 2 3" xfId="28390" xr:uid="{8E563ED7-F0F0-45B6-BAE0-76BA186494E3}"/>
    <cellStyle name="Currency 4 2 3 5 2 4" xfId="15269" xr:uid="{3CE94080-81E3-4EA5-89A9-06744ACA887F}"/>
    <cellStyle name="Currency 4 2 3 5 3" xfId="7722" xr:uid="{10A27F76-22D1-40F1-9D4E-3B6CD16079DF}"/>
    <cellStyle name="Currency 4 2 3 5 3 2" xfId="18102" xr:uid="{7F7DFED3-7BB8-455F-9995-CEFD7DF182BF}"/>
    <cellStyle name="Currency 4 2 3 5 4" xfId="10555" xr:uid="{8E36015E-7D5F-43EF-AC56-4E500078CE31}"/>
    <cellStyle name="Currency 4 2 3 5 4 2" xfId="20935" xr:uid="{EB5A8D79-EB5E-45E2-999F-30A02B06F379}"/>
    <cellStyle name="Currency 4 2 3 5 5" xfId="23648" xr:uid="{8D2AA314-6331-4CE2-A009-BA60DC777D95}"/>
    <cellStyle name="Currency 4 2 3 5 6" xfId="12985" xr:uid="{01C63BBB-8E9A-4A69-8249-8F15043C4F8F}"/>
    <cellStyle name="Currency 4 2 3 6" xfId="2293" xr:uid="{00000000-0005-0000-0000-000086020000}"/>
    <cellStyle name="Currency 4 2 3 6 2" xfId="7420" xr:uid="{3EDDEF0C-1170-44FC-9E29-73084BA92D9B}"/>
    <cellStyle name="Currency 4 2 3 6 2 2" xfId="17800" xr:uid="{5DB08EA5-B4BF-4D08-AE10-B1BCA4637284}"/>
    <cellStyle name="Currency 4 2 3 6 3" xfId="10253" xr:uid="{766D3AD7-0F8A-4BEB-99F0-47B8CFBA1265}"/>
    <cellStyle name="Currency 4 2 3 6 3 2" xfId="20633" xr:uid="{5CBF30F4-97C8-4CD2-8F89-56254FCB70D3}"/>
    <cellStyle name="Currency 4 2 3 6 4" xfId="24491" xr:uid="{08A6B700-F4DA-43CF-B126-E5EA9D210A08}"/>
    <cellStyle name="Currency 4 2 3 6 5" xfId="26180" xr:uid="{20347FE0-F2EA-44A7-A8C9-696BEDCF4246}"/>
    <cellStyle name="Currency 4 2 3 6 6" xfId="14967" xr:uid="{5271A6B4-83D2-498D-870F-F8FBF77613DD}"/>
    <cellStyle name="Currency 4 2 3 7" xfId="3828" xr:uid="{9411D43E-CDD6-4FE8-9E7A-3AD695C85148}"/>
    <cellStyle name="Currency 4 2 3 7 2" xfId="8661" xr:uid="{5519AB10-F8F2-4D99-B35F-2920FBCAB596}"/>
    <cellStyle name="Currency 4 2 3 7 2 2" xfId="19041" xr:uid="{3762F2F5-1A6B-4987-99BC-7F33792DA194}"/>
    <cellStyle name="Currency 4 2 3 7 3" xfId="11494" xr:uid="{03272CB4-0F1F-487B-8764-901F797A1C04}"/>
    <cellStyle name="Currency 4 2 3 7 3 2" xfId="21874" xr:uid="{0567CB41-A16A-4CB1-B5E6-4355AB676991}"/>
    <cellStyle name="Currency 4 2 3 7 4" xfId="27170" xr:uid="{B50D6951-3AFD-4C0A-AAB4-FA29C68C8620}"/>
    <cellStyle name="Currency 4 2 3 7 5" xfId="27293" xr:uid="{75015154-D464-4CCB-BD13-E277D11AC6A7}"/>
    <cellStyle name="Currency 4 2 3 7 6" xfId="16208" xr:uid="{1F217B41-0735-48D3-AEE7-8886CA084B4B}"/>
    <cellStyle name="Currency 4 2 3 8" xfId="4943" xr:uid="{77780067-030E-49AF-8FFE-4CA465D3A5C6}"/>
    <cellStyle name="Currency 4 2 3 8 2" xfId="14238" xr:uid="{600B4770-E496-4DD5-AFE1-1860E27E30CF}"/>
    <cellStyle name="Currency 4 2 3 9" xfId="6691" xr:uid="{BF23809D-EBF7-4EFE-86D3-CF7C525534CF}"/>
    <cellStyle name="Currency 4 2 3 9 2" xfId="17071" xr:uid="{1DF2657B-E75C-44F5-9CF7-84E234C571AD}"/>
    <cellStyle name="Currency 4 2 4" xfId="561" xr:uid="{00000000-0005-0000-0000-00006A030000}"/>
    <cellStyle name="Currency 4 2 4 10" xfId="12683" xr:uid="{9DA9BDBB-D445-405D-BA27-E0B7D5CB6604}"/>
    <cellStyle name="Currency 4 2 4 2" xfId="1876" xr:uid="{00000000-0005-0000-0000-00006B030000}"/>
    <cellStyle name="Currency 4 2 4 2 2" xfId="3093" xr:uid="{00000000-0005-0000-0000-00008D020000}"/>
    <cellStyle name="Currency 4 2 4 2 2 2" xfId="8173" xr:uid="{CFB74B2A-0CBE-40EE-92E1-1BACF4A65146}"/>
    <cellStyle name="Currency 4 2 4 2 2 2 2" xfId="28842" xr:uid="{ED178F4A-FEEE-466E-AC2A-B99B31DCC047}"/>
    <cellStyle name="Currency 4 2 4 2 2 2 3" xfId="26434" xr:uid="{E651ACCA-3D04-4362-9B0F-584E41BCF71F}"/>
    <cellStyle name="Currency 4 2 4 2 2 2 4" xfId="18553" xr:uid="{440D2D27-4EF5-4E3E-86BE-831E0D4C899A}"/>
    <cellStyle name="Currency 4 2 4 2 2 3" xfId="11006" xr:uid="{FCA3847D-3FF1-4472-B67C-BE8CF608A60C}"/>
    <cellStyle name="Currency 4 2 4 2 2 3 2" xfId="21386" xr:uid="{361E8EA1-4C7C-4CF3-9F7C-90F78BB283B3}"/>
    <cellStyle name="Currency 4 2 4 2 2 4" xfId="25525" xr:uid="{020CC287-4FBA-4C24-A9A5-7C37D3A3181B}"/>
    <cellStyle name="Currency 4 2 4 2 2 5" xfId="15720" xr:uid="{B01317A4-4A1D-4031-9F10-55C58A1D8E6D}"/>
    <cellStyle name="Currency 4 2 4 2 3" xfId="2862" xr:uid="{00000000-0005-0000-0000-00006B030000}"/>
    <cellStyle name="Currency 4 2 4 2 3 2" xfId="29880" xr:uid="{24590CC1-765D-432B-B556-EC953A194905}"/>
    <cellStyle name="Currency 4 2 4 2 4" xfId="5673" xr:uid="{B894F6FB-E5D2-4426-BAE5-F361ED958DC3}"/>
    <cellStyle name="Currency 4 2 4 2 4 2" xfId="30144" xr:uid="{1F1190EE-B1C4-42D1-9B54-46ED62D603B2}"/>
    <cellStyle name="Currency 4 2 4 2 5" xfId="24064" xr:uid="{645DD58F-3869-4C0D-9441-67FA2EE6DC69}"/>
    <cellStyle name="Currency 4 2 4 2 6" xfId="13607" xr:uid="{706296AA-0A5B-4EAF-BF06-F3AE995AD1C0}"/>
    <cellStyle name="Currency 4 2 4 3" xfId="1877" xr:uid="{00000000-0005-0000-0000-00006C030000}"/>
    <cellStyle name="Currency 4 2 4 3 2" xfId="2691" xr:uid="{00000000-0005-0000-0000-00008E020000}"/>
    <cellStyle name="Currency 4 2 4 3 2 2" xfId="7815" xr:uid="{45B4AD22-B857-4B3D-868F-EF1F991F9401}"/>
    <cellStyle name="Currency 4 2 4 3 2 2 2" xfId="18195" xr:uid="{C2AE4201-2DB8-47A4-962A-FDF7425F1B76}"/>
    <cellStyle name="Currency 4 2 4 3 2 3" xfId="10648" xr:uid="{425932D7-C8FB-4693-9F2C-0F54D708A077}"/>
    <cellStyle name="Currency 4 2 4 3 2 3 2" xfId="21028" xr:uid="{46A72BFD-107A-45BA-B43C-9ACD1F1572C4}"/>
    <cellStyle name="Currency 4 2 4 3 2 4" xfId="15362" xr:uid="{56B20FC1-F91B-4CCE-8163-6DCC8E68F688}"/>
    <cellStyle name="Currency 4 2 4 3 3" xfId="3544" xr:uid="{00000000-0005-0000-0000-00006C030000}"/>
    <cellStyle name="Currency 4 2 4 3 3 2" xfId="30217" xr:uid="{FFECA70D-C85B-495C-BE16-60F49CB75B66}"/>
    <cellStyle name="Currency 4 2 4 3 4" xfId="5674" xr:uid="{08E421AE-DDE3-4B6C-AA1C-46544E7401B9}"/>
    <cellStyle name="Currency 4 2 4 3 4 2" xfId="30602" xr:uid="{6D8A83EF-0524-4708-9FBB-2C77454EE196}"/>
    <cellStyle name="Currency 4 2 4 3 5" xfId="25345" xr:uid="{08DAE02F-1B6E-44AD-A9C8-912AD3AAD387}"/>
    <cellStyle name="Currency 4 2 4 3 6" xfId="13104" xr:uid="{82EBEC48-3D43-4E9D-B56D-7E929E0E1A17}"/>
    <cellStyle name="Currency 4 2 4 4" xfId="1875" xr:uid="{00000000-0005-0000-0000-00006D030000}"/>
    <cellStyle name="Currency 4 2 4 4 2" xfId="4674" xr:uid="{C9DA1A56-732E-4961-B2D9-0A915ACCB4C5}"/>
    <cellStyle name="Currency 4 2 4 4 2 2" xfId="9414" xr:uid="{7E88755F-A896-471C-8857-39454F619F9C}"/>
    <cellStyle name="Currency 4 2 4 4 2 2 2" xfId="19794" xr:uid="{4538922B-7154-4E44-BB56-F4171AAAE1F4}"/>
    <cellStyle name="Currency 4 2 4 4 2 3" xfId="12247" xr:uid="{DE8A55F2-EE62-41C6-8A66-CB165A7E6D10}"/>
    <cellStyle name="Currency 4 2 4 4 2 3 2" xfId="22627" xr:uid="{786E37C1-C954-4926-BD86-4FC6456CF137}"/>
    <cellStyle name="Currency 4 2 4 4 2 4" xfId="27425" xr:uid="{4843839A-BCB9-41CE-8805-8D0614D92E2A}"/>
    <cellStyle name="Currency 4 2 4 4 2 5" xfId="26256" xr:uid="{D30ADB09-C3D5-4D8C-886A-89143E520A69}"/>
    <cellStyle name="Currency 4 2 4 4 2 6" xfId="16961" xr:uid="{4D75FEE1-E172-457D-8E34-8A272A4E5949}"/>
    <cellStyle name="Currency 4 2 4 4 3" xfId="22701" xr:uid="{820DF042-B0AA-4327-B8F4-D655FDAD1E0D}"/>
    <cellStyle name="Currency 4 2 4 4 3 2" xfId="30259" xr:uid="{07D50A5C-BC08-4F71-AEE4-5BB8B6F411E9}"/>
    <cellStyle name="Currency 4 2 4 4 4" xfId="30665" xr:uid="{1818F051-DD19-4ECC-B173-872E8EF398AA}"/>
    <cellStyle name="Currency 4 2 4 4 5" xfId="29679" xr:uid="{A60C1F41-37D2-4F99-AB9B-BF3018C2B306}"/>
    <cellStyle name="Currency 4 2 4 5" xfId="4137" xr:uid="{0946DA19-72C4-4F96-A1A1-F785B9C6BDD3}"/>
    <cellStyle name="Currency 4 2 4 5 2" xfId="8909" xr:uid="{52D4BD7B-0DFF-4DF8-B14E-5D13184F5469}"/>
    <cellStyle name="Currency 4 2 4 5 2 2" xfId="29013" xr:uid="{E710C129-20D4-4EA0-A247-8B6E8FB27B7F}"/>
    <cellStyle name="Currency 4 2 4 5 2 3" xfId="27995" xr:uid="{A14DBC58-1E78-4416-B710-8CEE806D9C5C}"/>
    <cellStyle name="Currency 4 2 4 5 2 4" xfId="19289" xr:uid="{45E24BB5-B74E-4C6E-A80D-67E7CC7F8C32}"/>
    <cellStyle name="Currency 4 2 4 5 3" xfId="11742" xr:uid="{2D06F008-726C-4EA8-9BFA-B27F239E95B8}"/>
    <cellStyle name="Currency 4 2 4 5 3 2" xfId="22122" xr:uid="{B2CB1173-AC2D-48EF-99F8-74AE1DAD9F27}"/>
    <cellStyle name="Currency 4 2 4 5 4" xfId="23874" xr:uid="{24B491C3-5B43-4CC6-B7EF-7621C2CD760B}"/>
    <cellStyle name="Currency 4 2 4 5 5" xfId="16456" xr:uid="{4C351AFE-E773-49FC-B65C-B8A5A1A6D29E}"/>
    <cellStyle name="Currency 4 2 4 6" xfId="4944" xr:uid="{A85A3DAA-772F-42F7-BF9C-C31803A88D2F}"/>
    <cellStyle name="Currency 4 2 4 6 2" xfId="26950" xr:uid="{03811147-8C50-47E1-923A-26744278F7C8}"/>
    <cellStyle name="Currency 4 2 4 6 3" xfId="28170" xr:uid="{302BAD18-AED0-4DA1-A413-14D8B1B5424A}"/>
    <cellStyle name="Currency 4 2 4 6 4" xfId="14239" xr:uid="{D9AEFE65-B40E-45B2-9368-CB1A5C7C5D7C}"/>
    <cellStyle name="Currency 4 2 4 7" xfId="6692" xr:uid="{D7EBC9D8-EC36-4DE1-A16C-BF75E4923FA1}"/>
    <cellStyle name="Currency 4 2 4 7 2" xfId="27797" xr:uid="{50E52D62-6867-4317-BEEB-33758CF09BA5}"/>
    <cellStyle name="Currency 4 2 4 7 3" xfId="27054" xr:uid="{E8E6F158-4E81-48AC-9BA8-01025F1229BD}"/>
    <cellStyle name="Currency 4 2 4 7 4" xfId="17072" xr:uid="{0D456588-FC15-4460-9B0C-F6C7C29288FC}"/>
    <cellStyle name="Currency 4 2 4 8" xfId="9525" xr:uid="{B089C968-59EF-458D-82E3-1CFD27974824}"/>
    <cellStyle name="Currency 4 2 4 8 2" xfId="19905" xr:uid="{03179FD1-793B-47CD-ABA0-805593513C97}"/>
    <cellStyle name="Currency 4 2 4 9" xfId="25437" xr:uid="{429B4003-C873-4D2F-BCDF-EF56C7FA5C47}"/>
    <cellStyle name="Currency 4 2 5" xfId="562" xr:uid="{00000000-0005-0000-0000-00006E030000}"/>
    <cellStyle name="Currency 4 2 5 10" xfId="13608" xr:uid="{87F1B163-5B83-4557-A952-E2C29472F216}"/>
    <cellStyle name="Currency 4 2 5 2" xfId="1879" xr:uid="{00000000-0005-0000-0000-00006F030000}"/>
    <cellStyle name="Currency 4 2 5 2 2" xfId="24954" xr:uid="{BBEF5993-F8AC-4524-941D-112A15F3447D}"/>
    <cellStyle name="Currency 4 2 5 2 2 2" xfId="30322" xr:uid="{4972FEA3-A050-4BE9-86C6-CB186608CF9E}"/>
    <cellStyle name="Currency 4 2 5 2 3" xfId="23374" xr:uid="{043B26EB-F4A5-45D7-8163-B3F881D5C636}"/>
    <cellStyle name="Currency 4 2 5 2 4" xfId="30042" xr:uid="{98CA303C-A309-4848-BDAD-A6B4D5337602}"/>
    <cellStyle name="Currency 4 2 5 3" xfId="1880" xr:uid="{00000000-0005-0000-0000-000070030000}"/>
    <cellStyle name="Currency 4 2 5 3 2" xfId="29672" xr:uid="{93EB387E-46BE-4173-A23F-C4F91F14A59D}"/>
    <cellStyle name="Currency 4 2 5 4" xfId="1878" xr:uid="{00000000-0005-0000-0000-000071030000}"/>
    <cellStyle name="Currency 4 2 5 4 2" xfId="30067" xr:uid="{91FC23BB-2335-4685-87BC-CD52879A4181}"/>
    <cellStyle name="Currency 4 2 5 5" xfId="4426" xr:uid="{FDF6B367-10B3-4EAE-9E49-B3C45734BFB2}"/>
    <cellStyle name="Currency 4 2 5 5 2" xfId="9198" xr:uid="{E85DF9EB-311B-4F81-9D96-394CE20C5CC6}"/>
    <cellStyle name="Currency 4 2 5 5 2 2" xfId="19578" xr:uid="{9A4B6684-C591-4F16-BFB6-3361E96139EE}"/>
    <cellStyle name="Currency 4 2 5 5 3" xfId="12031" xr:uid="{8D53D6CB-B4E3-489F-BBCC-35A064EF6FAF}"/>
    <cellStyle name="Currency 4 2 5 5 3 2" xfId="22411" xr:uid="{64F3B7EC-0534-43AB-9EAD-0CC24A310D9A}"/>
    <cellStyle name="Currency 4 2 5 5 4" xfId="16745" xr:uid="{70F4C88B-8E51-42FE-8C6F-8A063CDA9E59}"/>
    <cellStyle name="Currency 4 2 5 6" xfId="4945" xr:uid="{D75D85CF-44E9-4C80-9CB6-9D9124C48907}"/>
    <cellStyle name="Currency 4 2 5 6 2" xfId="14240" xr:uid="{27564A53-3BA4-430B-B3EF-BF70748DDED5}"/>
    <cellStyle name="Currency 4 2 5 7" xfId="6693" xr:uid="{EF48389A-C1B4-42B8-8C4B-650B09C9B780}"/>
    <cellStyle name="Currency 4 2 5 7 2" xfId="17073" xr:uid="{F8AB562E-FFA0-4A7F-8969-4F39454F2260}"/>
    <cellStyle name="Currency 4 2 5 8" xfId="9526" xr:uid="{952B69F6-6B5D-4A85-847A-6DEDE172799E}"/>
    <cellStyle name="Currency 4 2 5 8 2" xfId="19906" xr:uid="{CEE02A62-0CD3-4293-B7B4-71B8F3D0F850}"/>
    <cellStyle name="Currency 4 2 5 9" xfId="23847" xr:uid="{2A72D9E9-32D0-4D14-AF50-E3BAE811FBCB}"/>
    <cellStyle name="Currency 4 2 6" xfId="1881" xr:uid="{00000000-0005-0000-0000-000072030000}"/>
    <cellStyle name="Currency 4 2 6 2" xfId="2882" xr:uid="{00000000-0005-0000-0000-000090020000}"/>
    <cellStyle name="Currency 4 2 6 2 2" xfId="7999" xr:uid="{5D8F085F-F860-4350-BA19-9FEA730AB68D}"/>
    <cellStyle name="Currency 4 2 6 2 2 2" xfId="26386" xr:uid="{4A5CEC5D-6DA3-4D94-BF9E-322F0E90D597}"/>
    <cellStyle name="Currency 4 2 6 2 2 3" xfId="26504" xr:uid="{890B3BF8-48AC-47C6-AAC9-605649711EC0}"/>
    <cellStyle name="Currency 4 2 6 2 2 4" xfId="18379" xr:uid="{7FB0E7EE-E818-4648-B60B-1C8120B2A2CA}"/>
    <cellStyle name="Currency 4 2 6 2 3" xfId="10832" xr:uid="{61056E6D-32BB-45EE-8590-72DB29A983E9}"/>
    <cellStyle name="Currency 4 2 6 2 3 2" xfId="21212" xr:uid="{258AFFD5-7A7C-4EB2-84E4-9C0DB9D58681}"/>
    <cellStyle name="Currency 4 2 6 2 4" xfId="24955" xr:uid="{73DD1256-9F3D-417F-B69C-12C22E4E672C}"/>
    <cellStyle name="Currency 4 2 6 2 5" xfId="15546" xr:uid="{315A732A-0586-4DCE-A71C-DF0DB78775B4}"/>
    <cellStyle name="Currency 4 2 6 3" xfId="3621" xr:uid="{00000000-0005-0000-0000-000072030000}"/>
    <cellStyle name="Currency 4 2 6 3 2" xfId="29828" xr:uid="{F11D5F19-CCAD-4E17-899A-0E9FB435458F}"/>
    <cellStyle name="Currency 4 2 6 4" xfId="5675" xr:uid="{4939E943-A2E0-427A-AEC4-B21F9D4F8159}"/>
    <cellStyle name="Currency 4 2 6 4 2" xfId="30110" xr:uid="{A6330F78-6E57-4319-BAE8-321770733CAC}"/>
    <cellStyle name="Currency 4 2 6 5" xfId="25114" xr:uid="{E30B2578-1288-47A3-B3BA-30B1805299C3}"/>
    <cellStyle name="Currency 4 2 6 6" xfId="13381" xr:uid="{8C718C21-172C-44CD-A8BD-BFF25B26646A}"/>
    <cellStyle name="Currency 4 2 7" xfId="1882" xr:uid="{00000000-0005-0000-0000-000073030000}"/>
    <cellStyle name="Currency 4 2 7 2" xfId="2494" xr:uid="{00000000-0005-0000-0000-000091020000}"/>
    <cellStyle name="Currency 4 2 7 2 2" xfId="7619" xr:uid="{1DE766FD-5D05-4437-B056-8A76C40DDAC2}"/>
    <cellStyle name="Currency 4 2 7 2 2 2" xfId="17999" xr:uid="{B4E5BD64-019F-4A22-A7FE-7D1E16BC3D5A}"/>
    <cellStyle name="Currency 4 2 7 2 3" xfId="10452" xr:uid="{4947354B-127E-4991-A5AF-5B8FEC7AE1DC}"/>
    <cellStyle name="Currency 4 2 7 2 3 2" xfId="20832" xr:uid="{ECFD314C-DBD6-41EE-86B1-BF20A1FB9818}"/>
    <cellStyle name="Currency 4 2 7 2 4" xfId="27944" xr:uid="{AC587898-EBF3-48E3-B172-2974943146AE}"/>
    <cellStyle name="Currency 4 2 7 2 5" xfId="27889" xr:uid="{16D58729-C246-4B37-87BA-1A2F3AFA2EBE}"/>
    <cellStyle name="Currency 4 2 7 2 6" xfId="15166" xr:uid="{3994FC5A-32A5-45BA-BD59-4D7DDBD598D6}"/>
    <cellStyle name="Currency 4 2 7 3" xfId="3603" xr:uid="{00000000-0005-0000-0000-000073030000}"/>
    <cellStyle name="Currency 4 2 7 3 2" xfId="30173" xr:uid="{D880AE65-E5A2-4307-98C2-E2F5FE9904ED}"/>
    <cellStyle name="Currency 4 2 7 4" xfId="5676" xr:uid="{EA961475-3856-4FED-AB9C-654EB4EC64FD}"/>
    <cellStyle name="Currency 4 2 7 4 2" xfId="30524" xr:uid="{6C5BDF20-949A-439A-8812-0C3768F94849}"/>
    <cellStyle name="Currency 4 2 7 5" xfId="23894" xr:uid="{CB6FFF07-08EE-4C7E-B764-E810EDFDC868}"/>
    <cellStyle name="Currency 4 2 7 6" xfId="12882" xr:uid="{88AABC15-3833-4375-B132-D2ADFE52CB51}"/>
    <cellStyle name="Currency 4 2 8" xfId="1862" xr:uid="{00000000-0005-0000-0000-000074030000}"/>
    <cellStyle name="Currency 4 2 8 2" xfId="2188" xr:uid="{00000000-0005-0000-0000-000078020000}"/>
    <cellStyle name="Currency 4 2 8 2 2" xfId="7315" xr:uid="{ADD0A165-ABE0-4F90-A33F-077F5FF9274C}"/>
    <cellStyle name="Currency 4 2 8 2 2 2" xfId="17695" xr:uid="{C1BBF7D4-FBF1-47C1-BB55-91EFC3948301}"/>
    <cellStyle name="Currency 4 2 8 2 3" xfId="10148" xr:uid="{33E315B1-4D3D-49E9-A76E-8054D92275A7}"/>
    <cellStyle name="Currency 4 2 8 2 3 2" xfId="20528" xr:uid="{88A0F51E-EE8C-447C-B6BC-64E9415C38E1}"/>
    <cellStyle name="Currency 4 2 8 2 4" xfId="26698" xr:uid="{36B731ED-7B10-4707-8CE6-205628889D4E}"/>
    <cellStyle name="Currency 4 2 8 2 5" xfId="27853" xr:uid="{C058DF41-89BC-4679-BC90-E6969DEB80F2}"/>
    <cellStyle name="Currency 4 2 8 2 6" xfId="14862" xr:uid="{99E20BDB-1FDA-4F7A-9084-46C793C71BFD}"/>
    <cellStyle name="Currency 4 2 8 3" xfId="3651" xr:uid="{00000000-0005-0000-0000-000074030000}"/>
    <cellStyle name="Currency 4 2 8 3 2" xfId="30636" xr:uid="{43CE70C4-3134-4FAE-BB9F-5FC586D57E05}"/>
    <cellStyle name="Currency 4 2 8 4" xfId="24962" xr:uid="{3F0C25D4-5FA2-4F09-A128-283041A580CB}"/>
    <cellStyle name="Currency 4 2 9" xfId="3882" xr:uid="{DC251A4F-5AD9-45C1-BD34-8461C5214166}"/>
    <cellStyle name="Currency 4 2 9 2" xfId="8714" xr:uid="{C1BC6D1A-7EE7-4C47-87C8-C0673B800AAC}"/>
    <cellStyle name="Currency 4 2 9 2 2" xfId="19094" xr:uid="{648BA1C2-C386-4F11-BB8B-8B4A1CC8CB92}"/>
    <cellStyle name="Currency 4 2 9 3" xfId="11547" xr:uid="{BF03B1AD-0DE8-47DE-A307-4E2A32AA0B13}"/>
    <cellStyle name="Currency 4 2 9 3 2" xfId="21927" xr:uid="{0D3D9BC0-3938-4572-A44C-6B9F1688C330}"/>
    <cellStyle name="Currency 4 2 9 4" xfId="27236" xr:uid="{11A01AB7-B43D-42C9-8214-AD90DCB92BD5}"/>
    <cellStyle name="Currency 4 2 9 5" xfId="27203" xr:uid="{20CAEDD4-581A-49A6-A983-2D7BD69C167F}"/>
    <cellStyle name="Currency 4 2 9 6" xfId="16261" xr:uid="{35051925-8774-429B-B45F-CA6B9A703F0C}"/>
    <cellStyle name="Currency 4 20" xfId="12397" xr:uid="{66CD73B6-8B5C-4CEE-B1C4-83C336E77431}"/>
    <cellStyle name="Currency 4 3" xfId="563" xr:uid="{00000000-0005-0000-0000-000075030000}"/>
    <cellStyle name="Currency 4 3 10" xfId="4946" xr:uid="{9A699C1C-8F3B-46EB-83CA-1AEA14EAD978}"/>
    <cellStyle name="Currency 4 3 10 2" xfId="14241" xr:uid="{533075EF-05BA-4DF2-AB97-D7CA5F6AAFE4}"/>
    <cellStyle name="Currency 4 3 11" xfId="6694" xr:uid="{A047A60A-45CE-407B-A049-2223B505892E}"/>
    <cellStyle name="Currency 4 3 11 2" xfId="17074" xr:uid="{8CD57AC2-6D36-4FFB-9CDE-DCF555BE769C}"/>
    <cellStyle name="Currency 4 3 12" xfId="9527" xr:uid="{F62B27D1-058D-4BAB-B5E3-7E6115F0D553}"/>
    <cellStyle name="Currency 4 3 12 2" xfId="19907" xr:uid="{A08D132D-B56D-4C61-9E3E-B618E503E16E}"/>
    <cellStyle name="Currency 4 3 13" xfId="23763" xr:uid="{8560C23E-977A-4A64-B47A-9FD147CA5650}"/>
    <cellStyle name="Currency 4 3 14" xfId="12457" xr:uid="{4762B291-B850-4854-8306-35256D12D3FD}"/>
    <cellStyle name="Currency 4 3 2" xfId="564" xr:uid="{00000000-0005-0000-0000-000076030000}"/>
    <cellStyle name="Currency 4 3 2 10" xfId="9528" xr:uid="{27C6D75F-52DE-487D-BC75-E0B3602422C3}"/>
    <cellStyle name="Currency 4 3 2 10 2" xfId="19908" xr:uid="{1B5D55DB-60E2-4650-A86B-78944CCAE8EB}"/>
    <cellStyle name="Currency 4 3 2 11" xfId="25157" xr:uid="{7ED0C198-C02C-4ECA-8665-A8C06E408FE9}"/>
    <cellStyle name="Currency 4 3 2 12" xfId="12527" xr:uid="{92334CDC-3C23-41BD-96F3-07E3CBAB7346}"/>
    <cellStyle name="Currency 4 3 2 2" xfId="565" xr:uid="{00000000-0005-0000-0000-000077030000}"/>
    <cellStyle name="Currency 4 3 2 2 10" xfId="13109" xr:uid="{D3D01A0B-D037-4579-A100-754466682299}"/>
    <cellStyle name="Currency 4 3 2 2 2" xfId="1886" xr:uid="{00000000-0005-0000-0000-000078030000}"/>
    <cellStyle name="Currency 4 3 2 2 2 2" xfId="3095" xr:uid="{00000000-0005-0000-0000-000095020000}"/>
    <cellStyle name="Currency 4 3 2 2 2 2 2" xfId="8175" xr:uid="{431901E0-513B-4CF2-8D5D-986A9E846F3A}"/>
    <cellStyle name="Currency 4 3 2 2 2 2 2 2" xfId="28844" xr:uid="{922F41E3-1DB6-434C-A0D9-A6FF7A394730}"/>
    <cellStyle name="Currency 4 3 2 2 2 2 2 3" xfId="26575" xr:uid="{664EEE51-80C3-4F52-8D6F-16F5EDD72CB5}"/>
    <cellStyle name="Currency 4 3 2 2 2 2 2 4" xfId="18555" xr:uid="{BF461208-CAF5-4577-A105-16DBE970C91D}"/>
    <cellStyle name="Currency 4 3 2 2 2 2 3" xfId="11008" xr:uid="{573BC5E8-3CBD-4FA2-B415-D13A00A46334}"/>
    <cellStyle name="Currency 4 3 2 2 2 2 3 2" xfId="21388" xr:uid="{355DB9A7-1995-4D56-813E-1DEF9DBC9DA3}"/>
    <cellStyle name="Currency 4 3 2 2 2 2 4" xfId="25335" xr:uid="{2B76BC04-7F80-4A50-A4AC-4067138F4F14}"/>
    <cellStyle name="Currency 4 3 2 2 2 2 5" xfId="15722" xr:uid="{7A68242E-E209-4C5B-A7EE-931705DD0DC6}"/>
    <cellStyle name="Currency 4 3 2 2 2 3" xfId="2051" xr:uid="{00000000-0005-0000-0000-000078030000}"/>
    <cellStyle name="Currency 4 3 2 2 2 3 2" xfId="29891" xr:uid="{48E93156-7622-44A8-A5D2-98D2E7F1B1A4}"/>
    <cellStyle name="Currency 4 3 2 2 2 4" xfId="5679" xr:uid="{61CE8434-0474-4A82-9F1F-8BA9FFBDF874}"/>
    <cellStyle name="Currency 4 3 2 2 2 4 2" xfId="30151" xr:uid="{F6A401D2-D349-4F98-8C3A-AC7A566BBDD3}"/>
    <cellStyle name="Currency 4 3 2 2 2 5" xfId="25270" xr:uid="{33DFC427-3C70-4236-B0CE-940975B9A690}"/>
    <cellStyle name="Currency 4 3 2 2 2 6" xfId="13610" xr:uid="{967115A1-23CB-4789-979C-E6482BE18D03}"/>
    <cellStyle name="Currency 4 3 2 2 3" xfId="1887" xr:uid="{00000000-0005-0000-0000-000079030000}"/>
    <cellStyle name="Currency 4 3 2 2 3 2" xfId="4683" xr:uid="{D687D2B6-DA4A-4542-A697-38DDD98C7F33}"/>
    <cellStyle name="Currency 4 3 2 2 3 2 2" xfId="9418" xr:uid="{D7FB4EC8-26ED-4030-9003-C2309259B9E9}"/>
    <cellStyle name="Currency 4 3 2 2 3 2 2 2" xfId="19798" xr:uid="{8B040653-5A27-43E5-99DA-246719ED798D}"/>
    <cellStyle name="Currency 4 3 2 2 3 2 3" xfId="12251" xr:uid="{33F75AFC-4D16-4F09-B9C3-B835056393B0}"/>
    <cellStyle name="Currency 4 3 2 2 3 2 3 2" xfId="22631" xr:uid="{96ECDE40-5D39-4568-B7FC-3DA71F52A446}"/>
    <cellStyle name="Currency 4 3 2 2 3 2 4" xfId="26190" xr:uid="{8C2499C7-1BB1-4D22-A139-187B9857C1C6}"/>
    <cellStyle name="Currency 4 3 2 2 3 2 5" xfId="27316" xr:uid="{005548B2-6083-46C7-874E-DB5A032DBE42}"/>
    <cellStyle name="Currency 4 3 2 2 3 2 6" xfId="16965" xr:uid="{66D36A2C-378A-41BD-B227-E81F29D242ED}"/>
    <cellStyle name="Currency 4 3 2 2 3 3" xfId="23752" xr:uid="{CC39D2C1-EDB8-46AE-990C-9B1731256481}"/>
    <cellStyle name="Currency 4 3 2 2 3 3 2" xfId="30224" xr:uid="{8BF409CD-F79C-4191-87D5-2B8F3C1CE794}"/>
    <cellStyle name="Currency 4 3 2 2 3 4" xfId="30613" xr:uid="{C001CAE0-9329-487D-B8A8-50AE1144F9C2}"/>
    <cellStyle name="Currency 4 3 2 2 3 5" xfId="29757" xr:uid="{B529A31C-9231-46D9-8896-F7B7DEB73AC8}"/>
    <cellStyle name="Currency 4 3 2 2 4" xfId="1885" xr:uid="{00000000-0005-0000-0000-00007A030000}"/>
    <cellStyle name="Currency 4 3 2 2 4 2" xfId="26962" xr:uid="{DB772303-1715-451F-983D-FA4084595956}"/>
    <cellStyle name="Currency 4 3 2 2 4 2 2" xfId="30260" xr:uid="{4EF7CDE5-6519-4FB7-9449-0073D8B9BE47}"/>
    <cellStyle name="Currency 4 3 2 2 4 3" xfId="26337" xr:uid="{B0BAF356-AC96-4D61-AF66-90BA33F5234A}"/>
    <cellStyle name="Currency 4 3 2 2 4 4" xfId="30016" xr:uid="{DF64B388-2D97-4757-BE5F-41D940D6BE44}"/>
    <cellStyle name="Currency 4 3 2 2 5" xfId="4275" xr:uid="{A7A2FC4F-1B1A-43AE-B621-BB9F2BE98CD3}"/>
    <cellStyle name="Currency 4 3 2 2 5 2" xfId="9047" xr:uid="{2F16989A-4C37-47DA-A55F-50A0BD59F9D8}"/>
    <cellStyle name="Currency 4 3 2 2 5 2 2" xfId="19427" xr:uid="{8689B158-0518-473E-BD0D-57F774152E57}"/>
    <cellStyle name="Currency 4 3 2 2 5 3" xfId="11880" xr:uid="{E4603E20-55BE-4014-BABB-902A708700C4}"/>
    <cellStyle name="Currency 4 3 2 2 5 3 2" xfId="22260" xr:uid="{F991F5B0-BFFF-4E23-8F84-EB2D2F643857}"/>
    <cellStyle name="Currency 4 3 2 2 5 4" xfId="27637" xr:uid="{31792131-8CCE-4EE1-B222-AE2C8621D08A}"/>
    <cellStyle name="Currency 4 3 2 2 5 5" xfId="25999" xr:uid="{270E6B12-61FF-49F3-B084-548FD7B3F23B}"/>
    <cellStyle name="Currency 4 3 2 2 5 6" xfId="16594" xr:uid="{1926910E-F59C-4D08-B99B-D9ADC6666F7F}"/>
    <cellStyle name="Currency 4 3 2 2 6" xfId="4948" xr:uid="{65C9F64E-A345-4F6D-B067-E29F264CEBF1}"/>
    <cellStyle name="Currency 4 3 2 2 6 2" xfId="26270" xr:uid="{E4C9A842-FCE7-42FB-8EA1-B50F3956D4E8}"/>
    <cellStyle name="Currency 4 3 2 2 6 3" xfId="26018" xr:uid="{8942F952-991D-4545-B1C8-7054C9722F12}"/>
    <cellStyle name="Currency 4 3 2 2 6 4" xfId="14243" xr:uid="{6E39C487-927A-43EB-B196-1CFC238D7AB4}"/>
    <cellStyle name="Currency 4 3 2 2 7" xfId="6696" xr:uid="{1E6FCB53-9A9F-48E2-AE4D-948B598459AA}"/>
    <cellStyle name="Currency 4 3 2 2 7 2" xfId="17076" xr:uid="{6D6D364E-56A0-4083-97C6-B7ABE2445DE3}"/>
    <cellStyle name="Currency 4 3 2 2 8" xfId="9529" xr:uid="{8E041D61-AC19-44A3-9FCA-06C6CF48BC2D}"/>
    <cellStyle name="Currency 4 3 2 2 8 2" xfId="19909" xr:uid="{DA438EE4-CD2F-474E-8A82-E4887BC253B2}"/>
    <cellStyle name="Currency 4 3 2 2 9" xfId="22906" xr:uid="{9470BD46-6C7B-4129-9FE4-95AE546C6D94}"/>
    <cellStyle name="Currency 4 3 2 3" xfId="1888" xr:uid="{00000000-0005-0000-0000-00007B030000}"/>
    <cellStyle name="Currency 4 3 2 3 2" xfId="3096" xr:uid="{00000000-0005-0000-0000-000096020000}"/>
    <cellStyle name="Currency 4 3 2 3 2 2" xfId="8176" xr:uid="{5272ADC5-508E-411B-A874-76D8F5F024FC}"/>
    <cellStyle name="Currency 4 3 2 3 2 2 2" xfId="28845" xr:uid="{6C67E993-C03E-461A-93EC-806EE3E12229}"/>
    <cellStyle name="Currency 4 3 2 3 2 2 3" xfId="28034" xr:uid="{C1BAA7E1-189B-4F7B-9825-9D14D5E6F70D}"/>
    <cellStyle name="Currency 4 3 2 3 2 2 4" xfId="18556" xr:uid="{7F99C888-7723-41E2-82D6-9C1AD52869EF}"/>
    <cellStyle name="Currency 4 3 2 3 2 3" xfId="11009" xr:uid="{52DCBDCA-C818-497D-9869-FA4E869D9771}"/>
    <cellStyle name="Currency 4 3 2 3 2 3 2" xfId="21389" xr:uid="{73E0972A-E446-4E7A-88F6-E7F33842FBBB}"/>
    <cellStyle name="Currency 4 3 2 3 2 4" xfId="25661" xr:uid="{73031C5A-7497-4E29-BDA7-0512A1953CC8}"/>
    <cellStyle name="Currency 4 3 2 3 2 5" xfId="15723" xr:uid="{9E20F832-96A2-4E8D-90E0-9A69DE3190FF}"/>
    <cellStyle name="Currency 4 3 2 3 3" xfId="3600" xr:uid="{00000000-0005-0000-0000-00007B030000}"/>
    <cellStyle name="Currency 4 3 2 3 3 2" xfId="29800" xr:uid="{33FF38DF-49A1-4496-AE0B-11B1F39CBE4E}"/>
    <cellStyle name="Currency 4 3 2 3 4" xfId="4427" xr:uid="{6DDD7D65-28CE-4D3E-A44A-510FBD4F835A}"/>
    <cellStyle name="Currency 4 3 2 3 4 2" xfId="9199" xr:uid="{12518834-FEB3-4C1E-B124-6B3AE272E447}"/>
    <cellStyle name="Currency 4 3 2 3 4 2 2" xfId="19579" xr:uid="{3AEC82BC-741C-4963-A6A7-E69D788CF2B4}"/>
    <cellStyle name="Currency 4 3 2 3 4 3" xfId="12032" xr:uid="{324E1B08-31D5-433A-B7EF-B14FB1EE9A77}"/>
    <cellStyle name="Currency 4 3 2 3 4 3 2" xfId="22412" xr:uid="{D2A73898-9C50-4702-A7E4-FDD42B4EFF43}"/>
    <cellStyle name="Currency 4 3 2 3 4 4" xfId="16746" xr:uid="{26A21FF5-F3E3-46B8-892F-02FEDF25E251}"/>
    <cellStyle name="Currency 4 3 2 3 5" xfId="5680" xr:uid="{B3D1B3D3-BD8D-4388-8905-3C78189C9462}"/>
    <cellStyle name="Currency 4 3 2 3 5 2" xfId="30382" xr:uid="{C316C32D-B696-40C9-8741-0E95FDB71DAC}"/>
    <cellStyle name="Currency 4 3 2 3 6" xfId="23331" xr:uid="{A28249A9-1B42-46FA-8253-9E0649BE0E8D}"/>
    <cellStyle name="Currency 4 3 2 3 7" xfId="13611" xr:uid="{4366B9E4-935E-4BC4-A2FC-D62291D3DD33}"/>
    <cellStyle name="Currency 4 3 2 4" xfId="1889" xr:uid="{00000000-0005-0000-0000-00007C030000}"/>
    <cellStyle name="Currency 4 3 2 4 2" xfId="3094" xr:uid="{00000000-0005-0000-0000-000097020000}"/>
    <cellStyle name="Currency 4 3 2 4 2 2" xfId="8174" xr:uid="{2AA79186-35BF-4AB7-8615-D8FC3006284E}"/>
    <cellStyle name="Currency 4 3 2 4 2 2 2" xfId="28843" xr:uid="{0748F1C7-BF01-4D79-99D3-CC23532C7C08}"/>
    <cellStyle name="Currency 4 3 2 4 2 2 3" xfId="26369" xr:uid="{F5636C90-FA6E-4D36-A794-409EDA9FC76C}"/>
    <cellStyle name="Currency 4 3 2 4 2 2 4" xfId="18554" xr:uid="{E3F93777-0AA8-4E8E-9CB1-D33EEC051AFE}"/>
    <cellStyle name="Currency 4 3 2 4 2 3" xfId="11007" xr:uid="{8800727E-E687-49E5-8545-D324E313515D}"/>
    <cellStyle name="Currency 4 3 2 4 2 3 2" xfId="21387" xr:uid="{CCA90335-FFEC-42FA-BFFE-9F6E4BFCE406}"/>
    <cellStyle name="Currency 4 3 2 4 2 4" xfId="25749" xr:uid="{61F83009-EE7B-4FE2-B8A1-D1361417A92E}"/>
    <cellStyle name="Currency 4 3 2 4 2 5" xfId="15721" xr:uid="{6B04E6E0-2145-4AC9-8D43-6CEAA1964412}"/>
    <cellStyle name="Currency 4 3 2 4 3" xfId="3643" xr:uid="{00000000-0005-0000-0000-00007C030000}"/>
    <cellStyle name="Currency 4 3 2 4 3 2" xfId="29843" xr:uid="{F9370BC7-3875-4195-94CB-EC274CDF48D0}"/>
    <cellStyle name="Currency 4 3 2 4 4" xfId="5681" xr:uid="{C640D449-3274-4163-9177-C2B189F2C72C}"/>
    <cellStyle name="Currency 4 3 2 4 4 2" xfId="30133" xr:uid="{883AAA40-8AEB-4DE0-BC60-192CE8855857}"/>
    <cellStyle name="Currency 4 3 2 4 5" xfId="24438" xr:uid="{CBE45B56-A6D5-48B2-BEEC-1DBA16F13214}"/>
    <cellStyle name="Currency 4 3 2 4 6" xfId="13609" xr:uid="{503D5554-44FB-47EB-AA47-30AFC02FDB54}"/>
    <cellStyle name="Currency 4 3 2 5" xfId="1884" xr:uid="{00000000-0005-0000-0000-00007D030000}"/>
    <cellStyle name="Currency 4 3 2 5 2" xfId="2531" xr:uid="{00000000-0005-0000-0000-000098020000}"/>
    <cellStyle name="Currency 4 3 2 5 2 2" xfId="7656" xr:uid="{45782A99-C040-476D-8109-DAB93457B98C}"/>
    <cellStyle name="Currency 4 3 2 5 2 2 2" xfId="18036" xr:uid="{1BCC0329-9BBF-4386-9AAE-ED987479FE29}"/>
    <cellStyle name="Currency 4 3 2 5 2 3" xfId="10489" xr:uid="{011D311B-C356-48D3-8513-12AD3C693DF2}"/>
    <cellStyle name="Currency 4 3 2 5 2 3 2" xfId="20869" xr:uid="{BD679459-1A5C-4A83-B445-DDDE95068A0D}"/>
    <cellStyle name="Currency 4 3 2 5 2 4" xfId="26040" xr:uid="{CB20989F-4E56-4E42-BAD2-C3CE414364C8}"/>
    <cellStyle name="Currency 4 3 2 5 2 5" xfId="26488" xr:uid="{D744808E-988F-4667-8697-41C769EA1F94}"/>
    <cellStyle name="Currency 4 3 2 5 2 6" xfId="15203" xr:uid="{CAB2C7AB-E0FA-4038-A976-C4C0141F17C3}"/>
    <cellStyle name="Currency 4 3 2 5 3" xfId="3595" xr:uid="{00000000-0005-0000-0000-00007D030000}"/>
    <cellStyle name="Currency 4 3 2 5 3 2" xfId="30191" xr:uid="{389D5F8D-C727-4C39-85A8-FD11446F6231}"/>
    <cellStyle name="Currency 4 3 2 5 4" xfId="5678" xr:uid="{9B281BAA-7273-431B-858A-DC8F830D672D}"/>
    <cellStyle name="Currency 4 3 2 5 4 2" xfId="30572" xr:uid="{D34BE2C3-BC12-4E44-844D-DF04318F81DE}"/>
    <cellStyle name="Currency 4 3 2 5 5" xfId="25527" xr:uid="{A433C727-125E-4712-80D9-2249998B7C61}"/>
    <cellStyle name="Currency 4 3 2 5 6" xfId="12919" xr:uid="{72BAE5A0-0A62-461D-B319-92C955040D75}"/>
    <cellStyle name="Currency 4 3 2 6" xfId="2295" xr:uid="{00000000-0005-0000-0000-000093020000}"/>
    <cellStyle name="Currency 4 3 2 6 2" xfId="7422" xr:uid="{573730B2-6DF5-4968-8E53-BB584D4D9B5D}"/>
    <cellStyle name="Currency 4 3 2 6 2 2" xfId="17802" xr:uid="{7098C69E-C26E-4964-A488-545F50883304}"/>
    <cellStyle name="Currency 4 3 2 6 2 3" xfId="29991" xr:uid="{726D341C-A26E-456A-A9D7-372C8DF73863}"/>
    <cellStyle name="Currency 4 3 2 6 3" xfId="10255" xr:uid="{8DA82A10-A801-49D3-BCF1-829C12A7EDEF}"/>
    <cellStyle name="Currency 4 3 2 6 3 2" xfId="20635" xr:uid="{226D0063-D70E-4F9F-8CCA-5E9A3E3909BF}"/>
    <cellStyle name="Currency 4 3 2 6 4" xfId="24221" xr:uid="{1F2D0923-44FE-43C1-9D3A-DF58C45ECA3B}"/>
    <cellStyle name="Currency 4 3 2 6 5" xfId="28448" xr:uid="{35900C64-B02A-47CB-8F4F-F6318E6CBECD}"/>
    <cellStyle name="Currency 4 3 2 6 6" xfId="14969" xr:uid="{20358FD6-C655-4F25-AB71-B4D9B5677E40}"/>
    <cellStyle name="Currency 4 3 2 7" xfId="3830" xr:uid="{CC8AB601-20F8-46A1-99F0-FF82EF572E23}"/>
    <cellStyle name="Currency 4 3 2 7 2" xfId="8663" xr:uid="{B92CC1AF-3C75-469F-8E7A-C9B323D68897}"/>
    <cellStyle name="Currency 4 3 2 7 2 2" xfId="19043" xr:uid="{8CFA6148-FB25-419F-A120-58823471F241}"/>
    <cellStyle name="Currency 4 3 2 7 3" xfId="11496" xr:uid="{345BC201-8947-4FBD-A505-FEF6E28E0FEC}"/>
    <cellStyle name="Currency 4 3 2 7 3 2" xfId="21876" xr:uid="{814F75CD-0E58-42C0-8E63-2349D83BA6CB}"/>
    <cellStyle name="Currency 4 3 2 7 4" xfId="27430" xr:uid="{7847A7E7-6D3B-4782-93C0-383385C0D8C6}"/>
    <cellStyle name="Currency 4 3 2 7 5" xfId="28304" xr:uid="{1631A1B8-97AE-4868-9C2F-0408EF79A9F8}"/>
    <cellStyle name="Currency 4 3 2 7 6" xfId="16210" xr:uid="{4B7FC55B-1059-4DDE-BC2C-45759D2EE56F}"/>
    <cellStyle name="Currency 4 3 2 8" xfId="4947" xr:uid="{149C158A-2C1F-4B22-97C4-837DB49A74A5}"/>
    <cellStyle name="Currency 4 3 2 8 2" xfId="14242" xr:uid="{DF30DEBC-9468-405C-A55A-4779272FD582}"/>
    <cellStyle name="Currency 4 3 2 9" xfId="6695" xr:uid="{36C16F1A-DD89-4C2A-B4BB-531D28BE5BF9}"/>
    <cellStyle name="Currency 4 3 2 9 2" xfId="17075" xr:uid="{87BE574B-570A-471A-BCE6-4273FB47E94E}"/>
    <cellStyle name="Currency 4 3 3" xfId="566" xr:uid="{00000000-0005-0000-0000-00007E030000}"/>
    <cellStyle name="Currency 4 3 3 10" xfId="24259" xr:uid="{BBD9D141-9D54-4B0B-B012-1A12C50B7675}"/>
    <cellStyle name="Currency 4 3 3 11" xfId="12685" xr:uid="{D013353A-95BF-4B51-8603-30728729F02A}"/>
    <cellStyle name="Currency 4 3 3 2" xfId="1891" xr:uid="{00000000-0005-0000-0000-00007F030000}"/>
    <cellStyle name="Currency 4 3 3 2 2" xfId="3098" xr:uid="{00000000-0005-0000-0000-00009B020000}"/>
    <cellStyle name="Currency 4 3 3 2 2 2" xfId="6173" xr:uid="{245EEFC1-6B63-448A-97EC-91AE304FE9B6}"/>
    <cellStyle name="Currency 4 3 3 2 2 2 2" xfId="23166" xr:uid="{F17C049D-B39A-479C-878E-B4531B11AF40}"/>
    <cellStyle name="Currency 4 3 3 2 2 2 2 2" xfId="26358" xr:uid="{67DD8835-D50D-46F0-AFB8-584049758599}"/>
    <cellStyle name="Currency 4 3 3 2 2 2 3" xfId="26943" xr:uid="{B29565CC-6216-4006-88B0-F2500B66673A}"/>
    <cellStyle name="Currency 4 3 3 2 2 2 4" xfId="15725" xr:uid="{0AD99BDE-7CDA-449F-805C-DB52653259F5}"/>
    <cellStyle name="Currency 4 3 3 2 2 3" xfId="8178" xr:uid="{23BEF528-081F-49B6-A416-3D3638EBE064}"/>
    <cellStyle name="Currency 4 3 3 2 2 3 2" xfId="28847" xr:uid="{42028672-A77A-429F-BD9C-D23E941022C8}"/>
    <cellStyle name="Currency 4 3 3 2 2 3 3" xfId="28048" xr:uid="{D72A9D18-7426-49D8-99A8-DC9811BD7C70}"/>
    <cellStyle name="Currency 4 3 3 2 2 3 4" xfId="18558" xr:uid="{53366010-FDCE-42DF-BEDC-19E65E079376}"/>
    <cellStyle name="Currency 4 3 3 2 2 4" xfId="11011" xr:uid="{D6215F48-4D36-4238-AACC-55FE6CB2BA47}"/>
    <cellStyle name="Currency 4 3 3 2 2 4 2" xfId="21391" xr:uid="{58CF0DD9-1988-4660-B353-8EEEB994E4B5}"/>
    <cellStyle name="Currency 4 3 3 2 2 5" xfId="25113" xr:uid="{8C8C27A2-B225-4307-8FAC-A39C3F654CA1}"/>
    <cellStyle name="Currency 4 3 3 2 2 6" xfId="13613" xr:uid="{74DC2818-4F22-4589-A48B-CC099277795E}"/>
    <cellStyle name="Currency 4 3 3 2 3" xfId="2695" xr:uid="{00000000-0005-0000-0000-00009A020000}"/>
    <cellStyle name="Currency 4 3 3 2 3 2" xfId="7819" xr:uid="{9D515FEF-8A85-47C8-8397-199D56B57A6B}"/>
    <cellStyle name="Currency 4 3 3 2 3 2 2" xfId="28040" xr:uid="{5BC7E876-1AC7-42F3-9B06-D43958D69461}"/>
    <cellStyle name="Currency 4 3 3 2 3 2 3" xfId="26325" xr:uid="{B0F2F618-7156-4AA4-9660-479C72FA1DB4}"/>
    <cellStyle name="Currency 4 3 3 2 3 2 4" xfId="18199" xr:uid="{A51AF457-E504-460D-A4C6-447A6BFFAA1E}"/>
    <cellStyle name="Currency 4 3 3 2 3 3" xfId="10652" xr:uid="{58092095-639B-4C55-8F73-07474A03EB78}"/>
    <cellStyle name="Currency 4 3 3 2 3 3 2" xfId="21032" xr:uid="{0A5B0C68-DC37-4547-8D6F-8FFC80CCAE6E}"/>
    <cellStyle name="Currency 4 3 3 2 3 4" xfId="22914" xr:uid="{2E94CA68-84F5-4371-997B-9A9E2FB2C410}"/>
    <cellStyle name="Currency 4 3 3 2 3 5" xfId="15366" xr:uid="{085F8945-E70C-4C5B-81B7-4BA41C04168F}"/>
    <cellStyle name="Currency 4 3 3 2 4" xfId="2062" xr:uid="{00000000-0005-0000-0000-00007F030000}"/>
    <cellStyle name="Currency 4 3 3 2 4 2" xfId="29866" xr:uid="{25416F78-C0B4-4DB6-AC9E-BFDBF819F5F3}"/>
    <cellStyle name="Currency 4 3 3 2 5" xfId="4276" xr:uid="{A9A18A0C-B394-4F5F-BF25-6004A0FCDDA6}"/>
    <cellStyle name="Currency 4 3 3 2 5 2" xfId="9048" xr:uid="{F2DEDE17-5381-434E-91FC-A24B5A2A9568}"/>
    <cellStyle name="Currency 4 3 3 2 5 2 2" xfId="19428" xr:uid="{5FE51EAB-0B6A-4106-9FF9-085D964A5C33}"/>
    <cellStyle name="Currency 4 3 3 2 5 3" xfId="11881" xr:uid="{997E97EB-6E8E-4CCA-B091-B182EDB645CE}"/>
    <cellStyle name="Currency 4 3 3 2 5 3 2" xfId="22261" xr:uid="{D98C5CFD-729B-4D98-8BAC-917EF94E0A0D}"/>
    <cellStyle name="Currency 4 3 3 2 5 4" xfId="27051" xr:uid="{826E9520-A070-4296-B78E-3CD7B68F2EC7}"/>
    <cellStyle name="Currency 4 3 3 2 5 5" xfId="26066" xr:uid="{AC5B1DFC-E7DF-4333-923C-2D3E5D36A2FF}"/>
    <cellStyle name="Currency 4 3 3 2 5 6" xfId="16595" xr:uid="{2AEC2E42-3485-4143-A840-508CDFFB36DC}"/>
    <cellStyle name="Currency 4 3 3 2 6" xfId="5683" xr:uid="{972BBD7A-F399-4590-BF19-5F777C22464B}"/>
    <cellStyle name="Currency 4 3 3 2 6 2" xfId="30489" xr:uid="{AE01332E-93F6-4EAC-B85D-541AC302F956}"/>
    <cellStyle name="Currency 4 3 3 2 7" xfId="23079" xr:uid="{FA5A0E59-A3DD-4FCF-886D-7BA328640A88}"/>
    <cellStyle name="Currency 4 3 3 2 8" xfId="13110" xr:uid="{961B7C68-AC7B-4528-AEBD-859B5922B658}"/>
    <cellStyle name="Currency 4 3 3 3" xfId="1892" xr:uid="{00000000-0005-0000-0000-000080030000}"/>
    <cellStyle name="Currency 4 3 3 3 2" xfId="3099" xr:uid="{00000000-0005-0000-0000-00009C020000}"/>
    <cellStyle name="Currency 4 3 3 3 2 2" xfId="8179" xr:uid="{5D357443-C1F7-4A1C-9A8B-79E5CA8A3AF0}"/>
    <cellStyle name="Currency 4 3 3 3 2 2 2" xfId="28848" xr:uid="{389F4B05-E69E-4B79-A5EB-FB4A2C3A844E}"/>
    <cellStyle name="Currency 4 3 3 3 2 2 3" xfId="27250" xr:uid="{BDBEEE43-9FEA-4186-8A77-5F7AE2D391F4}"/>
    <cellStyle name="Currency 4 3 3 3 2 2 4" xfId="18559" xr:uid="{3BF5F718-0A52-45F6-9084-5976DFC6A62C}"/>
    <cellStyle name="Currency 4 3 3 3 2 3" xfId="11012" xr:uid="{60E0BED4-FD2E-46DA-B474-4B3E367F65B5}"/>
    <cellStyle name="Currency 4 3 3 3 2 3 2" xfId="21392" xr:uid="{1525BF26-D227-414E-A4A0-2ED22683DAD2}"/>
    <cellStyle name="Currency 4 3 3 3 2 4" xfId="25186" xr:uid="{614AF8FC-B633-4E2A-995B-43A3D63DE41E}"/>
    <cellStyle name="Currency 4 3 3 3 2 5" xfId="15726" xr:uid="{9EF9895C-16FA-4D39-9EAF-B812BA93A86E}"/>
    <cellStyle name="Currency 4 3 3 3 3" xfId="3663" xr:uid="{00000000-0005-0000-0000-000080030000}"/>
    <cellStyle name="Currency 4 3 3 3 3 2" xfId="29938" xr:uid="{763E2CDE-1134-47E0-A2DD-10CA8957D3A2}"/>
    <cellStyle name="Currency 4 3 3 3 4" xfId="4428" xr:uid="{C8B4E7B0-83F8-4699-88CD-54B2D8F32DAD}"/>
    <cellStyle name="Currency 4 3 3 3 4 2" xfId="9200" xr:uid="{88F62EE2-8CDA-4E15-9F65-299F86D0604F}"/>
    <cellStyle name="Currency 4 3 3 3 4 2 2" xfId="19580" xr:uid="{CC824306-A436-4FA1-9C48-B30A2DE20F78}"/>
    <cellStyle name="Currency 4 3 3 3 4 3" xfId="12033" xr:uid="{EC78C1D7-62E6-412F-A837-6B3BC6F3BBEB}"/>
    <cellStyle name="Currency 4 3 3 3 4 3 2" xfId="22413" xr:uid="{2709CD85-FF35-4D8E-8CC3-10ECB200DCBC}"/>
    <cellStyle name="Currency 4 3 3 3 4 4" xfId="16747" xr:uid="{7F4B26FF-D4A7-46E9-93B3-18D5F33723A2}"/>
    <cellStyle name="Currency 4 3 3 3 5" xfId="5684" xr:uid="{39341862-0181-4C5E-949D-F89F697D04ED}"/>
    <cellStyle name="Currency 4 3 3 3 5 2" xfId="30588" xr:uid="{EBA906ED-5919-4C97-B48F-EB0FA2E455F8}"/>
    <cellStyle name="Currency 4 3 3 3 6" xfId="23131" xr:uid="{8F53FD9C-35CA-4984-B648-71AC776AAF06}"/>
    <cellStyle name="Currency 4 3 3 3 7" xfId="13614" xr:uid="{1797E221-8C55-4BBC-98CB-F63B9DF2C26F}"/>
    <cellStyle name="Currency 4 3 3 4" xfId="1890" xr:uid="{00000000-0005-0000-0000-000081030000}"/>
    <cellStyle name="Currency 4 3 3 4 2" xfId="3097" xr:uid="{00000000-0005-0000-0000-00009D020000}"/>
    <cellStyle name="Currency 4 3 3 4 2 2" xfId="8177" xr:uid="{75731091-C8C8-4086-9613-B0BFBF99BB4C}"/>
    <cellStyle name="Currency 4 3 3 4 2 2 2" xfId="28846" xr:uid="{A9B7BDBC-3237-4D16-8EB7-E59D345EA710}"/>
    <cellStyle name="Currency 4 3 3 4 2 2 3" xfId="27709" xr:uid="{34106B4D-48C0-422F-B2A2-4705F8BF2F97}"/>
    <cellStyle name="Currency 4 3 3 4 2 2 4" xfId="18557" xr:uid="{B9344271-A5BC-4D7F-9A60-06A53FC305C1}"/>
    <cellStyle name="Currency 4 3 3 4 2 3" xfId="11010" xr:uid="{FAB33934-4D9C-445B-8905-2DFCCCC46A85}"/>
    <cellStyle name="Currency 4 3 3 4 2 3 2" xfId="21390" xr:uid="{2DAF6D68-1EBA-4936-8DF6-49BE2A53F212}"/>
    <cellStyle name="Currency 4 3 3 4 2 4" xfId="25513" xr:uid="{0D7914E2-4B85-432C-BF3E-E82AADB1BCE8}"/>
    <cellStyle name="Currency 4 3 3 4 2 5" xfId="15724" xr:uid="{9B134EE1-DA6C-43CB-81DE-684E88B1AFB6}"/>
    <cellStyle name="Currency 4 3 3 4 3" xfId="3692" xr:uid="{00000000-0005-0000-0000-000081030000}"/>
    <cellStyle name="Currency 4 3 3 4 3 2" xfId="30323" xr:uid="{1E5D5B2C-F983-43CE-AC88-B50F313C3664}"/>
    <cellStyle name="Currency 4 3 3 4 4" xfId="5682" xr:uid="{FFFF2C30-4094-4398-B9F9-3EFC21446922}"/>
    <cellStyle name="Currency 4 3 3 4 4 2" xfId="30756" xr:uid="{D3572505-77D5-42FF-8E1E-B30DE0EB5AFF}"/>
    <cellStyle name="Currency 4 3 3 4 5" xfId="24878" xr:uid="{34060291-EB8B-4FDF-8F6B-C68A873BBE5A}"/>
    <cellStyle name="Currency 4 3 3 4 6" xfId="13612" xr:uid="{DBF80413-4B85-4FD0-8623-469CE5DB1163}"/>
    <cellStyle name="Currency 4 3 3 5" xfId="2634" xr:uid="{00000000-0005-0000-0000-00009E020000}"/>
    <cellStyle name="Currency 4 3 3 5 2" xfId="5896" xr:uid="{30465DA8-295D-4FD1-975C-B9501B7FDABB}"/>
    <cellStyle name="Currency 4 3 3 5 2 2" xfId="28539" xr:uid="{D45496F4-22F6-4EDB-8423-1E500DA34D54}"/>
    <cellStyle name="Currency 4 3 3 5 2 3" xfId="26513" xr:uid="{D37A4C49-08CB-4830-9C8E-9A3C743A1751}"/>
    <cellStyle name="Currency 4 3 3 5 2 4" xfId="15306" xr:uid="{03AF7162-17DC-47F8-BB8B-C360C6A5E3D7}"/>
    <cellStyle name="Currency 4 3 3 5 3" xfId="7759" xr:uid="{CD4E4338-ED5C-4DB3-B49F-56E7FE929F23}"/>
    <cellStyle name="Currency 4 3 3 5 3 2" xfId="18139" xr:uid="{BF2569F1-CDEE-4A66-94C7-73C62BD4EB5C}"/>
    <cellStyle name="Currency 4 3 3 5 4" xfId="10592" xr:uid="{EAB99A54-5986-4ED6-91B2-5BE26F1B2864}"/>
    <cellStyle name="Currency 4 3 3 5 4 2" xfId="20972" xr:uid="{A67839FB-8767-4BA5-A560-9AE78FC03245}"/>
    <cellStyle name="Currency 4 3 3 5 5" xfId="23408" xr:uid="{FE6B56DB-BA94-4381-A568-A113EC141101}"/>
    <cellStyle name="Currency 4 3 3 5 6" xfId="13022" xr:uid="{986DF7A8-CB28-4B4A-9794-FE267059F919}"/>
    <cellStyle name="Currency 4 3 3 6" xfId="4139" xr:uid="{6B123A2A-35D1-4A82-89EB-FD8F530B11B4}"/>
    <cellStyle name="Currency 4 3 3 6 2" xfId="8911" xr:uid="{2AA728DB-79E0-434A-A116-CC49DDAE427A}"/>
    <cellStyle name="Currency 4 3 3 6 2 2" xfId="19291" xr:uid="{BFFE1D5F-ECAF-4472-A238-DD25F93BE0A5}"/>
    <cellStyle name="Currency 4 3 3 6 3" xfId="11744" xr:uid="{31C873FB-3A67-447A-916B-1B6FA9E3B8AA}"/>
    <cellStyle name="Currency 4 3 3 6 3 2" xfId="22124" xr:uid="{C2F14EF1-3B83-482B-AAA2-439783D70DF3}"/>
    <cellStyle name="Currency 4 3 3 6 4" xfId="24705" xr:uid="{4309507B-EF60-4074-9701-FB124E1202DD}"/>
    <cellStyle name="Currency 4 3 3 6 5" xfId="25998" xr:uid="{DA3EAE5A-1285-4AF0-93AA-0E5AC0CEA453}"/>
    <cellStyle name="Currency 4 3 3 6 6" xfId="16458" xr:uid="{5E5F0659-D264-4DC8-95F8-E400C140D3EA}"/>
    <cellStyle name="Currency 4 3 3 7" xfId="4949" xr:uid="{C4D5D6D7-A836-410F-A574-41204BD7140B}"/>
    <cellStyle name="Currency 4 3 3 7 2" xfId="27578" xr:uid="{6C095663-747A-4181-9A96-532C6BCFB1CC}"/>
    <cellStyle name="Currency 4 3 3 7 3" xfId="27143" xr:uid="{D5E4766A-3BE3-4BF4-B0B2-EB170B5B6CA6}"/>
    <cellStyle name="Currency 4 3 3 7 4" xfId="14244" xr:uid="{D0D72598-D96B-4636-B304-F39020885D2D}"/>
    <cellStyle name="Currency 4 3 3 8" xfId="6697" xr:uid="{977495BE-1DF0-4EDE-A4A1-41A24A5790A3}"/>
    <cellStyle name="Currency 4 3 3 8 2" xfId="17077" xr:uid="{F717E167-9746-4026-B445-1B738C09ECD1}"/>
    <cellStyle name="Currency 4 3 3 9" xfId="9530" xr:uid="{E4334F6A-5E5F-40A4-BA5C-9E120F5BA3A6}"/>
    <cellStyle name="Currency 4 3 3 9 2" xfId="19910" xr:uid="{5BB767F8-A693-49B8-8B5B-3E0A0EB5EF1E}"/>
    <cellStyle name="Currency 4 3 4" xfId="567" xr:uid="{00000000-0005-0000-0000-000082030000}"/>
    <cellStyle name="Currency 4 3 4 10" xfId="13108" xr:uid="{AE740A6D-D45A-41E1-8273-9F297354F55A}"/>
    <cellStyle name="Currency 4 3 4 2" xfId="1894" xr:uid="{00000000-0005-0000-0000-000083030000}"/>
    <cellStyle name="Currency 4 3 4 2 2" xfId="3100" xr:uid="{00000000-0005-0000-0000-0000A0020000}"/>
    <cellStyle name="Currency 4 3 4 2 2 2" xfId="8180" xr:uid="{8AE1DDD6-2F21-49C5-B8C6-F52A50611B85}"/>
    <cellStyle name="Currency 4 3 4 2 2 2 2" xfId="28849" xr:uid="{2AEB745B-9CFB-4146-9EB2-3C2423E878BB}"/>
    <cellStyle name="Currency 4 3 4 2 2 2 3" xfId="27435" xr:uid="{27C29BB6-0D2D-4B52-A89C-F7B556C93D73}"/>
    <cellStyle name="Currency 4 3 4 2 2 2 4" xfId="18560" xr:uid="{58809F57-2B38-4802-BF8E-4A86F6A2186C}"/>
    <cellStyle name="Currency 4 3 4 2 2 3" xfId="11013" xr:uid="{A3B24448-6335-4720-A2C9-621BDF34B786}"/>
    <cellStyle name="Currency 4 3 4 2 2 3 2" xfId="21393" xr:uid="{9C3A51D5-237D-4870-8D4C-49825FECA1E4}"/>
    <cellStyle name="Currency 4 3 4 2 2 4" xfId="23881" xr:uid="{51FD7B37-87BC-4AFC-ADD7-D314DF309365}"/>
    <cellStyle name="Currency 4 3 4 2 2 5" xfId="15727" xr:uid="{47C9BDD8-BA39-499A-9171-FE30EE837C58}"/>
    <cellStyle name="Currency 4 3 4 2 3" xfId="3628" xr:uid="{00000000-0005-0000-0000-000083030000}"/>
    <cellStyle name="Currency 4 3 4 2 3 2" xfId="30757" xr:uid="{BFF12613-855B-4CC0-ACE4-B3EAB7E1C20F}"/>
    <cellStyle name="Currency 4 3 4 2 4" xfId="5685" xr:uid="{61FA4F1F-147C-45F5-8CB7-1B0BF2586D1D}"/>
    <cellStyle name="Currency 4 3 4 2 5" xfId="23194" xr:uid="{56FD0A9D-05CC-4AFD-9BCB-9FAF22FC024B}"/>
    <cellStyle name="Currency 4 3 4 2 6" xfId="13615" xr:uid="{2BC2A876-45C4-4DD6-AFEF-F320778FC734}"/>
    <cellStyle name="Currency 4 3 4 3" xfId="1895" xr:uid="{00000000-0005-0000-0000-000084030000}"/>
    <cellStyle name="Currency 4 3 4 3 2" xfId="4673" xr:uid="{FC46B6DE-95DF-48B7-89E0-F85CC2E3B4FC}"/>
    <cellStyle name="Currency 4 3 4 3 2 2" xfId="9413" xr:uid="{C830E2BF-63CA-4B55-89D4-19C026E0371F}"/>
    <cellStyle name="Currency 4 3 4 3 2 2 2" xfId="19793" xr:uid="{BDFB18EF-1D44-4ADF-B996-56BA3193D84B}"/>
    <cellStyle name="Currency 4 3 4 3 2 3" xfId="12246" xr:uid="{05777228-4C2C-4BCB-84B0-0CA92B2C0925}"/>
    <cellStyle name="Currency 4 3 4 3 2 3 2" xfId="22626" xr:uid="{124C1774-841D-4E92-9868-6659CFDD3911}"/>
    <cellStyle name="Currency 4 3 4 3 2 4" xfId="27571" xr:uid="{2B944392-4C06-4870-9C5C-35925D1716EE}"/>
    <cellStyle name="Currency 4 3 4 3 2 5" xfId="27077" xr:uid="{BCD72EFD-AFA5-415B-B905-191A0B6B1AFD}"/>
    <cellStyle name="Currency 4 3 4 3 2 6" xfId="16960" xr:uid="{CB2F6201-3F3D-42C1-BE4E-85EB8E0C8C23}"/>
    <cellStyle name="Currency 4 3 4 3 3" xfId="24793" xr:uid="{704EF74D-05DA-4D4E-81E7-7F257B0BFD73}"/>
    <cellStyle name="Currency 4 3 4 3 3 2" xfId="30667" xr:uid="{7BE4C2FE-A087-4B6A-9229-8DB8001030D7}"/>
    <cellStyle name="Currency 4 3 4 3 4" xfId="30015" xr:uid="{BBA6702E-A1C4-4BED-907E-8FEB6A863BBE}"/>
    <cellStyle name="Currency 4 3 4 4" xfId="1893" xr:uid="{00000000-0005-0000-0000-000085030000}"/>
    <cellStyle name="Currency 4 3 4 4 2" xfId="29673" xr:uid="{BB32F5B7-7D09-4323-8896-B2D8CF5D511F}"/>
    <cellStyle name="Currency 4 3 4 5" xfId="4274" xr:uid="{F91ACA83-4F2D-4012-ADCB-25A69197F09D}"/>
    <cellStyle name="Currency 4 3 4 5 2" xfId="9046" xr:uid="{BAA519F8-BB36-43DB-BD39-CE9712C067E0}"/>
    <cellStyle name="Currency 4 3 4 5 2 2" xfId="19426" xr:uid="{65CE24DD-BF71-43F7-9085-07995EA112DC}"/>
    <cellStyle name="Currency 4 3 4 5 3" xfId="11879" xr:uid="{1D267E38-EAEA-4AA5-99A3-A6D3F8F2F5ED}"/>
    <cellStyle name="Currency 4 3 4 5 3 2" xfId="22259" xr:uid="{EFC23FBC-FD34-4D6B-9C27-A797C61C3AF5}"/>
    <cellStyle name="Currency 4 3 4 5 4" xfId="27829" xr:uid="{7CEA81F8-915D-4A38-988A-7948ECEFB604}"/>
    <cellStyle name="Currency 4 3 4 5 5" xfId="28555" xr:uid="{E7734652-6C3F-4F0D-96AD-ABF938A9F511}"/>
    <cellStyle name="Currency 4 3 4 5 6" xfId="16593" xr:uid="{3B81F487-7C4D-4339-AEB5-257283E08EAA}"/>
    <cellStyle name="Currency 4 3 4 6" xfId="4950" xr:uid="{030DFC46-68C6-48EC-A562-735E9351B92C}"/>
    <cellStyle name="Currency 4 3 4 6 2" xfId="14245" xr:uid="{95223E6A-58A3-4A37-BE3B-B296D9027FD0}"/>
    <cellStyle name="Currency 4 3 4 7" xfId="6698" xr:uid="{9FEF5103-A120-4214-8154-D7122FB63341}"/>
    <cellStyle name="Currency 4 3 4 7 2" xfId="17078" xr:uid="{DC476D78-A6CD-4F39-B1BB-85870CB30E12}"/>
    <cellStyle name="Currency 4 3 4 8" xfId="9531" xr:uid="{6869894A-9083-4BBC-8B94-A2F55E090560}"/>
    <cellStyle name="Currency 4 3 4 8 2" xfId="19911" xr:uid="{BE929E4D-6764-43FE-A142-789698901C59}"/>
    <cellStyle name="Currency 4 3 4 9" xfId="24022" xr:uid="{6EA85735-1263-470C-9A08-C9A8953A5A63}"/>
    <cellStyle name="Currency 4 3 5" xfId="1896" xr:uid="{00000000-0005-0000-0000-000086030000}"/>
    <cellStyle name="Currency 4 3 5 2" xfId="3101" xr:uid="{00000000-0005-0000-0000-0000A1020000}"/>
    <cellStyle name="Currency 4 3 5 2 2" xfId="8181" xr:uid="{087061CE-0A29-40D7-AEC0-35E907205918}"/>
    <cellStyle name="Currency 4 3 5 2 2 2" xfId="28850" xr:uid="{0D1D4FAA-A692-4A2B-93B6-4B280AB9AECA}"/>
    <cellStyle name="Currency 4 3 5 2 2 3" xfId="27820" xr:uid="{22F52395-28E4-4932-93E2-115E61BE8B7B}"/>
    <cellStyle name="Currency 4 3 5 2 2 4" xfId="18561" xr:uid="{D722F38D-F55F-4E21-8EFC-D462EBFBA666}"/>
    <cellStyle name="Currency 4 3 5 2 3" xfId="11014" xr:uid="{D088AC67-98D9-4721-9256-0DAAD732BA06}"/>
    <cellStyle name="Currency 4 3 5 2 3 2" xfId="21394" xr:uid="{D435C61C-2FAF-4831-9980-AD606B14E2B8}"/>
    <cellStyle name="Currency 4 3 5 2 4" xfId="23575" xr:uid="{9C3BAC46-B5C7-4513-B6F2-CEA7C1979815}"/>
    <cellStyle name="Currency 4 3 5 2 5" xfId="15728" xr:uid="{72243DB0-BA44-4ECB-AD3D-E32CE0FDB110}"/>
    <cellStyle name="Currency 4 3 5 3" xfId="3560" xr:uid="{00000000-0005-0000-0000-000086030000}"/>
    <cellStyle name="Currency 4 3 5 3 2" xfId="29830" xr:uid="{86D5B241-27ED-4D02-ACF4-C108CEAB79A9}"/>
    <cellStyle name="Currency 4 3 5 4" xfId="4429" xr:uid="{B29F8216-9F8D-482A-828C-7107F57C7913}"/>
    <cellStyle name="Currency 4 3 5 4 2" xfId="9201" xr:uid="{0649228C-693A-4A74-97E4-B82EA40458D9}"/>
    <cellStyle name="Currency 4 3 5 4 2 2" xfId="19581" xr:uid="{61DA59B9-544E-4109-B3CB-8971F4F8CE50}"/>
    <cellStyle name="Currency 4 3 5 4 3" xfId="12034" xr:uid="{D6195DAA-53EE-41FE-A33E-08B3D8B942F0}"/>
    <cellStyle name="Currency 4 3 5 4 3 2" xfId="22414" xr:uid="{2623672B-EB3B-4F7E-BCC4-1F8C278D1051}"/>
    <cellStyle name="Currency 4 3 5 4 4" xfId="16748" xr:uid="{22ED227D-3A11-4111-AACB-FF1E6F351120}"/>
    <cellStyle name="Currency 4 3 5 5" xfId="5686" xr:uid="{7E96A1D9-66E5-4FBA-9768-97165FB23BD1}"/>
    <cellStyle name="Currency 4 3 5 5 2" xfId="30453" xr:uid="{78B352A7-DE19-4FA5-98D1-7342B8FD600B}"/>
    <cellStyle name="Currency 4 3 5 6" xfId="25171" xr:uid="{5FAEF081-7E2E-41CB-99FB-6D5A7583AB2D}"/>
    <cellStyle name="Currency 4 3 5 7" xfId="13616" xr:uid="{4C3D984E-B103-40C6-8BE6-58158F3D54A0}"/>
    <cellStyle name="Currency 4 3 6" xfId="1897" xr:uid="{00000000-0005-0000-0000-000087030000}"/>
    <cellStyle name="Currency 4 3 6 2" xfId="2884" xr:uid="{00000000-0005-0000-0000-0000A2020000}"/>
    <cellStyle name="Currency 4 3 6 2 2" xfId="8001" xr:uid="{74124B81-524A-4799-99E9-7BD3E0A5D31B}"/>
    <cellStyle name="Currency 4 3 6 2 2 2" xfId="25837" xr:uid="{6795BBEC-4B08-418A-8583-1E6541133F36}"/>
    <cellStyle name="Currency 4 3 6 2 2 3" xfId="28224" xr:uid="{6E514E81-DECF-4892-872D-B0168FF66791}"/>
    <cellStyle name="Currency 4 3 6 2 2 4" xfId="18381" xr:uid="{E5D29A37-B5CD-4DF4-AB5C-D1DFE2305AFA}"/>
    <cellStyle name="Currency 4 3 6 2 3" xfId="10834" xr:uid="{6C856AB7-B618-4128-83E5-3C8D49B3AE84}"/>
    <cellStyle name="Currency 4 3 6 2 3 2" xfId="21214" xr:uid="{026C891D-38F0-47C6-BE0E-A3DD0406CBA4}"/>
    <cellStyle name="Currency 4 3 6 2 4" xfId="22848" xr:uid="{F99703F3-B22F-4351-8728-4842B8BA4150}"/>
    <cellStyle name="Currency 4 3 6 2 5" xfId="15548" xr:uid="{9A548102-19BA-4234-B71F-35FD9771DD80}"/>
    <cellStyle name="Currency 4 3 6 3" xfId="3589" xr:uid="{00000000-0005-0000-0000-000087030000}"/>
    <cellStyle name="Currency 4 3 6 3 2" xfId="29907" xr:uid="{5AAF249B-795C-4997-8B29-68457F692063}"/>
    <cellStyle name="Currency 4 3 6 4" xfId="5687" xr:uid="{167B630D-F127-4469-8162-A32592159BAA}"/>
    <cellStyle name="Currency 4 3 6 4 2" xfId="30175" xr:uid="{2A6B269D-4B82-49DC-94D3-3B99B2EED729}"/>
    <cellStyle name="Currency 4 3 6 5" xfId="25218" xr:uid="{36C5E636-26E2-4622-AD43-BDBD8D288012}"/>
    <cellStyle name="Currency 4 3 6 6" xfId="13383" xr:uid="{BDCCAD98-CB43-420D-90F1-27CA2F3F0D19}"/>
    <cellStyle name="Currency 4 3 7" xfId="1883" xr:uid="{00000000-0005-0000-0000-000088030000}"/>
    <cellStyle name="Currency 4 3 7 2" xfId="2471" xr:uid="{00000000-0005-0000-0000-0000A3020000}"/>
    <cellStyle name="Currency 4 3 7 2 2" xfId="7596" xr:uid="{35277BF4-85D6-4DDF-A5A9-0BB656953092}"/>
    <cellStyle name="Currency 4 3 7 2 2 2" xfId="17976" xr:uid="{00B577A0-E585-4383-87BF-D644932D10CA}"/>
    <cellStyle name="Currency 4 3 7 2 3" xfId="10429" xr:uid="{1E7E954D-F4BC-4D52-B7A7-62A586FA092D}"/>
    <cellStyle name="Currency 4 3 7 2 3 2" xfId="20809" xr:uid="{FB59F1BA-6212-4581-8480-DB9AD295B4D3}"/>
    <cellStyle name="Currency 4 3 7 2 4" xfId="27165" xr:uid="{859CFEFB-53CA-4B7E-813F-16FD5EA8AB12}"/>
    <cellStyle name="Currency 4 3 7 2 5" xfId="28676" xr:uid="{C8E56A8A-E7D9-4A16-87B8-2F638FE792EF}"/>
    <cellStyle name="Currency 4 3 7 2 6" xfId="15143" xr:uid="{AE777392-77DF-479D-B976-9ABB8D658E94}"/>
    <cellStyle name="Currency 4 3 7 3" xfId="3702" xr:uid="{00000000-0005-0000-0000-000088030000}"/>
    <cellStyle name="Currency 4 3 7 3 2" xfId="30638" xr:uid="{C9BC4E43-C4C9-4FF4-8094-AE17A8362888}"/>
    <cellStyle name="Currency 4 3 7 4" xfId="5677" xr:uid="{E2521B25-7D48-4716-AE33-2479DAA07BA6}"/>
    <cellStyle name="Currency 4 3 7 5" xfId="25063" xr:uid="{0D87D897-DA24-4F46-95B8-8298DAF32F7B}"/>
    <cellStyle name="Currency 4 3 7 6" xfId="12859" xr:uid="{5247CC81-3C80-448B-A7A4-837570488085}"/>
    <cellStyle name="Currency 4 3 8" xfId="2225" xr:uid="{00000000-0005-0000-0000-000092020000}"/>
    <cellStyle name="Currency 4 3 8 2" xfId="7352" xr:uid="{B5806281-0079-4A9D-A756-81AD65AD44FE}"/>
    <cellStyle name="Currency 4 3 8 2 2" xfId="17732" xr:uid="{3C5FD1D2-517A-4B9F-B94B-117F3371827D}"/>
    <cellStyle name="Currency 4 3 8 3" xfId="10185" xr:uid="{F031D557-6255-451B-80EA-F08A9F594EFC}"/>
    <cellStyle name="Currency 4 3 8 3 2" xfId="20565" xr:uid="{0B09AA96-5D23-49E3-925C-3F8A727C3400}"/>
    <cellStyle name="Currency 4 3 8 4" xfId="24620" xr:uid="{3DDFCC10-D393-43AB-94BC-22E785DA803E}"/>
    <cellStyle name="Currency 4 3 8 5" xfId="27280" xr:uid="{64CAF36B-F3AB-4AF9-8E1E-75348DF5CA28}"/>
    <cellStyle name="Currency 4 3 8 6" xfId="14899" xr:uid="{19ACD2B1-BC17-4050-8824-312BD00E30D6}"/>
    <cellStyle name="Currency 4 3 9" xfId="3884" xr:uid="{685CFCD8-CDB7-4015-8D35-50302F345A20}"/>
    <cellStyle name="Currency 4 3 9 2" xfId="8716" xr:uid="{8F84AFEA-39EF-46C8-8593-D237744CD0FC}"/>
    <cellStyle name="Currency 4 3 9 2 2" xfId="19096" xr:uid="{0C377D4E-80B1-4051-9438-5403749A64FE}"/>
    <cellStyle name="Currency 4 3 9 3" xfId="11549" xr:uid="{0BB00F3B-32C6-45D3-8764-2C694BF52872}"/>
    <cellStyle name="Currency 4 3 9 3 2" xfId="21929" xr:uid="{C3744CEE-0F3B-439F-AE70-7556DF7FA767}"/>
    <cellStyle name="Currency 4 3 9 4" xfId="27025" xr:uid="{7366C550-7A2A-46C4-B2C6-9FA891548DF0}"/>
    <cellStyle name="Currency 4 3 9 5" xfId="25933" xr:uid="{616CD1AB-1B85-44E7-9724-B42505400F6B}"/>
    <cellStyle name="Currency 4 3 9 6" xfId="16263" xr:uid="{EDA75DD9-58EA-492E-8249-0664B4196C9A}"/>
    <cellStyle name="Currency 4 4" xfId="568" xr:uid="{00000000-0005-0000-0000-000089030000}"/>
    <cellStyle name="Currency 4 4 10" xfId="6699" xr:uid="{404CEE2B-BD34-48EE-B90B-E3D8AC3D9FC6}"/>
    <cellStyle name="Currency 4 4 10 2" xfId="17079" xr:uid="{45E71150-9A8E-45BF-917B-DDE4AC91A546}"/>
    <cellStyle name="Currency 4 4 11" xfId="9532" xr:uid="{CBB5FE6E-E9CC-4D61-926F-9DED3D90AEED}"/>
    <cellStyle name="Currency 4 4 11 2" xfId="19912" xr:uid="{48800006-4CE4-48BA-A891-70824E9FF7EE}"/>
    <cellStyle name="Currency 4 4 12" xfId="25098" xr:uid="{77469EB1-1EFB-4C22-A1EE-BED7AA70A80D}"/>
    <cellStyle name="Currency 4 4 13" xfId="12437" xr:uid="{8CB51D5A-F1E7-4E3A-9646-89AA26D74E5B}"/>
    <cellStyle name="Currency 4 4 2" xfId="569" xr:uid="{00000000-0005-0000-0000-00008A030000}"/>
    <cellStyle name="Currency 4 4 2 10" xfId="9533" xr:uid="{BA4B807B-EBC4-4CE9-9480-9551FC4002E6}"/>
    <cellStyle name="Currency 4 4 2 10 2" xfId="19913" xr:uid="{2B0EBC39-CF5A-4313-97C3-FE1473BB0A80}"/>
    <cellStyle name="Currency 4 4 2 11" xfId="23203" xr:uid="{63598945-3864-4262-B140-8013553060D5}"/>
    <cellStyle name="Currency 4 4 2 12" xfId="12528" xr:uid="{5789DC16-1E00-4F5A-A367-B8B17870A40B}"/>
    <cellStyle name="Currency 4 4 2 2" xfId="570" xr:uid="{00000000-0005-0000-0000-00008B030000}"/>
    <cellStyle name="Currency 4 4 2 2 10" xfId="13112" xr:uid="{D6539105-A78B-4395-96BE-89FF952F2316}"/>
    <cellStyle name="Currency 4 4 2 2 2" xfId="1901" xr:uid="{00000000-0005-0000-0000-00008C030000}"/>
    <cellStyle name="Currency 4 4 2 2 2 2" xfId="3103" xr:uid="{00000000-0005-0000-0000-0000A7020000}"/>
    <cellStyle name="Currency 4 4 2 2 2 2 2" xfId="8183" xr:uid="{904F3012-57A0-4FAC-A0C4-16E2551489D6}"/>
    <cellStyle name="Currency 4 4 2 2 2 2 2 2" xfId="28852" xr:uid="{F9DF3389-46C0-4F6D-87EA-4F9FA8FDD3EC}"/>
    <cellStyle name="Currency 4 4 2 2 2 2 2 3" xfId="26209" xr:uid="{A847656F-3BE7-420F-8BB9-FE71ECFC7CB1}"/>
    <cellStyle name="Currency 4 4 2 2 2 2 2 4" xfId="18563" xr:uid="{F9C791EA-47C4-4D6F-84B3-278E92AA242F}"/>
    <cellStyle name="Currency 4 4 2 2 2 2 3" xfId="11016" xr:uid="{B479306D-E10B-45A5-9E29-8F290E3E7518}"/>
    <cellStyle name="Currency 4 4 2 2 2 2 3 2" xfId="21396" xr:uid="{7B3583D4-0490-439D-9C9D-67AB612751A6}"/>
    <cellStyle name="Currency 4 4 2 2 2 2 4" xfId="25770" xr:uid="{ADDBE3C1-5401-4A68-A34B-E3EEB1E9444B}"/>
    <cellStyle name="Currency 4 4 2 2 2 2 5" xfId="15730" xr:uid="{FC29D236-847B-4302-B653-8FA99C016C7C}"/>
    <cellStyle name="Currency 4 4 2 2 2 3" xfId="2060" xr:uid="{00000000-0005-0000-0000-00008C030000}"/>
    <cellStyle name="Currency 4 4 2 2 2 3 2" xfId="29892" xr:uid="{0D7BE192-389B-41D2-B3AC-92FA9CFBC2B4}"/>
    <cellStyle name="Currency 4 4 2 2 2 4" xfId="5689" xr:uid="{49DCF050-5439-44B0-B2A0-27FBC55DC5F2}"/>
    <cellStyle name="Currency 4 4 2 2 2 4 2" xfId="30152" xr:uid="{46C06C35-29C1-463E-8C2E-3A0A864396FB}"/>
    <cellStyle name="Currency 4 4 2 2 2 5" xfId="25500" xr:uid="{6C76CE48-A73C-420F-850E-F2D87934E8E8}"/>
    <cellStyle name="Currency 4 4 2 2 2 6" xfId="13618" xr:uid="{B236BE07-737A-4F1E-AECD-C28CF3BB3BBF}"/>
    <cellStyle name="Currency 4 4 2 2 3" xfId="1902" xr:uid="{00000000-0005-0000-0000-00008D030000}"/>
    <cellStyle name="Currency 4 4 2 2 3 2" xfId="4638" xr:uid="{0C00C94B-26DF-4D56-86FA-2DE02AE2073A}"/>
    <cellStyle name="Currency 4 4 2 2 3 2 2" xfId="9401" xr:uid="{8FB0F8C5-0716-4305-9138-95591A01C0EC}"/>
    <cellStyle name="Currency 4 4 2 2 3 2 2 2" xfId="19781" xr:uid="{EA6C1482-82CF-48AC-AB9E-080BC2C233C5}"/>
    <cellStyle name="Currency 4 4 2 2 3 2 3" xfId="12234" xr:uid="{0EF530DB-0878-4B04-871E-A8959322BCC1}"/>
    <cellStyle name="Currency 4 4 2 2 3 2 3 2" xfId="22614" xr:uid="{1E50517A-98E6-403B-AAB3-C323593220CF}"/>
    <cellStyle name="Currency 4 4 2 2 3 2 4" xfId="28533" xr:uid="{C961A8A3-2CAC-486B-AA24-F13E980734BC}"/>
    <cellStyle name="Currency 4 4 2 2 3 2 5" xfId="27742" xr:uid="{BEA10562-25F9-4A67-ABCB-2331AD229B15}"/>
    <cellStyle name="Currency 4 4 2 2 3 2 6" xfId="16948" xr:uid="{1E765E18-2498-4D09-BA71-010723323D88}"/>
    <cellStyle name="Currency 4 4 2 2 3 3" xfId="25167" xr:uid="{6CF94AE3-F2BC-4D46-A438-01193BD28FD6}"/>
    <cellStyle name="Currency 4 4 2 2 3 3 2" xfId="30225" xr:uid="{A50FA1EC-6F9D-4703-83EF-F52DE57E82E8}"/>
    <cellStyle name="Currency 4 4 2 2 3 4" xfId="30614" xr:uid="{8079E480-8ECE-419A-915B-85EB5206DE81}"/>
    <cellStyle name="Currency 4 4 2 2 3 5" xfId="29661" xr:uid="{1C7D0A4F-F2EC-4E5E-AD39-EE5C59D76A06}"/>
    <cellStyle name="Currency 4 4 2 2 4" xfId="1900" xr:uid="{00000000-0005-0000-0000-00008E030000}"/>
    <cellStyle name="Currency 4 4 2 2 4 2" xfId="26967" xr:uid="{7B61A0D3-E365-47E1-BF65-D22D21EAE7CE}"/>
    <cellStyle name="Currency 4 4 2 2 4 2 2" xfId="30262" xr:uid="{D67FEC62-C884-49BA-BADC-9676B06327E7}"/>
    <cellStyle name="Currency 4 4 2 2 4 3" xfId="26338" xr:uid="{E01B3AF2-4017-4494-9A21-EB0A702E2343}"/>
    <cellStyle name="Currency 4 4 2 2 4 4" xfId="30017" xr:uid="{427B2330-E09C-4497-B3E1-D535E4C5DB4E}"/>
    <cellStyle name="Currency 4 4 2 2 5" xfId="4277" xr:uid="{6DC5CC5C-81B1-41CA-AF6F-42D5C858E366}"/>
    <cellStyle name="Currency 4 4 2 2 5 2" xfId="9049" xr:uid="{872823FF-714C-4919-9973-525F488C0AD6}"/>
    <cellStyle name="Currency 4 4 2 2 5 2 2" xfId="19429" xr:uid="{DA923F79-00BA-43E4-88B8-1823DF5B7DDC}"/>
    <cellStyle name="Currency 4 4 2 2 5 3" xfId="11882" xr:uid="{4488F104-BB63-424A-B6A4-DF65B16FE62A}"/>
    <cellStyle name="Currency 4 4 2 2 5 3 2" xfId="22262" xr:uid="{335289AC-A5B9-4F76-87A6-C8B175484858}"/>
    <cellStyle name="Currency 4 4 2 2 5 4" xfId="28125" xr:uid="{13C84519-E98E-4148-B72C-47FE7DBA1F15}"/>
    <cellStyle name="Currency 4 4 2 2 5 5" xfId="27306" xr:uid="{B8E4A41B-B127-429B-98E1-6EF7377FA336}"/>
    <cellStyle name="Currency 4 4 2 2 5 6" xfId="16596" xr:uid="{67B8AC4C-076B-42B0-9A7C-6FC78E05BE64}"/>
    <cellStyle name="Currency 4 4 2 2 6" xfId="4953" xr:uid="{EAAD5C14-B388-4533-BDE9-BA38E3AF803A}"/>
    <cellStyle name="Currency 4 4 2 2 6 2" xfId="25889" xr:uid="{E49C18D3-FB38-469E-8EA2-39A1D214DC13}"/>
    <cellStyle name="Currency 4 4 2 2 6 3" xfId="28567" xr:uid="{2E1853E3-62B7-4CC5-B257-0D16C2DE95E9}"/>
    <cellStyle name="Currency 4 4 2 2 6 4" xfId="14248" xr:uid="{8F5DAE46-A7AD-4C60-AF86-494ADEBA80E8}"/>
    <cellStyle name="Currency 4 4 2 2 7" xfId="6701" xr:uid="{53544C6D-2AA2-4246-8F53-958AF5BCE891}"/>
    <cellStyle name="Currency 4 4 2 2 7 2" xfId="17081" xr:uid="{21941154-B79A-4F77-838D-8F5E673FC827}"/>
    <cellStyle name="Currency 4 4 2 2 8" xfId="9534" xr:uid="{1D27AFAA-4D01-4EE1-B2E9-62A529030E4B}"/>
    <cellStyle name="Currency 4 4 2 2 8 2" xfId="19914" xr:uid="{ED8FA4F6-2117-4996-B6FC-DDA7A2612F4F}"/>
    <cellStyle name="Currency 4 4 2 2 9" xfId="23043" xr:uid="{61B35C58-98F4-487B-AA0D-5B8797BD6998}"/>
    <cellStyle name="Currency 4 4 2 3" xfId="1903" xr:uid="{00000000-0005-0000-0000-00008F030000}"/>
    <cellStyle name="Currency 4 4 2 3 2" xfId="3104" xr:uid="{00000000-0005-0000-0000-0000A8020000}"/>
    <cellStyle name="Currency 4 4 2 3 2 2" xfId="8184" xr:uid="{3B528368-0FAA-46F3-A206-3A93A5B139D4}"/>
    <cellStyle name="Currency 4 4 2 3 2 2 2" xfId="28853" xr:uid="{A30D016A-33D0-433E-9A70-42BF902C9450}"/>
    <cellStyle name="Currency 4 4 2 3 2 2 3" xfId="26573" xr:uid="{CAF3D6DB-8A27-4249-9DF8-58FA3009249E}"/>
    <cellStyle name="Currency 4 4 2 3 2 2 4" xfId="18564" xr:uid="{59533188-AAA2-4A27-84AC-9B729203AB49}"/>
    <cellStyle name="Currency 4 4 2 3 2 3" xfId="11017" xr:uid="{59A4FE0E-396F-4DB4-BED8-6EA8B4E36012}"/>
    <cellStyle name="Currency 4 4 2 3 2 3 2" xfId="21397" xr:uid="{3C3A709D-827E-4127-A388-92EE304839C4}"/>
    <cellStyle name="Currency 4 4 2 3 2 4" xfId="23262" xr:uid="{12A27AB1-F8A3-47B3-9C80-05B24D69BA66}"/>
    <cellStyle name="Currency 4 4 2 3 2 5" xfId="15731" xr:uid="{8E99F1F0-99DF-4F1D-BEBD-3FA027A3087B}"/>
    <cellStyle name="Currency 4 4 2 3 3" xfId="3693" xr:uid="{00000000-0005-0000-0000-00008F030000}"/>
    <cellStyle name="Currency 4 4 2 3 3 2" xfId="29744" xr:uid="{4CB49064-EE79-49CC-94B9-B7275A27B635}"/>
    <cellStyle name="Currency 4 4 2 3 4" xfId="4430" xr:uid="{F8CB2A5C-4D26-4BAD-8830-9C4F07E2F2A3}"/>
    <cellStyle name="Currency 4 4 2 3 4 2" xfId="9202" xr:uid="{4DC3113D-FC04-454A-85D0-39366B9F0756}"/>
    <cellStyle name="Currency 4 4 2 3 4 2 2" xfId="19582" xr:uid="{A8304793-2B18-4B4C-9B60-EDFE5C9562EF}"/>
    <cellStyle name="Currency 4 4 2 3 4 3" xfId="12035" xr:uid="{CC4055C3-9AB9-48BA-B8E9-6F062B9F8F27}"/>
    <cellStyle name="Currency 4 4 2 3 4 3 2" xfId="22415" xr:uid="{3A3D4CBD-6E01-4641-AD71-CF8A85125E52}"/>
    <cellStyle name="Currency 4 4 2 3 4 4" xfId="16749" xr:uid="{9F1DF4B1-6A9D-463B-89D0-8A2B6CDAB99D}"/>
    <cellStyle name="Currency 4 4 2 3 5" xfId="5690" xr:uid="{C340B98F-AC3B-46E2-A9ED-DC08D3F861F0}"/>
    <cellStyle name="Currency 4 4 2 3 5 2" xfId="30378" xr:uid="{BBDB25D1-9670-4899-AAEC-A3C5CFC0F985}"/>
    <cellStyle name="Currency 4 4 2 3 6" xfId="23543" xr:uid="{46D9FF0A-A3C3-41E8-8AD7-2B3DFD6AED77}"/>
    <cellStyle name="Currency 4 4 2 3 7" xfId="13619" xr:uid="{542F7D67-A4C1-4700-BB7E-DADA16235EDD}"/>
    <cellStyle name="Currency 4 4 2 4" xfId="1904" xr:uid="{00000000-0005-0000-0000-000090030000}"/>
    <cellStyle name="Currency 4 4 2 4 2" xfId="3102" xr:uid="{00000000-0005-0000-0000-0000A9020000}"/>
    <cellStyle name="Currency 4 4 2 4 2 2" xfId="8182" xr:uid="{17B8D159-7256-494F-B250-69E5D9BAD987}"/>
    <cellStyle name="Currency 4 4 2 4 2 2 2" xfId="28851" xr:uid="{EC7EE37A-1F50-4984-B8F6-00D4FE7D8E0D}"/>
    <cellStyle name="Currency 4 4 2 4 2 2 3" xfId="28630" xr:uid="{C9A4E31C-CD58-49A0-9548-1EEEE3BD061D}"/>
    <cellStyle name="Currency 4 4 2 4 2 2 4" xfId="18562" xr:uid="{2FBDEEA3-5C6D-4F5E-AA43-C3D5A9AD4D5E}"/>
    <cellStyle name="Currency 4 4 2 4 2 3" xfId="11015" xr:uid="{5CA98DED-1729-4747-B387-2556E0E9DF5F}"/>
    <cellStyle name="Currency 4 4 2 4 2 3 2" xfId="21395" xr:uid="{64DE3F4C-3939-4F6B-80DF-1E2EF6213C4F}"/>
    <cellStyle name="Currency 4 4 2 4 2 4" xfId="23675" xr:uid="{66CB5B40-14CE-477C-AA1C-4296E2E86AD6}"/>
    <cellStyle name="Currency 4 4 2 4 2 5" xfId="15729" xr:uid="{04B5EFF6-90EA-46B9-8433-3DA27578DA20}"/>
    <cellStyle name="Currency 4 4 2 4 3" xfId="3558" xr:uid="{00000000-0005-0000-0000-000090030000}"/>
    <cellStyle name="Currency 4 4 2 4 3 2" xfId="29839" xr:uid="{1E251DC9-7E79-445E-9A6B-269EC980AA58}"/>
    <cellStyle name="Currency 4 4 2 4 4" xfId="5691" xr:uid="{5A4FEA78-B599-41CC-9868-BAC943503E9D}"/>
    <cellStyle name="Currency 4 4 2 4 4 2" xfId="30129" xr:uid="{08A330CD-073D-46FB-A5C9-FCEBAE298CF8}"/>
    <cellStyle name="Currency 4 4 2 4 5" xfId="25242" xr:uid="{1189934D-B514-4902-8BD7-4DD15F495D81}"/>
    <cellStyle name="Currency 4 4 2 4 6" xfId="13617" xr:uid="{FA1F9B35-0FF6-4C7F-BD90-8D63413D74B5}"/>
    <cellStyle name="Currency 4 4 2 5" xfId="1899" xr:uid="{00000000-0005-0000-0000-000091030000}"/>
    <cellStyle name="Currency 4 4 2 5 2" xfId="2614" xr:uid="{00000000-0005-0000-0000-0000AA020000}"/>
    <cellStyle name="Currency 4 4 2 5 2 2" xfId="7739" xr:uid="{37D6E4AC-6E33-48CD-B4F6-0F2D4F7211EE}"/>
    <cellStyle name="Currency 4 4 2 5 2 2 2" xfId="18119" xr:uid="{D5A6CDF3-81CB-4326-A0F4-7C6106191F34}"/>
    <cellStyle name="Currency 4 4 2 5 2 3" xfId="10572" xr:uid="{360FB14A-F563-424E-8F6B-7C3C04B9D6BE}"/>
    <cellStyle name="Currency 4 4 2 5 2 3 2" xfId="20952" xr:uid="{D5B3335F-D1F0-43A7-8E43-044703D0FA0A}"/>
    <cellStyle name="Currency 4 4 2 5 2 4" xfId="28620" xr:uid="{809EF085-D442-48A5-8B95-365BB7689706}"/>
    <cellStyle name="Currency 4 4 2 5 2 5" xfId="28705" xr:uid="{2E3EEC90-EDBD-455D-B6D2-470488E51772}"/>
    <cellStyle name="Currency 4 4 2 5 2 6" xfId="15286" xr:uid="{69626681-85A9-4215-9E2D-76B0326E7A5E}"/>
    <cellStyle name="Currency 4 4 2 5 3" xfId="3662" xr:uid="{00000000-0005-0000-0000-000091030000}"/>
    <cellStyle name="Currency 4 4 2 5 3 2" xfId="30187" xr:uid="{F4409D8B-BB93-4EE9-9A84-858B17036931}"/>
    <cellStyle name="Currency 4 4 2 5 4" xfId="5688" xr:uid="{9A95B928-1804-4328-A082-0B5689D37A2C}"/>
    <cellStyle name="Currency 4 4 2 5 4 2" xfId="30568" xr:uid="{82ABBECE-1F3D-4E07-AFCD-2DE083CFC4B9}"/>
    <cellStyle name="Currency 4 4 2 5 5" xfId="24929" xr:uid="{8411776B-11BF-4BE8-ABFA-40E931CBA0E3}"/>
    <cellStyle name="Currency 4 4 2 5 6" xfId="13002" xr:uid="{3E4E4568-3942-4CB4-B949-E39BC913EBD6}"/>
    <cellStyle name="Currency 4 4 2 6" xfId="2296" xr:uid="{00000000-0005-0000-0000-0000A5020000}"/>
    <cellStyle name="Currency 4 4 2 6 2" xfId="7423" xr:uid="{E769182C-50E2-494B-B656-84B35C9E559F}"/>
    <cellStyle name="Currency 4 4 2 6 2 2" xfId="17803" xr:uid="{84CAB30E-1C3F-4459-AD27-1DC4F7CF4018}"/>
    <cellStyle name="Currency 4 4 2 6 2 3" xfId="29992" xr:uid="{1828B428-99A4-4A4E-87FC-F9C984D60AB5}"/>
    <cellStyle name="Currency 4 4 2 6 3" xfId="10256" xr:uid="{EC05B593-AEE7-4DB6-BC0C-A9497656B60F}"/>
    <cellStyle name="Currency 4 4 2 6 3 2" xfId="20636" xr:uid="{83854D91-4B8B-4C36-82F1-7F454EDB584A}"/>
    <cellStyle name="Currency 4 4 2 6 4" xfId="24744" xr:uid="{C669A425-66C2-4ED1-A1DF-A830A5952BA5}"/>
    <cellStyle name="Currency 4 4 2 6 5" xfId="28464" xr:uid="{912F3BA5-9B24-44BA-8038-B34D4DF4ED18}"/>
    <cellStyle name="Currency 4 4 2 6 6" xfId="14970" xr:uid="{641CB3F8-BA3B-4F14-922D-071F117F0920}"/>
    <cellStyle name="Currency 4 4 2 7" xfId="3831" xr:uid="{3FE98610-9D18-4345-AD19-91A8C7D105E1}"/>
    <cellStyle name="Currency 4 4 2 7 2" xfId="8664" xr:uid="{5C5AC266-51EB-4694-89B0-52A9EFCE5390}"/>
    <cellStyle name="Currency 4 4 2 7 2 2" xfId="19044" xr:uid="{015B5D4E-6227-4C9C-ABC6-C1B4B6FAFFEA}"/>
    <cellStyle name="Currency 4 4 2 7 3" xfId="11497" xr:uid="{27C27FC8-0E34-4E18-A02C-78CA3130BED3}"/>
    <cellStyle name="Currency 4 4 2 7 3 2" xfId="21877" xr:uid="{1C3B1938-8D74-4943-B0AF-DC54C33600CD}"/>
    <cellStyle name="Currency 4 4 2 7 4" xfId="27628" xr:uid="{0462E136-9BD1-4F29-83FA-58F2DDCE40C6}"/>
    <cellStyle name="Currency 4 4 2 7 5" xfId="28514" xr:uid="{A60B902E-5467-4FE7-9F66-80C1EDACA61A}"/>
    <cellStyle name="Currency 4 4 2 7 6" xfId="16211" xr:uid="{34ED2F95-0A2F-4442-AB6C-F9A33800E411}"/>
    <cellStyle name="Currency 4 4 2 8" xfId="4952" xr:uid="{070C5DCD-F2E8-4339-A158-DD67509D6194}"/>
    <cellStyle name="Currency 4 4 2 8 2" xfId="14247" xr:uid="{18E2B826-99F8-4C7C-A55E-3ABFEFCC4102}"/>
    <cellStyle name="Currency 4 4 2 9" xfId="6700" xr:uid="{7D36F73A-72D9-4DA8-A62D-5C3412A1B7BA}"/>
    <cellStyle name="Currency 4 4 2 9 2" xfId="17080" xr:uid="{E341D44A-0501-45F4-9C3E-5483722A356E}"/>
    <cellStyle name="Currency 4 4 3" xfId="571" xr:uid="{00000000-0005-0000-0000-000092030000}"/>
    <cellStyle name="Currency 4 4 3 10" xfId="12686" xr:uid="{FEA75997-780D-472D-A3E4-56A6D8F8D8D1}"/>
    <cellStyle name="Currency 4 4 3 2" xfId="1906" xr:uid="{00000000-0005-0000-0000-000093030000}"/>
    <cellStyle name="Currency 4 4 3 2 2" xfId="3105" xr:uid="{00000000-0005-0000-0000-0000AC020000}"/>
    <cellStyle name="Currency 4 4 3 2 2 2" xfId="8185" xr:uid="{28A35267-3598-4547-B6FF-E3EA3107BCDF}"/>
    <cellStyle name="Currency 4 4 3 2 2 2 2" xfId="28854" xr:uid="{C67EC69A-2795-4635-AE3E-6A52A68182C3}"/>
    <cellStyle name="Currency 4 4 3 2 2 2 3" xfId="28468" xr:uid="{1D2F5812-0DA1-46AE-A5EC-23E1466B517C}"/>
    <cellStyle name="Currency 4 4 3 2 2 2 4" xfId="18565" xr:uid="{D286A884-068B-4F1B-B885-4ECF551E0351}"/>
    <cellStyle name="Currency 4 4 3 2 2 3" xfId="11018" xr:uid="{700160F2-40F2-48D5-9BE8-A4A1DCE89E6E}"/>
    <cellStyle name="Currency 4 4 3 2 2 3 2" xfId="21398" xr:uid="{32E4A722-FF26-4FBB-A586-1710AD22DEE3}"/>
    <cellStyle name="Currency 4 4 3 2 2 4" xfId="24462" xr:uid="{E2B1710F-D7E1-4F28-AC95-993566A223BF}"/>
    <cellStyle name="Currency 4 4 3 2 2 5" xfId="15732" xr:uid="{8A4C1AFD-8D7A-4968-B92C-20CA0B358FAF}"/>
    <cellStyle name="Currency 4 4 3 2 3" xfId="3555" xr:uid="{00000000-0005-0000-0000-000093030000}"/>
    <cellStyle name="Currency 4 4 3 2 3 2" xfId="29867" xr:uid="{162711C2-B189-40C5-A5DE-2ABC6B83DAD4}"/>
    <cellStyle name="Currency 4 4 3 2 4" xfId="5692" xr:uid="{AC107150-D7A8-43D6-A222-7FFF60EC771B}"/>
    <cellStyle name="Currency 4 4 3 2 4 2" xfId="30139" xr:uid="{A193FEE3-D522-408B-BE39-5CFB33246979}"/>
    <cellStyle name="Currency 4 4 3 2 5" xfId="23789" xr:uid="{6D5A2966-DEC8-4195-9E57-33702C82F7AF}"/>
    <cellStyle name="Currency 4 4 3 2 6" xfId="13620" xr:uid="{41C66B63-F1BD-466A-91A3-EE4E189FBDC5}"/>
    <cellStyle name="Currency 4 4 3 3" xfId="1907" xr:uid="{00000000-0005-0000-0000-000094030000}"/>
    <cellStyle name="Currency 4 4 3 3 2" xfId="2696" xr:uid="{00000000-0005-0000-0000-0000AD020000}"/>
    <cellStyle name="Currency 4 4 3 3 2 2" xfId="7820" xr:uid="{F4A44545-97FC-4ABC-B0CA-0534910A0E56}"/>
    <cellStyle name="Currency 4 4 3 3 2 2 2" xfId="18200" xr:uid="{4FCEEDDB-95A9-49A5-A002-DB520D4E0F2F}"/>
    <cellStyle name="Currency 4 4 3 3 2 3" xfId="10653" xr:uid="{A00B99ED-6FFB-4878-96CC-4D02ACAF498A}"/>
    <cellStyle name="Currency 4 4 3 3 2 3 2" xfId="21033" xr:uid="{4899BC26-5703-4E8C-9F3A-C9D8141923CF}"/>
    <cellStyle name="Currency 4 4 3 3 2 4" xfId="15367" xr:uid="{B68A6950-1935-433C-9F30-5649A67CDB1F}"/>
    <cellStyle name="Currency 4 4 3 3 3" xfId="3585" xr:uid="{00000000-0005-0000-0000-000094030000}"/>
    <cellStyle name="Currency 4 4 3 3 3 2" xfId="30209" xr:uid="{76BDA54C-675B-4412-8C44-07552BFFC394}"/>
    <cellStyle name="Currency 4 4 3 3 4" xfId="5693" xr:uid="{193A20EF-0047-4A6C-B664-DEFD302C7B8D}"/>
    <cellStyle name="Currency 4 4 3 3 4 2" xfId="30589" xr:uid="{FC3A4132-675D-4B93-9571-6243B27E260D}"/>
    <cellStyle name="Currency 4 4 3 3 5" xfId="22807" xr:uid="{D25D342D-75CA-4B2D-B80B-1365CC0697DE}"/>
    <cellStyle name="Currency 4 4 3 3 6" xfId="13111" xr:uid="{F258322D-6E49-4C94-BB42-D022721D18A1}"/>
    <cellStyle name="Currency 4 4 3 4" xfId="1905" xr:uid="{00000000-0005-0000-0000-000095030000}"/>
    <cellStyle name="Currency 4 4 3 4 2" xfId="3771" xr:uid="{07F20531-A377-448D-B2B8-5E0726E4CBB2}"/>
    <cellStyle name="Currency 4 4 3 4 2 2" xfId="8615" xr:uid="{76E14BB7-D181-41E8-B76A-F4E1F05ABA42}"/>
    <cellStyle name="Currency 4 4 3 4 2 2 2" xfId="18995" xr:uid="{E2D1C956-7BE2-4240-9848-9C0D30018986}"/>
    <cellStyle name="Currency 4 4 3 4 2 3" xfId="11448" xr:uid="{A905F953-8ED5-4CF9-95A4-615ED1708C5A}"/>
    <cellStyle name="Currency 4 4 3 4 2 3 2" xfId="21828" xr:uid="{802B883D-F7B5-4863-84E2-8110B3E7C1FB}"/>
    <cellStyle name="Currency 4 4 3 4 2 4" xfId="25973" xr:uid="{7B0FDD69-632A-4DC5-87F6-15114CCC50D2}"/>
    <cellStyle name="Currency 4 4 3 4 2 5" xfId="27420" xr:uid="{B0617012-55C5-4B9D-9146-D67D52658F3F}"/>
    <cellStyle name="Currency 4 4 3 4 2 6" xfId="16162" xr:uid="{575C6C11-3418-4007-9630-4BC7159E78AA}"/>
    <cellStyle name="Currency 4 4 3 4 3" xfId="22865" xr:uid="{1A29221E-C015-45FA-9134-C2C3C9F98B1E}"/>
    <cellStyle name="Currency 4 4 3 4 3 2" xfId="30261" xr:uid="{6DBE72F3-241E-4E92-9AC3-3C0CB662F1D1}"/>
    <cellStyle name="Currency 4 4 3 4 4" xfId="30668" xr:uid="{63A56270-A5FB-4243-83EF-E8B0A7FB477B}"/>
    <cellStyle name="Currency 4 4 3 4 5" xfId="29756" xr:uid="{AAB68C43-954F-433D-9F04-0CCCBE0C7BE8}"/>
    <cellStyle name="Currency 4 4 3 5" xfId="4140" xr:uid="{D4B1C4AC-16F6-4633-954B-0E0639E01914}"/>
    <cellStyle name="Currency 4 4 3 5 2" xfId="8912" xr:uid="{D7A5433B-2D57-4DA7-A6D4-3BD9D4C7D0DC}"/>
    <cellStyle name="Currency 4 4 3 5 2 2" xfId="29015" xr:uid="{EC1ADC02-8593-4A90-A032-DC0937DEC627}"/>
    <cellStyle name="Currency 4 4 3 5 2 3" xfId="26751" xr:uid="{551323B0-0D08-4463-B72F-EEF383D59218}"/>
    <cellStyle name="Currency 4 4 3 5 2 4" xfId="19292" xr:uid="{A9E9D21B-0A62-44F0-AB74-22AE5AD93639}"/>
    <cellStyle name="Currency 4 4 3 5 3" xfId="11745" xr:uid="{7FB50B49-0896-451A-BBB1-938C24C33B3A}"/>
    <cellStyle name="Currency 4 4 3 5 3 2" xfId="22125" xr:uid="{AAA9B7F7-BD78-41D7-90CE-DE4F4B1FCF26}"/>
    <cellStyle name="Currency 4 4 3 5 4" xfId="25539" xr:uid="{5242B304-AD13-4A62-B493-DDBA6577F6BA}"/>
    <cellStyle name="Currency 4 4 3 5 5" xfId="16459" xr:uid="{D206A757-E919-4031-A5E0-10222AEA5ABD}"/>
    <cellStyle name="Currency 4 4 3 6" xfId="4954" xr:uid="{FA65F11D-481D-4170-8FA9-798AA2830B03}"/>
    <cellStyle name="Currency 4 4 3 6 2" xfId="27069" xr:uid="{BF1A825B-FB2D-457F-BB69-1A877B3C389E}"/>
    <cellStyle name="Currency 4 4 3 6 3" xfId="26851" xr:uid="{7A281B76-9630-499F-A6B8-7D065D0DF04C}"/>
    <cellStyle name="Currency 4 4 3 6 4" xfId="14249" xr:uid="{F93EA684-5F36-4F2A-9DA9-44F08D372E5C}"/>
    <cellStyle name="Currency 4 4 3 7" xfId="6702" xr:uid="{5212CBAC-1EE9-4989-8552-1BB543D5560E}"/>
    <cellStyle name="Currency 4 4 3 7 2" xfId="26032" xr:uid="{AE55EBFC-81F0-4FFF-A7C4-B51FE344C49E}"/>
    <cellStyle name="Currency 4 4 3 7 3" xfId="27024" xr:uid="{F22A5A6A-32A6-49E5-96B0-484D43E6094B}"/>
    <cellStyle name="Currency 4 4 3 7 4" xfId="17082" xr:uid="{4022AFF0-7B99-4C08-BBE1-DF9E77BD4DA2}"/>
    <cellStyle name="Currency 4 4 3 8" xfId="9535" xr:uid="{BC568C3D-AE73-4B82-BFB4-A38DC814868E}"/>
    <cellStyle name="Currency 4 4 3 8 2" xfId="19915" xr:uid="{F0944CF6-52BD-4779-B313-62D489AF6120}"/>
    <cellStyle name="Currency 4 4 3 9" xfId="25502" xr:uid="{F6E34D30-A59B-4D54-AD44-B7D52207DF03}"/>
    <cellStyle name="Currency 4 4 4" xfId="572" xr:uid="{00000000-0005-0000-0000-000096030000}"/>
    <cellStyle name="Currency 4 4 4 10" xfId="13621" xr:uid="{22A6E31E-BFED-4155-83F3-C6B38C339ED3}"/>
    <cellStyle name="Currency 4 4 4 2" xfId="1909" xr:uid="{00000000-0005-0000-0000-000097030000}"/>
    <cellStyle name="Currency 4 4 4 2 2" xfId="23515" xr:uid="{6C469949-B796-41B0-A72C-3324EE72B59F}"/>
    <cellStyle name="Currency 4 4 4 2 2 2" xfId="30324" xr:uid="{01C6C964-5BBE-46AE-96E8-E96749807479}"/>
    <cellStyle name="Currency 4 4 4 2 3" xfId="23159" xr:uid="{84ACC6A3-99BA-4642-A269-125562AF4504}"/>
    <cellStyle name="Currency 4 4 4 2 4" xfId="30043" xr:uid="{EEFEBDA0-77F9-40E9-8F6D-08E04E9CA543}"/>
    <cellStyle name="Currency 4 4 4 3" xfId="1910" xr:uid="{00000000-0005-0000-0000-000098030000}"/>
    <cellStyle name="Currency 4 4 4 3 2" xfId="29716" xr:uid="{86421B33-74A8-40DC-BD9A-426E93150BAB}"/>
    <cellStyle name="Currency 4 4 4 4" xfId="1908" xr:uid="{00000000-0005-0000-0000-000099030000}"/>
    <cellStyle name="Currency 4 4 4 4 2" xfId="30068" xr:uid="{45DECCDE-AC09-4121-9BA6-12733661E5EC}"/>
    <cellStyle name="Currency 4 4 4 5" xfId="4431" xr:uid="{85B45310-3D57-4A81-877C-479B1DFC9977}"/>
    <cellStyle name="Currency 4 4 4 5 2" xfId="9203" xr:uid="{2BBECCD9-6495-43AF-86E0-81F64B2A7737}"/>
    <cellStyle name="Currency 4 4 4 5 2 2" xfId="19583" xr:uid="{23BF737A-2D23-4F63-9F38-0B7BFF6210B1}"/>
    <cellStyle name="Currency 4 4 4 5 3" xfId="12036" xr:uid="{2444FECE-BC68-423D-839C-5CE3B4F9BC1B}"/>
    <cellStyle name="Currency 4 4 4 5 3 2" xfId="22416" xr:uid="{58EF8FE6-53F6-4028-B2BB-75F236249CBD}"/>
    <cellStyle name="Currency 4 4 4 5 4" xfId="16750" xr:uid="{B558872C-317E-4B14-AB9F-874B55B2F5C5}"/>
    <cellStyle name="Currency 4 4 4 6" xfId="4955" xr:uid="{18ABB6A8-C403-456C-98F4-0EE04349E584}"/>
    <cellStyle name="Currency 4 4 4 6 2" xfId="14250" xr:uid="{58E46FBB-755C-4FB2-A35F-47E549F0BD49}"/>
    <cellStyle name="Currency 4 4 4 7" xfId="6703" xr:uid="{596064E9-A3D6-4168-8E40-533C5FE5261B}"/>
    <cellStyle name="Currency 4 4 4 7 2" xfId="17083" xr:uid="{4EDFE94E-D8DB-4C33-9E32-6E6954FC7DB2}"/>
    <cellStyle name="Currency 4 4 4 8" xfId="9536" xr:uid="{7E8CFD0C-E04E-4D79-A5B5-E36825FD963E}"/>
    <cellStyle name="Currency 4 4 4 8 2" xfId="19916" xr:uid="{D344D597-610C-4218-9B56-5A1108029B26}"/>
    <cellStyle name="Currency 4 4 4 9" xfId="22777" xr:uid="{273C5658-5482-4CBD-8210-7DC046A9AB81}"/>
    <cellStyle name="Currency 4 4 5" xfId="1911" xr:uid="{00000000-0005-0000-0000-00009A030000}"/>
    <cellStyle name="Currency 4 4 5 2" xfId="2885" xr:uid="{00000000-0005-0000-0000-0000AF020000}"/>
    <cellStyle name="Currency 4 4 5 2 2" xfId="8002" xr:uid="{E706C878-2C34-422A-A8A0-D864701A29BC}"/>
    <cellStyle name="Currency 4 4 5 2 2 2" xfId="26460" xr:uid="{8F6912E3-A45B-4771-8C84-42F8D99A8E39}"/>
    <cellStyle name="Currency 4 4 5 2 2 3" xfId="28364" xr:uid="{3E644810-A0E0-49AF-9121-6E0D617C9F9B}"/>
    <cellStyle name="Currency 4 4 5 2 2 4" xfId="18382" xr:uid="{48D5BEDA-330E-4BCC-B7F7-1F58EFDF3FAB}"/>
    <cellStyle name="Currency 4 4 5 2 3" xfId="10835" xr:uid="{8385A4A4-CAE6-464C-8D6D-09A97C966A1D}"/>
    <cellStyle name="Currency 4 4 5 2 3 2" xfId="21215" xr:uid="{2D781732-0962-4F77-983C-1CDD76FA6BB9}"/>
    <cellStyle name="Currency 4 4 5 2 4" xfId="25205" xr:uid="{4BA2EDA2-92EE-40D3-8CD0-5982FF26CE6C}"/>
    <cellStyle name="Currency 4 4 5 2 5" xfId="15549" xr:uid="{6D334121-FCC4-4222-AF17-882F68418372}"/>
    <cellStyle name="Currency 4 4 5 3" xfId="3561" xr:uid="{00000000-0005-0000-0000-00009A030000}"/>
    <cellStyle name="Currency 4 4 5 3 2" xfId="29831" xr:uid="{48B2F6B6-48BF-4FEB-BC1A-1D49B8866A69}"/>
    <cellStyle name="Currency 4 4 5 4" xfId="5694" xr:uid="{185473FA-8510-43D0-BF8C-2C41F88C632B}"/>
    <cellStyle name="Currency 4 4 5 4 2" xfId="30111" xr:uid="{1E4B6E25-DCD7-4B55-B1D9-71C219AE0A6F}"/>
    <cellStyle name="Currency 4 4 5 5" xfId="22973" xr:uid="{C3CB335E-5D79-45F9-AA49-2C67A54AC125}"/>
    <cellStyle name="Currency 4 4 5 6" xfId="13384" xr:uid="{E33E0FD3-8ACA-447C-B22D-09D67C881F8C}"/>
    <cellStyle name="Currency 4 4 6" xfId="1912" xr:uid="{00000000-0005-0000-0000-00009B030000}"/>
    <cellStyle name="Currency 4 4 6 2" xfId="2451" xr:uid="{00000000-0005-0000-0000-0000B0020000}"/>
    <cellStyle name="Currency 4 4 6 2 2" xfId="7576" xr:uid="{8C7E1CB5-24B2-4C06-B574-3CCF8E4D4FAF}"/>
    <cellStyle name="Currency 4 4 6 2 2 2" xfId="17956" xr:uid="{6A488EF1-40BC-410B-A9DD-E4DD703411B9}"/>
    <cellStyle name="Currency 4 4 6 2 3" xfId="10409" xr:uid="{2C895468-9D6B-45DE-9B6E-63DB10E7354C}"/>
    <cellStyle name="Currency 4 4 6 2 3 2" xfId="20789" xr:uid="{04CD12E1-4B0D-4532-9DDB-BE35C5B28512}"/>
    <cellStyle name="Currency 4 4 6 2 4" xfId="27417" xr:uid="{D1E79319-E313-4D2C-9D9E-08BDF44ED27D}"/>
    <cellStyle name="Currency 4 4 6 2 5" xfId="26269" xr:uid="{1AE1D3C1-28D4-4D37-86B0-3452ECD9B6AA}"/>
    <cellStyle name="Currency 4 4 6 2 6" xfId="15123" xr:uid="{C20D0B3A-B542-4016-967C-E7A10907E596}"/>
    <cellStyle name="Currency 4 4 6 3" xfId="3593" xr:uid="{00000000-0005-0000-0000-00009B030000}"/>
    <cellStyle name="Currency 4 4 6 3 2" xfId="30176" xr:uid="{11ECF055-0EC1-45BC-82E6-2235203DD6E5}"/>
    <cellStyle name="Currency 4 4 6 4" xfId="5695" xr:uid="{2C0CC53D-152E-44E5-AED9-191AC3BD2EEB}"/>
    <cellStyle name="Currency 4 4 6 4 2" xfId="30525" xr:uid="{EADADD72-F324-4151-966C-AE9A726C04FA}"/>
    <cellStyle name="Currency 4 4 6 5" xfId="25351" xr:uid="{8FD0F9DD-B8DA-44AE-86E7-B484DD0FA26C}"/>
    <cellStyle name="Currency 4 4 6 6" xfId="12839" xr:uid="{AD2A135C-E052-4007-9C51-0C179C5E7320}"/>
    <cellStyle name="Currency 4 4 7" xfId="1898" xr:uid="{00000000-0005-0000-0000-00009C030000}"/>
    <cellStyle name="Currency 4 4 7 2" xfId="2205" xr:uid="{00000000-0005-0000-0000-0000A4020000}"/>
    <cellStyle name="Currency 4 4 7 2 2" xfId="7332" xr:uid="{62EF3B49-9C3F-4DB0-8470-22FF7A1A9DB0}"/>
    <cellStyle name="Currency 4 4 7 2 2 2" xfId="17712" xr:uid="{8274FE90-26AD-47D5-B025-2D6ABB711C56}"/>
    <cellStyle name="Currency 4 4 7 2 3" xfId="10165" xr:uid="{080EBF57-24D2-4B02-8980-3C5D00F55BB7}"/>
    <cellStyle name="Currency 4 4 7 2 3 2" xfId="20545" xr:uid="{0372398F-1696-4722-9F52-2C7BF476EABC}"/>
    <cellStyle name="Currency 4 4 7 2 4" xfId="27695" xr:uid="{260BCC71-9ADF-41F7-9F7F-8DDE0748C47A}"/>
    <cellStyle name="Currency 4 4 7 2 5" xfId="26533" xr:uid="{CD9566BE-C759-4FE2-8BFE-14AD9676A026}"/>
    <cellStyle name="Currency 4 4 7 2 6" xfId="14879" xr:uid="{70853DB0-5ABB-4046-A264-8072BB939B1E}"/>
    <cellStyle name="Currency 4 4 7 3" xfId="3551" xr:uid="{00000000-0005-0000-0000-00009C030000}"/>
    <cellStyle name="Currency 4 4 7 3 2" xfId="30639" xr:uid="{C1B33BB9-2C19-4D5A-B0E4-2689D61F6377}"/>
    <cellStyle name="Currency 4 4 7 4" xfId="23997" xr:uid="{3627A03A-4482-445B-90C3-B16E8F917721}"/>
    <cellStyle name="Currency 4 4 8" xfId="3885" xr:uid="{8F492FEB-DD26-4D92-B639-56080C96DAD0}"/>
    <cellStyle name="Currency 4 4 8 2" xfId="8717" xr:uid="{DAD2360B-067F-4D07-A858-480B67333D2B}"/>
    <cellStyle name="Currency 4 4 8 2 2" xfId="19097" xr:uid="{C7898B95-E082-451B-B2EC-50C3150B9BA5}"/>
    <cellStyle name="Currency 4 4 8 3" xfId="11550" xr:uid="{5D0C0B8C-1995-4240-B3F9-561A2014C994}"/>
    <cellStyle name="Currency 4 4 8 3 2" xfId="21930" xr:uid="{EE1C25E8-167D-4C7C-B018-6839FBE69164}"/>
    <cellStyle name="Currency 4 4 8 4" xfId="26450" xr:uid="{82287D56-B02D-4F68-B9A6-64009DFF896E}"/>
    <cellStyle name="Currency 4 4 8 5" xfId="28738" xr:uid="{F831583E-FE89-4A56-8161-10A6D8C24FD3}"/>
    <cellStyle name="Currency 4 4 8 6" xfId="16264" xr:uid="{30ACCFBB-EB86-4E6F-8833-07FD0F8ACD5B}"/>
    <cellStyle name="Currency 4 4 9" xfId="4951" xr:uid="{CDC5A57C-39E3-4F44-8543-1AF3DDF56F13}"/>
    <cellStyle name="Currency 4 4 9 2" xfId="26487" xr:uid="{B2BCE877-50E5-41D9-B7EB-2E62128CFE4F}"/>
    <cellStyle name="Currency 4 4 9 3" xfId="28380" xr:uid="{B9AD3C45-5151-45F4-9C1E-9B37CB2D1074}"/>
    <cellStyle name="Currency 4 4 9 4" xfId="14246" xr:uid="{8E423349-87EE-42D6-AED9-9F1C41279132}"/>
    <cellStyle name="Currency 4 5" xfId="573" xr:uid="{00000000-0005-0000-0000-00009D030000}"/>
    <cellStyle name="Currency 4 5 10" xfId="6704" xr:uid="{96D8005A-5D5D-4F79-BBBF-7E5CB28B4B4F}"/>
    <cellStyle name="Currency 4 5 10 2" xfId="17084" xr:uid="{81F424D6-4264-4E30-BEB1-0817CD168E12}"/>
    <cellStyle name="Currency 4 5 11" xfId="9537" xr:uid="{3F991DD6-16B1-4177-928C-BAF66C83B4F2}"/>
    <cellStyle name="Currency 4 5 11 2" xfId="19917" xr:uid="{A7B41CDA-B897-4123-A170-00939D138172}"/>
    <cellStyle name="Currency 4 5 12" xfId="23113" xr:uid="{E500777F-BE40-4CCF-A9CD-C9040D92E351}"/>
    <cellStyle name="Currency 4 5 13" xfId="12529" xr:uid="{1D7A1179-43DD-4B78-BF9D-06270AD4081B}"/>
    <cellStyle name="Currency 4 5 2" xfId="574" xr:uid="{00000000-0005-0000-0000-00009E030000}"/>
    <cellStyle name="Currency 4 5 2 10" xfId="24626" xr:uid="{936AD911-D8C4-43A4-826C-E4A0CEE467A1}"/>
    <cellStyle name="Currency 4 5 2 11" xfId="12687" xr:uid="{3BE07639-9D6E-46C0-8899-0CFA846D1B4E}"/>
    <cellStyle name="Currency 4 5 2 2" xfId="575" xr:uid="{00000000-0005-0000-0000-00009F030000}"/>
    <cellStyle name="Currency 4 5 2 2 2" xfId="1916" xr:uid="{00000000-0005-0000-0000-0000A0030000}"/>
    <cellStyle name="Currency 4 5 2 2 2 2" xfId="25699" xr:uid="{4DA1172A-F308-41C1-8CF1-3AFF6E52A4D0}"/>
    <cellStyle name="Currency 4 5 2 2 2 2 2" xfId="29893" xr:uid="{22650956-D546-4826-AEA7-E3A2A5D26F4E}"/>
    <cellStyle name="Currency 4 5 2 2 2 3" xfId="25550" xr:uid="{28F1393C-3413-4434-818B-1BEA030FD1C4}"/>
    <cellStyle name="Currency 4 5 2 2 2 4" xfId="30505" xr:uid="{320B2A69-5443-4A17-AE6C-F76A6ED24CCE}"/>
    <cellStyle name="Currency 4 5 2 2 2 5" xfId="29738" xr:uid="{66F59DB9-1038-4D40-B496-929752991C2C}"/>
    <cellStyle name="Currency 4 5 2 2 3" xfId="1917" xr:uid="{00000000-0005-0000-0000-0000A1030000}"/>
    <cellStyle name="Currency 4 5 2 2 3 2" xfId="28279" xr:uid="{50B40CE8-5CD9-417B-992B-76488973FBEE}"/>
    <cellStyle name="Currency 4 5 2 2 3 2 2" xfId="29952" xr:uid="{F25C4CDD-481A-4BBF-A101-6F2CBC467CD6}"/>
    <cellStyle name="Currency 4 5 2 2 3 3" xfId="27749" xr:uid="{8C12FD05-3DB0-4D9C-B5B8-A93CD492E9A2}"/>
    <cellStyle name="Currency 4 5 2 2 3 4" xfId="30615" xr:uid="{42610D52-2F72-4FB3-B62A-468D6B4C378F}"/>
    <cellStyle name="Currency 4 5 2 2 3 5" xfId="29698" xr:uid="{D77824EF-590D-4EAE-8AD8-6A58E67B80DD}"/>
    <cellStyle name="Currency 4 5 2 2 4" xfId="1915" xr:uid="{00000000-0005-0000-0000-0000A2030000}"/>
    <cellStyle name="Currency 4 5 2 2 4 2" xfId="30325" xr:uid="{972E3957-B3C2-4857-8700-6175827388A9}"/>
    <cellStyle name="Currency 4 5 2 2 4 3" xfId="30758" xr:uid="{EDA5DC79-31DE-4340-B1F6-DE24258E9168}"/>
    <cellStyle name="Currency 4 5 2 2 4 4" xfId="30044" xr:uid="{30AD6E29-107A-47FC-B821-3C60835F34FC}"/>
    <cellStyle name="Currency 4 5 2 2 5" xfId="4958" xr:uid="{06F5503A-5501-48DF-AE79-3F46F4403A51}"/>
    <cellStyle name="Currency 4 5 2 2 5 2" xfId="28398" xr:uid="{6F744894-9EB6-451C-8783-B144588227CA}"/>
    <cellStyle name="Currency 4 5 2 2 5 3" xfId="26344" xr:uid="{DD6A66B5-B137-407F-9C2F-621CDB3F8CC8}"/>
    <cellStyle name="Currency 4 5 2 2 5 4" xfId="14253" xr:uid="{D83F280C-9B11-4050-AC8A-E67693348519}"/>
    <cellStyle name="Currency 4 5 2 2 6" xfId="6706" xr:uid="{EE93D6B9-B3EB-4524-A2EE-0312B0817817}"/>
    <cellStyle name="Currency 4 5 2 2 6 2" xfId="17086" xr:uid="{53293CAC-3243-4905-A96F-0BE3DAB1F405}"/>
    <cellStyle name="Currency 4 5 2 2 7" xfId="9539" xr:uid="{EBBCB11B-E385-46E9-9E80-D9F72677C98A}"/>
    <cellStyle name="Currency 4 5 2 2 7 2" xfId="19919" xr:uid="{F9E1AEC7-09F0-49FB-96CF-0604B4EEA2D1}"/>
    <cellStyle name="Currency 4 5 2 2 8" xfId="24941" xr:uid="{3AB8780B-A800-4DD5-8250-85632D3B4D59}"/>
    <cellStyle name="Currency 4 5 2 2 9" xfId="13622" xr:uid="{A648DF40-1D57-43EF-902C-77D60F3FB356}"/>
    <cellStyle name="Currency 4 5 2 3" xfId="1918" xr:uid="{00000000-0005-0000-0000-0000A3030000}"/>
    <cellStyle name="Currency 4 5 2 3 2" xfId="2697" xr:uid="{00000000-0005-0000-0000-0000B4020000}"/>
    <cellStyle name="Currency 4 5 2 3 2 2" xfId="7821" xr:uid="{67C18852-F72D-450B-B688-FF3BB6681BEB}"/>
    <cellStyle name="Currency 4 5 2 3 2 2 2" xfId="18201" xr:uid="{6B9144A4-11AF-4880-AF7A-EFF01DABC516}"/>
    <cellStyle name="Currency 4 5 2 3 2 3" xfId="10654" xr:uid="{DACA02BB-B318-4FFD-A752-9E48C2216722}"/>
    <cellStyle name="Currency 4 5 2 3 2 3 2" xfId="21034" xr:uid="{E723C75D-F9F7-4F0C-B47B-9E2213D69722}"/>
    <cellStyle name="Currency 4 5 2 3 2 4" xfId="15368" xr:uid="{B860F650-DF92-412F-A990-63AF6856B0E9}"/>
    <cellStyle name="Currency 4 5 2 3 3" xfId="3676" xr:uid="{00000000-0005-0000-0000-0000A3030000}"/>
    <cellStyle name="Currency 4 5 2 3 3 2" xfId="30082" xr:uid="{2CF4D5D5-3A78-4D55-883C-6DCC36AB2ADC}"/>
    <cellStyle name="Currency 4 5 2 3 4" xfId="5696" xr:uid="{0CD193E0-BEC1-4BF2-9788-987F9986CB96}"/>
    <cellStyle name="Currency 4 5 2 3 4 2" xfId="30375" xr:uid="{C286F52A-5CB1-481B-8BA2-56FECE24D272}"/>
    <cellStyle name="Currency 4 5 2 3 5" xfId="25188" xr:uid="{125BE751-1BD6-47F7-842E-CEBBAC01888C}"/>
    <cellStyle name="Currency 4 5 2 3 6" xfId="13113" xr:uid="{21994009-8AC5-412E-B726-0E1FDA509878}"/>
    <cellStyle name="Currency 4 5 2 4" xfId="1919" xr:uid="{00000000-0005-0000-0000-0000A4030000}"/>
    <cellStyle name="Currency 4 5 2 4 2" xfId="4632" xr:uid="{BA18F28B-B30E-475A-A9D3-122AB6CEE39E}"/>
    <cellStyle name="Currency 4 5 2 4 2 2" xfId="9399" xr:uid="{9A68ECEB-8860-4DAC-A876-F0FFE7E1EBBD}"/>
    <cellStyle name="Currency 4 5 2 4 2 2 2" xfId="19779" xr:uid="{3A8E03A7-588B-4FE6-96FE-51678034FA98}"/>
    <cellStyle name="Currency 4 5 2 4 2 3" xfId="12232" xr:uid="{8EC2CF1B-DDA4-40E6-82CF-831E173360E4}"/>
    <cellStyle name="Currency 4 5 2 4 2 3 2" xfId="22612" xr:uid="{6B75FAE7-0EB2-4AF6-90E3-7863B23C4EC5}"/>
    <cellStyle name="Currency 4 5 2 4 2 4" xfId="27724" xr:uid="{21ADC332-137F-4210-8E5E-06BFA4605AD4}"/>
    <cellStyle name="Currency 4 5 2 4 2 5" xfId="28415" xr:uid="{4D589DCE-7D71-4DC6-8C8F-0F643AD2B7CC}"/>
    <cellStyle name="Currency 4 5 2 4 2 6" xfId="16946" xr:uid="{735BD329-52F2-4E9F-8861-1305BAC1A1BF}"/>
    <cellStyle name="Currency 4 5 2 4 3" xfId="22666" xr:uid="{B1B04259-86DC-4B25-824F-1D24D88090AB}"/>
    <cellStyle name="Currency 4 5 2 4 3 2" xfId="30126" xr:uid="{63E2DD68-01D2-4069-AF08-2F0D1129B1AF}"/>
    <cellStyle name="Currency 4 5 2 4 4" xfId="30467" xr:uid="{80B3F263-05D4-4D6D-AA78-1D38587F61F7}"/>
    <cellStyle name="Currency 4 5 2 4 5" xfId="29764" xr:uid="{39C740C1-CE46-44D9-A120-21795225DE93}"/>
    <cellStyle name="Currency 4 5 2 5" xfId="1914" xr:uid="{00000000-0005-0000-0000-0000A5030000}"/>
    <cellStyle name="Currency 4 5 2 5 2" xfId="24047" xr:uid="{0D05523D-B528-4033-A555-6E964F1AABAC}"/>
    <cellStyle name="Currency 4 5 2 5 2 2" xfId="29918" xr:uid="{B0ABDFEF-CDD5-49A1-BCBF-1873FEA3157B}"/>
    <cellStyle name="Currency 4 5 2 5 3" xfId="25822" xr:uid="{F99162FC-7F1B-4FCA-89F8-447E787AAD95}"/>
    <cellStyle name="Currency 4 5 2 5 4" xfId="30556" xr:uid="{0C53F383-B806-446B-A7D5-B4F5152CEC66}"/>
    <cellStyle name="Currency 4 5 2 5 5" xfId="29741" xr:uid="{8A4043EF-529B-4FDB-9518-FD96084C4E9A}"/>
    <cellStyle name="Currency 4 5 2 6" xfId="4141" xr:uid="{50D9385E-5919-4685-9204-577765CC4A3B}"/>
    <cellStyle name="Currency 4 5 2 6 2" xfId="8913" xr:uid="{AEBA6F39-5836-428B-9617-79274402EF9A}"/>
    <cellStyle name="Currency 4 5 2 6 2 2" xfId="19293" xr:uid="{2F0A757F-31C8-4EED-B23D-7F988BF96807}"/>
    <cellStyle name="Currency 4 5 2 6 2 3" xfId="29994" xr:uid="{2DD50BDE-0CE5-4113-AE80-59F2165D16FA}"/>
    <cellStyle name="Currency 4 5 2 6 3" xfId="11746" xr:uid="{E263A163-386C-412B-BA71-3CDC89A52DAA}"/>
    <cellStyle name="Currency 4 5 2 6 3 2" xfId="22126" xr:uid="{528AAB7A-FF20-4760-844E-90D0F881E7A4}"/>
    <cellStyle name="Currency 4 5 2 6 4" xfId="27903" xr:uid="{5DC743F1-2CEC-4105-92A1-374C9B082498}"/>
    <cellStyle name="Currency 4 5 2 6 5" xfId="27781" xr:uid="{6B6A6791-AA8B-4932-B61E-E7194F5E38FA}"/>
    <cellStyle name="Currency 4 5 2 6 6" xfId="16460" xr:uid="{EB6EFB00-28D2-4BD3-ADF9-75B56417D836}"/>
    <cellStyle name="Currency 4 5 2 7" xfId="4957" xr:uid="{FF155009-9AE8-472A-9786-1C5CC368329D}"/>
    <cellStyle name="Currency 4 5 2 7 2" xfId="27018" xr:uid="{1795F53F-CF1C-4045-9A4C-F0F3A2201498}"/>
    <cellStyle name="Currency 4 5 2 7 3" xfId="26116" xr:uid="{F40AD9EC-DE66-45CF-B0E2-400E0AE4591C}"/>
    <cellStyle name="Currency 4 5 2 7 3 2" xfId="30669" xr:uid="{C6676EB1-96A2-485B-BC08-4D2ED4AB3AEA}"/>
    <cellStyle name="Currency 4 5 2 7 4" xfId="14252" xr:uid="{50F566A2-5536-4CA9-B693-1925A58069AE}"/>
    <cellStyle name="Currency 4 5 2 8" xfId="6705" xr:uid="{1EDC8D52-5429-4EA0-BC30-B850169953D7}"/>
    <cellStyle name="Currency 4 5 2 8 2" xfId="17085" xr:uid="{18CDBB35-502C-46D6-A711-7757F3F93718}"/>
    <cellStyle name="Currency 4 5 2 9" xfId="9538" xr:uid="{2E013ABA-A669-4820-9CC5-6735C91F7EA0}"/>
    <cellStyle name="Currency 4 5 2 9 2" xfId="19918" xr:uid="{5FEF1FDC-1A94-4A05-910B-3E5D62136936}"/>
    <cellStyle name="Currency 4 5 3" xfId="576" xr:uid="{00000000-0005-0000-0000-0000A6030000}"/>
    <cellStyle name="Currency 4 5 3 10" xfId="13623" xr:uid="{334D3E92-60E7-42E3-8CC0-E74FC9A43C56}"/>
    <cellStyle name="Currency 4 5 3 2" xfId="1921" xr:uid="{00000000-0005-0000-0000-0000A7030000}"/>
    <cellStyle name="Currency 4 5 3 2 2" xfId="23944" xr:uid="{AAF0F971-3028-4122-875F-31812B9A5C10}"/>
    <cellStyle name="Currency 4 5 3 2 2 2" xfId="29868" xr:uid="{449D40D0-02D6-4189-9309-D583E24D77A0}"/>
    <cellStyle name="Currency 4 5 3 2 3" xfId="25620" xr:uid="{CE950C91-DA13-4A1B-A20A-059D6EE2D92A}"/>
    <cellStyle name="Currency 4 5 3 2 3 2" xfId="26037" xr:uid="{BE3BCC2F-6352-4B40-AC21-B009231F1344}"/>
    <cellStyle name="Currency 4 5 3 2 4" xfId="30490" xr:uid="{BC913871-1A3D-4C50-BAD0-A4CEC7DFA0B4}"/>
    <cellStyle name="Currency 4 5 3 2 5" xfId="29701" xr:uid="{A50A7FA6-0966-4CA2-B774-BC56A1BD82CB}"/>
    <cellStyle name="Currency 4 5 3 3" xfId="1922" xr:uid="{00000000-0005-0000-0000-0000A8030000}"/>
    <cellStyle name="Currency 4 5 3 3 2" xfId="29939" xr:uid="{D697CB97-12CB-4C5A-A70B-E6E612E2F296}"/>
    <cellStyle name="Currency 4 5 3 3 3" xfId="30210" xr:uid="{0EAD0681-E25D-4010-9728-CBE62CB75E14}"/>
    <cellStyle name="Currency 4 5 3 3 4" xfId="30590" xr:uid="{2C4C1046-7C4F-4921-8008-B990D7142C8E}"/>
    <cellStyle name="Currency 4 5 3 3 5" xfId="29664" xr:uid="{CFA6F0AB-8B46-4612-BC37-03DBE6354A39}"/>
    <cellStyle name="Currency 4 5 3 4" xfId="1920" xr:uid="{00000000-0005-0000-0000-0000A9030000}"/>
    <cellStyle name="Currency 4 5 3 4 2" xfId="22936" xr:uid="{71B5603C-6766-4D0C-B1CC-BB0C74847168}"/>
    <cellStyle name="Currency 4 5 3 4 2 2" xfId="30326" xr:uid="{88574424-CF3E-4178-BE18-785A9716A3DF}"/>
    <cellStyle name="Currency 4 5 3 4 3" xfId="23189" xr:uid="{1205E03B-BC6A-4DE9-88A4-2BEF1DEAC256}"/>
    <cellStyle name="Currency 4 5 3 4 4" xfId="30045" xr:uid="{AD48B5BA-4C7F-435C-AC2A-67A1E6F4EDE2}"/>
    <cellStyle name="Currency 4 5 3 5" xfId="4432" xr:uid="{3AA8AD3D-7C60-4403-BB09-DDF91B3CAE59}"/>
    <cellStyle name="Currency 4 5 3 5 2" xfId="9204" xr:uid="{A3A5C4BF-1097-4467-8467-E6868B8BA4F4}"/>
    <cellStyle name="Currency 4 5 3 5 2 2" xfId="19584" xr:uid="{49F42FB0-91CB-458C-A7D4-235AF0A55179}"/>
    <cellStyle name="Currency 4 5 3 5 3" xfId="12037" xr:uid="{E00CD68C-A290-4DB5-A1CF-3644D0747AC5}"/>
    <cellStyle name="Currency 4 5 3 5 3 2" xfId="22417" xr:uid="{E84E2549-6431-44F9-B607-FBBBD1DC9327}"/>
    <cellStyle name="Currency 4 5 3 5 4" xfId="28382" xr:uid="{0F213479-C7BF-460B-921C-9BF2F16D4990}"/>
    <cellStyle name="Currency 4 5 3 5 5" xfId="28282" xr:uid="{22548A9C-4DD8-41F0-A41C-723D58FD4503}"/>
    <cellStyle name="Currency 4 5 3 5 6" xfId="16751" xr:uid="{52FEF294-8412-4EB3-8765-5D8BDE2BE71D}"/>
    <cellStyle name="Currency 4 5 3 6" xfId="4959" xr:uid="{761BB72E-4A93-4F6D-952A-D789235B3BEF}"/>
    <cellStyle name="Currency 4 5 3 6 2" xfId="25857" xr:uid="{CC96E5FE-101D-49B5-AFF2-F0D67BAF3B1D}"/>
    <cellStyle name="Currency 4 5 3 6 3" xfId="25958" xr:uid="{2BE1B934-0731-458E-BBB0-C55DFA45F7BC}"/>
    <cellStyle name="Currency 4 5 3 6 4" xfId="14254" xr:uid="{8405B132-7A1C-4C01-9D7B-5EB24C9806D1}"/>
    <cellStyle name="Currency 4 5 3 7" xfId="6707" xr:uid="{E097C61D-B8A4-4BA3-A749-1FB076D1944C}"/>
    <cellStyle name="Currency 4 5 3 7 2" xfId="17087" xr:uid="{A011E640-EF48-4A1F-8560-DE3E220E899D}"/>
    <cellStyle name="Currency 4 5 3 8" xfId="9540" xr:uid="{AC37EC65-F8CF-42B4-8DC6-FADD287AB63E}"/>
    <cellStyle name="Currency 4 5 3 8 2" xfId="19920" xr:uid="{C869296A-CF30-471C-9C5F-F51BBB60F5C0}"/>
    <cellStyle name="Currency 4 5 3 9" xfId="23968" xr:uid="{F443B76C-96A1-45EC-9AFC-26C101FCEB45}"/>
    <cellStyle name="Currency 4 5 4" xfId="577" xr:uid="{00000000-0005-0000-0000-0000AA030000}"/>
    <cellStyle name="Currency 4 5 4 2" xfId="1924" xr:uid="{00000000-0005-0000-0000-0000AB030000}"/>
    <cellStyle name="Currency 4 5 4 2 2" xfId="24663" xr:uid="{263B1B22-114C-495E-9350-2ABE6490124D}"/>
    <cellStyle name="Currency 4 5 4 2 2 2" xfId="30297" xr:uid="{D972EC67-3046-4066-8B7C-C91D5E78ADF9}"/>
    <cellStyle name="Currency 4 5 4 2 3" xfId="24067" xr:uid="{0D856946-7117-49EA-AC01-0064A38C42CE}"/>
    <cellStyle name="Currency 4 5 4 2 4" xfId="30026" xr:uid="{C7EA2EC8-93D6-4873-9448-A00D6CA0E99E}"/>
    <cellStyle name="Currency 4 5 4 3" xfId="1925" xr:uid="{00000000-0005-0000-0000-0000AC030000}"/>
    <cellStyle name="Currency 4 5 4 3 2" xfId="29724" xr:uid="{91CD02F0-0C56-4011-A089-6668D58134DC}"/>
    <cellStyle name="Currency 4 5 4 4" xfId="1923" xr:uid="{00000000-0005-0000-0000-0000AD030000}"/>
    <cellStyle name="Currency 4 5 4 4 2" xfId="30069" xr:uid="{6AA4C470-4560-48A8-B0C4-1D0CC4EAC917}"/>
    <cellStyle name="Currency 4 5 4 5" xfId="4960" xr:uid="{87419F56-CBBC-4EC5-A5FA-A3AF979B0915}"/>
    <cellStyle name="Currency 4 5 4 5 2" xfId="14255" xr:uid="{8C5EB694-52CC-490F-B3E9-4913D21D4D43}"/>
    <cellStyle name="Currency 4 5 4 6" xfId="6708" xr:uid="{1798A0C3-0F0E-4A89-8589-844DF65E9F42}"/>
    <cellStyle name="Currency 4 5 4 6 2" xfId="17088" xr:uid="{D3FD206B-DAD5-4DAA-A970-AB8DDC53341A}"/>
    <cellStyle name="Currency 4 5 4 7" xfId="9541" xr:uid="{34AC5E68-4DFB-4911-BF94-7C4459F2FB46}"/>
    <cellStyle name="Currency 4 5 4 7 2" xfId="19921" xr:uid="{1F244D45-9C5C-42D4-8B24-CE2D3F89822F}"/>
    <cellStyle name="Currency 4 5 4 8" xfId="22685" xr:uid="{4C3C79CF-25CE-4C16-9BB0-1769F28B1B20}"/>
    <cellStyle name="Currency 4 5 4 9" xfId="13385" xr:uid="{E635F5DB-2E3E-441B-8400-72BF51338561}"/>
    <cellStyle name="Currency 4 5 5" xfId="1926" xr:uid="{00000000-0005-0000-0000-0000AE030000}"/>
    <cellStyle name="Currency 4 5 5 2" xfId="2511" xr:uid="{00000000-0005-0000-0000-0000B7020000}"/>
    <cellStyle name="Currency 4 5 5 2 2" xfId="7636" xr:uid="{4D22E8A7-EB57-45C4-8DF7-78D97C020D56}"/>
    <cellStyle name="Currency 4 5 5 2 2 2" xfId="18016" xr:uid="{BA4C1423-C482-4431-9131-04E1CC4EBD81}"/>
    <cellStyle name="Currency 4 5 5 2 3" xfId="10469" xr:uid="{01F0FA39-D08C-48DA-938C-69F3BAC55A8E}"/>
    <cellStyle name="Currency 4 5 5 2 3 2" xfId="20849" xr:uid="{A02A1E62-6C59-45F9-97D0-856E7E73EC12}"/>
    <cellStyle name="Currency 4 5 5 2 4" xfId="15183" xr:uid="{96FC25C0-6B7E-46EA-8430-CD9F99FE003C}"/>
    <cellStyle name="Currency 4 5 5 3" xfId="3687" xr:uid="{00000000-0005-0000-0000-0000AE030000}"/>
    <cellStyle name="Currency 4 5 5 3 2" xfId="30112" xr:uid="{646E3A8E-83FD-4420-919A-40E79B4180D4}"/>
    <cellStyle name="Currency 4 5 5 4" xfId="5697" xr:uid="{87D1524C-BFE7-422B-B989-9D522BADBCA1}"/>
    <cellStyle name="Currency 4 5 5 4 2" xfId="30454" xr:uid="{C3563D9E-C6BA-44CD-85AF-16459386B87A}"/>
    <cellStyle name="Currency 4 5 5 5" xfId="22725" xr:uid="{EF4411FA-DFA8-451D-B7E7-839389F36923}"/>
    <cellStyle name="Currency 4 5 5 6" xfId="12899" xr:uid="{C5E1F394-9FDA-44B8-BAB0-E2548220D597}"/>
    <cellStyle name="Currency 4 5 6" xfId="1927" xr:uid="{00000000-0005-0000-0000-0000AF030000}"/>
    <cellStyle name="Currency 4 5 6 2" xfId="2297" xr:uid="{00000000-0005-0000-0000-0000B1020000}"/>
    <cellStyle name="Currency 4 5 6 2 2" xfId="7424" xr:uid="{27282295-7FE3-42E8-957D-24B26439D840}"/>
    <cellStyle name="Currency 4 5 6 2 2 2" xfId="17804" xr:uid="{8C24B4EF-0358-4F54-A912-98B5E3379049}"/>
    <cellStyle name="Currency 4 5 6 2 3" xfId="10257" xr:uid="{FDFC2E07-E644-4F02-BCB8-66A9F1B8790E}"/>
    <cellStyle name="Currency 4 5 6 2 3 2" xfId="20637" xr:uid="{1A61F4DB-4348-4174-B239-F5DF689F2EE0}"/>
    <cellStyle name="Currency 4 5 6 2 4" xfId="27456" xr:uid="{B9F256C9-BCCC-4534-8886-D9B3C7D21615}"/>
    <cellStyle name="Currency 4 5 6 2 5" xfId="28511" xr:uid="{73746A97-BD3D-47E7-A938-B4DCC51B3BDF}"/>
    <cellStyle name="Currency 4 5 6 2 6" xfId="14971" xr:uid="{CAE99062-2993-4F26-AC84-E97E092E225E}"/>
    <cellStyle name="Currency 4 5 6 3" xfId="2050" xr:uid="{00000000-0005-0000-0000-0000AF030000}"/>
    <cellStyle name="Currency 4 5 6 3 2" xfId="30177" xr:uid="{01FE9CAB-15D0-46B7-AA2E-43162C478E3A}"/>
    <cellStyle name="Currency 4 5 6 4" xfId="24324" xr:uid="{E848D214-C233-4FDB-AA84-DF3F125B0AE0}"/>
    <cellStyle name="Currency 4 5 6 4 2" xfId="30526" xr:uid="{2DCDAED0-59EB-4FF6-8D55-FCFDBA28898D}"/>
    <cellStyle name="Currency 4 5 7" xfId="1913" xr:uid="{00000000-0005-0000-0000-0000B0030000}"/>
    <cellStyle name="Currency 4 5 7 2" xfId="25775" xr:uid="{E7C99D6A-38BF-4E4B-8018-AFD0CBFA99FB}"/>
    <cellStyle name="Currency 4 5 7 2 2" xfId="30240" xr:uid="{1157E87C-50CC-4D25-878E-ABFA4D781910}"/>
    <cellStyle name="Currency 4 5 7 3" xfId="24241" xr:uid="{76B8FB3E-46A1-4D15-A448-AE8DEDB8CB73}"/>
    <cellStyle name="Currency 4 5 7 4" xfId="29993" xr:uid="{47815D8D-1724-4F15-862F-2A94DD481DB6}"/>
    <cellStyle name="Currency 4 5 8" xfId="3886" xr:uid="{BB75FD07-1C78-4151-9DF4-68E424D3C4F2}"/>
    <cellStyle name="Currency 4 5 8 2" xfId="8718" xr:uid="{DD397074-4919-4D6A-A38A-F372E30130F0}"/>
    <cellStyle name="Currency 4 5 8 2 2" xfId="19098" xr:uid="{DEB98FC7-18DE-4F8A-97A3-431584117BB8}"/>
    <cellStyle name="Currency 4 5 8 3" xfId="11551" xr:uid="{359770BD-143E-4F4F-AA98-5F7305CF618B}"/>
    <cellStyle name="Currency 4 5 8 3 2" xfId="21931" xr:uid="{E66B9320-DBDD-445D-8DE7-4A10CDECB151}"/>
    <cellStyle name="Currency 4 5 8 4" xfId="28027" xr:uid="{D526BE72-91DA-4754-AA1C-03DB8E0B0E8A}"/>
    <cellStyle name="Currency 4 5 8 5" xfId="27122" xr:uid="{497ECD56-B183-48DE-AA7E-44F24EB94C74}"/>
    <cellStyle name="Currency 4 5 8 6" xfId="16265" xr:uid="{F82953C5-58DF-4A68-B24B-5112198EFBCF}"/>
    <cellStyle name="Currency 4 5 9" xfId="4956" xr:uid="{2BF12BF6-A88D-4CD8-B463-BE6A723B4788}"/>
    <cellStyle name="Currency 4 5 9 2" xfId="28425" xr:uid="{CE4A9F61-2D6F-40AD-B611-F92BB82A6F93}"/>
    <cellStyle name="Currency 4 5 9 3" xfId="28542" xr:uid="{7D4837C6-7F11-49AB-8B5C-DA6D94A2B26B}"/>
    <cellStyle name="Currency 4 5 9 4" xfId="14251" xr:uid="{7B7D4E74-8C23-4621-9E92-669FBB089CC4}"/>
    <cellStyle name="Currency 4 6" xfId="578" xr:uid="{00000000-0005-0000-0000-0000B1030000}"/>
    <cellStyle name="Currency 4 6 10" xfId="6709" xr:uid="{B07F9FF6-3CB0-41E2-BE48-9F074A4EFF3F}"/>
    <cellStyle name="Currency 4 6 10 2" xfId="17089" xr:uid="{AE70F2C7-B997-463B-B121-3804A5096F80}"/>
    <cellStyle name="Currency 4 6 11" xfId="9542" xr:uid="{91979687-FDE0-42FF-AD58-6BBF9A4F60A5}"/>
    <cellStyle name="Currency 4 6 11 2" xfId="19922" xr:uid="{4896E6C4-B379-47ED-86FC-84F546494045}"/>
    <cellStyle name="Currency 4 6 12" xfId="24981" xr:uid="{7B097255-9119-4B78-A77F-24C10930B021}"/>
    <cellStyle name="Currency 4 6 13" xfId="12530" xr:uid="{B856397C-6609-41B2-9AE5-C15254210415}"/>
    <cellStyle name="Currency 4 6 2" xfId="579" xr:uid="{00000000-0005-0000-0000-0000B2030000}"/>
    <cellStyle name="Currency 4 6 2 10" xfId="23958" xr:uid="{1E0057A9-BBA2-4D46-B7EA-18EF09872F67}"/>
    <cellStyle name="Currency 4 6 2 11" xfId="12688" xr:uid="{6D82921E-0A4A-470C-944C-C94A67F7B50E}"/>
    <cellStyle name="Currency 4 6 2 2" xfId="580" xr:uid="{00000000-0005-0000-0000-0000B3030000}"/>
    <cellStyle name="Currency 4 6 2 2 2" xfId="1931" xr:uid="{00000000-0005-0000-0000-0000B4030000}"/>
    <cellStyle name="Currency 4 6 2 2 2 2" xfId="24066" xr:uid="{1A248772-3124-424D-BDF8-03CF48AD404B}"/>
    <cellStyle name="Currency 4 6 2 2 2 2 2" xfId="29894" xr:uid="{E8FF9265-4011-4853-AA52-E8A6B235FB96}"/>
    <cellStyle name="Currency 4 6 2 2 2 3" xfId="25071" xr:uid="{E0EA9661-5210-4CF1-B311-A122A5430DBF}"/>
    <cellStyle name="Currency 4 6 2 2 2 4" xfId="30506" xr:uid="{1CEAC55F-3949-40A3-ACF7-8CB79B50B38C}"/>
    <cellStyle name="Currency 4 6 2 2 2 5" xfId="29775" xr:uid="{01C6011E-2561-4FA0-ACA1-EF4030EADF8B}"/>
    <cellStyle name="Currency 4 6 2 2 3" xfId="1932" xr:uid="{00000000-0005-0000-0000-0000B5030000}"/>
    <cellStyle name="Currency 4 6 2 2 3 2" xfId="27019" xr:uid="{6D4BFB8F-F4E3-488F-AE7F-8B569DEE806B}"/>
    <cellStyle name="Currency 4 6 2 2 3 2 2" xfId="29953" xr:uid="{B578D74A-F680-429C-B763-8F53333D7401}"/>
    <cellStyle name="Currency 4 6 2 2 3 3" xfId="28381" xr:uid="{8E7070DA-EB58-4185-BD19-1566856F6854}"/>
    <cellStyle name="Currency 4 6 2 2 3 4" xfId="30616" xr:uid="{DA4DB8FA-F740-4B7C-9227-9ABEB0E93AC1}"/>
    <cellStyle name="Currency 4 6 2 2 3 5" xfId="29777" xr:uid="{9403DFD2-FCD5-4550-82CE-125D3D34829E}"/>
    <cellStyle name="Currency 4 6 2 2 4" xfId="1930" xr:uid="{00000000-0005-0000-0000-0000B6030000}"/>
    <cellStyle name="Currency 4 6 2 2 4 2" xfId="30327" xr:uid="{1A53FA55-D44D-4BD8-87F3-2D8877259A3D}"/>
    <cellStyle name="Currency 4 6 2 2 4 3" xfId="30759" xr:uid="{A4D87373-9FEE-462A-9A34-D9BAB9C2D408}"/>
    <cellStyle name="Currency 4 6 2 2 4 4" xfId="30046" xr:uid="{CA13F08A-2977-4D78-9420-CCFA94CB55FE}"/>
    <cellStyle name="Currency 4 6 2 2 5" xfId="4963" xr:uid="{2250466A-D110-4398-98F0-42A79CBF6180}"/>
    <cellStyle name="Currency 4 6 2 2 5 2" xfId="28537" xr:uid="{891F3589-F1CB-45CE-84A4-2A06312D3154}"/>
    <cellStyle name="Currency 4 6 2 2 5 3" xfId="28572" xr:uid="{A706AA9B-20B4-41A2-8CB2-06ABDF2DCB6C}"/>
    <cellStyle name="Currency 4 6 2 2 5 4" xfId="14258" xr:uid="{D0255818-1554-4D74-96D0-52D65F034DCA}"/>
    <cellStyle name="Currency 4 6 2 2 6" xfId="6711" xr:uid="{45FD87FF-A2B1-4E29-9C9F-D546B2E334A5}"/>
    <cellStyle name="Currency 4 6 2 2 6 2" xfId="17091" xr:uid="{BA993446-4CF5-4070-9D3E-44C57E92FAF0}"/>
    <cellStyle name="Currency 4 6 2 2 7" xfId="9544" xr:uid="{1C96D7B5-F815-48C5-8BC9-BE47EAD44157}"/>
    <cellStyle name="Currency 4 6 2 2 7 2" xfId="19924" xr:uid="{4F90AFAC-EF2A-48EB-AE86-2E926B19D934}"/>
    <cellStyle name="Currency 4 6 2 2 8" xfId="23433" xr:uid="{BAE1E1BE-A151-440D-A3FD-1B74FF6E838B}"/>
    <cellStyle name="Currency 4 6 2 2 9" xfId="13624" xr:uid="{69D5B8D4-D772-40A6-A8B6-2592C5AE2DBC}"/>
    <cellStyle name="Currency 4 6 2 3" xfId="1933" xr:uid="{00000000-0005-0000-0000-0000B7030000}"/>
    <cellStyle name="Currency 4 6 2 3 2" xfId="2698" xr:uid="{00000000-0005-0000-0000-0000BB020000}"/>
    <cellStyle name="Currency 4 6 2 3 2 2" xfId="7822" xr:uid="{9141CB2B-C0D0-46F5-A473-8965105435F5}"/>
    <cellStyle name="Currency 4 6 2 3 2 2 2" xfId="18202" xr:uid="{58125A39-26CC-49B5-BB19-D1DF4CDA251E}"/>
    <cellStyle name="Currency 4 6 2 3 2 3" xfId="10655" xr:uid="{39219585-75A2-4539-B70E-18DB55ACB9D9}"/>
    <cellStyle name="Currency 4 6 2 3 2 3 2" xfId="21035" xr:uid="{3A80A820-F0DF-4A51-840B-F2D3EC169472}"/>
    <cellStyle name="Currency 4 6 2 3 2 4" xfId="15369" xr:uid="{03AA89C8-A028-4B49-8381-59A5B0E5E97C}"/>
    <cellStyle name="Currency 4 6 2 3 3" xfId="3636" xr:uid="{00000000-0005-0000-0000-0000B7030000}"/>
    <cellStyle name="Currency 4 6 2 3 3 2" xfId="30080" xr:uid="{6C6922C3-268E-4195-93C3-C6C89762DD52}"/>
    <cellStyle name="Currency 4 6 2 3 4" xfId="5698" xr:uid="{B38A81BB-9A36-40AA-950D-281B6FFF8927}"/>
    <cellStyle name="Currency 4 6 2 3 4 2" xfId="30372" xr:uid="{64ED1540-C133-4EB2-87D4-154F8EF28660}"/>
    <cellStyle name="Currency 4 6 2 3 5" xfId="22981" xr:uid="{B6E933DD-A71A-437B-AB0D-1555CA191641}"/>
    <cellStyle name="Currency 4 6 2 3 6" xfId="13114" xr:uid="{97F811E8-74C9-46E0-BE4A-E9879D19FAC3}"/>
    <cellStyle name="Currency 4 6 2 4" xfId="1934" xr:uid="{00000000-0005-0000-0000-0000B8030000}"/>
    <cellStyle name="Currency 4 6 2 4 2" xfId="3770" xr:uid="{711868DE-36E0-40D7-A79D-79449C7A383C}"/>
    <cellStyle name="Currency 4 6 2 4 2 2" xfId="8614" xr:uid="{F546AFF6-7058-4C82-90AC-4A81EC8083D9}"/>
    <cellStyle name="Currency 4 6 2 4 2 2 2" xfId="18994" xr:uid="{E88E79F6-1F23-4001-9309-BDEA1C2F6BF3}"/>
    <cellStyle name="Currency 4 6 2 4 2 3" xfId="11447" xr:uid="{2DD8B225-19F8-4553-BC04-74AC6264B56E}"/>
    <cellStyle name="Currency 4 6 2 4 2 3 2" xfId="21827" xr:uid="{FC3F1D3B-7AA2-4711-B757-CB01029872EA}"/>
    <cellStyle name="Currency 4 6 2 4 2 4" xfId="28628" xr:uid="{D1889FEE-D5E8-4C56-976E-BB0BF757AFB4}"/>
    <cellStyle name="Currency 4 6 2 4 2 5" xfId="27300" xr:uid="{4CED908C-E0B3-49F6-AEE7-7441216FCEE4}"/>
    <cellStyle name="Currency 4 6 2 4 2 6" xfId="16161" xr:uid="{83C002B8-BD9C-4D22-8A9D-BA9F67B034FD}"/>
    <cellStyle name="Currency 4 6 2 4 3" xfId="25296" xr:uid="{F7CEB48C-B5A7-412F-9C5F-E2E4C2E67336}"/>
    <cellStyle name="Currency 4 6 2 4 3 2" xfId="30123" xr:uid="{D7417264-4136-464A-B4BD-6EBB7C729597}"/>
    <cellStyle name="Currency 4 6 2 4 4" xfId="30465" xr:uid="{B1313179-D0B4-4F1E-A96C-5B83C9DB5AA6}"/>
    <cellStyle name="Currency 4 6 2 4 5" xfId="29705" xr:uid="{791966E0-033D-45A2-A4BF-626BAA212408}"/>
    <cellStyle name="Currency 4 6 2 5" xfId="1929" xr:uid="{00000000-0005-0000-0000-0000B9030000}"/>
    <cellStyle name="Currency 4 6 2 5 2" xfId="23050" xr:uid="{DEB66FCC-EAF6-49BE-BE1E-44208B92D060}"/>
    <cellStyle name="Currency 4 6 2 5 2 2" xfId="29916" xr:uid="{4FD4E2CA-C6F4-47F1-BA64-C2C1A0CE4602}"/>
    <cellStyle name="Currency 4 6 2 5 3" xfId="25805" xr:uid="{450EC3BB-E536-4A0F-ADBB-326E1FBE7306}"/>
    <cellStyle name="Currency 4 6 2 5 4" xfId="30543" xr:uid="{B96F062F-A2CF-4AE5-8016-9E718E84F3DF}"/>
    <cellStyle name="Currency 4 6 2 5 5" xfId="29794" xr:uid="{73F370E4-3BCE-4C9B-BA75-7777DFF42F6E}"/>
    <cellStyle name="Currency 4 6 2 6" xfId="4142" xr:uid="{6809CE90-3BD2-4B14-B987-2478FE084EC5}"/>
    <cellStyle name="Currency 4 6 2 6 2" xfId="8914" xr:uid="{BF742BF3-4A54-4718-BBA4-B70ABFCB325F}"/>
    <cellStyle name="Currency 4 6 2 6 2 2" xfId="19294" xr:uid="{5AEACD83-2843-4E92-9040-B7E679159810}"/>
    <cellStyle name="Currency 4 6 2 6 2 3" xfId="29996" xr:uid="{8D9234C8-9032-414D-8A1B-97493F10C33A}"/>
    <cellStyle name="Currency 4 6 2 6 3" xfId="11747" xr:uid="{A514B5F4-9004-4CED-84F6-59A48E97A795}"/>
    <cellStyle name="Currency 4 6 2 6 3 2" xfId="22127" xr:uid="{6ECBD18E-EA1B-4676-AF35-72C30BB44837}"/>
    <cellStyle name="Currency 4 6 2 6 4" xfId="26526" xr:uid="{AC3EA581-D422-4D75-92EF-30FFC4170AA4}"/>
    <cellStyle name="Currency 4 6 2 6 5" xfId="26882" xr:uid="{73973956-B136-4DDB-A0F9-8C9BC541783A}"/>
    <cellStyle name="Currency 4 6 2 6 6" xfId="16461" xr:uid="{2B2A8B2D-56B9-4B2F-ACC8-74592709D082}"/>
    <cellStyle name="Currency 4 6 2 7" xfId="4962" xr:uid="{DC1DDCAA-438F-4D69-A3BE-2C2B2BF09732}"/>
    <cellStyle name="Currency 4 6 2 7 2" xfId="27132" xr:uid="{6E317467-9D0D-42C3-9EA7-11486512D191}"/>
    <cellStyle name="Currency 4 6 2 7 3" xfId="26147" xr:uid="{D0347F24-C2A8-4668-BC74-81112063EE9F}"/>
    <cellStyle name="Currency 4 6 2 7 3 2" xfId="30670" xr:uid="{495C8509-D77A-4990-A4AA-16C1C43A33E8}"/>
    <cellStyle name="Currency 4 6 2 7 4" xfId="14257" xr:uid="{608F617D-8CC8-4305-BB38-54EA70AEDA53}"/>
    <cellStyle name="Currency 4 6 2 8" xfId="6710" xr:uid="{F62F604B-18CC-4DDC-B82F-9B55E4F25239}"/>
    <cellStyle name="Currency 4 6 2 8 2" xfId="17090" xr:uid="{C4A721BE-FE4D-496E-98CD-FD18782DD36D}"/>
    <cellStyle name="Currency 4 6 2 9" xfId="9543" xr:uid="{69CFD19C-2246-45B2-9FE6-6E2A756EAC3A}"/>
    <cellStyle name="Currency 4 6 2 9 2" xfId="19923" xr:uid="{DB01D7A8-7C61-4D43-9903-A09A922AE58A}"/>
    <cellStyle name="Currency 4 6 3" xfId="581" xr:uid="{00000000-0005-0000-0000-0000BA030000}"/>
    <cellStyle name="Currency 4 6 3 10" xfId="13625" xr:uid="{E2B005EC-0FC7-4563-9527-17FDC2EF4E14}"/>
    <cellStyle name="Currency 4 6 3 2" xfId="1936" xr:uid="{00000000-0005-0000-0000-0000BB030000}"/>
    <cellStyle name="Currency 4 6 3 2 2" xfId="24890" xr:uid="{C36765B5-20D3-4E36-850B-6ABAEC0FF880}"/>
    <cellStyle name="Currency 4 6 3 2 2 2" xfId="29869" xr:uid="{1B56A053-02DE-4328-8FDB-FEABAF90218D}"/>
    <cellStyle name="Currency 4 6 3 2 3" xfId="23227" xr:uid="{2C26A46C-6DAC-4B8D-A2CE-FB3895391873}"/>
    <cellStyle name="Currency 4 6 3 2 3 2" xfId="27864" xr:uid="{10E1699B-2241-47D5-9787-3D9730D666CE}"/>
    <cellStyle name="Currency 4 6 3 2 4" xfId="30491" xr:uid="{206D9D79-2551-4CD6-8A86-D5F81F98A29A}"/>
    <cellStyle name="Currency 4 6 3 2 5" xfId="29761" xr:uid="{581F198E-BB69-4876-9E3D-8E27A946F38F}"/>
    <cellStyle name="Currency 4 6 3 3" xfId="1937" xr:uid="{00000000-0005-0000-0000-0000BC030000}"/>
    <cellStyle name="Currency 4 6 3 3 2" xfId="29940" xr:uid="{4B4928F6-0086-4451-92AB-C0CC4CAF4C02}"/>
    <cellStyle name="Currency 4 6 3 3 3" xfId="30211" xr:uid="{2704DFCC-9CDB-462E-B55F-D4B0F064B445}"/>
    <cellStyle name="Currency 4 6 3 3 4" xfId="30591" xr:uid="{62D0C014-0A0B-49A7-BE47-B3725F9E4434}"/>
    <cellStyle name="Currency 4 6 3 3 5" xfId="29659" xr:uid="{ACCC4E0D-C339-49E4-ACD4-065D5F84A40B}"/>
    <cellStyle name="Currency 4 6 3 4" xfId="1935" xr:uid="{00000000-0005-0000-0000-0000BD030000}"/>
    <cellStyle name="Currency 4 6 3 4 2" xfId="27207" xr:uid="{76CF2D70-31C2-4FE1-8EE7-818EBE82C205}"/>
    <cellStyle name="Currency 4 6 3 4 2 2" xfId="30328" xr:uid="{C531F86B-3265-4246-AA54-5B8F37DA241B}"/>
    <cellStyle name="Currency 4 6 3 4 3" xfId="28335" xr:uid="{32B145DB-C29E-4812-BF17-9D7B62B1F686}"/>
    <cellStyle name="Currency 4 6 3 4 4" xfId="30047" xr:uid="{7283A353-68DD-4B2D-9219-E219B6017FA6}"/>
    <cellStyle name="Currency 4 6 3 5" xfId="4433" xr:uid="{8E2BD8CA-0D4D-4E62-BC0A-ED15E529F6CD}"/>
    <cellStyle name="Currency 4 6 3 5 2" xfId="9205" xr:uid="{0270927F-5680-4C53-B40F-53E15082B603}"/>
    <cellStyle name="Currency 4 6 3 5 2 2" xfId="19585" xr:uid="{0BB2AAF7-C416-498D-9B8B-9B560F3D4281}"/>
    <cellStyle name="Currency 4 6 3 5 3" xfId="12038" xr:uid="{AFFC388E-3DF7-4EFE-AAE8-CB07387570F2}"/>
    <cellStyle name="Currency 4 6 3 5 3 2" xfId="22418" xr:uid="{DE035A88-F17D-4998-A618-16A3E9A1EB7B}"/>
    <cellStyle name="Currency 4 6 3 5 4" xfId="28534" xr:uid="{6DF86680-28CD-4D06-9B04-0CF22F6BCB13}"/>
    <cellStyle name="Currency 4 6 3 5 5" xfId="27208" xr:uid="{6226D374-F607-49AC-91C2-FC30A724A561}"/>
    <cellStyle name="Currency 4 6 3 5 6" xfId="16752" xr:uid="{8022CEF5-0D2F-4278-A2EB-218C34FF6C4C}"/>
    <cellStyle name="Currency 4 6 3 6" xfId="4964" xr:uid="{4330E251-CD90-4B32-93FC-55EAA4CDFFD9}"/>
    <cellStyle name="Currency 4 6 3 6 2" xfId="28481" xr:uid="{215BA51B-A8B7-44C4-9585-F41E758D65E3}"/>
    <cellStyle name="Currency 4 6 3 6 3" xfId="28660" xr:uid="{9EB08D96-3FD3-47EA-B870-C504493DB19B}"/>
    <cellStyle name="Currency 4 6 3 6 4" xfId="14259" xr:uid="{60E90AF3-05F3-47F4-A189-98678D978807}"/>
    <cellStyle name="Currency 4 6 3 7" xfId="6712" xr:uid="{E7E018BF-333B-44B4-92CA-F7E2C56EB859}"/>
    <cellStyle name="Currency 4 6 3 7 2" xfId="17092" xr:uid="{D7F8E667-89B4-4688-B8FD-C186A76ABA1A}"/>
    <cellStyle name="Currency 4 6 3 8" xfId="9545" xr:uid="{5923932E-B7A2-4154-924A-867AD747AB75}"/>
    <cellStyle name="Currency 4 6 3 8 2" xfId="19925" xr:uid="{96D35695-3217-4658-B362-5229A795E688}"/>
    <cellStyle name="Currency 4 6 3 9" xfId="24329" xr:uid="{11F1C252-E24B-475A-A6CB-0594284AF6DE}"/>
    <cellStyle name="Currency 4 6 4" xfId="582" xr:uid="{00000000-0005-0000-0000-0000BE030000}"/>
    <cellStyle name="Currency 4 6 4 2" xfId="1939" xr:uid="{00000000-0005-0000-0000-0000BF030000}"/>
    <cellStyle name="Currency 4 6 4 2 2" xfId="24733" xr:uid="{F6B067B5-A3E8-44C1-A0BD-699CBD37ED89}"/>
    <cellStyle name="Currency 4 6 4 2 2 2" xfId="30298" xr:uid="{58F6C86C-9838-499E-9F27-DB96B5097475}"/>
    <cellStyle name="Currency 4 6 4 2 3" xfId="22734" xr:uid="{49722CC7-D743-4F52-82C1-3F54B76E2373}"/>
    <cellStyle name="Currency 4 6 4 2 4" xfId="30027" xr:uid="{3BA74A4E-2915-442C-9EE5-792CA3C9A69F}"/>
    <cellStyle name="Currency 4 6 4 3" xfId="1940" xr:uid="{00000000-0005-0000-0000-0000C0030000}"/>
    <cellStyle name="Currency 4 6 4 3 2" xfId="29727" xr:uid="{B1CD6B6A-1621-482D-818B-2B458B812522}"/>
    <cellStyle name="Currency 4 6 4 4" xfId="1938" xr:uid="{00000000-0005-0000-0000-0000C1030000}"/>
    <cellStyle name="Currency 4 6 4 4 2" xfId="30070" xr:uid="{E138E3B7-8F03-45A6-A722-E94E448E98FB}"/>
    <cellStyle name="Currency 4 6 4 5" xfId="4965" xr:uid="{E8104B68-60BF-44F6-A198-148619EA8402}"/>
    <cellStyle name="Currency 4 6 4 5 2" xfId="14260" xr:uid="{F993D79C-324D-4094-90E8-80912C5B10B5}"/>
    <cellStyle name="Currency 4 6 4 6" xfId="6713" xr:uid="{B47C4504-D587-4D4B-A5E5-B5D92E7C2E97}"/>
    <cellStyle name="Currency 4 6 4 6 2" xfId="17093" xr:uid="{C233BEB7-DD31-4D3D-A7D9-62A75FCF85AD}"/>
    <cellStyle name="Currency 4 6 4 7" xfId="9546" xr:uid="{AB973561-B002-4343-AC5F-1462A0AC63B3}"/>
    <cellStyle name="Currency 4 6 4 7 2" xfId="19926" xr:uid="{F17DB19A-C246-4994-86EC-1CC8D02BB663}"/>
    <cellStyle name="Currency 4 6 4 8" xfId="24957" xr:uid="{F86C4079-2D3E-4067-BF88-768835AA9419}"/>
    <cellStyle name="Currency 4 6 4 9" xfId="13386" xr:uid="{FBE96D83-CC4B-4205-B350-C9D1F5359855}"/>
    <cellStyle name="Currency 4 6 5" xfId="1941" xr:uid="{00000000-0005-0000-0000-0000C2030000}"/>
    <cellStyle name="Currency 4 6 5 2" xfId="2574" xr:uid="{00000000-0005-0000-0000-0000BE020000}"/>
    <cellStyle name="Currency 4 6 5 2 2" xfId="7699" xr:uid="{F5D68F96-F0DA-4749-84B4-D6B389395435}"/>
    <cellStyle name="Currency 4 6 5 2 2 2" xfId="18079" xr:uid="{16F57B8C-289B-40FB-9E86-96BDD41AD2DE}"/>
    <cellStyle name="Currency 4 6 5 2 3" xfId="10532" xr:uid="{26C5C6E3-E275-4B47-AA68-731DCEF045DA}"/>
    <cellStyle name="Currency 4 6 5 2 3 2" xfId="20912" xr:uid="{343B79BB-FD30-4CBF-B8D2-4EADF47A6AD8}"/>
    <cellStyle name="Currency 4 6 5 2 4" xfId="15246" xr:uid="{60EFE88D-3491-47D8-A831-9D6B14B3372A}"/>
    <cellStyle name="Currency 4 6 5 3" xfId="2085" xr:uid="{00000000-0005-0000-0000-0000C2030000}"/>
    <cellStyle name="Currency 4 6 5 3 2" xfId="30113" xr:uid="{C00B9914-B29D-4C91-991B-993D45B5954B}"/>
    <cellStyle name="Currency 4 6 5 4" xfId="5699" xr:uid="{7B617730-E9B4-416A-9358-07A6A410E9D6}"/>
    <cellStyle name="Currency 4 6 5 4 2" xfId="30455" xr:uid="{25603391-D8AD-431B-B606-D663D57FC4DA}"/>
    <cellStyle name="Currency 4 6 5 5" xfId="24700" xr:uid="{463D0040-66A8-4624-B6B9-13090BDD56A9}"/>
    <cellStyle name="Currency 4 6 5 6" xfId="12962" xr:uid="{BEAC7C64-E13E-4CCE-A360-392E2851F7F6}"/>
    <cellStyle name="Currency 4 6 6" xfId="1942" xr:uid="{00000000-0005-0000-0000-0000C3030000}"/>
    <cellStyle name="Currency 4 6 6 2" xfId="2298" xr:uid="{00000000-0005-0000-0000-0000B8020000}"/>
    <cellStyle name="Currency 4 6 6 2 2" xfId="7425" xr:uid="{3A032AAF-4944-4C9B-8E3F-725920A81EF8}"/>
    <cellStyle name="Currency 4 6 6 2 2 2" xfId="17805" xr:uid="{D7495DBE-760B-494D-B401-8FBC27B6F3E8}"/>
    <cellStyle name="Currency 4 6 6 2 3" xfId="10258" xr:uid="{4684E2E0-4CBE-4AA0-AC83-2A299CC44737}"/>
    <cellStyle name="Currency 4 6 6 2 3 2" xfId="20638" xr:uid="{B444816C-3FAE-4F49-BEE5-6B9562F8C546}"/>
    <cellStyle name="Currency 4 6 6 2 4" xfId="26427" xr:uid="{7CC14572-D99A-45ED-9A72-5F853AB95C6C}"/>
    <cellStyle name="Currency 4 6 6 2 5" xfId="27670" xr:uid="{50E25C06-2115-445B-B9B8-E34236366B27}"/>
    <cellStyle name="Currency 4 6 6 2 6" xfId="14972" xr:uid="{D3E9DC08-5AB2-4141-BCE7-79ABD7C17FC4}"/>
    <cellStyle name="Currency 4 6 6 3" xfId="3568" xr:uid="{00000000-0005-0000-0000-0000C3030000}"/>
    <cellStyle name="Currency 4 6 6 3 2" xfId="30178" xr:uid="{47B4E60D-4E1C-4EF0-9564-34FF24FC547B}"/>
    <cellStyle name="Currency 4 6 6 4" xfId="23615" xr:uid="{F73A3D5D-7C63-4474-93C8-2F8C85107F04}"/>
    <cellStyle name="Currency 4 6 6 4 2" xfId="30527" xr:uid="{639D6FF0-A2B6-402A-8BB1-22BBDAFAE5DB}"/>
    <cellStyle name="Currency 4 6 7" xfId="1928" xr:uid="{00000000-0005-0000-0000-0000C4030000}"/>
    <cellStyle name="Currency 4 6 7 2" xfId="28518" xr:uid="{2B3A5AD4-3B72-4F07-A3C7-D11D3D3B1C66}"/>
    <cellStyle name="Currency 4 6 7 2 2" xfId="30241" xr:uid="{02D6817C-4475-4E5E-B78B-883D4E8FF768}"/>
    <cellStyle name="Currency 4 6 7 3" xfId="27211" xr:uid="{5F1C9F25-9141-46C1-A1B3-03D885C2C8D1}"/>
    <cellStyle name="Currency 4 6 7 4" xfId="29995" xr:uid="{13A74942-C08E-401B-B29B-F39D269252F3}"/>
    <cellStyle name="Currency 4 6 8" xfId="3887" xr:uid="{321DE718-E9DD-4CC6-9A43-BD6F7C64AB7F}"/>
    <cellStyle name="Currency 4 6 8 2" xfId="8719" xr:uid="{AD18585E-0449-46B3-922D-ACB393122CAA}"/>
    <cellStyle name="Currency 4 6 8 2 2" xfId="19099" xr:uid="{4D1C51FA-2DFF-4B0C-A693-C516D66EA62D}"/>
    <cellStyle name="Currency 4 6 8 3" xfId="11552" xr:uid="{1F5E6A13-92D4-46EC-9A46-2A9CB594B694}"/>
    <cellStyle name="Currency 4 6 8 3 2" xfId="21932" xr:uid="{A633267D-7F4D-48B2-A353-1F07ACD67AB0}"/>
    <cellStyle name="Currency 4 6 8 4" xfId="27778" xr:uid="{DA6FD5AD-9B55-4E2B-B7EA-D19834A23184}"/>
    <cellStyle name="Currency 4 6 8 5" xfId="28437" xr:uid="{BD2F0D9E-4719-4DF7-87A2-968EC5181914}"/>
    <cellStyle name="Currency 4 6 8 6" xfId="16266" xr:uid="{0A23D878-012A-4A19-A859-A12D6AEE8510}"/>
    <cellStyle name="Currency 4 6 9" xfId="4961" xr:uid="{DE7EAA6F-BFD6-4F03-B088-0A8D226152DC}"/>
    <cellStyle name="Currency 4 6 9 2" xfId="27119" xr:uid="{06CA89B7-6312-4E86-9D6C-FD22CC4C758E}"/>
    <cellStyle name="Currency 4 6 9 3" xfId="25949" xr:uid="{E0EC0313-2058-4B8D-B267-99353C57F5E2}"/>
    <cellStyle name="Currency 4 6 9 4" xfId="14256" xr:uid="{7833206C-B6D0-426E-BE34-4FCBBBB89811}"/>
    <cellStyle name="Currency 4 7" xfId="583" xr:uid="{00000000-0005-0000-0000-0000C5030000}"/>
    <cellStyle name="Currency 4 7 10" xfId="9547" xr:uid="{01959434-F34D-4B0B-8F37-8B08E578F8AF}"/>
    <cellStyle name="Currency 4 7 10 2" xfId="19927" xr:uid="{FA30C7BA-0903-4083-8A76-27524D961128}"/>
    <cellStyle name="Currency 4 7 11" xfId="24123" xr:uid="{3B9E7350-C702-438E-80B8-77257FFCE4AC}"/>
    <cellStyle name="Currency 4 7 12" xfId="12531" xr:uid="{D0B25670-A4FD-4425-B6FA-B3AA34ED777F}"/>
    <cellStyle name="Currency 4 7 2" xfId="584" xr:uid="{00000000-0005-0000-0000-0000C6030000}"/>
    <cellStyle name="Currency 4 7 2 2" xfId="1945" xr:uid="{00000000-0005-0000-0000-0000C7030000}"/>
    <cellStyle name="Currency 4 7 2 2 2" xfId="2886" xr:uid="{00000000-0005-0000-0000-0000C1020000}"/>
    <cellStyle name="Currency 4 7 2 2 2 2" xfId="8003" xr:uid="{6B603E88-43AA-46D0-B30C-7C5E2BA0DCA6}"/>
    <cellStyle name="Currency 4 7 2 2 2 2 2" xfId="18383" xr:uid="{3104BB23-EFDE-4A36-BB1E-E3882DCC46F1}"/>
    <cellStyle name="Currency 4 7 2 2 2 3" xfId="10836" xr:uid="{0B57C376-07B2-4A4E-8EC5-44E61586E5AF}"/>
    <cellStyle name="Currency 4 7 2 2 2 3 2" xfId="21216" xr:uid="{57CDE2AC-2F0C-4449-821A-49DD0ACB7F52}"/>
    <cellStyle name="Currency 4 7 2 2 2 4" xfId="27605" xr:uid="{B2E46E50-9B9F-44C6-AFD4-8A5B5F6A0169}"/>
    <cellStyle name="Currency 4 7 2 2 2 5" xfId="28028" xr:uid="{553B760F-710B-46B0-B275-FCB41B94D847}"/>
    <cellStyle name="Currency 4 7 2 2 2 6" xfId="15550" xr:uid="{9237B366-6A9D-4927-9B96-8F59977269B7}"/>
    <cellStyle name="Currency 4 7 2 2 3" xfId="3675" xr:uid="{00000000-0005-0000-0000-0000C7030000}"/>
    <cellStyle name="Currency 4 7 2 2 3 2" xfId="30089" xr:uid="{9B1E241C-1C5C-4986-9EEE-0BC43F443090}"/>
    <cellStyle name="Currency 4 7 2 2 4" xfId="5700" xr:uid="{22D5A381-C581-4E10-97AC-9DBF758EBF8B}"/>
    <cellStyle name="Currency 4 7 2 2 4 2" xfId="30396" xr:uid="{B058CD01-2EBA-492D-B8FD-E2D1C49E288D}"/>
    <cellStyle name="Currency 4 7 2 2 5" xfId="23225" xr:uid="{AAE7014B-67D7-4C40-B0E9-01940099DFC8}"/>
    <cellStyle name="Currency 4 7 2 2 6" xfId="13387" xr:uid="{79982C24-3858-4D30-A106-E097CF27C8FA}"/>
    <cellStyle name="Currency 4 7 2 3" xfId="1946" xr:uid="{00000000-0005-0000-0000-0000C8030000}"/>
    <cellStyle name="Currency 4 7 2 3 2" xfId="22779" xr:uid="{C881F5B4-F3A9-4ED8-B9EF-E79DA3E8F815}"/>
    <cellStyle name="Currency 4 7 2 3 2 2" xfId="29870" xr:uid="{2A689474-F69D-482C-951F-9FFD6943FF70}"/>
    <cellStyle name="Currency 4 7 2 3 3" xfId="24175" xr:uid="{26544DD9-D091-4B2C-811F-DB5F89FFB9E2}"/>
    <cellStyle name="Currency 4 7 2 3 4" xfId="30492" xr:uid="{44C11802-CF94-47B9-AF88-C8639AE28E34}"/>
    <cellStyle name="Currency 4 7 2 3 5" xfId="29658" xr:uid="{93CB3CF9-62B8-42CD-BFD0-41252DB2D113}"/>
    <cellStyle name="Currency 4 7 2 4" xfId="1944" xr:uid="{00000000-0005-0000-0000-0000C9030000}"/>
    <cellStyle name="Currency 4 7 2 4 2" xfId="27767" xr:uid="{35AA840F-E0D9-4801-A904-7666944D530D}"/>
    <cellStyle name="Currency 4 7 2 4 2 2" xfId="29941" xr:uid="{13EA68B1-D97D-488D-BEA6-A47CE9E982B7}"/>
    <cellStyle name="Currency 4 7 2 4 3" xfId="27555" xr:uid="{309E2BD4-6415-423E-9A3A-269217115A99}"/>
    <cellStyle name="Currency 4 7 2 4 4" xfId="30592" xr:uid="{0BD19184-2498-45BA-96F6-BB3DBC1B219C}"/>
    <cellStyle name="Currency 4 7 2 4 5" xfId="29740" xr:uid="{D1945758-CDA8-4385-9B92-4E726E1B0950}"/>
    <cellStyle name="Currency 4 7 2 5" xfId="4967" xr:uid="{9BE4CE84-067E-4295-A27D-905C278DD623}"/>
    <cellStyle name="Currency 4 7 2 5 2" xfId="26373" xr:uid="{3D365F35-CF2A-4441-B8D2-A563921F7C70}"/>
    <cellStyle name="Currency 4 7 2 5 2 2" xfId="29998" xr:uid="{A42D1C7E-FFAE-43DA-9208-BEB7BC410DF0}"/>
    <cellStyle name="Currency 4 7 2 5 3" xfId="28209" xr:uid="{C26C9849-AAC5-4C2E-BD2A-17A120A28152}"/>
    <cellStyle name="Currency 4 7 2 5 4" xfId="14262" xr:uid="{15504211-C8FB-48E3-ABE1-52F60A82B2EA}"/>
    <cellStyle name="Currency 4 7 2 6" xfId="6715" xr:uid="{BEB38E83-4F2F-4E06-B525-7C7B913DDC00}"/>
    <cellStyle name="Currency 4 7 2 6 2" xfId="27672" xr:uid="{B3B20FE0-6D17-420D-A700-4AF685066E12}"/>
    <cellStyle name="Currency 4 7 2 6 3" xfId="27317" xr:uid="{783F09BB-E3D5-4BB4-AAF7-C9480B15745D}"/>
    <cellStyle name="Currency 4 7 2 6 3 2" xfId="30712" xr:uid="{DA7B449A-84AF-4A87-AF5A-8A399E59DAEF}"/>
    <cellStyle name="Currency 4 7 2 6 4" xfId="17095" xr:uid="{86F38118-6FB7-423B-811B-008EFB0E9E1C}"/>
    <cellStyle name="Currency 4 7 2 7" xfId="9548" xr:uid="{873BF6CA-07A0-4CE0-A052-DE6BD5390744}"/>
    <cellStyle name="Currency 4 7 2 7 2" xfId="19928" xr:uid="{AB1AAE0F-D698-4FBA-AF06-EF0C6B5B4929}"/>
    <cellStyle name="Currency 4 7 2 8" xfId="22885" xr:uid="{EF53D26A-A562-47AF-9875-D9B1DACB83A1}"/>
    <cellStyle name="Currency 4 7 2 9" xfId="12689" xr:uid="{7A29D792-EFEE-4E6D-BDD9-6CAF58E6AD12}"/>
    <cellStyle name="Currency 4 7 3" xfId="585" xr:uid="{00000000-0005-0000-0000-0000CA030000}"/>
    <cellStyle name="Currency 4 7 3 2" xfId="1948" xr:uid="{00000000-0005-0000-0000-0000CB030000}"/>
    <cellStyle name="Currency 4 7 3 2 2" xfId="28433" xr:uid="{B4A62C14-DA6C-4FEF-A267-1F04A97C9276}"/>
    <cellStyle name="Currency 4 7 3 2 2 2" xfId="29765" xr:uid="{CDBA6492-18D0-4789-990F-CED2EDCD6151}"/>
    <cellStyle name="Currency 4 7 3 2 3" xfId="27994" xr:uid="{B87E3442-56D6-4DE3-9FCB-CCFCEF4BF84C}"/>
    <cellStyle name="Currency 4 7 3 3" xfId="1949" xr:uid="{00000000-0005-0000-0000-0000CC030000}"/>
    <cellStyle name="Currency 4 7 3 3 2" xfId="30071" xr:uid="{20BA81C8-D500-4CA9-8AC6-7E98C030BF3F}"/>
    <cellStyle name="Currency 4 7 3 4" xfId="1947" xr:uid="{00000000-0005-0000-0000-0000CD030000}"/>
    <cellStyle name="Currency 4 7 3 4 2" xfId="30366" xr:uid="{0E1E0CD9-04C5-4659-B490-081850039FBA}"/>
    <cellStyle name="Currency 4 7 3 5" xfId="4968" xr:uid="{AA653B47-EB77-473A-AE3F-55E72BE8DAE9}"/>
    <cellStyle name="Currency 4 7 3 5 2" xfId="26652" xr:uid="{F73D796E-D2FC-4D1D-804E-0483698AE38C}"/>
    <cellStyle name="Currency 4 7 3 5 3" xfId="27688" xr:uid="{3C6439A3-0637-4EC0-A383-FC5F4D8D1E46}"/>
    <cellStyle name="Currency 4 7 3 5 4" xfId="14263" xr:uid="{003F3429-F97A-40D6-994C-FCB7138F97CF}"/>
    <cellStyle name="Currency 4 7 3 6" xfId="6716" xr:uid="{19B11A2C-F7D2-418F-B52D-2DFDE34271BB}"/>
    <cellStyle name="Currency 4 7 3 6 2" xfId="17096" xr:uid="{62A2C9DA-8A04-4F2E-BAA4-FE6F50340982}"/>
    <cellStyle name="Currency 4 7 3 7" xfId="9549" xr:uid="{F966EB47-0C3E-4CAD-B1A0-0DDDE86F84C8}"/>
    <cellStyle name="Currency 4 7 3 7 2" xfId="19929" xr:uid="{CF16DF1A-19C2-439F-89B1-FE7280222081}"/>
    <cellStyle name="Currency 4 7 3 8" xfId="24320" xr:uid="{9F439C94-388B-49EA-AE61-E9EB10CD7F2D}"/>
    <cellStyle name="Currency 4 7 3 9" xfId="13115" xr:uid="{59F93EE0-36F1-41C3-BE48-868E13347F87}"/>
    <cellStyle name="Currency 4 7 4" xfId="1950" xr:uid="{00000000-0005-0000-0000-0000CE030000}"/>
    <cellStyle name="Currency 4 7 4 2" xfId="2299" xr:uid="{00000000-0005-0000-0000-0000BF020000}"/>
    <cellStyle name="Currency 4 7 4 2 2" xfId="7426" xr:uid="{E48ED43D-F5C3-466C-8932-8EA701B06B69}"/>
    <cellStyle name="Currency 4 7 4 2 2 2" xfId="17806" xr:uid="{021EBDA7-4A55-4B1A-8E08-9A45AC1DAE19}"/>
    <cellStyle name="Currency 4 7 4 2 3" xfId="10259" xr:uid="{5F500F5C-9323-4E28-A82A-5EE59E6F1C0D}"/>
    <cellStyle name="Currency 4 7 4 2 3 2" xfId="20639" xr:uid="{7905FF4E-937E-4733-8C99-F1A3D0F00B32}"/>
    <cellStyle name="Currency 4 7 4 2 4" xfId="26106" xr:uid="{78E47DCE-5F4E-4AD3-BF2E-A24265D35436}"/>
    <cellStyle name="Currency 4 7 4 2 5" xfId="25920" xr:uid="{60C943FF-852C-4686-A2F2-471DCBB227B8}"/>
    <cellStyle name="Currency 4 7 4 2 6" xfId="14973" xr:uid="{2C1DD2A8-26E0-4FA0-850F-EB722BC0EC15}"/>
    <cellStyle name="Currency 4 7 4 3" xfId="3637" xr:uid="{00000000-0005-0000-0000-0000CE030000}"/>
    <cellStyle name="Currency 4 7 4 3 2" xfId="30114" xr:uid="{FF4CBC1B-E028-4E9C-9D76-C82AE19D858B}"/>
    <cellStyle name="Currency 4 7 4 4" xfId="24132" xr:uid="{C3AEE799-7253-4F20-A455-E163AF421BCE}"/>
    <cellStyle name="Currency 4 7 4 4 2" xfId="30456" xr:uid="{77DFD1EC-062C-483C-8D32-257556847236}"/>
    <cellStyle name="Currency 4 7 5" xfId="1951" xr:uid="{00000000-0005-0000-0000-0000CF030000}"/>
    <cellStyle name="Currency 4 7 5 2" xfId="25268" xr:uid="{CDE00D5B-E828-41FA-A68A-9B3CE7066B15}"/>
    <cellStyle name="Currency 4 7 5 2 2" xfId="29908" xr:uid="{D56872C6-37A1-4AA8-9877-BDB4FA2C2A29}"/>
    <cellStyle name="Currency 4 7 5 3" xfId="25600" xr:uid="{6CD831BA-6D09-4C68-9F08-905171E640CA}"/>
    <cellStyle name="Currency 4 7 5 4" xfId="30528" xr:uid="{AC9A5A30-E499-447B-86A0-A87C0E43C07E}"/>
    <cellStyle name="Currency 4 7 5 5" xfId="29758" xr:uid="{3D7A0BB9-D8A4-47C5-802C-40FB4F377C37}"/>
    <cellStyle name="Currency 4 7 6" xfId="1943" xr:uid="{00000000-0005-0000-0000-0000D0030000}"/>
    <cellStyle name="Currency 4 7 6 2" xfId="26143" xr:uid="{D0C1945C-72AA-4573-AA8D-1633DBEA2CAD}"/>
    <cellStyle name="Currency 4 7 6 2 2" xfId="30242" xr:uid="{1BF9D553-ADD3-44AC-B8F1-021666F39C4D}"/>
    <cellStyle name="Currency 4 7 6 3" xfId="26611" xr:uid="{80965D0B-9059-4A46-AB05-60F1B5BE61C6}"/>
    <cellStyle name="Currency 4 7 6 4" xfId="29997" xr:uid="{045AC1D6-DC2E-44DF-86B9-82062DC1FC8E}"/>
    <cellStyle name="Currency 4 7 7" xfId="3888" xr:uid="{3CBD11E9-3EFC-4C96-87B7-EE0635EA82F6}"/>
    <cellStyle name="Currency 4 7 7 2" xfId="8720" xr:uid="{C09B8340-DE6C-4EA8-BFDB-E3BDAC3AEDB5}"/>
    <cellStyle name="Currency 4 7 7 2 2" xfId="28968" xr:uid="{DA69CAC2-1877-47CD-8950-A4DBE86E05FA}"/>
    <cellStyle name="Currency 4 7 7 2 3" xfId="26339" xr:uid="{3095DECA-ABD6-4A11-BFFB-415C87BB631B}"/>
    <cellStyle name="Currency 4 7 7 2 4" xfId="19100" xr:uid="{844FAEA3-8AE7-4FF2-9811-CD15EE833D2C}"/>
    <cellStyle name="Currency 4 7 7 3" xfId="11553" xr:uid="{520FC835-1AC3-4133-BB04-81EC5AF58F3A}"/>
    <cellStyle name="Currency 4 7 7 3 2" xfId="21933" xr:uid="{56B72C26-D985-4269-A376-6B44A11A5B02}"/>
    <cellStyle name="Currency 4 7 7 4" xfId="26171" xr:uid="{19CA4702-B36A-4E5B-BA4B-964627BCA4F1}"/>
    <cellStyle name="Currency 4 7 7 5" xfId="16267" xr:uid="{76069791-02B8-4769-971D-31681C043604}"/>
    <cellStyle name="Currency 4 7 8" xfId="4966" xr:uid="{E34E299F-AD46-449C-B1A5-51BB76C325C5}"/>
    <cellStyle name="Currency 4 7 8 2" xfId="26217" xr:uid="{110CC1CA-6673-4FEF-9546-96A44FD1D013}"/>
    <cellStyle name="Currency 4 7 8 3" xfId="26111" xr:uid="{13470DEA-F8EA-4EC0-8163-E6E509DC569E}"/>
    <cellStyle name="Currency 4 7 8 4" xfId="14261" xr:uid="{7183D54A-FE39-464F-AC51-ABB77E7320DC}"/>
    <cellStyle name="Currency 4 7 9" xfId="6714" xr:uid="{7A444773-9948-4586-8685-1453BE4EF030}"/>
    <cellStyle name="Currency 4 7 9 2" xfId="27941" xr:uid="{4F70E5F3-9058-4E7A-A4A6-D7B8B9CB4522}"/>
    <cellStyle name="Currency 4 7 9 3" xfId="25931" xr:uid="{E8AB6CF0-D2D9-41EE-B58D-ECFE27D21A7A}"/>
    <cellStyle name="Currency 4 7 9 4" xfId="17094" xr:uid="{EB6CB191-D83A-4A53-B2B2-AF23D0F26A38}"/>
    <cellStyle name="Currency 4 8" xfId="586" xr:uid="{00000000-0005-0000-0000-0000D1030000}"/>
    <cellStyle name="Currency 4 8 10" xfId="9550" xr:uid="{518031D6-4FCB-461D-A0DD-8E4DEA690AE2}"/>
    <cellStyle name="Currency 4 8 10 2" xfId="19930" xr:uid="{184D2E45-1BC4-44DB-8F5B-2B1B1E655BD7}"/>
    <cellStyle name="Currency 4 8 11" xfId="24278" xr:uid="{A45ACE86-53A0-47D8-AFEE-FA1132DBDB5D}"/>
    <cellStyle name="Currency 4 8 12" xfId="12532" xr:uid="{25638229-E1F6-4AC6-B86C-513FAE2764DF}"/>
    <cellStyle name="Currency 4 8 2" xfId="587" xr:uid="{00000000-0005-0000-0000-0000D2030000}"/>
    <cellStyle name="Currency 4 8 2 2" xfId="1954" xr:uid="{00000000-0005-0000-0000-0000D3030000}"/>
    <cellStyle name="Currency 4 8 2 2 2" xfId="2887" xr:uid="{00000000-0005-0000-0000-0000C5020000}"/>
    <cellStyle name="Currency 4 8 2 2 2 2" xfId="8004" xr:uid="{E548F0CD-450D-4E66-B747-E1F07B4CE89B}"/>
    <cellStyle name="Currency 4 8 2 2 2 2 2" xfId="18384" xr:uid="{AA0CD93F-8B9E-48DE-BC3E-C028EAF890B7}"/>
    <cellStyle name="Currency 4 8 2 2 2 3" xfId="10837" xr:uid="{FB0535CB-6403-4CD1-BBC9-99FE07A18266}"/>
    <cellStyle name="Currency 4 8 2 2 2 3 2" xfId="21217" xr:uid="{D31FD4FE-8859-499C-A08A-C800879E72ED}"/>
    <cellStyle name="Currency 4 8 2 2 2 4" xfId="27568" xr:uid="{5E9F9818-4E59-4FD4-AE8B-AAB6D387220B}"/>
    <cellStyle name="Currency 4 8 2 2 2 5" xfId="26664" xr:uid="{EED42D54-F4B2-462E-AAA6-BE60A2E7D909}"/>
    <cellStyle name="Currency 4 8 2 2 2 6" xfId="15551" xr:uid="{3D7AB569-1D06-4E43-90FC-96E2AEDF0612}"/>
    <cellStyle name="Currency 4 8 2 2 3" xfId="3564" xr:uid="{00000000-0005-0000-0000-0000D3030000}"/>
    <cellStyle name="Currency 4 8 2 2 3 2" xfId="30090" xr:uid="{0EBBC529-EBB0-4925-9121-0360422B890D}"/>
    <cellStyle name="Currency 4 8 2 2 4" xfId="5701" xr:uid="{887A2B17-B989-4808-B3BE-25836BED9DF9}"/>
    <cellStyle name="Currency 4 8 2 2 4 2" xfId="30397" xr:uid="{2336198B-9B37-4214-9D75-2DE6A637C22D}"/>
    <cellStyle name="Currency 4 8 2 2 5" xfId="24341" xr:uid="{538A3F27-62A4-40A7-AE9E-6B0991C0545A}"/>
    <cellStyle name="Currency 4 8 2 2 6" xfId="13388" xr:uid="{0891E334-E200-4194-AB74-154CC4C3C0A4}"/>
    <cellStyle name="Currency 4 8 2 3" xfId="1955" xr:uid="{00000000-0005-0000-0000-0000D4030000}"/>
    <cellStyle name="Currency 4 8 2 3 2" xfId="23760" xr:uid="{4167CAEE-D7F3-4B74-BE25-2A71A9085DE6}"/>
    <cellStyle name="Currency 4 8 2 3 2 2" xfId="29871" xr:uid="{87B2B5BD-E996-43FC-A9BE-58BDF7748C13}"/>
    <cellStyle name="Currency 4 8 2 3 3" xfId="23120" xr:uid="{1602DC18-E900-4AE9-A316-7D2565CB3207}"/>
    <cellStyle name="Currency 4 8 2 3 4" xfId="30493" xr:uid="{4EFCDAFF-6C86-4E48-9151-AB2C3D25A795}"/>
    <cellStyle name="Currency 4 8 2 3 5" xfId="29702" xr:uid="{35DE9B20-CDD8-4C87-AF85-B290FE39F352}"/>
    <cellStyle name="Currency 4 8 2 4" xfId="1953" xr:uid="{00000000-0005-0000-0000-0000D5030000}"/>
    <cellStyle name="Currency 4 8 2 4 2" xfId="28681" xr:uid="{83965D3F-0DFF-4118-9460-A46F81EC8DEC}"/>
    <cellStyle name="Currency 4 8 2 4 2 2" xfId="29942" xr:uid="{595FDC74-90F6-4C51-867A-16A15E46971F}"/>
    <cellStyle name="Currency 4 8 2 4 3" xfId="28188" xr:uid="{6E725EBC-1C03-473F-9833-307F8ED7DBCB}"/>
    <cellStyle name="Currency 4 8 2 4 4" xfId="30593" xr:uid="{4DB2FA2F-F753-4257-BE97-C5FCBECECF75}"/>
    <cellStyle name="Currency 4 8 2 4 5" xfId="29657" xr:uid="{3F8E0BDF-8EC7-46AC-8520-9743C0412E84}"/>
    <cellStyle name="Currency 4 8 2 5" xfId="4970" xr:uid="{FE49F526-4A03-4D67-942E-39B9CEE06BC7}"/>
    <cellStyle name="Currency 4 8 2 5 2" xfId="27186" xr:uid="{CCEF0CE8-ED12-41CC-A5DA-75CBBE495874}"/>
    <cellStyle name="Currency 4 8 2 5 2 2" xfId="30000" xr:uid="{279363EA-75FC-4F8B-96F1-9C05F83DE7A5}"/>
    <cellStyle name="Currency 4 8 2 5 3" xfId="25833" xr:uid="{1E7BBEEA-1730-44BA-8B2F-82CB56AA59C3}"/>
    <cellStyle name="Currency 4 8 2 5 4" xfId="14265" xr:uid="{5C96AFE2-855B-4472-BA64-DE3E33E7118E}"/>
    <cellStyle name="Currency 4 8 2 6" xfId="6718" xr:uid="{3D58F211-A727-433E-A8B3-2D8FC8B20216}"/>
    <cellStyle name="Currency 4 8 2 6 2" xfId="28001" xr:uid="{D57B6D92-A933-4D4A-83E2-10FE3DE01E32}"/>
    <cellStyle name="Currency 4 8 2 6 3" xfId="26501" xr:uid="{A2D3AB61-87CE-41E9-8B2B-F2F8BFB69031}"/>
    <cellStyle name="Currency 4 8 2 6 3 2" xfId="30713" xr:uid="{57F67ABB-A6EC-4221-8D51-2FDE1CE43088}"/>
    <cellStyle name="Currency 4 8 2 6 4" xfId="17098" xr:uid="{0AA9968E-AC9E-442A-8CB7-C801B0D797A3}"/>
    <cellStyle name="Currency 4 8 2 7" xfId="9551" xr:uid="{8098CF5B-4973-49BE-8D14-5AB93CF6AA1E}"/>
    <cellStyle name="Currency 4 8 2 7 2" xfId="19931" xr:uid="{07DD1F18-8F7C-4C8C-AE04-17172020A973}"/>
    <cellStyle name="Currency 4 8 2 8" xfId="24219" xr:uid="{D229254F-E064-430C-BF8B-3F30208DFEBF}"/>
    <cellStyle name="Currency 4 8 2 9" xfId="12690" xr:uid="{C192F418-C48E-4364-A551-71DCACA3D032}"/>
    <cellStyle name="Currency 4 8 3" xfId="588" xr:uid="{00000000-0005-0000-0000-0000D6030000}"/>
    <cellStyle name="Currency 4 8 3 2" xfId="1957" xr:uid="{00000000-0005-0000-0000-0000D7030000}"/>
    <cellStyle name="Currency 4 8 3 2 2" xfId="28584" xr:uid="{7EA758D2-EF56-4EBA-A852-ECFF349D9C77}"/>
    <cellStyle name="Currency 4 8 3 2 2 2" xfId="29690" xr:uid="{88D39D44-8C40-445D-801E-840194A72A94}"/>
    <cellStyle name="Currency 4 8 3 2 3" xfId="28377" xr:uid="{2BDE907B-0B78-4F02-BEEA-9C16113F20AA}"/>
    <cellStyle name="Currency 4 8 3 3" xfId="1958" xr:uid="{00000000-0005-0000-0000-0000D8030000}"/>
    <cellStyle name="Currency 4 8 3 3 2" xfId="30072" xr:uid="{99700DF5-C742-4DA0-93B3-A26F88575639}"/>
    <cellStyle name="Currency 4 8 3 4" xfId="1956" xr:uid="{00000000-0005-0000-0000-0000D9030000}"/>
    <cellStyle name="Currency 4 8 3 4 2" xfId="30367" xr:uid="{BF44A3CF-D0D2-4F2C-A472-FE1F2E06ECC5}"/>
    <cellStyle name="Currency 4 8 3 5" xfId="4971" xr:uid="{1B67C4BD-FEAB-4343-81B0-70E336F834C2}"/>
    <cellStyle name="Currency 4 8 3 5 2" xfId="27524" xr:uid="{933B019B-A4E7-43F1-BD1A-DA7B8BE0F85B}"/>
    <cellStyle name="Currency 4 8 3 5 3" xfId="26319" xr:uid="{FB2441D9-4696-44F3-B408-41CC938A49F8}"/>
    <cellStyle name="Currency 4 8 3 5 4" xfId="14266" xr:uid="{DE8D23D6-F8F1-4D45-8451-54228F7AAD04}"/>
    <cellStyle name="Currency 4 8 3 6" xfId="6719" xr:uid="{C23168E2-68BC-429D-9D04-F8821D43FD9B}"/>
    <cellStyle name="Currency 4 8 3 6 2" xfId="17099" xr:uid="{84173598-8D21-4CAF-A027-41BC34BC5835}"/>
    <cellStyle name="Currency 4 8 3 7" xfId="9552" xr:uid="{9FBCFA64-336F-422C-9C68-0F81301671C2}"/>
    <cellStyle name="Currency 4 8 3 7 2" xfId="19932" xr:uid="{CC8E98EB-A85B-4F27-BEB5-132F1C32EB97}"/>
    <cellStyle name="Currency 4 8 3 8" xfId="25286" xr:uid="{79F85939-2849-403A-99CB-8B646D555D1A}"/>
    <cellStyle name="Currency 4 8 3 9" xfId="13116" xr:uid="{8288B027-EE5F-4543-886C-BA48309EFD97}"/>
    <cellStyle name="Currency 4 8 4" xfId="1959" xr:uid="{00000000-0005-0000-0000-0000DA030000}"/>
    <cellStyle name="Currency 4 8 4 2" xfId="2300" xr:uid="{00000000-0005-0000-0000-0000C3020000}"/>
    <cellStyle name="Currency 4 8 4 2 2" xfId="7427" xr:uid="{AF1ECB60-ACC3-4E29-8CD9-99C548D0A883}"/>
    <cellStyle name="Currency 4 8 4 2 2 2" xfId="17807" xr:uid="{FC9917A7-7396-417E-BADB-979A351E7805}"/>
    <cellStyle name="Currency 4 8 4 2 3" xfId="10260" xr:uid="{9517CDA0-EE05-48CD-8A06-CA12BAA552D6}"/>
    <cellStyle name="Currency 4 8 4 2 3 2" xfId="20640" xr:uid="{101B4E7A-75C1-48B0-8903-922C92FA678A}"/>
    <cellStyle name="Currency 4 8 4 2 4" xfId="28397" xr:uid="{85CDAA97-1CAD-4B64-90D6-923E8F129023}"/>
    <cellStyle name="Currency 4 8 4 2 5" xfId="25950" xr:uid="{D643E276-0D8D-4A16-BA2F-D2D2976E80BC}"/>
    <cellStyle name="Currency 4 8 4 2 6" xfId="14974" xr:uid="{A33E5F38-7B4F-4342-831F-1643BCEDB035}"/>
    <cellStyle name="Currency 4 8 4 3" xfId="2089" xr:uid="{00000000-0005-0000-0000-0000DA030000}"/>
    <cellStyle name="Currency 4 8 4 3 2" xfId="30115" xr:uid="{82A6399F-74C1-48FC-9CA2-604B3C10950A}"/>
    <cellStyle name="Currency 4 8 4 4" xfId="25542" xr:uid="{6404CD47-CF8C-4F73-BCAE-891702C8F286}"/>
    <cellStyle name="Currency 4 8 4 4 2" xfId="30457" xr:uid="{73E0244A-BB02-4DCC-B506-7A7D0F7AEEA7}"/>
    <cellStyle name="Currency 4 8 5" xfId="1960" xr:uid="{00000000-0005-0000-0000-0000DB030000}"/>
    <cellStyle name="Currency 4 8 5 2" xfId="25623" xr:uid="{FDE13DD4-4BFE-4241-AF39-D2C68C9AD7B0}"/>
    <cellStyle name="Currency 4 8 5 2 2" xfId="29909" xr:uid="{07021DD0-8BB9-4B9F-B347-CEFE4633FCB0}"/>
    <cellStyle name="Currency 4 8 5 3" xfId="23099" xr:uid="{7A60B91C-EC8E-45C0-8A86-C875998593D9}"/>
    <cellStyle name="Currency 4 8 5 4" xfId="30529" xr:uid="{5E6E6348-DC12-4897-A5CF-4CBFEADE6DA7}"/>
    <cellStyle name="Currency 4 8 5 5" xfId="29693" xr:uid="{7B587137-0478-4B2E-8202-367C594CF24D}"/>
    <cellStyle name="Currency 4 8 6" xfId="1952" xr:uid="{00000000-0005-0000-0000-0000DC030000}"/>
    <cellStyle name="Currency 4 8 6 2" xfId="25843" xr:uid="{F485F629-3DA4-44A2-B8A8-546D8AA4877F}"/>
    <cellStyle name="Currency 4 8 6 2 2" xfId="30243" xr:uid="{7CA08CE9-51C7-46B5-906A-DCC0BAE6A04B}"/>
    <cellStyle name="Currency 4 8 6 3" xfId="27931" xr:uid="{67E7D5C4-4291-414C-B668-C038AB5B4730}"/>
    <cellStyle name="Currency 4 8 6 4" xfId="29999" xr:uid="{51FF5872-F75D-48FB-B480-603A2A6965E4}"/>
    <cellStyle name="Currency 4 8 7" xfId="3889" xr:uid="{75AA0707-E7A1-49F2-96B5-A9DDA61F2F28}"/>
    <cellStyle name="Currency 4 8 7 2" xfId="8721" xr:uid="{DAEA6783-1B67-4BC5-9B10-29C804B64F3F}"/>
    <cellStyle name="Currency 4 8 7 2 2" xfId="28969" xr:uid="{85DBFA5D-B137-4531-BDFE-283897605602}"/>
    <cellStyle name="Currency 4 8 7 2 3" xfId="28271" xr:uid="{AC920C50-ED0E-4719-96D3-5B5D50A74886}"/>
    <cellStyle name="Currency 4 8 7 2 4" xfId="19101" xr:uid="{5DA4536C-9937-4FA0-AD85-B74BF051B58E}"/>
    <cellStyle name="Currency 4 8 7 3" xfId="11554" xr:uid="{47C6DD1A-A8F8-40D0-8141-553D7D95F5FA}"/>
    <cellStyle name="Currency 4 8 7 3 2" xfId="21934" xr:uid="{6AE81B20-7D9E-4468-80C1-003CA6D3DF48}"/>
    <cellStyle name="Currency 4 8 7 4" xfId="26296" xr:uid="{F07E7FD3-1053-4F4D-BAED-6E1CAC6C222D}"/>
    <cellStyle name="Currency 4 8 7 5" xfId="16268" xr:uid="{18D8913E-BFAE-4FD9-B645-B3A6A40A1E7E}"/>
    <cellStyle name="Currency 4 8 8" xfId="4969" xr:uid="{9E8825FE-50AE-4262-80AB-C3CBD6D88B2F}"/>
    <cellStyle name="Currency 4 8 8 2" xfId="27768" xr:uid="{DF2BDCE6-4C51-452D-A0A5-87AAC2CC1C69}"/>
    <cellStyle name="Currency 4 8 8 3" xfId="26137" xr:uid="{AF02D72E-3ADE-4F23-ACEF-46F911C96B37}"/>
    <cellStyle name="Currency 4 8 8 4" xfId="14264" xr:uid="{56112834-C55F-41FB-A3AF-7D3A241E4254}"/>
    <cellStyle name="Currency 4 8 9" xfId="6717" xr:uid="{47385384-7DC7-43EA-9D98-865E182695F7}"/>
    <cellStyle name="Currency 4 8 9 2" xfId="26114" xr:uid="{7DA3908F-553E-45FE-8585-31B030A5F62A}"/>
    <cellStyle name="Currency 4 8 9 3" xfId="28033" xr:uid="{14C37885-BFB7-4575-B570-1CCC1080F5EA}"/>
    <cellStyle name="Currency 4 8 9 4" xfId="17097" xr:uid="{26C25D8C-F834-4199-A88F-910068EE38EC}"/>
    <cellStyle name="Currency 4 9" xfId="589" xr:uid="{00000000-0005-0000-0000-0000DD030000}"/>
    <cellStyle name="Currency 4 9 10" xfId="12524" xr:uid="{11D205F3-DE9A-4585-96C1-3790524650F3}"/>
    <cellStyle name="Currency 4 9 2" xfId="1962" xr:uid="{00000000-0005-0000-0000-0000DE030000}"/>
    <cellStyle name="Currency 4 9 2 2" xfId="3106" xr:uid="{00000000-0005-0000-0000-0000C8020000}"/>
    <cellStyle name="Currency 4 9 2 2 2" xfId="8186" xr:uid="{E0C42976-7985-468B-A550-00C105659867}"/>
    <cellStyle name="Currency 4 9 2 2 2 2" xfId="18566" xr:uid="{0DB0E157-2439-41AF-9E6E-4B439D093BCA}"/>
    <cellStyle name="Currency 4 9 2 2 3" xfId="11019" xr:uid="{D7DEB894-76C8-4B7B-B912-EBD1C82FE3F2}"/>
    <cellStyle name="Currency 4 9 2 2 3 2" xfId="21399" xr:uid="{8065ECFA-8095-493D-9111-5F5913647C23}"/>
    <cellStyle name="Currency 4 9 2 2 4" xfId="25612" xr:uid="{A7FF5CE1-F4BB-4703-8B1C-0C380512F35C}"/>
    <cellStyle name="Currency 4 9 2 2 5" xfId="27512" xr:uid="{C5753C4E-F4AE-4664-A289-C298AAB6A474}"/>
    <cellStyle name="Currency 4 9 2 2 6" xfId="15733" xr:uid="{12DC9B3A-26A7-4B40-A2C7-BD544A7C2F73}"/>
    <cellStyle name="Currency 4 9 2 3" xfId="3686" xr:uid="{00000000-0005-0000-0000-0000DE030000}"/>
    <cellStyle name="Currency 4 9 2 3 2" xfId="27014" xr:uid="{B8A8630C-F521-49C0-9A08-B8D1C46D1721}"/>
    <cellStyle name="Currency 4 9 2 3 2 2" xfId="29809" xr:uid="{3C2426B3-B25E-40C1-AE29-2827FAE0C1B4}"/>
    <cellStyle name="Currency 4 9 2 3 3" xfId="28318" xr:uid="{DEC5B4E7-8E1A-47EA-AF52-8C7579DC672B}"/>
    <cellStyle name="Currency 4 9 2 4" xfId="5702" xr:uid="{B6CD54E5-5D90-49B7-A633-F341EAD9C0A5}"/>
    <cellStyle name="Currency 4 9 2 4 2" xfId="30088" xr:uid="{702783FA-F28C-4897-88B5-4000F65A2E3D}"/>
    <cellStyle name="Currency 4 9 2 5" xfId="24272" xr:uid="{85355DC1-7AA6-4677-8462-5632C34BF0BE}"/>
    <cellStyle name="Currency 4 9 2 5 2" xfId="26912" xr:uid="{E28A2460-A64C-4999-BF1B-1A22498ADAD4}"/>
    <cellStyle name="Currency 4 9 2 6" xfId="28083" xr:uid="{BBBB1EFF-5326-432C-BD02-5C918A2E7B14}"/>
    <cellStyle name="Currency 4 9 2 7" xfId="13626" xr:uid="{7EDD3587-7095-4A81-B74E-8090122F2B34}"/>
    <cellStyle name="Currency 4 9 3" xfId="1963" xr:uid="{00000000-0005-0000-0000-0000DF030000}"/>
    <cellStyle name="Currency 4 9 3 2" xfId="2690" xr:uid="{00000000-0005-0000-0000-0000C9020000}"/>
    <cellStyle name="Currency 4 9 3 2 2" xfId="7814" xr:uid="{499AF24C-55A5-43E5-8835-11CA6641B905}"/>
    <cellStyle name="Currency 4 9 3 2 2 2" xfId="18194" xr:uid="{9DAB7D1E-765A-44CC-B652-721FFFD8C93B}"/>
    <cellStyle name="Currency 4 9 3 2 3" xfId="10647" xr:uid="{28A4B673-4DE0-49FC-9A42-CFD31A36EA67}"/>
    <cellStyle name="Currency 4 9 3 2 3 2" xfId="21027" xr:uid="{8C89E73C-B22B-4568-BBBC-10F63CA44619}"/>
    <cellStyle name="Currency 4 9 3 2 4" xfId="15361" xr:uid="{1A747241-6007-4043-8042-4BD7A52ED86B}"/>
    <cellStyle name="Currency 4 9 3 3" xfId="3656" xr:uid="{00000000-0005-0000-0000-0000DF030000}"/>
    <cellStyle name="Currency 4 9 3 3 2" xfId="30138" xr:uid="{80075548-7802-4AAB-A09D-6FAFD4CA21CD}"/>
    <cellStyle name="Currency 4 9 3 4" xfId="5703" xr:uid="{572965EA-1F6C-4640-9DDC-DE1E721E4148}"/>
    <cellStyle name="Currency 4 9 3 4 2" xfId="30486" xr:uid="{32649B52-7F67-4102-A63B-9AB0F22061CB}"/>
    <cellStyle name="Currency 4 9 3 5" xfId="23304" xr:uid="{EC92654A-2F5D-49BE-A509-D34B0A753554}"/>
    <cellStyle name="Currency 4 9 3 6" xfId="13103" xr:uid="{47CEFBAA-F193-4528-BF13-F969C4A1BCEF}"/>
    <cellStyle name="Currency 4 9 4" xfId="1961" xr:uid="{00000000-0005-0000-0000-0000E0030000}"/>
    <cellStyle name="Currency 4 9 4 2" xfId="2292" xr:uid="{00000000-0005-0000-0000-0000C7020000}"/>
    <cellStyle name="Currency 4 9 4 2 2" xfId="7419" xr:uid="{7A09F447-6EA0-45DE-A9B3-A1537B9AA0F4}"/>
    <cellStyle name="Currency 4 9 4 2 2 2" xfId="17799" xr:uid="{010FA966-37C5-491A-82C2-DD3903AA0F71}"/>
    <cellStyle name="Currency 4 9 4 2 3" xfId="10252" xr:uid="{7380F39E-75E2-45CC-A417-0B9249EE1EC5}"/>
    <cellStyle name="Currency 4 9 4 2 3 2" xfId="20632" xr:uid="{46E0CA4A-9B8F-4B3A-AF50-0F606033AE0B}"/>
    <cellStyle name="Currency 4 9 4 2 4" xfId="26543" xr:uid="{9ADB49FD-3CB9-4CDC-8AAA-C677630C1A11}"/>
    <cellStyle name="Currency 4 9 4 2 5" xfId="28117" xr:uid="{0CD4B079-9BBC-47CC-94A8-0E21C37AAE90}"/>
    <cellStyle name="Currency 4 9 4 2 6" xfId="14966" xr:uid="{C3DDA060-F454-4492-AC0D-4E8A716A4AEF}"/>
    <cellStyle name="Currency 4 9 4 3" xfId="3645" xr:uid="{00000000-0005-0000-0000-0000E0030000}"/>
    <cellStyle name="Currency 4 9 4 3 2" xfId="30206" xr:uid="{CDCDF0E2-5DD3-41D3-85F1-C6337F596C07}"/>
    <cellStyle name="Currency 4 9 4 4" xfId="23984" xr:uid="{D7ECF183-A9FB-4F7A-A59A-272E2F6F535B}"/>
    <cellStyle name="Currency 4 9 4 4 2" xfId="30587" xr:uid="{A3DB31D9-4F54-4903-96FE-013FBE5E2119}"/>
    <cellStyle name="Currency 4 9 5" xfId="3827" xr:uid="{000ACA94-2153-4302-8B6A-722AE35328B8}"/>
    <cellStyle name="Currency 4 9 5 2" xfId="8660" xr:uid="{11C3A1BE-D6BB-4FEA-9A33-5739A5F19DCD}"/>
    <cellStyle name="Currency 4 9 5 2 2" xfId="28961" xr:uid="{E30A7CFA-2FBE-4A31-8130-E3872CD9262E}"/>
    <cellStyle name="Currency 4 9 5 2 3" xfId="27859" xr:uid="{750A93EA-6EC4-4482-8E09-BB7898C875FF}"/>
    <cellStyle name="Currency 4 9 5 2 4" xfId="19040" xr:uid="{A4156738-3B33-45C9-8F87-F92746E6BC31}"/>
    <cellStyle name="Currency 4 9 5 3" xfId="11493" xr:uid="{54DAEE57-6E01-4FD8-A9B2-EE7413C74CE5}"/>
    <cellStyle name="Currency 4 9 5 3 2" xfId="21873" xr:uid="{3975A300-1731-4B47-A5A3-B76F484A0F52}"/>
    <cellStyle name="Currency 4 9 5 4" xfId="25754" xr:uid="{250618F8-EF53-42EA-BF04-9BA8BA23A39C}"/>
    <cellStyle name="Currency 4 9 5 5" xfId="16207" xr:uid="{B2215B16-2AAC-4F29-86DA-A576F75C9006}"/>
    <cellStyle name="Currency 4 9 6" xfId="4972" xr:uid="{956C2F0C-4E4E-480B-96A2-4BBD31510532}"/>
    <cellStyle name="Currency 4 9 6 2" xfId="28186" xr:uid="{45A2E1B6-8B39-4378-BE7B-C76A7ABED3EE}"/>
    <cellStyle name="Currency 4 9 6 3" xfId="28730" xr:uid="{899332CF-46F8-49BA-8867-DB0F2C08DFEE}"/>
    <cellStyle name="Currency 4 9 6 3 2" xfId="30664" xr:uid="{D014D6F5-4F7F-4952-8A77-90C387604005}"/>
    <cellStyle name="Currency 4 9 6 4" xfId="14267" xr:uid="{CE595702-DCCF-41D9-BDC1-4D86F6395577}"/>
    <cellStyle name="Currency 4 9 7" xfId="6720" xr:uid="{E35CBB27-1B3C-4ACE-AD83-4A5591761FD0}"/>
    <cellStyle name="Currency 4 9 7 2" xfId="26025" xr:uid="{86AA3093-66DE-4256-A269-75B7758D8FC7}"/>
    <cellStyle name="Currency 4 9 7 3" xfId="26678" xr:uid="{606BAAFF-75AE-49D7-9979-D40C7276D32D}"/>
    <cellStyle name="Currency 4 9 7 4" xfId="17100" xr:uid="{29091485-7FBD-4321-846C-24EB68313981}"/>
    <cellStyle name="Currency 4 9 8" xfId="9553" xr:uid="{4A590147-89C2-47D7-838D-C3AB6BAC093D}"/>
    <cellStyle name="Currency 4 9 8 2" xfId="19933" xr:uid="{D10AACFD-BBEE-484B-B36A-84DE24B11EED}"/>
    <cellStyle name="Currency 4 9 9" xfId="24554" xr:uid="{498B69E5-0439-4408-87C4-7EF87E505B1E}"/>
    <cellStyle name="Currency 5" xfId="590" xr:uid="{00000000-0005-0000-0000-0000E1030000}"/>
    <cellStyle name="Currency 5 10" xfId="4973" xr:uid="{0127C852-060E-4046-8C0D-4B566FAC3A77}"/>
    <cellStyle name="Currency 5 10 2" xfId="26245" xr:uid="{C59BE194-529F-4702-B46B-7874E29DE31A}"/>
    <cellStyle name="Currency 5 10 3" xfId="26442" xr:uid="{ADFDD67C-45AA-450C-A480-B07F7596B9D6}"/>
    <cellStyle name="Currency 5 10 4" xfId="14268" xr:uid="{240572AE-B301-4AFC-8245-514967858343}"/>
    <cellStyle name="Currency 5 11" xfId="6721" xr:uid="{0A1A5FF7-B1C8-4455-BC0A-1A0494662DFA}"/>
    <cellStyle name="Currency 5 11 2" xfId="17101" xr:uid="{CE1C590A-1E08-492D-A5D4-C48EC666C3D4}"/>
    <cellStyle name="Currency 5 12" xfId="9554" xr:uid="{D0967022-4EB5-4BE0-9D2F-A8094341CF11}"/>
    <cellStyle name="Currency 5 12 2" xfId="19934" xr:uid="{BE20113A-F2EE-459C-BCE6-ECDBC109DA46}"/>
    <cellStyle name="Currency 5 13" xfId="23094" xr:uid="{F26D2CE7-28B3-4E2E-9C07-3001E7351776}"/>
    <cellStyle name="Currency 5 14" xfId="12407" xr:uid="{CF35860C-8F77-4620-8FAD-AD17DEF49300}"/>
    <cellStyle name="Currency 5 2" xfId="591" xr:uid="{00000000-0005-0000-0000-0000E2030000}"/>
    <cellStyle name="Currency 5 2 10" xfId="6722" xr:uid="{E241A098-71E3-45C7-B9E5-0F648599E5C0}"/>
    <cellStyle name="Currency 5 2 10 2" xfId="17102" xr:uid="{9DB1438C-B8F5-4138-997F-97D84CE6F65E}"/>
    <cellStyle name="Currency 5 2 11" xfId="9555" xr:uid="{380C6E5F-325D-453D-B49C-0AD68D0C9071}"/>
    <cellStyle name="Currency 5 2 11 2" xfId="19935" xr:uid="{8C168D19-AB32-4FC5-AE1E-523857214607}"/>
    <cellStyle name="Currency 5 2 12" xfId="22830" xr:uid="{CD754010-E9EC-4548-95AF-18F4EA7CC937}"/>
    <cellStyle name="Currency 5 2 13" xfId="12467" xr:uid="{96E8DC89-4338-4D2F-9FB1-91BCDCC04C70}"/>
    <cellStyle name="Currency 5 2 2" xfId="592" xr:uid="{00000000-0005-0000-0000-0000E3030000}"/>
    <cellStyle name="Currency 5 2 2 10" xfId="9556" xr:uid="{12517C23-DBF5-49AA-90FA-E749FF9B3FD9}"/>
    <cellStyle name="Currency 5 2 2 10 2" xfId="19936" xr:uid="{C8BE885C-3F64-4CD4-9BDA-5C4C40B1FE9E}"/>
    <cellStyle name="Currency 5 2 2 11" xfId="25375" xr:uid="{9F58AD45-78BC-432D-82CA-4ADD14D6E206}"/>
    <cellStyle name="Currency 5 2 2 12" xfId="12534" xr:uid="{E802454A-CA30-4ECF-9F44-10C3636636FD}"/>
    <cellStyle name="Currency 5 2 2 2" xfId="1967" xr:uid="{00000000-0005-0000-0000-0000E4030000}"/>
    <cellStyle name="Currency 5 2 2 2 2" xfId="3108" xr:uid="{00000000-0005-0000-0000-0000CE020000}"/>
    <cellStyle name="Currency 5 2 2 2 2 2" xfId="6174" xr:uid="{BE24A938-2881-4F5D-B62A-4F1162D03E33}"/>
    <cellStyle name="Currency 5 2 2 2 2 2 2" xfId="25853" xr:uid="{F20382A5-D65C-4100-B2A8-7EB455708DDE}"/>
    <cellStyle name="Currency 5 2 2 2 2 2 3" xfId="26681" xr:uid="{8EBAF09A-2434-47C3-B9AB-2BF0BE142A89}"/>
    <cellStyle name="Currency 5 2 2 2 2 2 4" xfId="15735" xr:uid="{71DF357E-08E2-481E-A961-D9A9A85D0FE6}"/>
    <cellStyle name="Currency 5 2 2 2 2 3" xfId="8188" xr:uid="{F888BC8D-2822-4D7A-8F80-B60D7A25CE3A}"/>
    <cellStyle name="Currency 5 2 2 2 2 3 2" xfId="18568" xr:uid="{691322DB-4935-4B9B-9354-691D3668F327}"/>
    <cellStyle name="Currency 5 2 2 2 2 4" xfId="11021" xr:uid="{59742B54-0DA4-486F-9740-1D38F5BE12FD}"/>
    <cellStyle name="Currency 5 2 2 2 2 4 2" xfId="21401" xr:uid="{F9F6A6C8-279B-4E64-9E63-3C8E184E9F76}"/>
    <cellStyle name="Currency 5 2 2 2 2 5" xfId="23951" xr:uid="{088AD340-C2CC-47BE-8891-D6CC3414FE2E}"/>
    <cellStyle name="Currency 5 2 2 2 2 6" xfId="27621" xr:uid="{3C20AB5A-5E9F-43FE-AFE1-016CD4FFEADD}"/>
    <cellStyle name="Currency 5 2 2 2 2 7" xfId="13628" xr:uid="{B10AB8D8-0FC4-4067-ACD0-E5B0002F9029}"/>
    <cellStyle name="Currency 5 2 2 2 3" xfId="2701" xr:uid="{00000000-0005-0000-0000-0000CD020000}"/>
    <cellStyle name="Currency 5 2 2 2 3 2" xfId="7825" xr:uid="{0FA2EE59-89F7-42BE-AFCA-13B241F95610}"/>
    <cellStyle name="Currency 5 2 2 2 3 2 2" xfId="28283" xr:uid="{C2137D5F-7224-4361-94BB-42021950E03A}"/>
    <cellStyle name="Currency 5 2 2 2 3 2 3" xfId="27887" xr:uid="{8B47DE6B-C0A3-4808-BD11-76C664370C32}"/>
    <cellStyle name="Currency 5 2 2 2 3 2 4" xfId="18205" xr:uid="{DE64AA34-7A3F-4BE8-AC87-76B82DFB15AA}"/>
    <cellStyle name="Currency 5 2 2 2 3 3" xfId="10658" xr:uid="{4D2AD998-5A82-41E0-A69E-3F76050FA43C}"/>
    <cellStyle name="Currency 5 2 2 2 3 3 2" xfId="21038" xr:uid="{BF6A1076-4AD6-4E1B-8DA6-B5CA46C39230}"/>
    <cellStyle name="Currency 5 2 2 2 3 4" xfId="23309" xr:uid="{799AABCF-471B-405C-90D8-CDB7F1658679}"/>
    <cellStyle name="Currency 5 2 2 2 3 5" xfId="15372" xr:uid="{7ACDB224-994C-428F-913A-C2A5B9336ACA}"/>
    <cellStyle name="Currency 5 2 2 2 4" xfId="2048" xr:uid="{00000000-0005-0000-0000-0000E4030000}"/>
    <cellStyle name="Currency 5 2 2 2 4 2" xfId="26835" xr:uid="{C64A4FF9-2FD0-4583-B837-5708E557185E}"/>
    <cellStyle name="Currency 5 2 2 2 4 2 2" xfId="29813" xr:uid="{4E93B6D0-EB53-4836-A0F3-B57F924E4D54}"/>
    <cellStyle name="Currency 5 2 2 2 4 3" xfId="28444" xr:uid="{70E40412-F726-4A29-B8F5-5630BE3A9276}"/>
    <cellStyle name="Currency 5 2 2 2 5" xfId="4278" xr:uid="{C3D7F732-DE5D-41EF-8592-DE3D2EBC22AC}"/>
    <cellStyle name="Currency 5 2 2 2 5 2" xfId="9050" xr:uid="{2D83AAB7-EE53-414D-B71E-98FD02A0314D}"/>
    <cellStyle name="Currency 5 2 2 2 5 2 2" xfId="19430" xr:uid="{3729AD62-DADD-410C-836C-C0173341262F}"/>
    <cellStyle name="Currency 5 2 2 2 5 3" xfId="11883" xr:uid="{0FE592E7-404D-48FC-A7B7-7FDE44FBAA0E}"/>
    <cellStyle name="Currency 5 2 2 2 5 3 2" xfId="22263" xr:uid="{9B9EB93E-D50F-45EE-81A7-B342F4A32DB7}"/>
    <cellStyle name="Currency 5 2 2 2 5 4" xfId="26408" xr:uid="{B91ECD61-4C35-4E4A-8D9C-C36D8ADEC10B}"/>
    <cellStyle name="Currency 5 2 2 2 5 5" xfId="26849" xr:uid="{EE06C130-8C70-4964-9F7A-D8C37715BFD6}"/>
    <cellStyle name="Currency 5 2 2 2 5 6" xfId="16597" xr:uid="{4301A36F-BCF2-4881-9C48-F364E56E7571}"/>
    <cellStyle name="Currency 5 2 2 2 6" xfId="5706" xr:uid="{56AE04DD-2B1B-45C9-B774-49C5775046E0}"/>
    <cellStyle name="Currency 5 2 2 2 6 2" xfId="30399" xr:uid="{AAB81BD6-092F-4B5D-A8F3-692BD504F9F5}"/>
    <cellStyle name="Currency 5 2 2 2 7" xfId="24566" xr:uid="{EC4152A8-D2AF-4A3A-9787-6E2DEE37E7D4}"/>
    <cellStyle name="Currency 5 2 2 2 8" xfId="13119" xr:uid="{E767FA5A-7327-467C-AF41-77D3C067A458}"/>
    <cellStyle name="Currency 5 2 2 3" xfId="1968" xr:uid="{00000000-0005-0000-0000-0000E5030000}"/>
    <cellStyle name="Currency 5 2 2 3 2" xfId="3109" xr:uid="{00000000-0005-0000-0000-0000CF020000}"/>
    <cellStyle name="Currency 5 2 2 3 2 2" xfId="8189" xr:uid="{13245339-F13E-40A8-839B-4D77E86C6D7A}"/>
    <cellStyle name="Currency 5 2 2 3 2 2 2" xfId="28856" xr:uid="{49F4AEF3-A94A-4BB7-93FF-EEDEC1683101}"/>
    <cellStyle name="Currency 5 2 2 3 2 2 3" xfId="26108" xr:uid="{565CDC13-D9D4-436A-BAA9-98069B5E57AD}"/>
    <cellStyle name="Currency 5 2 2 3 2 2 4" xfId="18569" xr:uid="{7A405561-471D-43CB-9F39-50752F34F453}"/>
    <cellStyle name="Currency 5 2 2 3 2 3" xfId="11022" xr:uid="{3F84DF8C-8F7C-4373-BE1E-22BAFE9DD44F}"/>
    <cellStyle name="Currency 5 2 2 3 2 3 2" xfId="21402" xr:uid="{9DFEDBB8-6F7C-4CBC-8F69-9531275ED852}"/>
    <cellStyle name="Currency 5 2 2 3 2 4" xfId="23584" xr:uid="{9906515C-0ACF-40FA-AA3D-B1FEC0FE45AD}"/>
    <cellStyle name="Currency 5 2 2 3 2 5" xfId="15736" xr:uid="{09C152D0-E30A-445F-806F-9A2FB440B1E9}"/>
    <cellStyle name="Currency 5 2 2 3 3" xfId="3549" xr:uid="{00000000-0005-0000-0000-0000E5030000}"/>
    <cellStyle name="Currency 5 2 2 3 3 2" xfId="29873" xr:uid="{6A33B562-D570-48D6-A178-1133FFA667BB}"/>
    <cellStyle name="Currency 5 2 2 3 4" xfId="4434" xr:uid="{32BAE54B-9351-4830-AA5E-63816AB07ED5}"/>
    <cellStyle name="Currency 5 2 2 3 4 2" xfId="9206" xr:uid="{87614C63-EABE-46FA-900D-6B5F9639F88D}"/>
    <cellStyle name="Currency 5 2 2 3 4 2 2" xfId="19586" xr:uid="{F36A6D76-44E8-433A-86D5-8EEC553E5D49}"/>
    <cellStyle name="Currency 5 2 2 3 4 3" xfId="12039" xr:uid="{E7C9D73E-8A42-41F0-8DDC-A7D39D80369F}"/>
    <cellStyle name="Currency 5 2 2 3 4 3 2" xfId="22419" xr:uid="{85B7CB9A-F6D9-4C07-9848-E505521E2E02}"/>
    <cellStyle name="Currency 5 2 2 3 4 4" xfId="16753" xr:uid="{55D64D6B-C1B4-467E-962E-74EF844202D6}"/>
    <cellStyle name="Currency 5 2 2 3 5" xfId="5707" xr:uid="{64BFFDB4-46D1-483C-8C4F-E280CB1ECB1C}"/>
    <cellStyle name="Currency 5 2 2 3 5 2" xfId="30495" xr:uid="{61568A87-4017-4D9C-80D9-3589D4671D08}"/>
    <cellStyle name="Currency 5 2 2 3 6" xfId="24899" xr:uid="{F8B21FAF-1CA2-4C0F-B3E2-9F62AED2DA5F}"/>
    <cellStyle name="Currency 5 2 2 3 7" xfId="13629" xr:uid="{006AB017-2D5D-4BEE-A7CB-912CA41008FB}"/>
    <cellStyle name="Currency 5 2 2 4" xfId="1966" xr:uid="{00000000-0005-0000-0000-0000E6030000}"/>
    <cellStyle name="Currency 5 2 2 4 2" xfId="3107" xr:uid="{00000000-0005-0000-0000-0000D0020000}"/>
    <cellStyle name="Currency 5 2 2 4 2 2" xfId="8187" xr:uid="{EC4D431F-F668-4FCE-815C-FD5EACEEDF85}"/>
    <cellStyle name="Currency 5 2 2 4 2 2 2" xfId="28855" xr:uid="{7C5B0695-8C13-41C0-ACF4-145D7F65FF93}"/>
    <cellStyle name="Currency 5 2 2 4 2 2 3" xfId="28615" xr:uid="{8D54ADB9-69AE-475B-AE53-5F93F4C469AC}"/>
    <cellStyle name="Currency 5 2 2 4 2 2 4" xfId="18567" xr:uid="{3CB38A1D-D5FD-45BB-979C-084854CB23D1}"/>
    <cellStyle name="Currency 5 2 2 4 2 3" xfId="11020" xr:uid="{1EDC9C14-BB5A-42E7-8C1B-2A6A66C32E66}"/>
    <cellStyle name="Currency 5 2 2 4 2 3 2" xfId="21400" xr:uid="{4B569564-AC9C-4E2F-A36D-AB280A0C0C45}"/>
    <cellStyle name="Currency 5 2 2 4 2 4" xfId="26803" xr:uid="{D3CBC96C-8DCC-4604-856F-C197D0CBC5C0}"/>
    <cellStyle name="Currency 5 2 2 4 2 5" xfId="15734" xr:uid="{EC11DDBB-96CA-4144-A30D-CF3021608613}"/>
    <cellStyle name="Currency 5 2 2 4 3" xfId="3681" xr:uid="{00000000-0005-0000-0000-0000E6030000}"/>
    <cellStyle name="Currency 5 2 2 4 3 2" xfId="29944" xr:uid="{8506EECD-469E-4E60-B10C-E49044900BE0}"/>
    <cellStyle name="Currency 5 2 2 4 4" xfId="5705" xr:uid="{F0F3577E-AEB9-46D9-839A-DC5FBFCEA274}"/>
    <cellStyle name="Currency 5 2 2 4 4 2" xfId="30213" xr:uid="{0CDB44AB-9780-489A-A003-DC3B2FF79184}"/>
    <cellStyle name="Currency 5 2 2 4 5" xfId="23000" xr:uid="{33E7FD05-6AC1-4553-A763-5F9ADDC95EFB}"/>
    <cellStyle name="Currency 5 2 2 4 6" xfId="13627" xr:uid="{A1CD338B-CC30-4727-B3F0-0E4E5CC6C8A2}"/>
    <cellStyle name="Currency 5 2 2 5" xfId="2643" xr:uid="{00000000-0005-0000-0000-0000D1020000}"/>
    <cellStyle name="Currency 5 2 2 5 2" xfId="5905" xr:uid="{01A77C53-D4B3-4B4A-A7AA-DA49AF807277}"/>
    <cellStyle name="Currency 5 2 2 5 2 2" xfId="28063" xr:uid="{8EF9D5B8-AD4E-41E9-A228-6AF16D4B036F}"/>
    <cellStyle name="Currency 5 2 2 5 2 3" xfId="28473" xr:uid="{82D05B3D-86D8-4506-AE14-DBD6FF00D9F8}"/>
    <cellStyle name="Currency 5 2 2 5 2 4" xfId="15315" xr:uid="{73BC589D-4447-4249-B1BB-4F0E836F79EB}"/>
    <cellStyle name="Currency 5 2 2 5 3" xfId="7768" xr:uid="{0BCD7F6B-EB32-4F4B-BE32-1005B1112FD0}"/>
    <cellStyle name="Currency 5 2 2 5 3 2" xfId="18148" xr:uid="{39F2C129-AC1D-49B2-8889-3EA2F448443B}"/>
    <cellStyle name="Currency 5 2 2 5 4" xfId="10601" xr:uid="{D3A2D10F-02C4-4FC8-8984-C693054A334C}"/>
    <cellStyle name="Currency 5 2 2 5 4 2" xfId="20981" xr:uid="{7E6ADA5D-3DC7-41ED-99C9-A4042922E532}"/>
    <cellStyle name="Currency 5 2 2 5 5" xfId="23545" xr:uid="{2A62B28A-3D7D-44E1-830E-A4B18F3C462C}"/>
    <cellStyle name="Currency 5 2 2 5 6" xfId="13032" xr:uid="{BC0D04A2-EDC2-44C0-8A7A-ECF31AD1A87E}"/>
    <cellStyle name="Currency 5 2 2 6" xfId="2302" xr:uid="{00000000-0005-0000-0000-0000CC020000}"/>
    <cellStyle name="Currency 5 2 2 6 2" xfId="7429" xr:uid="{33D726B9-173A-495B-A4BA-834CE620BF69}"/>
    <cellStyle name="Currency 5 2 2 6 2 2" xfId="17809" xr:uid="{856799D2-AB87-4DD2-9C94-BFDB3D72AE03}"/>
    <cellStyle name="Currency 5 2 2 6 3" xfId="10262" xr:uid="{A462F4E5-48AC-4A2C-992B-92C429FC328E}"/>
    <cellStyle name="Currency 5 2 2 6 3 2" xfId="20642" xr:uid="{5D9F252F-0DAB-4171-9706-3A1FB1F31BA3}"/>
    <cellStyle name="Currency 5 2 2 6 4" xfId="22672" xr:uid="{60C51A38-352A-40DD-A8EB-74F53D2FCD6C}"/>
    <cellStyle name="Currency 5 2 2 6 5" xfId="28365" xr:uid="{3779EA25-6211-41A3-BEC2-2229A6763BFA}"/>
    <cellStyle name="Currency 5 2 2 6 6" xfId="14976" xr:uid="{5552B899-4FCC-4E4B-BB6F-B5232499BD8E}"/>
    <cellStyle name="Currency 5 2 2 7" xfId="3833" xr:uid="{58CAFAE7-4ECC-4D05-802A-591E6F0FD407}"/>
    <cellStyle name="Currency 5 2 2 7 2" xfId="8666" xr:uid="{3E47732A-E67C-496E-A27B-A49411598E3D}"/>
    <cellStyle name="Currency 5 2 2 7 2 2" xfId="19046" xr:uid="{E366572E-1173-45A7-B79D-6E597AD48165}"/>
    <cellStyle name="Currency 5 2 2 7 3" xfId="11499" xr:uid="{5D129DB0-375F-4A95-A0F4-3754244C1E48}"/>
    <cellStyle name="Currency 5 2 2 7 3 2" xfId="21879" xr:uid="{172E324E-C1CA-4DC2-9EC6-D823E04B7C3C}"/>
    <cellStyle name="Currency 5 2 2 7 4" xfId="28165" xr:uid="{D0852ACE-D955-4A7A-B56D-9C118288E0DC}"/>
    <cellStyle name="Currency 5 2 2 7 5" xfId="26372" xr:uid="{40CB9855-3EF7-4ABB-B7BD-BE754A9C6D1E}"/>
    <cellStyle name="Currency 5 2 2 7 6" xfId="16213" xr:uid="{28EF5B7D-0FFC-4496-99BB-22D48954D381}"/>
    <cellStyle name="Currency 5 2 2 8" xfId="4975" xr:uid="{9D741363-ECFB-4E78-AFE7-4000DC29E105}"/>
    <cellStyle name="Currency 5 2 2 8 2" xfId="14270" xr:uid="{D1F2BAB2-2536-4CDA-B233-F70097286BE6}"/>
    <cellStyle name="Currency 5 2 2 9" xfId="6723" xr:uid="{D10E9798-92C9-4F75-AC71-6A5E424527EA}"/>
    <cellStyle name="Currency 5 2 2 9 2" xfId="17103" xr:uid="{1919B9F7-EDFA-44F2-944A-76EF107B027F}"/>
    <cellStyle name="Currency 5 2 3" xfId="593" xr:uid="{00000000-0005-0000-0000-0000E7030000}"/>
    <cellStyle name="Currency 5 2 3 10" xfId="12692" xr:uid="{49183BEA-A4DB-49F9-8A1B-1EAE12D1B3C9}"/>
    <cellStyle name="Currency 5 2 3 2" xfId="1970" xr:uid="{00000000-0005-0000-0000-0000E8030000}"/>
    <cellStyle name="Currency 5 2 3 2 2" xfId="3110" xr:uid="{00000000-0005-0000-0000-0000D3020000}"/>
    <cellStyle name="Currency 5 2 3 2 2 2" xfId="8190" xr:uid="{E868AF50-4A6D-44BC-83C9-209DB309BB0F}"/>
    <cellStyle name="Currency 5 2 3 2 2 2 2" xfId="28857" xr:uid="{3BF9C56A-BDC1-4F4D-A53B-A83632B095C2}"/>
    <cellStyle name="Currency 5 2 3 2 2 2 3" xfId="28156" xr:uid="{4F0EEC13-E5DE-4629-8270-13F61F99DAFD}"/>
    <cellStyle name="Currency 5 2 3 2 2 2 4" xfId="18570" xr:uid="{BA89C912-96B1-42CB-9CB7-76ECD2E69A53}"/>
    <cellStyle name="Currency 5 2 3 2 2 3" xfId="11023" xr:uid="{B32F4D25-280E-4123-BC8C-A882B4C247D2}"/>
    <cellStyle name="Currency 5 2 3 2 2 3 2" xfId="21403" xr:uid="{AB4B76B5-E409-402B-A20C-F8E07C5FC7A2}"/>
    <cellStyle name="Currency 5 2 3 2 2 4" xfId="24400" xr:uid="{19D40202-82EB-4A14-9C2F-762EB18BA50F}"/>
    <cellStyle name="Currency 5 2 3 2 2 5" xfId="15737" xr:uid="{B043A422-93FE-44A2-A3D7-AC99CBEFA6FB}"/>
    <cellStyle name="Currency 5 2 3 2 3" xfId="3665" xr:uid="{00000000-0005-0000-0000-0000E8030000}"/>
    <cellStyle name="Currency 5 2 3 2 3 2" xfId="30329" xr:uid="{AFBBC437-52F0-4556-BA00-807111835ADA}"/>
    <cellStyle name="Currency 5 2 3 2 4" xfId="5708" xr:uid="{5ED9074E-CFC1-4F0E-AAA7-8ED93D6F736E}"/>
    <cellStyle name="Currency 5 2 3 2 4 2" xfId="30760" xr:uid="{D45CB508-ACDC-4612-938A-0AEC61D93A54}"/>
    <cellStyle name="Currency 5 2 3 2 5" xfId="24148" xr:uid="{A436BADA-01CA-44B5-B13D-BF91D5BD6C72}"/>
    <cellStyle name="Currency 5 2 3 2 6" xfId="13630" xr:uid="{2A0D9A90-7C39-497B-99CC-B6BDC390AD1B}"/>
    <cellStyle name="Currency 5 2 3 3" xfId="1971" xr:uid="{00000000-0005-0000-0000-0000E9030000}"/>
    <cellStyle name="Currency 5 2 3 3 2" xfId="2700" xr:uid="{00000000-0005-0000-0000-0000D4020000}"/>
    <cellStyle name="Currency 5 2 3 3 2 2" xfId="7824" xr:uid="{D0CDFCE5-20BF-42ED-9EFB-FAB04946587F}"/>
    <cellStyle name="Currency 5 2 3 3 2 2 2" xfId="18204" xr:uid="{3BCED285-7CC5-4070-8A11-76E588F6BC4F}"/>
    <cellStyle name="Currency 5 2 3 3 2 3" xfId="10657" xr:uid="{33CCFA73-7431-4161-8256-7B377A9BDBFA}"/>
    <cellStyle name="Currency 5 2 3 3 2 3 2" xfId="21037" xr:uid="{9BC23E41-2CDA-49D1-80AC-DF071D9AEEBF}"/>
    <cellStyle name="Currency 5 2 3 3 2 4" xfId="15371" xr:uid="{0B0E1420-F3F3-4F8F-A6BE-B2272087307F}"/>
    <cellStyle name="Currency 5 2 3 3 3" xfId="3579" xr:uid="{00000000-0005-0000-0000-0000E9030000}"/>
    <cellStyle name="Currency 5 2 3 3 3 2" xfId="30672" xr:uid="{4650D70B-D5C8-46EF-8978-2A4889E4C0DC}"/>
    <cellStyle name="Currency 5 2 3 3 4" xfId="5709" xr:uid="{59616245-D824-46F1-81B0-F7CE84542057}"/>
    <cellStyle name="Currency 5 2 3 3 5" xfId="25057" xr:uid="{F07ECF11-1D7B-4D79-A0FD-D2F0BF3D7837}"/>
    <cellStyle name="Currency 5 2 3 3 6" xfId="13118" xr:uid="{FF00E2A5-B4FB-49BB-96AB-5F24D126800F}"/>
    <cellStyle name="Currency 5 2 3 4" xfId="1969" xr:uid="{00000000-0005-0000-0000-0000EA030000}"/>
    <cellStyle name="Currency 5 2 3 4 2" xfId="3775" xr:uid="{9AA53097-E567-4935-BA95-65CC50D0B73B}"/>
    <cellStyle name="Currency 5 2 3 4 2 2" xfId="8617" xr:uid="{CCB07CC6-C475-4E96-BCAA-C52F5825DCF7}"/>
    <cellStyle name="Currency 5 2 3 4 2 2 2" xfId="18997" xr:uid="{04CD8D01-CEF3-4C9C-9BD0-1F5042A669E1}"/>
    <cellStyle name="Currency 5 2 3 4 2 3" xfId="11450" xr:uid="{225A8900-8F68-4269-B454-4E2E9025351E}"/>
    <cellStyle name="Currency 5 2 3 4 2 3 2" xfId="21830" xr:uid="{C188CF2C-115D-430F-9000-0E4E6571A19D}"/>
    <cellStyle name="Currency 5 2 3 4 2 4" xfId="26215" xr:uid="{0570CA31-8D59-46B5-8184-FEF8F7383B00}"/>
    <cellStyle name="Currency 5 2 3 4 2 5" xfId="26375" xr:uid="{28A2C1DE-F28A-4A55-9019-D1FB2D6D72D0}"/>
    <cellStyle name="Currency 5 2 3 4 2 6" xfId="16164" xr:uid="{F5D30928-98B2-467C-B2BC-D2080B97E6F0}"/>
    <cellStyle name="Currency 5 2 3 4 3" xfId="23679" xr:uid="{D15642E2-80E6-4635-98B9-0DDE89D66073}"/>
    <cellStyle name="Currency 5 2 3 5" xfId="4144" xr:uid="{BBE70D2D-604E-48B2-9D68-4A06E241AAB5}"/>
    <cellStyle name="Currency 5 2 3 5 2" xfId="8916" xr:uid="{A3449125-85BB-4347-9B52-EF23126E01C2}"/>
    <cellStyle name="Currency 5 2 3 5 2 2" xfId="29017" xr:uid="{6EB8AFAA-0881-4674-A52E-7A008315E4E0}"/>
    <cellStyle name="Currency 5 2 3 5 2 3" xfId="27598" xr:uid="{6EAEA2C4-443D-4C95-8CB1-EB87AE134AB5}"/>
    <cellStyle name="Currency 5 2 3 5 2 4" xfId="19296" xr:uid="{3D378635-15D0-4947-BD6B-4C612F00492B}"/>
    <cellStyle name="Currency 5 2 3 5 3" xfId="11749" xr:uid="{10C9EC3E-9AE2-4D9B-8479-211D3D07ED47}"/>
    <cellStyle name="Currency 5 2 3 5 3 2" xfId="22129" xr:uid="{15C832C3-6FF0-4856-A177-D03E7D068492}"/>
    <cellStyle name="Currency 5 2 3 5 4" xfId="26968" xr:uid="{F0640651-E4BA-485E-91B0-95C69E14D0AE}"/>
    <cellStyle name="Currency 5 2 3 5 5" xfId="16463" xr:uid="{BF109E69-ADD6-4229-AE11-DEB910336621}"/>
    <cellStyle name="Currency 5 2 3 6" xfId="4976" xr:uid="{19071EE0-5BFD-4F9E-9132-C53B4E247934}"/>
    <cellStyle name="Currency 5 2 3 6 2" xfId="28609" xr:uid="{5CCE0AB4-0287-4537-BF16-6DCB69FE2869}"/>
    <cellStyle name="Currency 5 2 3 6 3" xfId="27545" xr:uid="{69E98944-73A7-42A3-85AF-E17CD6BE819A}"/>
    <cellStyle name="Currency 5 2 3 6 4" xfId="14271" xr:uid="{9F6DB649-75FE-4421-9D34-EF7190C56541}"/>
    <cellStyle name="Currency 5 2 3 7" xfId="6724" xr:uid="{159000B8-7CC5-4955-8443-5AF2213C3E1C}"/>
    <cellStyle name="Currency 5 2 3 7 2" xfId="27880" xr:uid="{F909FE96-1CC9-415B-BC21-01A6FFCF83BC}"/>
    <cellStyle name="Currency 5 2 3 7 3" xfId="25976" xr:uid="{94FF8E5B-AA91-4B15-97A2-1A1AE04C25C4}"/>
    <cellStyle name="Currency 5 2 3 7 4" xfId="17104" xr:uid="{1DC87CFE-6CBF-4909-AECA-D5D13067C0F9}"/>
    <cellStyle name="Currency 5 2 3 8" xfId="9557" xr:uid="{2E40F6E5-2FED-4555-BFC0-2C0C435350C4}"/>
    <cellStyle name="Currency 5 2 3 8 2" xfId="19937" xr:uid="{220242D1-ABC7-43E6-B0E8-FF42CA590FC7}"/>
    <cellStyle name="Currency 5 2 3 9" xfId="22665" xr:uid="{D9AD0612-914B-436B-8DAE-F1188956DD8B}"/>
    <cellStyle name="Currency 5 2 4" xfId="1972" xr:uid="{00000000-0005-0000-0000-0000EB030000}"/>
    <cellStyle name="Currency 5 2 4 2" xfId="3111" xr:uid="{00000000-0005-0000-0000-0000D5020000}"/>
    <cellStyle name="Currency 5 2 4 2 2" xfId="8191" xr:uid="{25AFDB09-23E2-482C-8E76-09BB28DEADCF}"/>
    <cellStyle name="Currency 5 2 4 2 2 2" xfId="28858" xr:uid="{06FCD6AD-893B-4A36-A0AD-D369F771C15A}"/>
    <cellStyle name="Currency 5 2 4 2 2 3" xfId="26052" xr:uid="{4EF20C12-2878-49D2-8D87-1A4B0612BC68}"/>
    <cellStyle name="Currency 5 2 4 2 2 4" xfId="18571" xr:uid="{53A0814F-3C91-470B-9122-F71FDD3F23C7}"/>
    <cellStyle name="Currency 5 2 4 2 3" xfId="11024" xr:uid="{B5B91CCF-256F-4CE3-BF8B-CED889D41FC5}"/>
    <cellStyle name="Currency 5 2 4 2 3 2" xfId="21404" xr:uid="{0C977F6E-A74F-42C8-9858-D8827CB31566}"/>
    <cellStyle name="Currency 5 2 4 2 4" xfId="23957" xr:uid="{83B7EFE6-940B-4612-89E7-D38FCF8EE350}"/>
    <cellStyle name="Currency 5 2 4 2 5" xfId="15738" xr:uid="{E729032C-0C99-45F8-AE83-A66126EFFACB}"/>
    <cellStyle name="Currency 5 2 4 3" xfId="2049" xr:uid="{00000000-0005-0000-0000-0000EB030000}"/>
    <cellStyle name="Currency 5 2 4 3 2" xfId="29833" xr:uid="{44EA31DD-46D5-47A8-A47D-4A9518C7EC3C}"/>
    <cellStyle name="Currency 5 2 4 4" xfId="4435" xr:uid="{EAF59091-946C-4F5C-9343-3EB106ED6014}"/>
    <cellStyle name="Currency 5 2 4 4 2" xfId="9207" xr:uid="{9DE673C5-9FAC-4C6B-A3AD-1258CD7F4F41}"/>
    <cellStyle name="Currency 5 2 4 4 2 2" xfId="19587" xr:uid="{7306ABE8-FFF7-463F-8A00-99CCC9E3B069}"/>
    <cellStyle name="Currency 5 2 4 4 3" xfId="12040" xr:uid="{84643D44-AB5A-4804-B4B3-D8D413675A2D}"/>
    <cellStyle name="Currency 5 2 4 4 3 2" xfId="22420" xr:uid="{BB6414FD-0893-461E-A134-D075A290A690}"/>
    <cellStyle name="Currency 5 2 4 4 4" xfId="28673" xr:uid="{D727F6B1-6619-4645-A993-510B5AE51350}"/>
    <cellStyle name="Currency 5 2 4 4 5" xfId="28190" xr:uid="{E3AEF5FB-7525-4F93-99F2-9954E237AACE}"/>
    <cellStyle name="Currency 5 2 4 4 6" xfId="16754" xr:uid="{3E4750C6-930A-4339-AE91-F90BECE985F2}"/>
    <cellStyle name="Currency 5 2 4 5" xfId="5710" xr:uid="{81CCBD4C-4647-4780-BDEB-D175A3F5ADBE}"/>
    <cellStyle name="Currency 5 2 4 5 2" xfId="30458" xr:uid="{2F458ADB-DC4F-4EF2-8D52-91BFF273B8F7}"/>
    <cellStyle name="Currency 5 2 4 6" xfId="22716" xr:uid="{912E2D58-135C-466F-977B-D7FCE32E6FF0}"/>
    <cellStyle name="Currency 5 2 4 7" xfId="13631" xr:uid="{3CE5B02C-94B0-4AC5-8DF4-DCF0A61C21CA}"/>
    <cellStyle name="Currency 5 2 5" xfId="1973" xr:uid="{00000000-0005-0000-0000-0000EC030000}"/>
    <cellStyle name="Currency 5 2 5 2" xfId="2889" xr:uid="{00000000-0005-0000-0000-0000D6020000}"/>
    <cellStyle name="Currency 5 2 5 2 2" xfId="8006" xr:uid="{76E26953-D137-4A0D-A497-4B6AC98CE538}"/>
    <cellStyle name="Currency 5 2 5 2 2 2" xfId="28657" xr:uid="{63423EA7-9E9C-41A3-9548-819C174CD01F}"/>
    <cellStyle name="Currency 5 2 5 2 2 3" xfId="26012" xr:uid="{37321E1F-694C-4E0C-9870-7424F46302A7}"/>
    <cellStyle name="Currency 5 2 5 2 2 4" xfId="18386" xr:uid="{7CFBABE8-19D0-41B9-A18C-0F534E5095CC}"/>
    <cellStyle name="Currency 5 2 5 2 3" xfId="10839" xr:uid="{B90DC41B-6A12-425B-AEEF-D5D78A8A4A53}"/>
    <cellStyle name="Currency 5 2 5 2 3 2" xfId="21219" xr:uid="{3D52AE92-5923-457B-9350-B22A4AE1191A}"/>
    <cellStyle name="Currency 5 2 5 2 4" xfId="25928" xr:uid="{DAB2A62E-EF04-4D21-ABCA-3D8381BF181C}"/>
    <cellStyle name="Currency 5 2 5 2 5" xfId="15553" xr:uid="{86AEB658-238E-45DA-8F63-23B312B7D1A9}"/>
    <cellStyle name="Currency 5 2 5 3" xfId="3608" xr:uid="{00000000-0005-0000-0000-0000EC030000}"/>
    <cellStyle name="Currency 5 2 5 3 2" xfId="29910" xr:uid="{9B4DC8E6-7B1F-4411-AB20-21D3B54BCC3B}"/>
    <cellStyle name="Currency 5 2 5 4" xfId="5711" xr:uid="{34D882F9-3A98-4786-A61F-2BA19F885A26}"/>
    <cellStyle name="Currency 5 2 5 4 2" xfId="30180" xr:uid="{8F2C15B1-3539-4123-825F-85AB29061C1B}"/>
    <cellStyle name="Currency 5 2 5 5" xfId="23045" xr:uid="{C6FB78A3-7FB3-4C8B-AE13-0BA29A31CEF6}"/>
    <cellStyle name="Currency 5 2 5 6" xfId="13390" xr:uid="{23481EF7-DAB4-448F-896D-7EFA49323FD9}"/>
    <cellStyle name="Currency 5 2 6" xfId="1965" xr:uid="{00000000-0005-0000-0000-0000ED030000}"/>
    <cellStyle name="Currency 5 2 6 2" xfId="2541" xr:uid="{00000000-0005-0000-0000-0000D7020000}"/>
    <cellStyle name="Currency 5 2 6 2 2" xfId="7666" xr:uid="{74261CAA-4101-473F-B347-C83F8EAEB42F}"/>
    <cellStyle name="Currency 5 2 6 2 2 2" xfId="18046" xr:uid="{49FBE54B-FD8E-4F2D-838F-4B8FC9ADB860}"/>
    <cellStyle name="Currency 5 2 6 2 3" xfId="10499" xr:uid="{556E629B-FE91-426B-933D-E95FA4998D76}"/>
    <cellStyle name="Currency 5 2 6 2 3 2" xfId="20879" xr:uid="{E11A0ED8-348A-4DA6-9D90-EEF14F0BBC40}"/>
    <cellStyle name="Currency 5 2 6 2 4" xfId="26578" xr:uid="{C9B861A8-D8EB-43AD-B25A-681F5470E314}"/>
    <cellStyle name="Currency 5 2 6 2 5" xfId="25903" xr:uid="{66E2E6D2-0C15-4FBD-B3CD-FFBE6CC078CC}"/>
    <cellStyle name="Currency 5 2 6 2 6" xfId="15213" xr:uid="{2507063B-74EC-4F1F-AF09-CFD95B288AF3}"/>
    <cellStyle name="Currency 5 2 6 3" xfId="3594" xr:uid="{00000000-0005-0000-0000-0000ED030000}"/>
    <cellStyle name="Currency 5 2 6 3 2" xfId="30641" xr:uid="{A8E9FE31-AC2F-4DF6-A66D-FADA40F10FFA}"/>
    <cellStyle name="Currency 5 2 6 4" xfId="5704" xr:uid="{6044BC41-93EB-4D46-8847-7E28FDC1C7F0}"/>
    <cellStyle name="Currency 5 2 6 5" xfId="23121" xr:uid="{DFB24F9D-60E6-480E-886E-475EF7F1242B}"/>
    <cellStyle name="Currency 5 2 6 6" xfId="12929" xr:uid="{244FD039-EA37-4B72-A255-228CC58257FA}"/>
    <cellStyle name="Currency 5 2 7" xfId="2235" xr:uid="{00000000-0005-0000-0000-0000CB020000}"/>
    <cellStyle name="Currency 5 2 7 2" xfId="7362" xr:uid="{46D783E5-C67D-4AD0-83C0-CF4DD70F2D04}"/>
    <cellStyle name="Currency 5 2 7 2 2" xfId="26298" xr:uid="{0094EF5E-9118-446E-8932-915721C49C84}"/>
    <cellStyle name="Currency 5 2 7 2 3" xfId="26142" xr:uid="{8D63E90A-D234-400F-9E75-4182E9C21698}"/>
    <cellStyle name="Currency 5 2 7 2 4" xfId="17742" xr:uid="{F397A08D-393B-4E26-BD24-2E6F720FBD36}"/>
    <cellStyle name="Currency 5 2 7 3" xfId="10195" xr:uid="{E9F0637B-A05F-4E9D-8BA2-C2EBC2EFAA4D}"/>
    <cellStyle name="Currency 5 2 7 3 2" xfId="20575" xr:uid="{BC39AA1D-EDCB-4BA3-9D5E-5853FA61C57D}"/>
    <cellStyle name="Currency 5 2 7 4" xfId="25306" xr:uid="{35146824-73C6-468D-82D5-4BCD67342811}"/>
    <cellStyle name="Currency 5 2 7 5" xfId="14909" xr:uid="{7EB1EE87-E11D-47CB-A2B8-C4724D639E82}"/>
    <cellStyle name="Currency 5 2 8" xfId="3891" xr:uid="{F5558CD4-A4A2-4E3D-AB6A-144E8681197F}"/>
    <cellStyle name="Currency 5 2 8 2" xfId="8723" xr:uid="{2F1B63F7-D083-429E-B1CA-1A6BFE7DDEA4}"/>
    <cellStyle name="Currency 5 2 8 2 2" xfId="19103" xr:uid="{AA81A8B7-20C9-4F9B-90A1-BEB1376ACEFA}"/>
    <cellStyle name="Currency 5 2 8 3" xfId="11556" xr:uid="{75471A33-C8F0-40CF-B5BF-4A81D5F9A038}"/>
    <cellStyle name="Currency 5 2 8 3 2" xfId="21936" xr:uid="{1A25BBFC-EAD0-476B-B10E-5BE1DFD38444}"/>
    <cellStyle name="Currency 5 2 8 4" xfId="27961" xr:uid="{38D58FC1-9BAF-45DE-9227-885220FBB692}"/>
    <cellStyle name="Currency 5 2 8 5" xfId="28579" xr:uid="{145D1AFD-484B-4FDE-876F-13C665ED8789}"/>
    <cellStyle name="Currency 5 2 8 6" xfId="16270" xr:uid="{82A908FC-D9AF-4CB9-9FAE-0596054F1EA2}"/>
    <cellStyle name="Currency 5 2 9" xfId="4974" xr:uid="{83D789FE-00E7-4353-9F50-F27A53E5C0A6}"/>
    <cellStyle name="Currency 5 2 9 2" xfId="25929" xr:uid="{D31F2547-600E-4F5D-B779-A3F82E3BA780}"/>
    <cellStyle name="Currency 5 2 9 3" xfId="27071" xr:uid="{080F0B0A-5BC7-4901-AD69-507C20B1622B}"/>
    <cellStyle name="Currency 5 2 9 4" xfId="14269" xr:uid="{5C56210C-0634-43D4-9558-692036755A96}"/>
    <cellStyle name="Currency 5 3" xfId="594" xr:uid="{00000000-0005-0000-0000-0000EE030000}"/>
    <cellStyle name="Currency 5 3 10" xfId="9558" xr:uid="{2A505504-F946-417F-8A75-43BF4BB35F9D}"/>
    <cellStyle name="Currency 5 3 10 2" xfId="19938" xr:uid="{A7220A94-B2B4-4AE1-9570-D96C08F7CB0B}"/>
    <cellStyle name="Currency 5 3 11" xfId="23033" xr:uid="{526A7DBF-D3D2-442D-9A54-DD31D9FDF6E8}"/>
    <cellStyle name="Currency 5 3 12" xfId="12533" xr:uid="{20BE156C-F121-4FA0-B6FD-EE6E99003D67}"/>
    <cellStyle name="Currency 5 3 2" xfId="1975" xr:uid="{00000000-0005-0000-0000-0000EF030000}"/>
    <cellStyle name="Currency 5 3 2 2" xfId="3113" xr:uid="{00000000-0005-0000-0000-0000DA020000}"/>
    <cellStyle name="Currency 5 3 2 2 2" xfId="6175" xr:uid="{2A83A707-9693-4504-A63C-CB91999D274E}"/>
    <cellStyle name="Currency 5 3 2 2 2 2" xfId="24181" xr:uid="{957406F0-CF59-4D3C-9C8C-E18064A609A3}"/>
    <cellStyle name="Currency 5 3 2 2 2 2 2" xfId="28716" xr:uid="{30692465-3C1C-4D4C-BF5B-4B86D75AD3A7}"/>
    <cellStyle name="Currency 5 3 2 2 2 3" xfId="28081" xr:uid="{44E0DBA9-7F9D-4F75-A250-7B439F25517A}"/>
    <cellStyle name="Currency 5 3 2 2 2 4" xfId="15740" xr:uid="{ECECBAE7-FE6A-418C-A364-9CC2967EB8CB}"/>
    <cellStyle name="Currency 5 3 2 2 3" xfId="8193" xr:uid="{B638F41F-98D3-49A1-A601-35D9335CCE81}"/>
    <cellStyle name="Currency 5 3 2 2 3 2" xfId="18573" xr:uid="{DCE59326-8858-4E51-A3B0-845F3FA7CFDF}"/>
    <cellStyle name="Currency 5 3 2 2 4" xfId="11026" xr:uid="{56957B04-499B-48B4-98D4-D7E7F4C67751}"/>
    <cellStyle name="Currency 5 3 2 2 4 2" xfId="21406" xr:uid="{8C77967D-6BBC-4B84-B128-12C314811052}"/>
    <cellStyle name="Currency 5 3 2 2 5" xfId="24904" xr:uid="{54FD32AF-935F-4AE0-935A-654E37BB2CEA}"/>
    <cellStyle name="Currency 5 3 2 2 6" xfId="26921" xr:uid="{AF32DBC3-ACF6-4745-AD7B-F110F70C1559}"/>
    <cellStyle name="Currency 5 3 2 2 7" xfId="13633" xr:uid="{76CCBC9C-1C00-49D1-B059-63613061B900}"/>
    <cellStyle name="Currency 5 3 2 3" xfId="2702" xr:uid="{00000000-0005-0000-0000-0000D9020000}"/>
    <cellStyle name="Currency 5 3 2 3 2" xfId="7826" xr:uid="{5C7BCAA3-9C9F-492F-8861-2AD267BF934E}"/>
    <cellStyle name="Currency 5 3 2 3 2 2" xfId="27068" xr:uid="{55EF035C-8796-42AA-B3B7-EB9756ADAED2}"/>
    <cellStyle name="Currency 5 3 2 3 2 3" xfId="27409" xr:uid="{24DD1B34-5BDA-469F-96C6-8E6E015D9E3F}"/>
    <cellStyle name="Currency 5 3 2 3 2 4" xfId="18206" xr:uid="{12DA4345-B994-4CCF-88F1-B9C2539AD072}"/>
    <cellStyle name="Currency 5 3 2 3 3" xfId="10659" xr:uid="{2C015DA8-CF23-4D00-8256-2EACF4E418A2}"/>
    <cellStyle name="Currency 5 3 2 3 3 2" xfId="21039" xr:uid="{70FD7D19-0E93-462C-9581-32C4AEB2F859}"/>
    <cellStyle name="Currency 5 3 2 3 4" xfId="24100" xr:uid="{FB9ECE9D-A2D2-4743-BCED-964CFCC7B75D}"/>
    <cellStyle name="Currency 5 3 2 3 5" xfId="15373" xr:uid="{9C8C138F-CE6E-4288-94A8-950FEF0B812D}"/>
    <cellStyle name="Currency 5 3 2 4" xfId="3700" xr:uid="{00000000-0005-0000-0000-0000EF030000}"/>
    <cellStyle name="Currency 5 3 2 4 2" xfId="26891" xr:uid="{C9DBE510-EFCE-4A0C-8EE8-48DD9ED241FF}"/>
    <cellStyle name="Currency 5 3 2 4 2 2" xfId="29812" xr:uid="{E4F3E50E-0F67-40D3-A432-D42FB3EE1F80}"/>
    <cellStyle name="Currency 5 3 2 4 3" xfId="26497" xr:uid="{49081016-EABC-4DB1-B361-D6F414E29952}"/>
    <cellStyle name="Currency 5 3 2 5" xfId="4279" xr:uid="{313F8346-39CD-4124-8B3A-C4CAB3DD2ECA}"/>
    <cellStyle name="Currency 5 3 2 5 2" xfId="9051" xr:uid="{099BCFBD-F523-4301-A1A6-C0079B714369}"/>
    <cellStyle name="Currency 5 3 2 5 2 2" xfId="19431" xr:uid="{27CFA0D3-4438-46F6-878B-42D727E86880}"/>
    <cellStyle name="Currency 5 3 2 5 3" xfId="11884" xr:uid="{E5116A94-E160-444D-A2C3-020F35D29607}"/>
    <cellStyle name="Currency 5 3 2 5 3 2" xfId="22264" xr:uid="{D7658E5A-BB9F-4E05-855D-29A5263DD5F0}"/>
    <cellStyle name="Currency 5 3 2 5 4" xfId="26954" xr:uid="{95732337-E1E3-4AC6-B7DD-8469E5DEFCBB}"/>
    <cellStyle name="Currency 5 3 2 5 5" xfId="27489" xr:uid="{B5F126A9-6131-4F53-870D-FC414775705C}"/>
    <cellStyle name="Currency 5 3 2 5 6" xfId="16598" xr:uid="{CC305DE1-2E81-4E5A-9508-CAE9EA08AB9C}"/>
    <cellStyle name="Currency 5 3 2 6" xfId="5713" xr:uid="{2162A165-A601-451F-A59D-9BF2EFCF87E1}"/>
    <cellStyle name="Currency 5 3 2 6 2" xfId="30398" xr:uid="{41393201-C2AD-4DA0-8448-19B58EBE4325}"/>
    <cellStyle name="Currency 5 3 2 7" xfId="22910" xr:uid="{2A10CFEC-0929-4835-ABE0-3A392EEEC7A6}"/>
    <cellStyle name="Currency 5 3 2 8" xfId="13120" xr:uid="{47A9C792-CC8F-4DF3-B7EE-6BD5C7B06878}"/>
    <cellStyle name="Currency 5 3 3" xfId="1976" xr:uid="{00000000-0005-0000-0000-0000F0030000}"/>
    <cellStyle name="Currency 5 3 3 2" xfId="3114" xr:uid="{00000000-0005-0000-0000-0000DB020000}"/>
    <cellStyle name="Currency 5 3 3 2 2" xfId="8194" xr:uid="{86FFB7B9-2A55-4AB6-B2B2-D1802A59687B}"/>
    <cellStyle name="Currency 5 3 3 2 2 2" xfId="28860" xr:uid="{01C80663-FA5B-4EA7-9670-DC6D2E0C723D}"/>
    <cellStyle name="Currency 5 3 3 2 2 3" xfId="26630" xr:uid="{685863A7-BFEF-415D-A2CE-7B02227AD743}"/>
    <cellStyle name="Currency 5 3 3 2 2 4" xfId="18574" xr:uid="{2B83C1F7-E7AD-42DC-AFA0-80882660E932}"/>
    <cellStyle name="Currency 5 3 3 2 3" xfId="11027" xr:uid="{D850F367-3396-4AD9-B76D-E56459C3DE3C}"/>
    <cellStyle name="Currency 5 3 3 2 3 2" xfId="21407" xr:uid="{C9751C7E-EED7-40B7-99CB-553163E6D914}"/>
    <cellStyle name="Currency 5 3 3 2 4" xfId="24126" xr:uid="{F1D85D90-2F0F-4588-A85A-C8D9E996F941}"/>
    <cellStyle name="Currency 5 3 3 2 5" xfId="15741" xr:uid="{0A1C1433-46CA-4D11-98FF-9932F571D779}"/>
    <cellStyle name="Currency 5 3 3 3" xfId="2087" xr:uid="{00000000-0005-0000-0000-0000F0030000}"/>
    <cellStyle name="Currency 5 3 3 3 2" xfId="29872" xr:uid="{87125231-A0ED-4194-890A-1BC7FCC8C525}"/>
    <cellStyle name="Currency 5 3 3 4" xfId="4436" xr:uid="{20CFB897-666F-4149-87D6-72BD94186F0A}"/>
    <cellStyle name="Currency 5 3 3 4 2" xfId="9208" xr:uid="{FEBB92A8-84BF-498D-9CC9-F630B4376368}"/>
    <cellStyle name="Currency 5 3 3 4 2 2" xfId="19588" xr:uid="{62507DBF-4272-4F62-BCDC-95743CA0B033}"/>
    <cellStyle name="Currency 5 3 3 4 3" xfId="12041" xr:uid="{6051F4A6-5D37-4162-ADF9-79B7787E3719}"/>
    <cellStyle name="Currency 5 3 3 4 3 2" xfId="22421" xr:uid="{2436F9F3-320D-4752-9AF1-E43DC261CDA1}"/>
    <cellStyle name="Currency 5 3 3 4 4" xfId="16755" xr:uid="{6F6A6062-2CE2-4B46-864C-7998CC3BFE47}"/>
    <cellStyle name="Currency 5 3 3 5" xfId="5714" xr:uid="{B225AD9D-70E2-4841-A531-CDA142155BD0}"/>
    <cellStyle name="Currency 5 3 3 5 2" xfId="30494" xr:uid="{94C88582-50E9-434C-A91A-C0678E39FED5}"/>
    <cellStyle name="Currency 5 3 3 6" xfId="23073" xr:uid="{F18CE366-3398-446C-8744-B602531D5D21}"/>
    <cellStyle name="Currency 5 3 3 7" xfId="13634" xr:uid="{DF8FB77F-CD78-4108-AC65-79380C8B667D}"/>
    <cellStyle name="Currency 5 3 4" xfId="1974" xr:uid="{00000000-0005-0000-0000-0000F1030000}"/>
    <cellStyle name="Currency 5 3 4 2" xfId="3112" xr:uid="{00000000-0005-0000-0000-0000DC020000}"/>
    <cellStyle name="Currency 5 3 4 2 2" xfId="8192" xr:uid="{12605518-45C2-4A5E-B142-B539828DFC7C}"/>
    <cellStyle name="Currency 5 3 4 2 2 2" xfId="28859" xr:uid="{F2C64340-B6DF-456D-A36F-9ED0B197E7CF}"/>
    <cellStyle name="Currency 5 3 4 2 2 3" xfId="28284" xr:uid="{50F5FF16-544C-433F-AD2A-CC87A8B1AA2D}"/>
    <cellStyle name="Currency 5 3 4 2 2 4" xfId="18572" xr:uid="{2A125001-18F0-499F-A790-154D829D4369}"/>
    <cellStyle name="Currency 5 3 4 2 3" xfId="11025" xr:uid="{EBBBB68E-B7A9-4727-B8A5-CA63FBCD5FE7}"/>
    <cellStyle name="Currency 5 3 4 2 3 2" xfId="21405" xr:uid="{E180010A-2FCD-46F1-BA44-5BA0B1F655D8}"/>
    <cellStyle name="Currency 5 3 4 2 4" xfId="22875" xr:uid="{F8FA9813-888C-472C-A853-49F365954C32}"/>
    <cellStyle name="Currency 5 3 4 2 5" xfId="15739" xr:uid="{7F15E761-E3B1-4282-80AD-D5D4A5947524}"/>
    <cellStyle name="Currency 5 3 4 3" xfId="3545" xr:uid="{00000000-0005-0000-0000-0000F1030000}"/>
    <cellStyle name="Currency 5 3 4 3 2" xfId="29943" xr:uid="{6C11CE50-E4EC-4CE4-9442-73BC45453406}"/>
    <cellStyle name="Currency 5 3 4 4" xfId="5712" xr:uid="{3EEC26B5-3962-41F9-B6A3-EC813AA1EBAC}"/>
    <cellStyle name="Currency 5 3 4 4 2" xfId="30212" xr:uid="{1D47B46F-ECE2-47C2-9FA4-EE61C1687A2B}"/>
    <cellStyle name="Currency 5 3 4 5" xfId="24982" xr:uid="{B04AF8FD-6114-4C71-A9D7-E976CE18350C}"/>
    <cellStyle name="Currency 5 3 4 6" xfId="13632" xr:uid="{1BA1C8B1-6A6F-459D-B36D-75354FAD0DB3}"/>
    <cellStyle name="Currency 5 3 5" xfId="2584" xr:uid="{00000000-0005-0000-0000-0000DD020000}"/>
    <cellStyle name="Currency 5 3 5 2" xfId="5849" xr:uid="{3F6A570E-8A5C-4C20-A93D-0E180E864A90}"/>
    <cellStyle name="Currency 5 3 5 2 2" xfId="26969" xr:uid="{D1EBB5CD-FC7A-4F10-B519-46CA29184018}"/>
    <cellStyle name="Currency 5 3 5 2 3" xfId="27436" xr:uid="{A30D7B8C-6247-4972-9E66-87FE75BA273A}"/>
    <cellStyle name="Currency 5 3 5 2 4" xfId="15256" xr:uid="{5A8FF11C-9103-4B97-B92A-D4028022214B}"/>
    <cellStyle name="Currency 5 3 5 3" xfId="7709" xr:uid="{9460C487-FB9F-432D-B8BA-58C64B66EF9C}"/>
    <cellStyle name="Currency 5 3 5 3 2" xfId="18089" xr:uid="{F4EF039A-E7C5-446C-85C1-54823D809576}"/>
    <cellStyle name="Currency 5 3 5 4" xfId="10542" xr:uid="{76470AA5-DD44-48EC-BF0C-40932FC056F6}"/>
    <cellStyle name="Currency 5 3 5 4 2" xfId="20922" xr:uid="{3D8BF286-0DD9-4AB7-85AA-76A759003684}"/>
    <cellStyle name="Currency 5 3 5 5" xfId="22929" xr:uid="{EB799ACC-0960-4BBD-AFBD-116C4BD090D4}"/>
    <cellStyle name="Currency 5 3 5 6" xfId="12972" xr:uid="{15AE4B7D-C61A-47C5-9B30-FD9BCA05DBB6}"/>
    <cellStyle name="Currency 5 3 6" xfId="2301" xr:uid="{00000000-0005-0000-0000-0000D8020000}"/>
    <cellStyle name="Currency 5 3 6 2" xfId="7428" xr:uid="{37D454D2-98EC-4ECA-875B-525C939A12B9}"/>
    <cellStyle name="Currency 5 3 6 2 2" xfId="17808" xr:uid="{FD2A3EEF-D7B3-4708-9FF7-7DBA0EEEC3A6}"/>
    <cellStyle name="Currency 5 3 6 3" xfId="10261" xr:uid="{66DE0595-77D0-44E2-BBAB-22A938590D29}"/>
    <cellStyle name="Currency 5 3 6 3 2" xfId="20641" xr:uid="{5A5654FD-D243-4742-BB0B-511AAA74AA3D}"/>
    <cellStyle name="Currency 5 3 6 4" xfId="24668" xr:uid="{953EE173-511B-4B9D-A92A-2D18C7063975}"/>
    <cellStyle name="Currency 5 3 6 5" xfId="28653" xr:uid="{8A1E049F-A38F-4793-A084-89101582F1E5}"/>
    <cellStyle name="Currency 5 3 6 6" xfId="14975" xr:uid="{A75CB0B2-BEB0-40BE-BC81-57A1FBA3825F}"/>
    <cellStyle name="Currency 5 3 7" xfId="3832" xr:uid="{4F7D27AA-E36A-485B-B1CA-FAD81716445B}"/>
    <cellStyle name="Currency 5 3 7 2" xfId="8665" xr:uid="{CA439490-CAC7-4667-8AAC-FC5DAB444913}"/>
    <cellStyle name="Currency 5 3 7 2 2" xfId="19045" xr:uid="{CA2B8348-30AA-4FB0-AE43-CECC40FCD663}"/>
    <cellStyle name="Currency 5 3 7 3" xfId="11498" xr:uid="{B425CEAF-FDE3-4E01-8713-78F3DCD91BC4}"/>
    <cellStyle name="Currency 5 3 7 3 2" xfId="21878" xr:uid="{D7EFDDC8-32C9-4BC3-A30B-61BCCA7B0596}"/>
    <cellStyle name="Currency 5 3 7 4" xfId="26162" xr:uid="{02640B68-3BEC-48B3-AC71-22D042167650}"/>
    <cellStyle name="Currency 5 3 7 5" xfId="25943" xr:uid="{B7C5EF07-BCE7-453B-898D-822557617857}"/>
    <cellStyle name="Currency 5 3 7 6" xfId="16212" xr:uid="{E8BDBC14-C79C-495C-87FC-BF87E75E23FC}"/>
    <cellStyle name="Currency 5 3 8" xfId="4977" xr:uid="{72549817-FBAA-4BE4-BCFB-74426F487CE8}"/>
    <cellStyle name="Currency 5 3 8 2" xfId="14272" xr:uid="{84018680-E061-4D9B-B808-5B964A2F0278}"/>
    <cellStyle name="Currency 5 3 9" xfId="6725" xr:uid="{7F742B85-07C3-4481-90BB-0054BDEEFD95}"/>
    <cellStyle name="Currency 5 3 9 2" xfId="17105" xr:uid="{86DC57A8-873C-436C-A7EF-6D6D1E4794F1}"/>
    <cellStyle name="Currency 5 4" xfId="595" xr:uid="{00000000-0005-0000-0000-0000F2030000}"/>
    <cellStyle name="Currency 5 4 10" xfId="12691" xr:uid="{91FE20A7-7F48-4F48-AD49-63CAB8CF3EEC}"/>
    <cellStyle name="Currency 5 4 2" xfId="1978" xr:uid="{00000000-0005-0000-0000-0000F3030000}"/>
    <cellStyle name="Currency 5 4 2 2" xfId="3115" xr:uid="{00000000-0005-0000-0000-0000DF020000}"/>
    <cellStyle name="Currency 5 4 2 2 2" xfId="8195" xr:uid="{608C7477-457B-446D-B4DA-1DE51946CB0C}"/>
    <cellStyle name="Currency 5 4 2 2 2 2" xfId="28861" xr:uid="{E574C560-A659-49CE-8A64-D1A07C293872}"/>
    <cellStyle name="Currency 5 4 2 2 2 3" xfId="27737" xr:uid="{A8559155-7CA4-4F41-9566-ACCBE439BD16}"/>
    <cellStyle name="Currency 5 4 2 2 2 4" xfId="18575" xr:uid="{326B5A18-FE67-48F1-857D-9002C90345F5}"/>
    <cellStyle name="Currency 5 4 2 2 3" xfId="11028" xr:uid="{92F448A3-E2F1-491A-BEB4-F0D29626B307}"/>
    <cellStyle name="Currency 5 4 2 2 3 2" xfId="21408" xr:uid="{8E9DA054-293F-4B35-9F07-D93D74CA882A}"/>
    <cellStyle name="Currency 5 4 2 2 4" xfId="23747" xr:uid="{0CC4DA2D-40A8-4977-A8A0-7877AAC19348}"/>
    <cellStyle name="Currency 5 4 2 2 5" xfId="15742" xr:uid="{A7D646FF-DCED-4ADD-A46C-B4FB30D778F5}"/>
    <cellStyle name="Currency 5 4 2 3" xfId="3642" xr:uid="{00000000-0005-0000-0000-0000F3030000}"/>
    <cellStyle name="Currency 5 4 2 3 2" xfId="29878" xr:uid="{B3CAC922-2AE4-4E7E-B044-6A27C64DBF16}"/>
    <cellStyle name="Currency 5 4 2 4" xfId="5715" xr:uid="{671213EE-3688-4CDB-B942-51A717C3AE88}"/>
    <cellStyle name="Currency 5 4 2 4 2" xfId="30142" xr:uid="{689A7CB6-BF88-47F8-966A-F157D608D6AD}"/>
    <cellStyle name="Currency 5 4 2 5" xfId="22823" xr:uid="{93D8A375-BAFB-437F-86FC-856A9BB2B527}"/>
    <cellStyle name="Currency 5 4 2 6" xfId="13635" xr:uid="{59CC9632-D058-4580-807A-C5EA2077C297}"/>
    <cellStyle name="Currency 5 4 3" xfId="1979" xr:uid="{00000000-0005-0000-0000-0000F4030000}"/>
    <cellStyle name="Currency 5 4 3 2" xfId="2699" xr:uid="{00000000-0005-0000-0000-0000E0020000}"/>
    <cellStyle name="Currency 5 4 3 2 2" xfId="7823" xr:uid="{9341D43D-1C0E-42BD-9D8B-CA18E72E65F2}"/>
    <cellStyle name="Currency 5 4 3 2 2 2" xfId="18203" xr:uid="{EB82C059-FCC5-413A-933D-7D4E33815D96}"/>
    <cellStyle name="Currency 5 4 3 2 3" xfId="10656" xr:uid="{B84212C0-4E2C-4BC6-AF4A-87BB56C1A2BC}"/>
    <cellStyle name="Currency 5 4 3 2 3 2" xfId="21036" xr:uid="{0E5706C4-251B-4ACD-847A-54DAED91BE3A}"/>
    <cellStyle name="Currency 5 4 3 2 4" xfId="15370" xr:uid="{1DDD8357-BD14-4A90-A5B6-F047397DF222}"/>
    <cellStyle name="Currency 5 4 3 3" xfId="2076" xr:uid="{00000000-0005-0000-0000-0000F4030000}"/>
    <cellStyle name="Currency 5 4 3 3 2" xfId="30215" xr:uid="{E9EE328A-5D7D-46B6-9567-0D12953994C7}"/>
    <cellStyle name="Currency 5 4 3 4" xfId="5716" xr:uid="{C626BE1A-2589-41B4-9BF0-6DAE18296A2F}"/>
    <cellStyle name="Currency 5 4 3 4 2" xfId="30600" xr:uid="{84AF0433-EF6A-4B5D-B664-0604057E7B15}"/>
    <cellStyle name="Currency 5 4 3 5" xfId="24141" xr:uid="{A701F4B5-A178-4B62-9F6D-3F10986EB839}"/>
    <cellStyle name="Currency 5 4 3 6" xfId="13117" xr:uid="{016BC64A-2097-4BBD-A94A-7AB945153B0D}"/>
    <cellStyle name="Currency 5 4 4" xfId="1977" xr:uid="{00000000-0005-0000-0000-0000F5030000}"/>
    <cellStyle name="Currency 5 4 4 2" xfId="4687" xr:uid="{4A9AF939-667D-426D-BF72-468498A1B299}"/>
    <cellStyle name="Currency 5 4 4 2 2" xfId="9419" xr:uid="{DCC31A4E-62FC-4BBF-B111-099F2404D1D3}"/>
    <cellStyle name="Currency 5 4 4 2 2 2" xfId="19799" xr:uid="{1A9D43C8-75CA-4A65-86DA-6C19B5A8B3C2}"/>
    <cellStyle name="Currency 5 4 4 2 3" xfId="12252" xr:uid="{A6A378A7-7F53-4A49-B81B-6D854337725F}"/>
    <cellStyle name="Currency 5 4 4 2 3 2" xfId="22632" xr:uid="{036EA76D-6C2F-4A47-BAFD-8A3C8A6EB59F}"/>
    <cellStyle name="Currency 5 4 4 2 4" xfId="26957" xr:uid="{A643EE9A-7110-41F1-BE5E-9E5F937DAD2E}"/>
    <cellStyle name="Currency 5 4 4 2 5" xfId="27890" xr:uid="{B1C1B6A2-8145-467F-BFC5-731084B68B53}"/>
    <cellStyle name="Currency 5 4 4 2 6" xfId="16966" xr:uid="{FAF55C85-0749-4872-95DC-8EF33A3C598C}"/>
    <cellStyle name="Currency 5 4 4 3" xfId="25438" xr:uid="{CA55A9C6-C83B-4E04-9403-84DCF3766DC3}"/>
    <cellStyle name="Currency 5 4 4 3 2" xfId="30263" xr:uid="{9E8C4531-ADBB-4CF9-8662-65F8013D1C49}"/>
    <cellStyle name="Currency 5 4 4 4" xfId="30671" xr:uid="{E409508D-4EC4-41CC-94BE-4AF661FDB11F}"/>
    <cellStyle name="Currency 5 4 4 5" xfId="29721" xr:uid="{E458D314-439E-4D07-A5DD-0B916A27E8DC}"/>
    <cellStyle name="Currency 5 4 5" xfId="4143" xr:uid="{4351797D-9F35-45B9-A501-D6C8B37865AB}"/>
    <cellStyle name="Currency 5 4 5 2" xfId="8915" xr:uid="{58F36EE9-2E46-479C-9774-5A44F1F69E95}"/>
    <cellStyle name="Currency 5 4 5 2 2" xfId="29016" xr:uid="{2A89CA53-4B3E-48BB-BFC5-A31C57775E4F}"/>
    <cellStyle name="Currency 5 4 5 2 3" xfId="27421" xr:uid="{9F5A11DB-F689-4946-97CF-E74A490888DF}"/>
    <cellStyle name="Currency 5 4 5 2 4" xfId="19295" xr:uid="{8310129C-6CF4-4DC5-AFA2-A7C7B72CA879}"/>
    <cellStyle name="Currency 5 4 5 3" xfId="11748" xr:uid="{EA5370BB-422B-45AF-91B1-117312D9EF82}"/>
    <cellStyle name="Currency 5 4 5 3 2" xfId="22128" xr:uid="{4FB895CC-5250-42D6-B349-900B7EC8493D}"/>
    <cellStyle name="Currency 5 4 5 4" xfId="25808" xr:uid="{1B0D57D7-4222-41ED-906A-604F94DFF6BF}"/>
    <cellStyle name="Currency 5 4 5 5" xfId="16462" xr:uid="{89F97546-8E0D-4D87-BD1D-2D9C95D03802}"/>
    <cellStyle name="Currency 5 4 6" xfId="4978" xr:uid="{05AA86AA-B956-4C7D-A85F-E71ECC7E3D77}"/>
    <cellStyle name="Currency 5 4 6 2" xfId="27407" xr:uid="{1D6F3CF0-6FC0-4471-864E-B6327B69F8F3}"/>
    <cellStyle name="Currency 5 4 6 3" xfId="28475" xr:uid="{7FB88171-DFFE-466B-8BFD-5009AC714BDE}"/>
    <cellStyle name="Currency 5 4 6 4" xfId="14273" xr:uid="{7F2B38FB-4F6E-42CE-8FAB-D074634CBA5E}"/>
    <cellStyle name="Currency 5 4 7" xfId="6726" xr:uid="{F09D6F83-2D9D-49C9-A0DD-63FB6631CDAF}"/>
    <cellStyle name="Currency 5 4 7 2" xfId="27471" xr:uid="{3E163E22-5C8D-462B-A9C0-375C535D2B24}"/>
    <cellStyle name="Currency 5 4 7 3" xfId="26590" xr:uid="{FFE8322E-E7E0-4E1B-94B0-854A7D0E1DC2}"/>
    <cellStyle name="Currency 5 4 7 4" xfId="17106" xr:uid="{3FDF2449-9107-48F9-AB7E-CCFE792520C0}"/>
    <cellStyle name="Currency 5 4 8" xfId="9559" xr:uid="{FFB26C31-5CDB-487B-B8B5-EA32DD2E44C9}"/>
    <cellStyle name="Currency 5 4 8 2" xfId="19939" xr:uid="{5F7B9E25-5849-4F68-B7D7-0E93C280E9FF}"/>
    <cellStyle name="Currency 5 4 9" xfId="24092" xr:uid="{0C8BFE14-6BAD-41F0-B421-3FE0ED6862E4}"/>
    <cellStyle name="Currency 5 5" xfId="596" xr:uid="{00000000-0005-0000-0000-0000F6030000}"/>
    <cellStyle name="Currency 5 5 10" xfId="13636" xr:uid="{C24FF668-0F55-4C40-B058-589BF35CA821}"/>
    <cellStyle name="Currency 5 5 2" xfId="1981" xr:uid="{00000000-0005-0000-0000-0000F7030000}"/>
    <cellStyle name="Currency 5 5 2 2" xfId="25669" xr:uid="{790EC5A2-5E7E-41A1-9E04-568B7350D030}"/>
    <cellStyle name="Currency 5 5 2 2 2" xfId="30330" xr:uid="{C6CF9F2E-B6AD-4886-9F55-B6034FB843D6}"/>
    <cellStyle name="Currency 5 5 2 3" xfId="23372" xr:uid="{B1715BAC-BC59-417D-8714-CAE2DF61EF57}"/>
    <cellStyle name="Currency 5 5 2 4" xfId="30048" xr:uid="{2CFC6D91-C211-458A-8B12-330D7EE759D9}"/>
    <cellStyle name="Currency 5 5 3" xfId="1982" xr:uid="{00000000-0005-0000-0000-0000F8030000}"/>
    <cellStyle name="Currency 5 5 3 2" xfId="29792" xr:uid="{CE28A6E9-A646-4843-9419-3A011720313E}"/>
    <cellStyle name="Currency 5 5 4" xfId="1980" xr:uid="{00000000-0005-0000-0000-0000F9030000}"/>
    <cellStyle name="Currency 5 5 4 2" xfId="30073" xr:uid="{F524A36B-2F3F-41DF-A07C-4FE9276F2EE6}"/>
    <cellStyle name="Currency 5 5 5" xfId="4437" xr:uid="{DAAD0B37-ADB8-4F3A-B982-31942735FAA9}"/>
    <cellStyle name="Currency 5 5 5 2" xfId="9209" xr:uid="{9F8D59D1-09B3-40C2-8B8B-F268F51DD1BB}"/>
    <cellStyle name="Currency 5 5 5 2 2" xfId="19589" xr:uid="{E3D20698-26E1-4A07-B56F-F00E9B23B379}"/>
    <cellStyle name="Currency 5 5 5 3" xfId="12042" xr:uid="{F5B7CD9A-2460-4120-9BDA-946B16A1F489}"/>
    <cellStyle name="Currency 5 5 5 3 2" xfId="22422" xr:uid="{49C8612A-B147-4726-9FC5-A28CE79D1144}"/>
    <cellStyle name="Currency 5 5 5 4" xfId="16756" xr:uid="{04719F41-4A62-4119-84DB-2843D9CB414A}"/>
    <cellStyle name="Currency 5 5 6" xfId="4979" xr:uid="{1AAFD49D-1AC0-435F-A1BE-BB2B4E0816E8}"/>
    <cellStyle name="Currency 5 5 6 2" xfId="14274" xr:uid="{1DB61BD0-C769-437A-BCF9-6F8208D65BA2}"/>
    <cellStyle name="Currency 5 5 7" xfId="6727" xr:uid="{76D83108-19A4-4119-B570-B4BB73744FC8}"/>
    <cellStyle name="Currency 5 5 7 2" xfId="17107" xr:uid="{3F366261-FB4D-4435-85E6-7F4A971C6329}"/>
    <cellStyle name="Currency 5 5 8" xfId="9560" xr:uid="{EE655E4D-0198-4FDF-B8D8-1829D78D95FE}"/>
    <cellStyle name="Currency 5 5 8 2" xfId="19940" xr:uid="{88DD83A9-4B72-41FF-83A9-1B6BD2B45F06}"/>
    <cellStyle name="Currency 5 5 9" xfId="24978" xr:uid="{8A0125E3-2A7B-4AD7-91C0-3A287C64D067}"/>
    <cellStyle name="Currency 5 6" xfId="1983" xr:uid="{00000000-0005-0000-0000-0000FA030000}"/>
    <cellStyle name="Currency 5 6 2" xfId="2888" xr:uid="{00000000-0005-0000-0000-0000E2020000}"/>
    <cellStyle name="Currency 5 6 2 2" xfId="8005" xr:uid="{2E193E91-A01E-474F-B187-BDECE44FC3CE}"/>
    <cellStyle name="Currency 5 6 2 2 2" xfId="28211" xr:uid="{14B6FC4E-13C6-486E-BD2F-5876CC7E56F9}"/>
    <cellStyle name="Currency 5 6 2 2 3" xfId="25937" xr:uid="{7B1B73F0-B870-470B-B1FF-EC0D27148914}"/>
    <cellStyle name="Currency 5 6 2 2 4" xfId="18385" xr:uid="{76291567-BE7E-43A2-82AA-B861F2BCB18B}"/>
    <cellStyle name="Currency 5 6 2 3" xfId="10838" xr:uid="{8F3BAA17-2897-4FC4-B162-B95A2EF15202}"/>
    <cellStyle name="Currency 5 6 2 3 2" xfId="21218" xr:uid="{59BCAAB1-0305-4051-9B80-D7CB1593BCE7}"/>
    <cellStyle name="Currency 5 6 2 4" xfId="24078" xr:uid="{F76CEBF8-4834-40F1-A0A9-6F44D2561F5C}"/>
    <cellStyle name="Currency 5 6 2 5" xfId="15552" xr:uid="{42E59D82-A4BB-4E12-8D3B-A7ADF868AE10}"/>
    <cellStyle name="Currency 5 6 3" xfId="3691" xr:uid="{00000000-0005-0000-0000-0000FA030000}"/>
    <cellStyle name="Currency 5 6 3 2" xfId="29832" xr:uid="{8759AC52-DB6D-4D84-A57C-6FBEC16EB2AF}"/>
    <cellStyle name="Currency 5 6 4" xfId="5717" xr:uid="{44AFBA4B-F3DA-45E7-8031-F5B823D74560}"/>
    <cellStyle name="Currency 5 6 4 2" xfId="30116" xr:uid="{D69129AA-1D80-4AB8-86EB-29646BD58711}"/>
    <cellStyle name="Currency 5 6 5" xfId="24383" xr:uid="{CEE84C07-4DD9-4E37-9909-5EA26BFF24D9}"/>
    <cellStyle name="Currency 5 6 6" xfId="13389" xr:uid="{FE2E4751-23A1-443E-A06D-B4B73D4BD3D1}"/>
    <cellStyle name="Currency 5 7" xfId="1984" xr:uid="{00000000-0005-0000-0000-0000FB030000}"/>
    <cellStyle name="Currency 5 7 2" xfId="2481" xr:uid="{00000000-0005-0000-0000-0000E3020000}"/>
    <cellStyle name="Currency 5 7 2 2" xfId="7606" xr:uid="{81B6ED4A-CE42-4A61-BC5D-69B84F9C950A}"/>
    <cellStyle name="Currency 5 7 2 2 2" xfId="17986" xr:uid="{EC1E4757-EBAC-4784-BD20-FAE4953C5107}"/>
    <cellStyle name="Currency 5 7 2 3" xfId="10439" xr:uid="{D96C0D71-7FB5-47A8-A8D2-DFF0C562FC28}"/>
    <cellStyle name="Currency 5 7 2 3 2" xfId="20819" xr:uid="{5704FB28-4B0F-4916-BAB8-DD4E455FE1C1}"/>
    <cellStyle name="Currency 5 7 2 4" xfId="28061" xr:uid="{176DABD7-062A-41D4-A3E9-5125FE11A5A2}"/>
    <cellStyle name="Currency 5 7 2 5" xfId="28112" xr:uid="{089B1CD4-9833-4307-A3A8-197B98A42D20}"/>
    <cellStyle name="Currency 5 7 2 6" xfId="15153" xr:uid="{E7288997-845B-4A37-A39E-CB8CA64486CE}"/>
    <cellStyle name="Currency 5 7 3" xfId="3647" xr:uid="{00000000-0005-0000-0000-0000FB030000}"/>
    <cellStyle name="Currency 5 7 3 2" xfId="30179" xr:uid="{30A4A466-AF6E-4DB8-A42D-AB582390C293}"/>
    <cellStyle name="Currency 5 7 4" xfId="5718" xr:uid="{D5A2B45C-A8A1-436C-867B-5602BB3F9600}"/>
    <cellStyle name="Currency 5 7 4 2" xfId="30530" xr:uid="{803D785F-E524-4304-A597-2E0D39902BF1}"/>
    <cellStyle name="Currency 5 7 5" xfId="25198" xr:uid="{F805B778-1D64-4E1D-8196-D016BB112E02}"/>
    <cellStyle name="Currency 5 7 6" xfId="12869" xr:uid="{0768B0B1-F2DF-46EA-BF3F-F005417F30AF}"/>
    <cellStyle name="Currency 5 8" xfId="1964" xr:uid="{00000000-0005-0000-0000-0000FC030000}"/>
    <cellStyle name="Currency 5 8 2" xfId="2175" xr:uid="{00000000-0005-0000-0000-0000CA020000}"/>
    <cellStyle name="Currency 5 8 2 2" xfId="7302" xr:uid="{2BA16162-0B6E-4C20-8A60-28E540FB236F}"/>
    <cellStyle name="Currency 5 8 2 2 2" xfId="17682" xr:uid="{2CEA732B-993F-4E49-B872-4050164EE667}"/>
    <cellStyle name="Currency 5 8 2 3" xfId="10135" xr:uid="{66F8AB2E-3877-4275-A413-CAAED56745D9}"/>
    <cellStyle name="Currency 5 8 2 3 2" xfId="20515" xr:uid="{F81159EA-7D78-4921-A44E-95C8EE2125C2}"/>
    <cellStyle name="Currency 5 8 2 4" xfId="26738" xr:uid="{6FD107C8-114F-437F-825E-FA84EED388ED}"/>
    <cellStyle name="Currency 5 8 2 5" xfId="26490" xr:uid="{D98CFA33-C3DA-4AA7-9704-EC68A6C02AD1}"/>
    <cellStyle name="Currency 5 8 2 6" xfId="14849" xr:uid="{E36A90A7-BB3D-4AB2-AD35-1E4820D63B8B}"/>
    <cellStyle name="Currency 5 8 3" xfId="3699" xr:uid="{00000000-0005-0000-0000-0000FC030000}"/>
    <cellStyle name="Currency 5 8 3 2" xfId="30640" xr:uid="{7D80A2F8-F94B-4EEE-8F7F-F7137F287F24}"/>
    <cellStyle name="Currency 5 8 4" xfId="23106" xr:uid="{CBC88581-24CC-458C-88B9-2467C62CDA1B}"/>
    <cellStyle name="Currency 5 9" xfId="3890" xr:uid="{089FD322-7546-4AC5-8174-2B983C2A3FFE}"/>
    <cellStyle name="Currency 5 9 2" xfId="8722" xr:uid="{46C8EBAA-AF0F-49E2-B11D-4F23B851DDE3}"/>
    <cellStyle name="Currency 5 9 2 2" xfId="19102" xr:uid="{3CB0A62C-3199-451E-93BA-2F628417CE2F}"/>
    <cellStyle name="Currency 5 9 3" xfId="11555" xr:uid="{412B073C-4D5A-4365-8D2A-427813A664D6}"/>
    <cellStyle name="Currency 5 9 3 2" xfId="21935" xr:uid="{380DAE2D-2C25-449B-A3D6-DCB50C838165}"/>
    <cellStyle name="Currency 5 9 4" xfId="26139" xr:uid="{369AE772-9A07-4F68-A207-2E6415819356}"/>
    <cellStyle name="Currency 5 9 5" xfId="25849" xr:uid="{EBFBB05E-9A8E-4913-AC3E-CC6EB926AF5B}"/>
    <cellStyle name="Currency 5 9 6" xfId="16269" xr:uid="{0C6BF226-38BF-43C2-AEDA-7E1BF8DDD751}"/>
    <cellStyle name="Currency 6" xfId="597" xr:uid="{00000000-0005-0000-0000-0000FD030000}"/>
    <cellStyle name="Currency 6 10" xfId="9561" xr:uid="{1EA0F611-3155-48A5-8C31-EEC6CE029B84}"/>
    <cellStyle name="Currency 6 10 2" xfId="19941" xr:uid="{14666BCF-C789-4475-BFDE-8152F12E9745}"/>
    <cellStyle name="Currency 6 11" xfId="23619" xr:uid="{7664BDC0-6195-4172-9E81-37B7AE460F56}"/>
    <cellStyle name="Currency 6 12" xfId="12492" xr:uid="{D12D9897-9D11-4078-925E-AEBA1F89B9F2}"/>
    <cellStyle name="Currency 6 2" xfId="1986" xr:uid="{00000000-0005-0000-0000-0000FE030000}"/>
    <cellStyle name="Currency 6 2 2" xfId="3117" xr:uid="{00000000-0005-0000-0000-0000E6020000}"/>
    <cellStyle name="Currency 6 2 2 2" xfId="6176" xr:uid="{41933847-B37D-4CF3-B1C3-C2A3F0023F76}"/>
    <cellStyle name="Currency 6 2 2 2 2" xfId="25464" xr:uid="{C5B4FCA3-71BB-46EB-B165-796FF42A1962}"/>
    <cellStyle name="Currency 6 2 2 2 2 2" xfId="26042" xr:uid="{49327C3C-5CC5-4E00-A2C7-077FC4F6646A}"/>
    <cellStyle name="Currency 6 2 2 2 3" xfId="27794" xr:uid="{F7BA3B34-2026-45D8-BC9D-A78B757B57CC}"/>
    <cellStyle name="Currency 6 2 2 2 4" xfId="15744" xr:uid="{96897134-F6B2-40EC-9D96-14782BAB8DB0}"/>
    <cellStyle name="Currency 6 2 2 3" xfId="8197" xr:uid="{935FC321-B1BF-4E0C-9691-C96009EC3645}"/>
    <cellStyle name="Currency 6 2 2 3 2" xfId="18577" xr:uid="{41DDD923-352C-4561-812D-9F1C77F6D68A}"/>
    <cellStyle name="Currency 6 2 2 4" xfId="11030" xr:uid="{12F3EE4D-909E-4E6C-BAB4-2A665E6B37D7}"/>
    <cellStyle name="Currency 6 2 2 4 2" xfId="21410" xr:uid="{B12CEDAB-C56F-4467-9B7D-62209E82D808}"/>
    <cellStyle name="Currency 6 2 2 5" xfId="24481" xr:uid="{B9ABA610-844E-4614-BED9-97A27F232E46}"/>
    <cellStyle name="Currency 6 2 2 6" xfId="28368" xr:uid="{EBCA16AE-96D4-488D-A986-859CC7AA8139}"/>
    <cellStyle name="Currency 6 2 2 7" xfId="13638" xr:uid="{C0201F41-C9BE-43C8-A20F-53347090CEC1}"/>
    <cellStyle name="Currency 6 2 3" xfId="2703" xr:uid="{00000000-0005-0000-0000-0000E5020000}"/>
    <cellStyle name="Currency 6 2 3 2" xfId="7827" xr:uid="{F41249D0-7A9D-49D8-B97E-C71575881320}"/>
    <cellStyle name="Currency 6 2 3 2 2" xfId="27037" xr:uid="{C6DBE360-F8D9-4524-8089-2596FC9BD3A5}"/>
    <cellStyle name="Currency 6 2 3 2 3" xfId="28227" xr:uid="{D945A51B-627C-432C-82FB-D3AEB4B6BA7C}"/>
    <cellStyle name="Currency 6 2 3 2 4" xfId="18207" xr:uid="{E8D108F8-6C70-4CA6-BB20-483DC8D21A83}"/>
    <cellStyle name="Currency 6 2 3 3" xfId="10660" xr:uid="{EA5F64A1-BB6C-4133-87BA-209B1E04BE7A}"/>
    <cellStyle name="Currency 6 2 3 3 2" xfId="21040" xr:uid="{2209A6D1-CB4E-49BC-BE78-A9256B537895}"/>
    <cellStyle name="Currency 6 2 3 4" xfId="24805" xr:uid="{90B1C746-CEC8-4244-AC5B-0741602C24AB}"/>
    <cellStyle name="Currency 6 2 3 5" xfId="15374" xr:uid="{932ADFCE-F4FC-461A-828F-1AE3D6AE8352}"/>
    <cellStyle name="Currency 6 2 4" xfId="3655" xr:uid="{00000000-0005-0000-0000-0000FE030000}"/>
    <cellStyle name="Currency 6 2 4 2" xfId="28454" xr:uid="{63F8D999-7F7B-4DAE-890C-454CEE7A69B1}"/>
    <cellStyle name="Currency 6 2 4 2 2" xfId="29808" xr:uid="{010BF1E1-0BED-4A17-85C8-B5114A840741}"/>
    <cellStyle name="Currency 6 2 4 3" xfId="25894" xr:uid="{7C3EFCC2-60A4-44AB-9B00-3C8AEB3CC08F}"/>
    <cellStyle name="Currency 6 2 5" xfId="4280" xr:uid="{0A54B1B6-D5EC-4B60-8488-8E844F69E768}"/>
    <cellStyle name="Currency 6 2 5 2" xfId="9052" xr:uid="{96D08450-67FA-427F-A700-EE2FA7C1E6D0}"/>
    <cellStyle name="Currency 6 2 5 2 2" xfId="19432" xr:uid="{8B446E14-3E80-406E-AB72-E793AB585FB6}"/>
    <cellStyle name="Currency 6 2 5 3" xfId="11885" xr:uid="{6FED515D-769D-402D-BE61-E7E5C151CA14}"/>
    <cellStyle name="Currency 6 2 5 3 2" xfId="22265" xr:uid="{77DDBDA7-10D1-494E-853A-E3E54A80E644}"/>
    <cellStyle name="Currency 6 2 5 4" xfId="26219" xr:uid="{F88209D4-2611-4A4D-80C0-183001678291}"/>
    <cellStyle name="Currency 6 2 5 5" xfId="27666" xr:uid="{EDFDCC1C-357B-436A-9571-FC29BC349F21}"/>
    <cellStyle name="Currency 6 2 5 6" xfId="16599" xr:uid="{689D998D-21E7-44E1-B5E5-EEF577F2B970}"/>
    <cellStyle name="Currency 6 2 6" xfId="5720" xr:uid="{211A447E-EC8D-47DF-A862-D72C839427FA}"/>
    <cellStyle name="Currency 6 2 6 2" xfId="30393" xr:uid="{725CDF99-92EC-4F03-B797-2FE3B8BA9473}"/>
    <cellStyle name="Currency 6 2 7" xfId="24758" xr:uid="{E9123834-46AB-4CF8-ABC6-146C5D9A9E59}"/>
    <cellStyle name="Currency 6 2 8" xfId="13121" xr:uid="{AF98AD0D-47DC-446A-B679-F04EDFEFA06F}"/>
    <cellStyle name="Currency 6 3" xfId="1987" xr:uid="{00000000-0005-0000-0000-0000FF030000}"/>
    <cellStyle name="Currency 6 3 2" xfId="3118" xr:uid="{00000000-0005-0000-0000-0000E7020000}"/>
    <cellStyle name="Currency 6 3 2 2" xfId="8198" xr:uid="{A42269E5-EF6D-4546-883F-087D96D68D71}"/>
    <cellStyle name="Currency 6 3 2 2 2" xfId="28863" xr:uid="{D8DF697A-1BCE-42F1-B1E7-69818B45F003}"/>
    <cellStyle name="Currency 6 3 2 2 3" xfId="27523" xr:uid="{01BC7D5D-223E-4CAC-ACAC-DEE3D97D95FD}"/>
    <cellStyle name="Currency 6 3 2 2 4" xfId="18578" xr:uid="{BAFB95C7-D894-4254-9F23-CC8D8627E608}"/>
    <cellStyle name="Currency 6 3 2 3" xfId="11031" xr:uid="{DB002C45-3523-403B-92E9-95BAF0B84C52}"/>
    <cellStyle name="Currency 6 3 2 3 2" xfId="21411" xr:uid="{97F49ADB-395D-4F19-8B4A-AA2DD331D327}"/>
    <cellStyle name="Currency 6 3 2 4" xfId="23412" xr:uid="{331CA974-3839-4E27-88BD-C4F3536B56DC}"/>
    <cellStyle name="Currency 6 3 2 5" xfId="15745" xr:uid="{3D44AFBD-6996-4D3D-9D97-27BC1D839A73}"/>
    <cellStyle name="Currency 6 3 3" xfId="3548" xr:uid="{00000000-0005-0000-0000-0000FF030000}"/>
    <cellStyle name="Currency 6 3 3 2" xfId="29863" xr:uid="{E12BE549-5AF2-4EE0-8370-E35FBECF1E12}"/>
    <cellStyle name="Currency 6 3 4" xfId="4438" xr:uid="{ED58BECA-A716-49F3-8373-3BDA6CD396BE}"/>
    <cellStyle name="Currency 6 3 4 2" xfId="9210" xr:uid="{F7AB1362-96BC-4846-AC98-58AA61C4ADF0}"/>
    <cellStyle name="Currency 6 3 4 2 2" xfId="19590" xr:uid="{2416904C-F46A-405C-9FE3-E739BF625B09}"/>
    <cellStyle name="Currency 6 3 4 3" xfId="12043" xr:uid="{808FC44F-BE7D-400B-865D-37EAC5AE0468}"/>
    <cellStyle name="Currency 6 3 4 3 2" xfId="22423" xr:uid="{63D3AC90-D885-4124-992E-75268A560771}"/>
    <cellStyle name="Currency 6 3 4 4" xfId="16757" xr:uid="{D834180F-68F2-40D5-B9E3-BE0B0228C591}"/>
    <cellStyle name="Currency 6 3 5" xfId="5721" xr:uid="{216E36E5-E6BE-4018-A098-F238F6D5197E}"/>
    <cellStyle name="Currency 6 3 5 2" xfId="30485" xr:uid="{80C9EBC0-0A80-431A-86A7-E56B1D91CCAE}"/>
    <cellStyle name="Currency 6 3 6" xfId="23593" xr:uid="{816385BB-9A36-41AC-AB41-223E5D48DAF7}"/>
    <cellStyle name="Currency 6 3 7" xfId="13639" xr:uid="{F82B903B-0C41-4CDC-8103-12D78468FD01}"/>
    <cellStyle name="Currency 6 4" xfId="1985" xr:uid="{00000000-0005-0000-0000-000000040000}"/>
    <cellStyle name="Currency 6 4 2" xfId="3116" xr:uid="{00000000-0005-0000-0000-0000E8020000}"/>
    <cellStyle name="Currency 6 4 2 2" xfId="8196" xr:uid="{9CBED767-ABC8-441E-B684-E9B5EBA52657}"/>
    <cellStyle name="Currency 6 4 2 2 2" xfId="28862" xr:uid="{7C250B5E-154C-4DE5-A0CC-D6485A63AF0C}"/>
    <cellStyle name="Currency 6 4 2 2 3" xfId="27793" xr:uid="{167F707A-BFA8-4003-BC7C-34480F30AF81}"/>
    <cellStyle name="Currency 6 4 2 2 4" xfId="18576" xr:uid="{9E96AF3C-CC09-4EC3-A506-996BCEF3600D}"/>
    <cellStyle name="Currency 6 4 2 3" xfId="11029" xr:uid="{E127B122-23EA-477E-A860-ECEA5366CDB4}"/>
    <cellStyle name="Currency 6 4 2 3 2" xfId="21409" xr:uid="{132D29D2-3492-42D0-A488-324147D9FCA5}"/>
    <cellStyle name="Currency 6 4 2 4" xfId="25757" xr:uid="{765C5510-ED98-4DB0-9C6E-A26BCE9DF2E0}"/>
    <cellStyle name="Currency 6 4 2 5" xfId="15743" xr:uid="{48F901EA-C6B5-43C6-9851-A3444CE29B6A}"/>
    <cellStyle name="Currency 6 4 3" xfId="3553" xr:uid="{00000000-0005-0000-0000-000000040000}"/>
    <cellStyle name="Currency 6 4 3 2" xfId="29935" xr:uid="{81EB51CE-4849-408E-8A70-C88759DE7496}"/>
    <cellStyle name="Currency 6 4 4" xfId="5719" xr:uid="{11FA6911-EB75-43D7-84D4-A0499B2EEBBB}"/>
    <cellStyle name="Currency 6 4 4 2" xfId="30205" xr:uid="{6546611E-26D2-4A27-B68D-76B8C951F83B}"/>
    <cellStyle name="Currency 6 4 5" xfId="24860" xr:uid="{5F7FD4A1-DB18-425B-B6D1-66A6965E70C1}"/>
    <cellStyle name="Currency 6 4 6" xfId="13637" xr:uid="{6DF1BF81-40CD-468A-B241-4518F1185C6D}"/>
    <cellStyle name="Currency 6 5" xfId="2655" xr:uid="{00000000-0005-0000-0000-0000E9020000}"/>
    <cellStyle name="Currency 6 5 2" xfId="5915" xr:uid="{884454CE-9BB5-4952-A318-76C10FC2969B}"/>
    <cellStyle name="Currency 6 5 2 2" xfId="27783" xr:uid="{4FDB38CB-03AA-42FF-B207-98D7582340D6}"/>
    <cellStyle name="Currency 6 5 2 3" xfId="28532" xr:uid="{A6A2558C-E1CD-4C2B-9176-8E13D2286CC5}"/>
    <cellStyle name="Currency 6 5 2 4" xfId="15327" xr:uid="{D9FDA700-08F4-4C71-93E9-9407BC6B886E}"/>
    <cellStyle name="Currency 6 5 3" xfId="7780" xr:uid="{F2FAB7B5-F236-4DC4-B28B-3A6854E4B875}"/>
    <cellStyle name="Currency 6 5 3 2" xfId="18160" xr:uid="{0C874C31-2A39-405A-A16A-A06F88C1AC35}"/>
    <cellStyle name="Currency 6 5 4" xfId="10613" xr:uid="{CB2DA553-5D06-48A8-AB3B-AACFD3650070}"/>
    <cellStyle name="Currency 6 5 4 2" xfId="20993" xr:uid="{1403120B-21CB-46E2-9B76-9DD978DC38D4}"/>
    <cellStyle name="Currency 6 5 5" xfId="24613" xr:uid="{67F13161-25AE-4408-95FE-08905A1D8AA1}"/>
    <cellStyle name="Currency 6 5 6" xfId="13057" xr:uid="{E9754CFD-B7FF-45FA-A0ED-3474F3A0F8F5}"/>
    <cellStyle name="Currency 6 6" xfId="2260" xr:uid="{00000000-0005-0000-0000-0000E4020000}"/>
    <cellStyle name="Currency 6 6 2" xfId="7387" xr:uid="{7C3D1EAE-4B6B-474E-9444-4BA9474956D4}"/>
    <cellStyle name="Currency 6 6 2 2" xfId="17767" xr:uid="{7157F5A0-44A1-4505-AA98-97C60BBF8A9B}"/>
    <cellStyle name="Currency 6 6 3" xfId="10220" xr:uid="{2FF151E0-A286-4D71-B98D-0244C7A48819}"/>
    <cellStyle name="Currency 6 6 3 2" xfId="20600" xr:uid="{B845B794-5689-492F-9725-A7C4850136EE}"/>
    <cellStyle name="Currency 6 6 4" xfId="24753" xr:uid="{ECD448A1-191F-40A2-AC56-85EC7F255739}"/>
    <cellStyle name="Currency 6 6 5" xfId="27107" xr:uid="{E7222C6F-38D4-4265-BAD5-F6A728370D82}"/>
    <cellStyle name="Currency 6 6 6" xfId="14934" xr:uid="{9160889B-8DC8-4D98-822E-48072C4B21D1}"/>
    <cellStyle name="Currency 6 7" xfId="3879" xr:uid="{360D4F66-F527-41D6-8F24-FCC5A5565C18}"/>
    <cellStyle name="Currency 6 7 2" xfId="8711" xr:uid="{17793515-7535-4B1E-AA90-9C7F622372E0}"/>
    <cellStyle name="Currency 6 7 2 2" xfId="19091" xr:uid="{04A3C4D1-648D-45E3-9B5E-0D47174CAAE3}"/>
    <cellStyle name="Currency 6 7 3" xfId="11544" xr:uid="{8A54C42F-7E13-48C8-80EA-59EB08013AEF}"/>
    <cellStyle name="Currency 6 7 3 2" xfId="21924" xr:uid="{7BBA711C-00CF-466C-9E78-9C3F01AD11AB}"/>
    <cellStyle name="Currency 6 7 4" xfId="26483" xr:uid="{E34036AA-DC09-4709-8C5E-380A56D25544}"/>
    <cellStyle name="Currency 6 7 5" xfId="27947" xr:uid="{467C4526-CA73-4ED5-8981-41B423076598}"/>
    <cellStyle name="Currency 6 7 6" xfId="16258" xr:uid="{7BC8DB39-A4BD-44E8-BB49-CB6E0CA6B3C2}"/>
    <cellStyle name="Currency 6 8" xfId="4980" xr:uid="{B78EC983-8FF8-45D6-A2BE-5944B0A2127E}"/>
    <cellStyle name="Currency 6 8 2" xfId="14275" xr:uid="{457A1028-6AA1-48DA-861B-93D3474006AF}"/>
    <cellStyle name="Currency 6 9" xfId="6728" xr:uid="{FEDA079E-B119-4EF6-B8D5-5B72B9E2447A}"/>
    <cellStyle name="Currency 6 9 2" xfId="17108" xr:uid="{C5054BCD-63D8-4D93-8946-F8D687080C64}"/>
    <cellStyle name="Currency 7" xfId="2689" xr:uid="{00000000-0005-0000-0000-0000EA020000}"/>
    <cellStyle name="Currency 7 2" xfId="3119" xr:uid="{00000000-0005-0000-0000-0000EB020000}"/>
    <cellStyle name="Currency 7 2 2" xfId="6177" xr:uid="{D9E1B83A-3F24-471B-9EDA-B54E6533FE98}"/>
    <cellStyle name="Currency 7 2 2 2" xfId="24685" xr:uid="{CEFCDACB-282E-4FF9-BC48-3099B0FC7EE8}"/>
    <cellStyle name="Currency 7 2 2 2 2" xfId="26465" xr:uid="{A5B4D759-8536-4897-8E66-68106CAB1926}"/>
    <cellStyle name="Currency 7 2 2 3" xfId="27289" xr:uid="{AB679207-A083-4BDA-AAF7-C356897E6C22}"/>
    <cellStyle name="Currency 7 2 2 4" xfId="15746" xr:uid="{D39065B7-B32F-45CB-83B8-87230959F43A}"/>
    <cellStyle name="Currency 7 2 3" xfId="8199" xr:uid="{3C3DEA77-9252-4CA8-95EE-509344333E7F}"/>
    <cellStyle name="Currency 7 2 3 2" xfId="28864" xr:uid="{68F4C44D-B657-416C-80FC-5D2B8078A738}"/>
    <cellStyle name="Currency 7 2 3 3" xfId="25956" xr:uid="{764CC72C-A203-49F1-83F5-21D1E1AC9C73}"/>
    <cellStyle name="Currency 7 2 3 4" xfId="18579" xr:uid="{46A679A2-A92A-43BF-8655-ACEB4DC7A7E3}"/>
    <cellStyle name="Currency 7 2 4" xfId="11032" xr:uid="{CE58C3F8-7D55-4BB5-BCAF-F941D45451FF}"/>
    <cellStyle name="Currency 7 2 4 2" xfId="21412" xr:uid="{3C7DC662-43E0-46B4-AC8B-4A2C14775DCF}"/>
    <cellStyle name="Currency 7 2 5" xfId="24754" xr:uid="{1744AF6C-B642-4038-B9F9-51CE37983E0F}"/>
    <cellStyle name="Currency 7 2 6" xfId="13640" xr:uid="{C64D0CCC-D5E4-4BBA-8D76-FCFD2937BB16}"/>
    <cellStyle name="Currency 7 3" xfId="4271" xr:uid="{5108D09C-1E19-45C4-93DC-64048A56B178}"/>
    <cellStyle name="Currency 7 3 2" xfId="9043" xr:uid="{8F7597DB-637C-46B3-83BD-6588FA3E34D5}"/>
    <cellStyle name="Currency 7 3 2 2" xfId="29095" xr:uid="{06FC2BF0-EBD5-4CEB-9242-29A9386AB13C}"/>
    <cellStyle name="Currency 7 3 2 3" xfId="28687" xr:uid="{A3FB48B2-3692-4591-8E9F-3E16484E5530}"/>
    <cellStyle name="Currency 7 3 2 4" xfId="19423" xr:uid="{8B236A8B-DEBD-4E86-A4CE-0E6F116B28C3}"/>
    <cellStyle name="Currency 7 3 3" xfId="11876" xr:uid="{C614D5A7-091C-4DD5-BA80-8AEEF15D9816}"/>
    <cellStyle name="Currency 7 3 3 2" xfId="22256" xr:uid="{945F5127-9043-4071-B578-DE8BFB6A1213}"/>
    <cellStyle name="Currency 7 3 4" xfId="24603" xr:uid="{3F6D4EEB-B317-43CE-93BF-EB575C97ED08}"/>
    <cellStyle name="Currency 7 3 5" xfId="16590" xr:uid="{C10B803F-9C27-4444-8090-74F8AD11404E}"/>
    <cellStyle name="Currency 7 4" xfId="5922" xr:uid="{888BDFFC-D2BF-45F4-A2B0-4399EE5C49DE}"/>
    <cellStyle name="Currency 7 4 2" xfId="25904" xr:uid="{3BF6F9AB-DC2E-447F-A41D-2567B62C22C6}"/>
    <cellStyle name="Currency 7 4 3" xfId="28062" xr:uid="{AA463E49-7A22-4909-979B-7CAF52DEDD91}"/>
    <cellStyle name="Currency 7 4 4" xfId="15360" xr:uid="{F3E089C9-EB82-4D8E-A808-DBDDFDF0CBC6}"/>
    <cellStyle name="Currency 7 5" xfId="7813" xr:uid="{6050E524-E0E1-4F67-919D-9C66FA0948FE}"/>
    <cellStyle name="Currency 7 5 2" xfId="28084" xr:uid="{A188E16C-5F3D-4633-9AD1-4AE3F6637154}"/>
    <cellStyle name="Currency 7 5 3" xfId="27117" xr:uid="{9FBEB50B-1AEB-4BCF-8344-A76646EF3686}"/>
    <cellStyle name="Currency 7 5 4" xfId="18193" xr:uid="{C204D0C8-FB98-404D-9491-702EDA690BB0}"/>
    <cellStyle name="Currency 7 6" xfId="10646" xr:uid="{6C513F88-72EA-4351-861A-D129ADD4254E}"/>
    <cellStyle name="Currency 7 6 2" xfId="21026" xr:uid="{FEDA0071-305A-4ED3-9BCA-BD38BD64DF1D}"/>
    <cellStyle name="Currency 7 7" xfId="23842" xr:uid="{18EA0297-8161-4A87-A071-53E82500C750}"/>
    <cellStyle name="Currency 7 8" xfId="24056" xr:uid="{D9559532-AA1D-410A-986C-78FAAC4D8BA3}"/>
    <cellStyle name="Currency 7 9" xfId="13102" xr:uid="{30FB82D5-F473-4E05-BB1D-109AEF4101FC}"/>
    <cellStyle name="Currency 8" xfId="4935" xr:uid="{F197CEBD-2C5D-4CBF-9D96-43D31DB105BC}"/>
    <cellStyle name="Currency 8 2" xfId="25602" xr:uid="{0A3EC9D9-FE1A-46FC-829B-E8E11294A4C2}"/>
    <cellStyle name="Currency 8 3" xfId="14227" xr:uid="{12253B7A-9A70-4C29-8C8E-F200B7DAA98B}"/>
    <cellStyle name="Currency 9" xfId="6680" xr:uid="{92AD7E56-FF09-4440-B173-1094A71FB0D3}"/>
    <cellStyle name="Currency 9 2" xfId="17060"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6" builtinId="53" customBuiltin="1"/>
    <cellStyle name="Explanatory Text 2" xfId="29553" xr:uid="{B4576BC8-55D4-46C7-856A-8A52C91891FA}"/>
    <cellStyle name="FundHeaderRowCol.*" xfId="12314" xr:uid="{30107591-BA76-4D19-A887-3FEAE1650577}"/>
    <cellStyle name="FundHeaderRowCol.1" xfId="12315" xr:uid="{00EFF92D-2F4D-4486-B652-96404B414C85}"/>
    <cellStyle name="FundHeaderRowCol.2" xfId="12316" xr:uid="{69018372-DFBE-43C7-B42A-CF4B4A9EA553}"/>
    <cellStyle name="FundSectionHeaderRowDescCol" xfId="12317" xr:uid="{8BD053DD-2230-48D8-AC57-44B3DE83240D}"/>
    <cellStyle name="FundSectionHeaderRowJERefCol" xfId="12318" xr:uid="{8CE873D4-FF14-4149-A394-6FF189B8DF37}"/>
    <cellStyle name="FundSectionHeaderRowNameCol" xfId="12319" xr:uid="{AF61B6DD-8826-4CF0-90CF-282A2B921CC6}"/>
    <cellStyle name="Good" xfId="4831" builtinId="26" customBuiltin="1"/>
    <cellStyle name="Good 2" xfId="601" xr:uid="{00000000-0005-0000-0000-000004040000}"/>
    <cellStyle name="Good 3" xfId="602" xr:uid="{00000000-0005-0000-0000-000005040000}"/>
    <cellStyle name="Good 4" xfId="29554" xr:uid="{73D04EFA-6288-4DE1-AC60-080AD9DDB73A}"/>
    <cellStyle name="GroupSectionHeaderRowBalance" xfId="12320" xr:uid="{DA166E2E-B504-4B9A-8852-CD4BEAFC2AAE}"/>
    <cellStyle name="GroupSectionHeaderRowDescCol" xfId="12321" xr:uid="{09A65350-37C6-483C-9076-B9B9EE9DB424}"/>
    <cellStyle name="GroupSectionHeaderRowNameCol" xfId="12322" xr:uid="{48CEC677-4043-42C1-A934-4F76033302EF}"/>
    <cellStyle name="GroupSelectionHeaderRowJERefCol" xfId="12323" xr:uid="{94232F09-04F3-4E6D-B7DB-04F59E9CD5DE}"/>
    <cellStyle name="Heading 1" xfId="4827" builtinId="16" customBuiltin="1"/>
    <cellStyle name="Heading 1 2" xfId="603" xr:uid="{00000000-0005-0000-0000-000006040000}"/>
    <cellStyle name="Heading 1 3" xfId="604" xr:uid="{00000000-0005-0000-0000-000007040000}"/>
    <cellStyle name="Heading 1 4" xfId="29555" xr:uid="{CA4BF050-0BB8-4C07-AB32-EEDEC7DE8D02}"/>
    <cellStyle name="Heading 2" xfId="4828" builtinId="17" customBuiltin="1"/>
    <cellStyle name="Heading 2 2" xfId="605" xr:uid="{00000000-0005-0000-0000-000008040000}"/>
    <cellStyle name="Heading 2 3" xfId="606" xr:uid="{00000000-0005-0000-0000-000009040000}"/>
    <cellStyle name="Heading 2 4" xfId="29556" xr:uid="{C46319D0-77EB-4CD4-930D-A0782678B5C8}"/>
    <cellStyle name="Heading 3" xfId="4829" builtinId="18" customBuiltin="1"/>
    <cellStyle name="Heading 3 2" xfId="607" xr:uid="{00000000-0005-0000-0000-00000A040000}"/>
    <cellStyle name="Heading 3 2 2" xfId="29557" xr:uid="{34280CFD-9731-497F-BC7D-6606D1BE1D50}"/>
    <cellStyle name="Heading 3 3" xfId="608" xr:uid="{00000000-0005-0000-0000-00000B040000}"/>
    <cellStyle name="Heading 3 3 2" xfId="29558" xr:uid="{7F9170D1-699D-48ED-ACD3-2207BA3A3A38}"/>
    <cellStyle name="Heading 3 4" xfId="29559" xr:uid="{32EE2CF5-75CA-4329-B9DB-F327B55E31FB}"/>
    <cellStyle name="Heading 4" xfId="4830" builtinId="19" customBuiltin="1"/>
    <cellStyle name="Heading 4 2" xfId="609" xr:uid="{00000000-0005-0000-0000-00000C040000}"/>
    <cellStyle name="Heading 4 3" xfId="610" xr:uid="{00000000-0005-0000-0000-00000D040000}"/>
    <cellStyle name="Heading 4 4" xfId="29560" xr:uid="{26CF4506-3C0C-4149-82F5-67DE7222738E}"/>
    <cellStyle name="Hyperlink" xfId="611" builtinId="8"/>
    <cellStyle name="Hyperlink 2" xfId="612" xr:uid="{00000000-0005-0000-0000-00000F040000}"/>
    <cellStyle name="Hyperlink 2 2" xfId="29596" xr:uid="{AFC0C00D-F11C-4445-A195-9C58C7F6F9AF}"/>
    <cellStyle name="Hyperlink 3" xfId="613" xr:uid="{00000000-0005-0000-0000-000010040000}"/>
    <cellStyle name="Hyperlink 4" xfId="614" xr:uid="{00000000-0005-0000-0000-000011040000}"/>
    <cellStyle name="Hyperlink 5" xfId="29597" xr:uid="{53BF9B33-031B-4A47-A462-794552C5F5C4}"/>
    <cellStyle name="Input" xfId="4833" builtinId="20" customBuiltin="1"/>
    <cellStyle name="Input 2" xfId="615" xr:uid="{00000000-0005-0000-0000-000012040000}"/>
    <cellStyle name="Input 3" xfId="616" xr:uid="{00000000-0005-0000-0000-000013040000}"/>
    <cellStyle name="Input 4" xfId="29561" xr:uid="{C0B9884E-84BA-41A6-ADBA-85A7A4A4B29C}"/>
    <cellStyle name="JEDescriptionRowNameCol" xfId="12324" xr:uid="{D7AC7BB0-9688-456A-B8D3-FA09DD0137F5}"/>
    <cellStyle name="JEDetailRowCreditCol" xfId="12325" xr:uid="{2B66B052-A8A2-4315-8820-BA95C9FC0D86}"/>
    <cellStyle name="JEDetailRowDebitCol" xfId="12326" xr:uid="{BA43A963-4B13-4778-AB36-88E6086C035F}"/>
    <cellStyle name="JEDetailRowDescCol" xfId="12327" xr:uid="{866EA52A-1467-4A66-8C56-CBBB989288FF}"/>
    <cellStyle name="JEDetailRowNameCol" xfId="12328" xr:uid="{D5EDB40B-5B17-40F4-BA94-A5C2FF9895DF}"/>
    <cellStyle name="JEDetailRowWPRefCol" xfId="12329" xr:uid="{388908A3-E726-44B7-A73F-A3C06954DF15}"/>
    <cellStyle name="JEIdentityRowDescCol" xfId="12330" xr:uid="{825B0865-A30D-4C62-8B41-AA14FFCCB4D4}"/>
    <cellStyle name="JEIdentityRowNameCol" xfId="12331" xr:uid="{A0A88C57-EFB6-4680-B416-FABA545BB0F9}"/>
    <cellStyle name="JEIdentityRowWPRefCol" xfId="12332" xr:uid="{AA8FCA78-A35F-435A-9773-AE7D5DFEB05A}"/>
    <cellStyle name="JETotalRowCreditCol" xfId="12333" xr:uid="{CBC2F19F-9212-4A47-B1E9-F8CBBFEB30BF}"/>
    <cellStyle name="JETotalRowDebitCol" xfId="12334" xr:uid="{86004B0D-F111-43BD-91D6-74F17F1148B0}"/>
    <cellStyle name="JETotalRowDescCol" xfId="12335" xr:uid="{E60B60DE-39B9-4650-86A4-D2C09E6902FC}"/>
    <cellStyle name="JETotalRowNameCol" xfId="12336" xr:uid="{054CE1E2-C09D-4C50-B388-27AA302258ED}"/>
    <cellStyle name="JETotalRowWPRefCol" xfId="12337" xr:uid="{61C2FCFF-EC42-4DF3-8C13-5AD2D79709C0}"/>
    <cellStyle name="JETypeDescriptionRowDescCol" xfId="12338" xr:uid="{8065F69E-3861-45A6-A349-5CFDE18A5F97}"/>
    <cellStyle name="JETypeDescriptionRowNameCol" xfId="12339" xr:uid="{52E08EE2-90C8-4506-BF47-147EE565D429}"/>
    <cellStyle name="Linked Cell" xfId="4836" builtinId="24" customBuiltin="1"/>
    <cellStyle name="Linked Cell 2" xfId="617" xr:uid="{00000000-0005-0000-0000-000014040000}"/>
    <cellStyle name="Linked Cell 3" xfId="618" xr:uid="{00000000-0005-0000-0000-000015040000}"/>
    <cellStyle name="Linked Cell 4" xfId="29562" xr:uid="{8B4B6641-0453-4E55-B892-08C524C0A5B2}"/>
    <cellStyle name="NetIncomeLossRowBalance" xfId="12340" xr:uid="{1433FCB7-B0C9-4DF0-B9B6-271B460A2FE0}"/>
    <cellStyle name="NetIncomeLossRowDescCol" xfId="12341" xr:uid="{597C11A1-FC41-41D2-B06D-C46DAEDC1B38}"/>
    <cellStyle name="NetIncomeLossRowJERefCol" xfId="12342" xr:uid="{63E13319-5232-4EEA-94AD-7E617E4FE709}"/>
    <cellStyle name="NetIncomeLossRowNameCol" xfId="12343" xr:uid="{FBC05D99-2A3C-4D44-8907-1C72E5EF1406}"/>
    <cellStyle name="NetIncomeLossRowVarPectCol" xfId="12344" xr:uid="{34E3AE3A-34B2-4329-B9E3-10C568F30822}"/>
    <cellStyle name="NetIncomeLossRowWPRefCol" xfId="12345" xr:uid="{0373C2AB-7463-4889-B6F1-C9B138613C3F}"/>
    <cellStyle name="Neutral 2" xfId="619" xr:uid="{00000000-0005-0000-0000-000016040000}"/>
    <cellStyle name="Neutral 3" xfId="620" xr:uid="{00000000-0005-0000-0000-000017040000}"/>
    <cellStyle name="Neutral 4" xfId="12254" xr:uid="{C7790D3F-7D01-4B5C-A199-EBC5EBD75914}"/>
    <cellStyle name="Neutral 4 2" xfId="29563" xr:uid="{428E148C-FAA0-4622-BE5C-127270522EA8}"/>
    <cellStyle name="Normal" xfId="0" builtinId="0"/>
    <cellStyle name="Normal 10" xfId="621" xr:uid="{00000000-0005-0000-0000-000019040000}"/>
    <cellStyle name="Normal 10 10" xfId="622" xr:uid="{00000000-0005-0000-0000-00001A040000}"/>
    <cellStyle name="Normal 10 10 2" xfId="3120" xr:uid="{00000000-0005-0000-0000-000005030000}"/>
    <cellStyle name="Normal 10 10 2 2" xfId="6178" xr:uid="{A48A6148-8147-4125-A12B-D8297B0DC6CE}"/>
    <cellStyle name="Normal 10 10 2 2 2" xfId="25732" xr:uid="{B93DA6C7-7B79-4108-B9B5-B8A81754163B}"/>
    <cellStyle name="Normal 10 10 2 2 3" xfId="26658" xr:uid="{3251EC09-E98D-432F-9FC1-719234C11B5F}"/>
    <cellStyle name="Normal 10 10 2 2 4" xfId="15747" xr:uid="{2CD1E5DE-C9FF-4874-8003-89ED02E976BC}"/>
    <cellStyle name="Normal 10 10 2 3" xfId="8200" xr:uid="{1E044D6B-77A0-49E0-8B6C-5F8F91E4792D}"/>
    <cellStyle name="Normal 10 10 2 3 2" xfId="28865" xr:uid="{F1BD571F-1560-49E1-8425-9B4799EE4C95}"/>
    <cellStyle name="Normal 10 10 2 3 3" xfId="18580" xr:uid="{C1410412-EC63-425F-8309-06C9FBE86E43}"/>
    <cellStyle name="Normal 10 10 2 4" xfId="11033" xr:uid="{5BA87819-5ABC-4ED4-AEBE-8E4FF6B09B7D}"/>
    <cellStyle name="Normal 10 10 2 4 2" xfId="21413" xr:uid="{1F718540-6159-4DED-BADE-5D719579F358}"/>
    <cellStyle name="Normal 10 10 2 5" xfId="23359" xr:uid="{A2F437CA-096E-4AD7-ABF2-8FC71022E231}"/>
    <cellStyle name="Normal 10 10 2 6" xfId="13641" xr:uid="{A8B787A3-15CD-49C8-88EB-15F04FD33F37}"/>
    <cellStyle name="Normal 10 10 3" xfId="2859" xr:uid="{00000000-0005-0000-0000-000006030000}"/>
    <cellStyle name="Normal 10 10 3 2" xfId="6072" xr:uid="{04870463-D7A8-44C0-B512-4B2CCF31F619}"/>
    <cellStyle name="Normal 10 10 3 2 2" xfId="28552" xr:uid="{0AD1D515-099A-47C0-BF64-E4C2E245900B}"/>
    <cellStyle name="Normal 10 10 3 2 3" xfId="15528" xr:uid="{C4E869DD-5012-4D41-AFFC-13C01508893B}"/>
    <cellStyle name="Normal 10 10 3 3" xfId="7981" xr:uid="{03B7D17F-8189-4ACE-923B-BDA665E25C79}"/>
    <cellStyle name="Normal 10 10 3 3 2" xfId="18361" xr:uid="{9C417B3D-0AD0-4992-A722-66D546994356}"/>
    <cellStyle name="Normal 10 10 3 4" xfId="10814" xr:uid="{3689B4B7-D4D3-4C10-9185-0F3DB2326800}"/>
    <cellStyle name="Normal 10 10 3 4 2" xfId="21194" xr:uid="{19B5D9BC-9C95-4340-ADA3-A7B5FA429E57}"/>
    <cellStyle name="Normal 10 10 3 5" xfId="25371" xr:uid="{2F619995-6181-409A-ADB1-EC322F973720}"/>
    <cellStyle name="Normal 10 10 3 6" xfId="13348" xr:uid="{586F1DD7-06A8-47EA-861F-D9CA85A788C6}"/>
    <cellStyle name="Normal 10 10 4" xfId="4145" xr:uid="{E80EB3A7-2CB6-4571-B043-917518450B51}"/>
    <cellStyle name="Normal 10 10 4 2" xfId="8917" xr:uid="{6EF97CAD-3298-4E65-98A6-6064F4C57182}"/>
    <cellStyle name="Normal 10 10 4 2 2" xfId="29018" xr:uid="{417C58D3-9799-4D46-9F6E-85B0D5026EAA}"/>
    <cellStyle name="Normal 10 10 4 2 3" xfId="19297" xr:uid="{0F9E426B-F47A-45A8-908C-E03D1FBEF688}"/>
    <cellStyle name="Normal 10 10 4 3" xfId="11750" xr:uid="{FD8848E4-23E2-4675-A872-E92E6F18DEB4}"/>
    <cellStyle name="Normal 10 10 4 3 2" xfId="22130" xr:uid="{50D26883-7F62-478C-AC5A-4239A024C1CD}"/>
    <cellStyle name="Normal 10 10 4 4" xfId="26285" xr:uid="{09455926-8F40-4E56-AA80-029CE8CB3D13}"/>
    <cellStyle name="Normal 10 10 4 5" xfId="16464" xr:uid="{A1987070-EC4A-44EF-A443-F203EA91973B}"/>
    <cellStyle name="Normal 10 10 5" xfId="4982" xr:uid="{E753EFC7-DAAA-43D3-B599-9A8598387912}"/>
    <cellStyle name="Normal 10 10 5 2" xfId="27336" xr:uid="{00F6F234-CF51-4305-9F2C-ADABAAABFC62}"/>
    <cellStyle name="Normal 10 10 5 3" xfId="14277" xr:uid="{45C443CD-DFC3-4F30-AF6B-047E441B48B0}"/>
    <cellStyle name="Normal 10 10 6" xfId="6730" xr:uid="{F769CB9A-5118-40B8-BFE1-BA45F45B3866}"/>
    <cellStyle name="Normal 10 10 6 2" xfId="17110" xr:uid="{96160406-AA55-4F3A-89A2-A36B462387BC}"/>
    <cellStyle name="Normal 10 10 7" xfId="9563" xr:uid="{8CE60302-7137-4977-ACE2-0CB0D21166D4}"/>
    <cellStyle name="Normal 10 10 7 2" xfId="19943" xr:uid="{BD059445-37A6-42A9-BBB6-2958E62DD1D8}"/>
    <cellStyle name="Normal 10 10 8" xfId="22899" xr:uid="{E2F28D9D-80D1-4AA1-950E-7F88298C357A}"/>
    <cellStyle name="Normal 10 10 9" xfId="12693" xr:uid="{BF623A86-DEA6-43D7-A8DF-075214355472}"/>
    <cellStyle name="Normal 10 11" xfId="623" xr:uid="{00000000-0005-0000-0000-00001B040000}"/>
    <cellStyle name="Normal 10 11 2" xfId="4983" xr:uid="{4A05A02C-96FD-4D1C-B9EA-2D237A2C3E1A}"/>
    <cellStyle name="Normal 10 11 2 2" xfId="24792" xr:uid="{80136C4F-516F-4571-8124-CA54C4A0D6E6}"/>
    <cellStyle name="Normal 10 11 2 3" xfId="27940" xr:uid="{6CA6B494-D6D1-42DD-8636-F29BE1730242}"/>
    <cellStyle name="Normal 10 11 2 4" xfId="14278" xr:uid="{7EA7914E-1DFE-465B-A512-FB4CB6AD8339}"/>
    <cellStyle name="Normal 10 11 3" xfId="6731" xr:uid="{972F9648-428D-46F0-ADB4-CF0E092FA608}"/>
    <cellStyle name="Normal 10 11 3 2" xfId="26905" xr:uid="{06042D5C-60F2-4660-9E2E-27D032A92803}"/>
    <cellStyle name="Normal 10 11 3 3" xfId="17111" xr:uid="{60BFD8D1-729B-455C-805A-FC03EBE5BF80}"/>
    <cellStyle name="Normal 10 11 4" xfId="9564" xr:uid="{EF0D317D-E54A-4A22-A8F7-62430034A042}"/>
    <cellStyle name="Normal 10 11 4 2" xfId="19944" xr:uid="{6040C0D3-6DF1-43CD-A964-89078F3349CF}"/>
    <cellStyle name="Normal 10 11 5" xfId="24545" xr:uid="{A8967592-2218-41C3-B75C-802374552DA4}"/>
    <cellStyle name="Normal 10 11 6" xfId="13391" xr:uid="{EAA21CE2-9C63-4B7D-A2A9-38AA0689EBAD}"/>
    <cellStyle name="Normal 10 12" xfId="624" xr:uid="{00000000-0005-0000-0000-00001C040000}"/>
    <cellStyle name="Normal 10 12 2" xfId="4984" xr:uid="{81C5B629-06FA-4C73-953D-3DE3B667ECA5}"/>
    <cellStyle name="Normal 10 12 2 2" xfId="28684" xr:uid="{70D88F76-2598-4C16-8EE5-C3E673473E1F}"/>
    <cellStyle name="Normal 10 12 2 3" xfId="14279" xr:uid="{89C68C09-9400-4D3A-AAB7-DA5D79F33409}"/>
    <cellStyle name="Normal 10 12 3" xfId="6732" xr:uid="{57ACEA7E-EF16-4D67-A33B-4FF3DC7A1D93}"/>
    <cellStyle name="Normal 10 12 3 2" xfId="17112" xr:uid="{D1ABC6DD-7170-43EB-B1CB-741E1C0DD98A}"/>
    <cellStyle name="Normal 10 12 4" xfId="9565" xr:uid="{87002A86-8D06-487A-AC53-CE9ED5BA9106}"/>
    <cellStyle name="Normal 10 12 4 2" xfId="19945" xr:uid="{BFDDF5AC-6A3D-4842-8E39-CF390305EE0E}"/>
    <cellStyle name="Normal 10 12 5" xfId="25344" xr:uid="{79FBB3CA-C3EC-4A74-86B1-41F1BED65901}"/>
    <cellStyle name="Normal 10 12 6" xfId="12830" xr:uid="{7D54B555-AEC5-4C97-9972-9E98BAF09667}"/>
    <cellStyle name="Normal 10 13" xfId="2173" xr:uid="{00000000-0005-0000-0000-000003030000}"/>
    <cellStyle name="Normal 10 13 2" xfId="7300" xr:uid="{7471D1E5-75EE-4ED7-BD7F-6DF83D0E9EB3}"/>
    <cellStyle name="Normal 10 13 2 2" xfId="26230" xr:uid="{FE4CFAEE-5A24-4CA5-9A6F-D15D149AEF8B}"/>
    <cellStyle name="Normal 10 13 2 3" xfId="17680" xr:uid="{C8E76887-BB42-4116-AB46-494CEC4EA311}"/>
    <cellStyle name="Normal 10 13 3" xfId="10133" xr:uid="{8CC65BA9-FB64-4FED-8E5E-40F54B9077A2}"/>
    <cellStyle name="Normal 10 13 3 2" xfId="20513" xr:uid="{DB027F51-F73F-4F34-AED5-42AF3848CBC3}"/>
    <cellStyle name="Normal 10 13 4" xfId="24627" xr:uid="{BA4460E7-40E0-4E0D-AA35-A58B189F0726}"/>
    <cellStyle name="Normal 10 13 5" xfId="14847" xr:uid="{37C09BCD-6E46-4E63-AABA-545A983990B3}"/>
    <cellStyle name="Normal 10 14" xfId="3904" xr:uid="{7725DFF7-5497-4F7F-AD85-E7F55E85149E}"/>
    <cellStyle name="Normal 10 14 2" xfId="8736" xr:uid="{D3261DEB-D026-4F7B-8A63-7BD33965FEFC}"/>
    <cellStyle name="Normal 10 14 2 2" xfId="19116" xr:uid="{380C6917-A8A9-4DB7-9E0B-B3881FEAE402}"/>
    <cellStyle name="Normal 10 14 3" xfId="11569" xr:uid="{301B0EC4-1920-4FE8-9DAB-CDC888ED9AD6}"/>
    <cellStyle name="Normal 10 14 3 2" xfId="21949" xr:uid="{8007155B-0D73-4E13-85BF-1868E391322A}"/>
    <cellStyle name="Normal 10 14 4" xfId="24489" xr:uid="{DD5DDC51-8259-4362-8BB5-3571609555BA}"/>
    <cellStyle name="Normal 10 14 5" xfId="16283" xr:uid="{5334FDBE-99E4-43B0-9536-0E4983E9CFFC}"/>
    <cellStyle name="Normal 10 15" xfId="4981" xr:uid="{7CC6FFB8-54FD-4DB8-994D-5373C639D597}"/>
    <cellStyle name="Normal 10 15 2" xfId="14276" xr:uid="{9D18A003-1AFB-4E00-826E-418CD25DC677}"/>
    <cellStyle name="Normal 10 16" xfId="6729" xr:uid="{9F24BD89-D286-4571-8C43-0DA4709BB7A6}"/>
    <cellStyle name="Normal 10 16 2" xfId="17109" xr:uid="{4D7CE34E-C0EB-4B47-B925-99E2328FCD47}"/>
    <cellStyle name="Normal 10 17" xfId="9562" xr:uid="{1F5857E8-0180-43B6-A67A-D8A50D53EE2D}"/>
    <cellStyle name="Normal 10 17 2" xfId="19942" xr:uid="{28EA8336-B58D-4001-97E1-1918AD18C978}"/>
    <cellStyle name="Normal 10 18" xfId="22965" xr:uid="{742F234D-82A3-42A6-B583-194E4A5AFD22}"/>
    <cellStyle name="Normal 10 19" xfId="12405" xr:uid="{F5251D3C-5E86-4A72-9FC4-354A3A96E2D8}"/>
    <cellStyle name="Normal 10 2" xfId="625" xr:uid="{00000000-0005-0000-0000-00001D040000}"/>
    <cellStyle name="Normal 10 2 10" xfId="4985" xr:uid="{AF9C9F13-AE12-416F-AE40-EC642CC2467C}"/>
    <cellStyle name="Normal 10 2 10 2" xfId="14280" xr:uid="{854A259B-B3C1-41B4-AF59-D6117453A646}"/>
    <cellStyle name="Normal 10 2 11" xfId="6733" xr:uid="{F38BD8C0-9421-42A1-8328-B5BC33C98FA2}"/>
    <cellStyle name="Normal 10 2 11 2" xfId="17113" xr:uid="{8E9DC401-4643-4F67-B21F-7F04CAF49562}"/>
    <cellStyle name="Normal 10 2 12" xfId="9566" xr:uid="{54731853-DF17-4F3C-8343-C979F78B6C83}"/>
    <cellStyle name="Normal 10 2 12 2" xfId="19946" xr:uid="{40651727-1308-4000-9898-92BFF5BA47AB}"/>
    <cellStyle name="Normal 10 2 13" xfId="22653" xr:uid="{7651A22B-3469-4C2B-915E-B0399D89FE02}"/>
    <cellStyle name="Normal 10 2 14" xfId="12428" xr:uid="{0FAB5A96-8730-4777-B641-7813F9F03870}"/>
    <cellStyle name="Normal 10 2 2" xfId="626" xr:uid="{00000000-0005-0000-0000-00001E040000}"/>
    <cellStyle name="Normal 10 2 2 10" xfId="6734" xr:uid="{5DEEFE5E-DCB4-4FB8-B9D0-9F375FA6CE18}"/>
    <cellStyle name="Normal 10 2 2 10 2" xfId="17114" xr:uid="{6B3362CF-1EAE-44AD-8E7C-6F8884070197}"/>
    <cellStyle name="Normal 10 2 2 11" xfId="9567" xr:uid="{C5321B08-B5F0-4349-9FC9-DE9D93B783A2}"/>
    <cellStyle name="Normal 10 2 2 11 2" xfId="19947" xr:uid="{BD78E8AA-A088-4DFF-8DB9-13392B6FBD50}"/>
    <cellStyle name="Normal 10 2 2 12" xfId="23869" xr:uid="{D7019344-E4F0-4EAD-A39E-0177C41E3B6B}"/>
    <cellStyle name="Normal 10 2 2 13" xfId="12488" xr:uid="{C372DA4C-48CA-4BB5-B2ED-2CF5B05C7D9B}"/>
    <cellStyle name="Normal 10 2 2 2" xfId="627" xr:uid="{00000000-0005-0000-0000-00001F040000}"/>
    <cellStyle name="Normal 10 2 2 2 10" xfId="13053" xr:uid="{D22D6458-D1DC-4AF5-8DFD-A093A36FDE01}"/>
    <cellStyle name="Normal 10 2 2 2 2" xfId="628" xr:uid="{00000000-0005-0000-0000-000020040000}"/>
    <cellStyle name="Normal 10 2 2 2 2 2" xfId="3123" xr:uid="{00000000-0005-0000-0000-00000D030000}"/>
    <cellStyle name="Normal 10 2 2 2 2 2 2" xfId="6181" xr:uid="{8892C1C8-BA0C-49CC-998F-780716EF93FA}"/>
    <cellStyle name="Normal 10 2 2 2 2 2 2 2" xfId="23345" xr:uid="{7DD4C7C2-B7B8-4A07-A0CB-863E7FD205F2}"/>
    <cellStyle name="Normal 10 2 2 2 2 2 2 3" xfId="15750" xr:uid="{04E6806C-7482-4417-8D92-21640E43690F}"/>
    <cellStyle name="Normal 10 2 2 2 2 2 3" xfId="8203" xr:uid="{CE95F44B-0481-40F9-81DF-031D79118290}"/>
    <cellStyle name="Normal 10 2 2 2 2 2 3 2" xfId="18583" xr:uid="{FB00175E-8C54-4F49-A0C0-F63484131B1D}"/>
    <cellStyle name="Normal 10 2 2 2 2 2 4" xfId="11036" xr:uid="{174873F6-C547-4786-A0B5-95F1612AD408}"/>
    <cellStyle name="Normal 10 2 2 2 2 2 4 2" xfId="21416" xr:uid="{BC9E8C52-4E9E-4F82-BC19-DEE42A19635E}"/>
    <cellStyle name="Normal 10 2 2 2 2 2 5" xfId="24510" xr:uid="{BD0491B1-769E-4376-BB95-956B81D9FAFD}"/>
    <cellStyle name="Normal 10 2 2 2 2 2 6" xfId="13644" xr:uid="{901212EF-41CF-4F24-8CB8-0D1DDE0AC254}"/>
    <cellStyle name="Normal 10 2 2 2 2 3" xfId="4282" xr:uid="{ACAE5F72-B919-4576-BC83-C3FD833AB1D4}"/>
    <cellStyle name="Normal 10 2 2 2 2 3 2" xfId="9054" xr:uid="{3AAA8962-D937-47D1-9A1D-B77E1ED0C51B}"/>
    <cellStyle name="Normal 10 2 2 2 2 3 2 2" xfId="29097" xr:uid="{979D5129-1C24-480B-A486-28EFA77CBE6D}"/>
    <cellStyle name="Normal 10 2 2 2 2 3 2 3" xfId="19434" xr:uid="{8602EA7C-0304-44EA-9F5F-2C6CBBB27DCE}"/>
    <cellStyle name="Normal 10 2 2 2 2 3 3" xfId="11887" xr:uid="{5FD814A5-9474-41D9-B7E0-A872F7B57471}"/>
    <cellStyle name="Normal 10 2 2 2 2 3 3 2" xfId="22267" xr:uid="{62E22EB4-6F34-4C11-A610-E66C71AAB67C}"/>
    <cellStyle name="Normal 10 2 2 2 2 3 4" xfId="24520" xr:uid="{C870E03D-2651-4024-82C9-F9C038A7E458}"/>
    <cellStyle name="Normal 10 2 2 2 2 3 5" xfId="16601" xr:uid="{D410EB35-9C13-475F-B509-4399F7E15C5F}"/>
    <cellStyle name="Normal 10 2 2 2 2 4" xfId="4988" xr:uid="{33657853-CCCE-4302-B0EA-6563BF685939}"/>
    <cellStyle name="Normal 10 2 2 2 2 4 2" xfId="26222" xr:uid="{E63D3BC4-CAE8-4CA8-B9EF-663319E45499}"/>
    <cellStyle name="Normal 10 2 2 2 2 4 3" xfId="14283" xr:uid="{2E27CB9C-65EF-432E-BC69-EC5871C28694}"/>
    <cellStyle name="Normal 10 2 2 2 2 5" xfId="6736" xr:uid="{18B0B3AE-F00C-44A4-A0BB-D96BC596D169}"/>
    <cellStyle name="Normal 10 2 2 2 2 5 2" xfId="17116" xr:uid="{43ED36AD-FE12-4253-9FDB-568A257CFF1C}"/>
    <cellStyle name="Normal 10 2 2 2 2 6" xfId="9569" xr:uid="{D6EF9651-6789-4D71-98F0-25F6733E9671}"/>
    <cellStyle name="Normal 10 2 2 2 2 6 2" xfId="19949" xr:uid="{215801CB-DDFC-4481-A3A3-2CEE6AD78369}"/>
    <cellStyle name="Normal 10 2 2 2 2 7" xfId="24124" xr:uid="{B5C766AC-D80E-4C99-BD59-6B9CA2AA78CC}"/>
    <cellStyle name="Normal 10 2 2 2 2 8" xfId="13125" xr:uid="{529951AB-5337-4B58-AF34-28E627BFA22D}"/>
    <cellStyle name="Normal 10 2 2 2 3" xfId="3124" xr:uid="{00000000-0005-0000-0000-00000E030000}"/>
    <cellStyle name="Normal 10 2 2 2 3 2" xfId="4439" xr:uid="{E2AA89EB-C97D-45BE-B966-48B716394DC9}"/>
    <cellStyle name="Normal 10 2 2 2 3 2 2" xfId="9211" xr:uid="{A3B3B5A1-450A-4876-9D75-2993D84F44F3}"/>
    <cellStyle name="Normal 10 2 2 2 3 2 2 2" xfId="19591" xr:uid="{618354FD-25C4-458F-BFA6-C1EDB634E19D}"/>
    <cellStyle name="Normal 10 2 2 2 3 2 3" xfId="12044" xr:uid="{D5657C4F-0073-4FED-BB23-E2D66386C214}"/>
    <cellStyle name="Normal 10 2 2 2 3 2 3 2" xfId="22424" xr:uid="{15DFA9D5-A74F-4957-834C-89B1892B51BE}"/>
    <cellStyle name="Normal 10 2 2 2 3 2 4" xfId="27378" xr:uid="{2C986A78-EA2D-4068-986C-4E50A0F9FB45}"/>
    <cellStyle name="Normal 10 2 2 2 3 2 5" xfId="16758" xr:uid="{5ED5E4E4-5416-4C27-92D6-B47855558055}"/>
    <cellStyle name="Normal 10 2 2 2 3 3" xfId="6182" xr:uid="{4E29BB3B-DC72-4DB0-B11F-BE88024F461F}"/>
    <cellStyle name="Normal 10 2 2 2 3 3 2" xfId="15751" xr:uid="{EB54DE73-99AA-4D15-B8EB-3C02BD029B8A}"/>
    <cellStyle name="Normal 10 2 2 2 3 4" xfId="8204" xr:uid="{024080C8-FA45-445F-A9C2-075CF8735947}"/>
    <cellStyle name="Normal 10 2 2 2 3 4 2" xfId="18584" xr:uid="{CFD5300B-1A3A-4915-A199-BFB4713B9D53}"/>
    <cellStyle name="Normal 10 2 2 2 3 5" xfId="11037" xr:uid="{15B46448-C47E-4D53-8BA5-BAB75DA022BA}"/>
    <cellStyle name="Normal 10 2 2 2 3 5 2" xfId="21417" xr:uid="{46A57970-6CE9-4A9D-99DC-DA644B6031D5}"/>
    <cellStyle name="Normal 10 2 2 2 3 6" xfId="25016" xr:uid="{6BD65E36-2C60-492E-BF6B-E21F3E861AC8}"/>
    <cellStyle name="Normal 10 2 2 2 3 7" xfId="13645" xr:uid="{FC53FECB-58BA-4718-8075-86664A1E6322}"/>
    <cellStyle name="Normal 10 2 2 2 4" xfId="3122" xr:uid="{00000000-0005-0000-0000-00000F030000}"/>
    <cellStyle name="Normal 10 2 2 2 4 2" xfId="6180" xr:uid="{D9AC5840-A868-42B7-9B07-5467B903D80D}"/>
    <cellStyle name="Normal 10 2 2 2 4 2 2" xfId="27787" xr:uid="{6564ECEB-9CA3-4A47-94F0-5EC4020FDC7A}"/>
    <cellStyle name="Normal 10 2 2 2 4 2 3" xfId="15749" xr:uid="{4D09A5EA-43A7-4061-94DA-4B6895A7D0CB}"/>
    <cellStyle name="Normal 10 2 2 2 4 3" xfId="8202" xr:uid="{D06D1FBF-1680-4C3E-9F8A-32347ED393AD}"/>
    <cellStyle name="Normal 10 2 2 2 4 3 2" xfId="18582" xr:uid="{86D4CCAD-D172-455E-81A3-1B1576D47BE7}"/>
    <cellStyle name="Normal 10 2 2 2 4 4" xfId="11035" xr:uid="{47AAC3C3-12E0-4688-8845-ED89CF201C9A}"/>
    <cellStyle name="Normal 10 2 2 2 4 4 2" xfId="21415" xr:uid="{599659D8-BCA0-4A15-BD36-14286147DB92}"/>
    <cellStyle name="Normal 10 2 2 2 4 5" xfId="25232" xr:uid="{1467B399-15F1-469F-89D4-8D378EDA1FA0}"/>
    <cellStyle name="Normal 10 2 2 2 4 6" xfId="13643" xr:uid="{BDB8401F-D8F7-4119-B70B-3F723D886614}"/>
    <cellStyle name="Normal 10 2 2 2 5" xfId="4250" xr:uid="{94DF746F-DA76-404E-A5D8-2B1EE8D78DA3}"/>
    <cellStyle name="Normal 10 2 2 2 5 2" xfId="9022" xr:uid="{51F0B0BE-85FE-4E4E-B024-52D05B01FDCD}"/>
    <cellStyle name="Normal 10 2 2 2 5 2 2" xfId="29093" xr:uid="{73998EA0-D064-4F29-A126-C4B7190220D2}"/>
    <cellStyle name="Normal 10 2 2 2 5 2 3" xfId="19402" xr:uid="{D71AF534-1369-4686-BCE9-85026FB57262}"/>
    <cellStyle name="Normal 10 2 2 2 5 3" xfId="11855" xr:uid="{FE6B161D-014D-401F-8215-1201007CF6F0}"/>
    <cellStyle name="Normal 10 2 2 2 5 3 2" xfId="22235" xr:uid="{69257FAD-A830-4407-BCFF-14E744BD8843}"/>
    <cellStyle name="Normal 10 2 2 2 5 4" xfId="24848" xr:uid="{BF300921-F94D-44A8-A812-EA36D6C647C1}"/>
    <cellStyle name="Normal 10 2 2 2 5 5" xfId="16569" xr:uid="{F2AE2A62-5EF8-4BFC-A25A-0A40AF8873BD}"/>
    <cellStyle name="Normal 10 2 2 2 6" xfId="4987" xr:uid="{6DEC9617-4757-4E64-BC38-968162AA2B65}"/>
    <cellStyle name="Normal 10 2 2 2 6 2" xfId="27152" xr:uid="{EA5B05D8-4061-4FF1-9F63-73DCD8376713}"/>
    <cellStyle name="Normal 10 2 2 2 6 3" xfId="14282" xr:uid="{E995415C-5015-4182-B255-64042699E0EA}"/>
    <cellStyle name="Normal 10 2 2 2 7" xfId="6735" xr:uid="{2237665E-E1E3-429A-B237-ABFA50A6625D}"/>
    <cellStyle name="Normal 10 2 2 2 7 2" xfId="17115" xr:uid="{814AB8BE-BD1F-4884-809F-2EB47B6090D0}"/>
    <cellStyle name="Normal 10 2 2 2 8" xfId="9568" xr:uid="{DB6FA345-7CDC-4D88-9112-5692E390DAA1}"/>
    <cellStyle name="Normal 10 2 2 2 8 2" xfId="19948" xr:uid="{9A481BF5-C7A2-4A10-BABA-A2E3BC565592}"/>
    <cellStyle name="Normal 10 2 2 2 9" xfId="23956" xr:uid="{BA52BDE3-7C7F-4D71-B637-52CBEA0DC3C0}"/>
    <cellStyle name="Normal 10 2 2 3" xfId="2706" xr:uid="{00000000-0005-0000-0000-000010030000}"/>
    <cellStyle name="Normal 10 2 2 3 2" xfId="3125" xr:uid="{00000000-0005-0000-0000-000011030000}"/>
    <cellStyle name="Normal 10 2 2 3 2 2" xfId="6183" xr:uid="{48C97DF0-1B66-4E10-823D-2ACA6DD41F45}"/>
    <cellStyle name="Normal 10 2 2 3 2 2 2" xfId="26484" xr:uid="{13AF5A21-8AB7-489C-8F85-C901E665D8C3}"/>
    <cellStyle name="Normal 10 2 2 3 2 2 3" xfId="15752" xr:uid="{4F3E3C81-A716-4B7A-B445-DA0536082110}"/>
    <cellStyle name="Normal 10 2 2 3 2 3" xfId="8205" xr:uid="{679CFA99-C008-41F0-B3C2-7EFA4FE36039}"/>
    <cellStyle name="Normal 10 2 2 3 2 3 2" xfId="18585" xr:uid="{97598FA3-C428-4140-AB50-8DCC1F0285F1}"/>
    <cellStyle name="Normal 10 2 2 3 2 4" xfId="11038" xr:uid="{30298B94-DD4A-4294-9F1A-80A691CD9A12}"/>
    <cellStyle name="Normal 10 2 2 3 2 4 2" xfId="21418" xr:uid="{D3554601-3873-4F72-B7E5-991D36B2D377}"/>
    <cellStyle name="Normal 10 2 2 3 2 5" xfId="25076" xr:uid="{DE176F45-4FA0-4E85-A104-C6FF0B1E6858}"/>
    <cellStyle name="Normal 10 2 2 3 2 6" xfId="13646" xr:uid="{16879DED-629F-4609-BF09-A8A776EE44C9}"/>
    <cellStyle name="Normal 10 2 2 3 3" xfId="4281" xr:uid="{1FAC44FA-4E51-4628-9445-2D7F98E054FF}"/>
    <cellStyle name="Normal 10 2 2 3 3 2" xfId="9053" xr:uid="{9D2B4F89-3C6D-45B9-8FC0-CFBC91013C54}"/>
    <cellStyle name="Normal 10 2 2 3 3 2 2" xfId="29096" xr:uid="{31B8CD6C-56D8-4712-AD9D-5A096EDB8514}"/>
    <cellStyle name="Normal 10 2 2 3 3 2 3" xfId="19433" xr:uid="{1DB8198A-E086-435C-92A5-D58553A06934}"/>
    <cellStyle name="Normal 10 2 2 3 3 3" xfId="11886" xr:uid="{1F979839-73B0-43B0-8E2C-F9D05D14CE39}"/>
    <cellStyle name="Normal 10 2 2 3 3 3 2" xfId="22266" xr:uid="{7189CD82-BC97-4C66-B6C8-20310049DF0B}"/>
    <cellStyle name="Normal 10 2 2 3 3 4" xfId="22911" xr:uid="{29581224-7E1A-4F3D-8D71-43A05C9C3CF3}"/>
    <cellStyle name="Normal 10 2 2 3 3 5" xfId="16600" xr:uid="{8C62D345-4F4D-478F-9D49-90B9453F88AE}"/>
    <cellStyle name="Normal 10 2 2 3 4" xfId="5924" xr:uid="{87D7F008-1DE4-4403-922B-D43A674A8AF2}"/>
    <cellStyle name="Normal 10 2 2 3 4 2" xfId="28201" xr:uid="{216470CD-747B-4C14-BE39-4CD59150A29E}"/>
    <cellStyle name="Normal 10 2 2 3 4 3" xfId="15377" xr:uid="{6ECE865A-6850-41C4-B5FB-9021FDD1F7F1}"/>
    <cellStyle name="Normal 10 2 2 3 5" xfId="7830" xr:uid="{B72C48AE-99C2-4CF0-8F6E-9DCCFB35ECE3}"/>
    <cellStyle name="Normal 10 2 2 3 5 2" xfId="18210" xr:uid="{78E51D10-62FB-47C7-8EEF-7DBD6583F8BC}"/>
    <cellStyle name="Normal 10 2 2 3 6" xfId="10663" xr:uid="{C9754DF2-04FB-4E00-96FF-A8F0C6CA43F7}"/>
    <cellStyle name="Normal 10 2 2 3 6 2" xfId="21043" xr:uid="{38B2FB28-ED29-4378-A066-79B7D0569704}"/>
    <cellStyle name="Normal 10 2 2 3 7" xfId="25119" xr:uid="{1FB94C85-7A95-4041-A50D-4E4803B1F68D}"/>
    <cellStyle name="Normal 10 2 2 3 8" xfId="13124" xr:uid="{810DCD6C-AD33-40D9-96A4-AEDFAE5EB9D5}"/>
    <cellStyle name="Normal 10 2 2 4" xfId="3126" xr:uid="{00000000-0005-0000-0000-000012030000}"/>
    <cellStyle name="Normal 10 2 2 4 2" xfId="4440" xr:uid="{6A906AE3-F548-4ECA-BD57-FC395690FEB4}"/>
    <cellStyle name="Normal 10 2 2 4 2 2" xfId="9212" xr:uid="{7E3EDC44-BAC1-489F-BB1B-4FE1DAA125F6}"/>
    <cellStyle name="Normal 10 2 2 4 2 2 2" xfId="19592" xr:uid="{EE763FE1-8B4F-4ED7-8C96-891A9D75D388}"/>
    <cellStyle name="Normal 10 2 2 4 2 3" xfId="12045" xr:uid="{67E1344F-0FB7-4417-A708-415AF897B88A}"/>
    <cellStyle name="Normal 10 2 2 4 2 3 2" xfId="22425" xr:uid="{14DC1667-F57E-4E9E-A7B5-C34D3228285B}"/>
    <cellStyle name="Normal 10 2 2 4 2 4" xfId="28311" xr:uid="{6BAEB0CE-AD41-4B42-A657-24E562108FAE}"/>
    <cellStyle name="Normal 10 2 2 4 2 5" xfId="16759" xr:uid="{4B9A97F8-D356-4D13-89D2-1EBC3BFF3B45}"/>
    <cellStyle name="Normal 10 2 2 4 3" xfId="6184" xr:uid="{19FFAA4F-CA95-48BE-8A08-FDBB7385607E}"/>
    <cellStyle name="Normal 10 2 2 4 3 2" xfId="15753" xr:uid="{36457E7F-C528-4151-997A-D93BE52C0390}"/>
    <cellStyle name="Normal 10 2 2 4 4" xfId="8206" xr:uid="{062830E6-052A-4E08-8036-A8A8E008D303}"/>
    <cellStyle name="Normal 10 2 2 4 4 2" xfId="18586" xr:uid="{274EC4F0-70C6-4FE1-9118-7B00898CED38}"/>
    <cellStyle name="Normal 10 2 2 4 5" xfId="11039" xr:uid="{2235F72D-D9D8-451D-A44F-6D478CBDF570}"/>
    <cellStyle name="Normal 10 2 2 4 5 2" xfId="21419" xr:uid="{3E96E501-BEDA-4F0D-9220-39A1146CF4C8}"/>
    <cellStyle name="Normal 10 2 2 4 6" xfId="25455" xr:uid="{A2FF38E6-342E-457A-A41E-F5A0C44280FB}"/>
    <cellStyle name="Normal 10 2 2 4 7" xfId="13647" xr:uid="{90C28F50-ECB7-4081-8BEE-F5EB3141D9C0}"/>
    <cellStyle name="Normal 10 2 2 5" xfId="3121" xr:uid="{00000000-0005-0000-0000-000013030000}"/>
    <cellStyle name="Normal 10 2 2 5 2" xfId="6179" xr:uid="{AAE91224-3FEA-4689-A1E2-BFE40525C04F}"/>
    <cellStyle name="Normal 10 2 2 5 2 2" xfId="26988" xr:uid="{65C35670-8E2B-47FB-B53E-DCCC7AAE461E}"/>
    <cellStyle name="Normal 10 2 2 5 2 3" xfId="15748" xr:uid="{9B8C1A40-5D77-4300-BF2C-8D0ECB82559B}"/>
    <cellStyle name="Normal 10 2 2 5 3" xfId="8201" xr:uid="{B2634CB7-F7A0-4518-BE1A-015DA6363A14}"/>
    <cellStyle name="Normal 10 2 2 5 3 2" xfId="18581" xr:uid="{7267FF51-299B-4E4E-80F9-90C0C9B72B63}"/>
    <cellStyle name="Normal 10 2 2 5 4" xfId="11034" xr:uid="{E3CDB59C-41AB-43F2-85A3-03249FD04521}"/>
    <cellStyle name="Normal 10 2 2 5 4 2" xfId="21414" xr:uid="{758D40D6-153A-4892-BC0F-E00FA5E16AB2}"/>
    <cellStyle name="Normal 10 2 2 5 5" xfId="24600" xr:uid="{BC000EEA-3EE4-42FF-A305-B87A508F8440}"/>
    <cellStyle name="Normal 10 2 2 5 6" xfId="13642" xr:uid="{428F0E52-915D-48E4-8517-0440EBB4D1A1}"/>
    <cellStyle name="Normal 10 2 2 6" xfId="2562" xr:uid="{00000000-0005-0000-0000-000014030000}"/>
    <cellStyle name="Normal 10 2 2 6 2" xfId="5832" xr:uid="{C2B45855-423A-47FB-9D6B-CB7368A13FAB}"/>
    <cellStyle name="Normal 10 2 2 6 2 2" xfId="27722" xr:uid="{B8E57B14-3087-4FD8-A70F-558C6E2EFEEF}"/>
    <cellStyle name="Normal 10 2 2 6 2 3" xfId="15234" xr:uid="{1BA6B575-E010-4591-AF3E-E793868702D3}"/>
    <cellStyle name="Normal 10 2 2 6 3" xfId="7687" xr:uid="{13D7AF40-FEAB-4878-BA8F-FA0C3D7D1285}"/>
    <cellStyle name="Normal 10 2 2 6 3 2" xfId="18067" xr:uid="{2C2250EA-CDE2-4AD7-B12C-9C5FF7FE71DA}"/>
    <cellStyle name="Normal 10 2 2 6 4" xfId="10520" xr:uid="{1E2817E8-F6C1-422A-AFF1-B08F6C4EC9EB}"/>
    <cellStyle name="Normal 10 2 2 6 4 2" xfId="20900" xr:uid="{649F1F4D-1B63-4577-AC77-F280D4AD418F}"/>
    <cellStyle name="Normal 10 2 2 6 5" xfId="23236" xr:uid="{A9A7B9A4-10FD-49F2-9A94-1BE00B532B9A}"/>
    <cellStyle name="Normal 10 2 2 6 6" xfId="12950" xr:uid="{8F8890C7-BEA1-4B46-92AD-CFB11FD11F2D}"/>
    <cellStyle name="Normal 10 2 2 7" xfId="2256" xr:uid="{00000000-0005-0000-0000-00000A030000}"/>
    <cellStyle name="Normal 10 2 2 7 2" xfId="7383" xr:uid="{BD878DF1-E595-4B3A-B030-1A4B86DE4C21}"/>
    <cellStyle name="Normal 10 2 2 7 2 2" xfId="17763" xr:uid="{96FB03A1-1F58-4F36-A6A6-BC99F5CC940D}"/>
    <cellStyle name="Normal 10 2 2 7 3" xfId="10216" xr:uid="{7BF5D359-D939-4B06-906E-7B39368A0073}"/>
    <cellStyle name="Normal 10 2 2 7 3 2" xfId="20596" xr:uid="{45D50ACB-C477-45EC-831A-F6720E857490}"/>
    <cellStyle name="Normal 10 2 2 7 4" xfId="25308" xr:uid="{B0BFD245-6F57-4792-B8AD-25314C9A3201}"/>
    <cellStyle name="Normal 10 2 2 7 5" xfId="14930" xr:uid="{9E1162FB-4068-4B26-9EE1-0DC7552744FA}"/>
    <cellStyle name="Normal 10 2 2 8" xfId="3806" xr:uid="{DE5EA038-3A02-4C47-8DE6-3A1441EDFAFA}"/>
    <cellStyle name="Normal 10 2 2 8 2" xfId="8642" xr:uid="{D2E15AB2-9668-4E5F-A639-514A11FF50D6}"/>
    <cellStyle name="Normal 10 2 2 8 2 2" xfId="19022" xr:uid="{3480B3A6-F662-4937-99DC-49EAFB9EA7A0}"/>
    <cellStyle name="Normal 10 2 2 8 3" xfId="11475" xr:uid="{A75F9D08-7B58-4EAA-A634-12F25C9A3922}"/>
    <cellStyle name="Normal 10 2 2 8 3 2" xfId="21855" xr:uid="{944B4970-0F84-4A3B-980A-849E2953B158}"/>
    <cellStyle name="Normal 10 2 2 8 4" xfId="16189" xr:uid="{BA2B70A8-69BA-4C67-B45B-50196AACCD26}"/>
    <cellStyle name="Normal 10 2 2 9" xfId="4986" xr:uid="{86C9F154-476B-4468-9FC4-5F160EBE9B49}"/>
    <cellStyle name="Normal 10 2 2 9 2" xfId="14281" xr:uid="{E3E2A61B-9D40-43EB-9D48-D96BFD3B58D0}"/>
    <cellStyle name="Normal 10 2 3" xfId="629" xr:uid="{00000000-0005-0000-0000-000021040000}"/>
    <cellStyle name="Normal 10 2 3 10" xfId="9570" xr:uid="{2C97D25C-BB1A-476C-B040-C7129D7C78F8}"/>
    <cellStyle name="Normal 10 2 3 10 2" xfId="19950" xr:uid="{C26B30B1-CA24-4063-9990-E82CA8D30A9E}"/>
    <cellStyle name="Normal 10 2 3 11" xfId="23694" xr:uid="{F46EF993-5487-4161-8132-6E4469E10AEF}"/>
    <cellStyle name="Normal 10 2 3 12" xfId="12536" xr:uid="{30ABFEF1-F302-48E8-80C8-FD85B566AB15}"/>
    <cellStyle name="Normal 10 2 3 2" xfId="2707" xr:uid="{00000000-0005-0000-0000-000016030000}"/>
    <cellStyle name="Normal 10 2 3 2 2" xfId="3128" xr:uid="{00000000-0005-0000-0000-000017030000}"/>
    <cellStyle name="Normal 10 2 3 2 2 2" xfId="6186" xr:uid="{F21BBDC9-8812-4296-AE4A-F43642B538F5}"/>
    <cellStyle name="Normal 10 2 3 2 2 2 2" xfId="26667" xr:uid="{D968F027-8C5A-4D5B-B2BC-79932E896B70}"/>
    <cellStyle name="Normal 10 2 3 2 2 2 3" xfId="15755" xr:uid="{2C3E5444-0944-4235-BBC7-58B631C232E9}"/>
    <cellStyle name="Normal 10 2 3 2 2 3" xfId="8208" xr:uid="{748CFDF7-39AA-4B48-846D-DFD53DCCDE46}"/>
    <cellStyle name="Normal 10 2 3 2 2 3 2" xfId="18588" xr:uid="{45C7548F-ABE9-4FD8-83DB-E4116F5BE0B7}"/>
    <cellStyle name="Normal 10 2 3 2 2 4" xfId="11041" xr:uid="{4B9FDFC5-57BF-47DF-8AEB-61C1EC11D3B0}"/>
    <cellStyle name="Normal 10 2 3 2 2 4 2" xfId="21421" xr:uid="{E77E9332-7AC6-44BC-80D8-AEA8D4B6FAC2}"/>
    <cellStyle name="Normal 10 2 3 2 2 5" xfId="23465" xr:uid="{DFBE45BE-79EF-49C6-BDC8-FF482BE25A0D}"/>
    <cellStyle name="Normal 10 2 3 2 2 6" xfId="13649" xr:uid="{50B21915-FBD1-44FF-955B-D305CBBC1A89}"/>
    <cellStyle name="Normal 10 2 3 2 3" xfId="4283" xr:uid="{2B94F73E-A71F-4B45-AB1A-F96E9B6FFBF5}"/>
    <cellStyle name="Normal 10 2 3 2 3 2" xfId="9055" xr:uid="{9FD5F957-C578-4F01-9FC1-69B359F5BAA4}"/>
    <cellStyle name="Normal 10 2 3 2 3 2 2" xfId="29098" xr:uid="{11FBA423-68F9-439E-B708-B9AF85FDFE2B}"/>
    <cellStyle name="Normal 10 2 3 2 3 2 3" xfId="19435" xr:uid="{4415A3C6-10BF-4B36-BC90-6F409E7AFDE1}"/>
    <cellStyle name="Normal 10 2 3 2 3 3" xfId="11888" xr:uid="{73E975D7-4723-457E-9759-1D54AC5E7481}"/>
    <cellStyle name="Normal 10 2 3 2 3 3 2" xfId="22268" xr:uid="{23334B30-CD1E-46BA-AA8F-928E8AA57B4B}"/>
    <cellStyle name="Normal 10 2 3 2 3 4" xfId="24451" xr:uid="{5EB69AA1-13EC-42BD-8FFE-6B2134503511}"/>
    <cellStyle name="Normal 10 2 3 2 3 5" xfId="16602" xr:uid="{A384552F-2090-445E-BAE5-6698F6D122C7}"/>
    <cellStyle name="Normal 10 2 3 2 4" xfId="5925" xr:uid="{CDA1F97D-60A1-407B-B633-AC0832D801F2}"/>
    <cellStyle name="Normal 10 2 3 2 4 2" xfId="28677" xr:uid="{A36775EF-6401-4226-A35F-5E9C74DF1AE6}"/>
    <cellStyle name="Normal 10 2 3 2 4 3" xfId="15378" xr:uid="{68E1D7BA-AD29-4DAD-950B-38FC6C839C0D}"/>
    <cellStyle name="Normal 10 2 3 2 5" xfId="7831" xr:uid="{85DC09AA-F078-4D23-AA13-CB516827E64E}"/>
    <cellStyle name="Normal 10 2 3 2 5 2" xfId="18211" xr:uid="{8981F427-A24D-4F3E-B774-84932F365DD4}"/>
    <cellStyle name="Normal 10 2 3 2 6" xfId="10664" xr:uid="{76110124-625D-47D4-AF91-BED10133DE30}"/>
    <cellStyle name="Normal 10 2 3 2 6 2" xfId="21044" xr:uid="{BE01F4B8-1875-492C-A5AD-83F27D3906D7}"/>
    <cellStyle name="Normal 10 2 3 2 7" xfId="24964" xr:uid="{A0FFC7DF-C238-474F-B0A2-5445E1885BE2}"/>
    <cellStyle name="Normal 10 2 3 2 8" xfId="13126" xr:uid="{50D78E67-3B19-4C22-AEF5-DF8C50160B8B}"/>
    <cellStyle name="Normal 10 2 3 3" xfId="3129" xr:uid="{00000000-0005-0000-0000-000018030000}"/>
    <cellStyle name="Normal 10 2 3 3 2" xfId="4441" xr:uid="{395FBBAC-4EB4-44DD-8BC8-3E17ADF9C3C0}"/>
    <cellStyle name="Normal 10 2 3 3 2 2" xfId="9213" xr:uid="{4044E785-F68D-497F-9D5B-50D7712F8C51}"/>
    <cellStyle name="Normal 10 2 3 3 2 2 2" xfId="29206" xr:uid="{F50990A4-77BD-4A19-9863-0010F3A43A57}"/>
    <cellStyle name="Normal 10 2 3 3 2 2 3" xfId="19593" xr:uid="{00874A4E-4DC7-4779-B725-0D034CD349DA}"/>
    <cellStyle name="Normal 10 2 3 3 2 3" xfId="12046" xr:uid="{651E0D9F-48E2-4C7E-B5CF-4E86AAEBDD58}"/>
    <cellStyle name="Normal 10 2 3 3 2 3 2" xfId="22426" xr:uid="{48A2501C-7E6B-4B28-BE41-C2D0983E25E3}"/>
    <cellStyle name="Normal 10 2 3 3 2 4" xfId="25827" xr:uid="{577FDCE4-8711-41C9-988F-AA44708C4806}"/>
    <cellStyle name="Normal 10 2 3 3 2 5" xfId="16760" xr:uid="{F5EB9542-0769-4B8A-91A4-7565AA0988C4}"/>
    <cellStyle name="Normal 10 2 3 3 3" xfId="6187" xr:uid="{ADCA5275-39F2-482D-8C01-D8EBC900C88A}"/>
    <cellStyle name="Normal 10 2 3 3 3 2" xfId="26224" xr:uid="{20EDA385-3F6C-463F-B9BB-E0DE71B26C1E}"/>
    <cellStyle name="Normal 10 2 3 3 3 3" xfId="15756" xr:uid="{EFE888DE-88DF-48D1-8F6B-2E83EDEA6128}"/>
    <cellStyle name="Normal 10 2 3 3 4" xfId="8209" xr:uid="{F0E2F6A5-BD42-4693-8AD0-A0C2526BA6B5}"/>
    <cellStyle name="Normal 10 2 3 3 4 2" xfId="18589" xr:uid="{D9C95B31-CCAA-4855-A2DF-2B2A41476B74}"/>
    <cellStyle name="Normal 10 2 3 3 5" xfId="11042" xr:uid="{12E48EE7-DB63-4777-854C-58E263EEB5CB}"/>
    <cellStyle name="Normal 10 2 3 3 5 2" xfId="21422" xr:uid="{9BE837BB-437F-4A9C-8324-8CA1E2D2D28C}"/>
    <cellStyle name="Normal 10 2 3 3 6" xfId="23788" xr:uid="{40569D23-61AB-45F8-AA45-BF39002CE525}"/>
    <cellStyle name="Normal 10 2 3 3 7" xfId="13650" xr:uid="{559FA790-3884-4188-B322-850E090BEBA9}"/>
    <cellStyle name="Normal 10 2 3 4" xfId="3127" xr:uid="{00000000-0005-0000-0000-000019030000}"/>
    <cellStyle name="Normal 10 2 3 4 2" xfId="6185" xr:uid="{6F80E080-F8C7-483A-84F6-435A6A402000}"/>
    <cellStyle name="Normal 10 2 3 4 2 2" xfId="28015" xr:uid="{CFCDEAE0-D338-4091-AC15-668D3B295B8B}"/>
    <cellStyle name="Normal 10 2 3 4 2 3" xfId="15754" xr:uid="{960A2809-F7FF-48CB-B2EB-DB8E348B18EC}"/>
    <cellStyle name="Normal 10 2 3 4 3" xfId="8207" xr:uid="{302DF909-5642-4A8D-88D7-5BFCE03896E9}"/>
    <cellStyle name="Normal 10 2 3 4 3 2" xfId="18587" xr:uid="{AB93101C-88F5-4130-A19E-5E38DF614E7E}"/>
    <cellStyle name="Normal 10 2 3 4 4" xfId="11040" xr:uid="{0B293727-8820-41D2-A0EB-ED5FCBF3C6B4}"/>
    <cellStyle name="Normal 10 2 3 4 4 2" xfId="21420" xr:uid="{98F15AD6-31E3-4DB6-85DB-7BFEF91DDA77}"/>
    <cellStyle name="Normal 10 2 3 4 5" xfId="23742" xr:uid="{4DEFB253-2EDE-47A7-8D1D-E3D674008FF9}"/>
    <cellStyle name="Normal 10 2 3 4 6" xfId="13648" xr:uid="{AFDB53F8-9F26-4C3F-BA97-172B32C285DF}"/>
    <cellStyle name="Normal 10 2 3 5" xfId="2605" xr:uid="{00000000-0005-0000-0000-00001A030000}"/>
    <cellStyle name="Normal 10 2 3 5 2" xfId="5870" xr:uid="{1F649C14-9E5E-422A-970C-FA8E95C730BA}"/>
    <cellStyle name="Normal 10 2 3 5 2 2" xfId="28060" xr:uid="{9C373D47-6388-4819-BB1F-656D0917F65C}"/>
    <cellStyle name="Normal 10 2 3 5 2 3" xfId="15277" xr:uid="{891E1580-5625-4160-8DB8-13978498474D}"/>
    <cellStyle name="Normal 10 2 3 5 3" xfId="7730" xr:uid="{A4A6A792-4386-4B80-9437-B711498C0164}"/>
    <cellStyle name="Normal 10 2 3 5 3 2" xfId="18110" xr:uid="{FCDC4A15-63D9-48D4-B37F-F0FF50324AE8}"/>
    <cellStyle name="Normal 10 2 3 5 4" xfId="10563" xr:uid="{DC0E6A81-5298-47EC-95E1-D37895DB0800}"/>
    <cellStyle name="Normal 10 2 3 5 4 2" xfId="20943" xr:uid="{C5FF6D72-279D-449B-A4B1-66785E62441F}"/>
    <cellStyle name="Normal 10 2 3 5 5" xfId="23814" xr:uid="{3974C175-0484-428C-819E-385B5B192098}"/>
    <cellStyle name="Normal 10 2 3 5 6" xfId="12993" xr:uid="{B567E562-90E7-4D8E-AAA7-875E9F4F5717}"/>
    <cellStyle name="Normal 10 2 3 6" xfId="2304" xr:uid="{00000000-0005-0000-0000-000015030000}"/>
    <cellStyle name="Normal 10 2 3 6 2" xfId="7431" xr:uid="{F65338EF-E7C1-4C21-ADD6-C3AE8BACAA87}"/>
    <cellStyle name="Normal 10 2 3 6 2 2" xfId="17811" xr:uid="{FAAE8B82-D8D7-4E2D-9117-A7D262707BC4}"/>
    <cellStyle name="Normal 10 2 3 6 3" xfId="10264" xr:uid="{92434D7F-4325-4704-BC8A-75EEF454854D}"/>
    <cellStyle name="Normal 10 2 3 6 3 2" xfId="20644" xr:uid="{6F76CD2A-A882-4BE1-9036-58E856D0DF41}"/>
    <cellStyle name="Normal 10 2 3 6 4" xfId="24568" xr:uid="{F399ECA1-22BC-4C28-BAC2-CEF11C98ECB3}"/>
    <cellStyle name="Normal 10 2 3 6 5" xfId="14978" xr:uid="{830DE2F1-D4F3-45C3-9DBE-14ADA1AAA0A6}"/>
    <cellStyle name="Normal 10 2 3 7" xfId="3835" xr:uid="{8B8290D7-AE8C-4937-9A4F-00917BF737BC}"/>
    <cellStyle name="Normal 10 2 3 7 2" xfId="8668" xr:uid="{EA0FCEC4-836D-4690-A6E7-8DC48BC34E27}"/>
    <cellStyle name="Normal 10 2 3 7 2 2" xfId="19048" xr:uid="{EF39DD86-7CBF-44F7-A0CA-DADF53320C47}"/>
    <cellStyle name="Normal 10 2 3 7 3" xfId="11501" xr:uid="{E7C24303-4015-422A-8765-8C895ECC8561}"/>
    <cellStyle name="Normal 10 2 3 7 3 2" xfId="21881" xr:uid="{9D168038-5E4A-4E92-B20D-4299A65F34C0}"/>
    <cellStyle name="Normal 10 2 3 7 4" xfId="16215" xr:uid="{88B26A2A-744C-4C28-A600-D8665AC5EC8A}"/>
    <cellStyle name="Normal 10 2 3 8" xfId="4989" xr:uid="{ED7C97D3-0FB5-4457-A673-C604FF5B7447}"/>
    <cellStyle name="Normal 10 2 3 8 2" xfId="14284" xr:uid="{91F9CF94-E671-4888-B146-8AAE97D323D1}"/>
    <cellStyle name="Normal 10 2 3 9" xfId="6737" xr:uid="{49615C31-75D1-4474-9BA1-F20597FA187A}"/>
    <cellStyle name="Normal 10 2 3 9 2" xfId="17117" xr:uid="{12A1D631-F493-4267-A179-AE8F3EBBF983}"/>
    <cellStyle name="Normal 10 2 4" xfId="630" xr:uid="{00000000-0005-0000-0000-000022040000}"/>
    <cellStyle name="Normal 10 2 4 2" xfId="3130" xr:uid="{00000000-0005-0000-0000-00001C030000}"/>
    <cellStyle name="Normal 10 2 4 2 2" xfId="6188" xr:uid="{CD81C353-7344-4C59-8828-166DB4D348FE}"/>
    <cellStyle name="Normal 10 2 4 2 2 2" xfId="28346" xr:uid="{761D17AF-64FC-417E-82CE-5B8063632213}"/>
    <cellStyle name="Normal 10 2 4 2 2 3" xfId="15757" xr:uid="{3302B5E1-2623-4BDC-99AF-F55B35D19A11}"/>
    <cellStyle name="Normal 10 2 4 2 3" xfId="8210" xr:uid="{15B50D38-A3A0-4A3A-B597-1BDBAC43A9B1}"/>
    <cellStyle name="Normal 10 2 4 2 3 2" xfId="18590" xr:uid="{9CB06398-FD5C-46CA-819B-B9D9A4A38E1D}"/>
    <cellStyle name="Normal 10 2 4 2 4" xfId="11043" xr:uid="{18D219A1-E916-4473-A30E-0EE6E957F7FC}"/>
    <cellStyle name="Normal 10 2 4 2 4 2" xfId="21423" xr:uid="{F6950B87-B095-4A92-9CDB-E62C0DF212BF}"/>
    <cellStyle name="Normal 10 2 4 2 5" xfId="24517" xr:uid="{FA73F80A-DCD5-4B61-8B84-C4D4B7693C92}"/>
    <cellStyle name="Normal 10 2 4 2 6" xfId="13651" xr:uid="{F767D00E-752E-4CFE-92E0-30323D098EBD}"/>
    <cellStyle name="Normal 10 2 4 3" xfId="2705" xr:uid="{00000000-0005-0000-0000-00001D030000}"/>
    <cellStyle name="Normal 10 2 4 3 2" xfId="5923" xr:uid="{0CCC0FB0-A059-4BCB-8DA1-770EA4429DFA}"/>
    <cellStyle name="Normal 10 2 4 3 2 2" xfId="26616" xr:uid="{802FFC82-4CAD-45AB-877A-9FA01D5FD3BF}"/>
    <cellStyle name="Normal 10 2 4 3 2 3" xfId="15376" xr:uid="{E2F920D3-F6FB-4E7E-9047-6D662B6AB81B}"/>
    <cellStyle name="Normal 10 2 4 3 3" xfId="7829" xr:uid="{74B90E5E-ED06-4B53-9B1F-8F05E7797B5F}"/>
    <cellStyle name="Normal 10 2 4 3 3 2" xfId="18209" xr:uid="{349E2243-017D-4FE5-BD7D-A90B7A3AB615}"/>
    <cellStyle name="Normal 10 2 4 3 4" xfId="10662" xr:uid="{C824EB2A-2B0A-4B36-A699-DDBAA50CF09F}"/>
    <cellStyle name="Normal 10 2 4 3 4 2" xfId="21042" xr:uid="{405BC94C-5055-4760-A913-4B930CAB0E7E}"/>
    <cellStyle name="Normal 10 2 4 3 5" xfId="24198" xr:uid="{73BF47DB-4558-46E0-9682-515D48F68056}"/>
    <cellStyle name="Normal 10 2 4 3 6" xfId="13123" xr:uid="{0F44A364-78A2-4162-90F3-50FE8FA80242}"/>
    <cellStyle name="Normal 10 2 4 4" xfId="4146" xr:uid="{F5B8E602-5C20-4A6E-97E5-C382727F07E8}"/>
    <cellStyle name="Normal 10 2 4 4 2" xfId="8918" xr:uid="{964DB0DE-F5F5-4ABA-BCC8-41DD10D7565A}"/>
    <cellStyle name="Normal 10 2 4 4 2 2" xfId="19298" xr:uid="{C47C3A9A-B917-4B8F-902B-F0A583A5B4EA}"/>
    <cellStyle name="Normal 10 2 4 4 3" xfId="11751" xr:uid="{7ED79008-29F0-476F-8C01-46DE75F05338}"/>
    <cellStyle name="Normal 10 2 4 4 3 2" xfId="22131" xr:uid="{BC7CF7BB-416D-4990-9C30-F72688ECBA70}"/>
    <cellStyle name="Normal 10 2 4 4 4" xfId="22946" xr:uid="{A370B6D4-A1E7-4B01-949F-2BE08000CCBB}"/>
    <cellStyle name="Normal 10 2 4 4 5" xfId="16465" xr:uid="{71362419-E58F-4356-B691-ED3DEF516EA1}"/>
    <cellStyle name="Normal 10 2 4 5" xfId="4990" xr:uid="{3620BA03-891B-4B6C-B831-2F7A09D9D59D}"/>
    <cellStyle name="Normal 10 2 4 5 2" xfId="14285" xr:uid="{13F992D6-3CE3-4B6A-882E-DC9C16A5E430}"/>
    <cellStyle name="Normal 10 2 4 6" xfId="6738" xr:uid="{11EE109C-25B0-4477-B953-6C38A2D79450}"/>
    <cellStyle name="Normal 10 2 4 6 2" xfId="17118" xr:uid="{1ABB1FCB-A73C-47FD-A1F2-908B22603DF6}"/>
    <cellStyle name="Normal 10 2 4 7" xfId="9571" xr:uid="{035FBA25-20E3-48E3-A528-D611C212017A}"/>
    <cellStyle name="Normal 10 2 4 7 2" xfId="19951" xr:uid="{F1863EE5-2F73-4F0D-865C-DE77E05A4C14}"/>
    <cellStyle name="Normal 10 2 4 8" xfId="25200" xr:uid="{FA6DC77F-6C8F-4F7B-A62E-33AABEEFCA03}"/>
    <cellStyle name="Normal 10 2 4 9" xfId="12694" xr:uid="{ECC619C5-78D3-4209-B844-DE894BEC0E7E}"/>
    <cellStyle name="Normal 10 2 5" xfId="3131" xr:uid="{00000000-0005-0000-0000-00001E030000}"/>
    <cellStyle name="Normal 10 2 5 2" xfId="4442" xr:uid="{9E338F2E-BE96-4E83-90F2-E16A4690B5A9}"/>
    <cellStyle name="Normal 10 2 5 2 2" xfId="9214" xr:uid="{BA65854E-AF92-4803-80F5-7C22DCC8293B}"/>
    <cellStyle name="Normal 10 2 5 2 2 2" xfId="29207" xr:uid="{6314A263-83F1-4B28-ABCE-765CABFD8127}"/>
    <cellStyle name="Normal 10 2 5 2 2 3" xfId="19594" xr:uid="{370D15FE-C276-4A45-83E6-DF6F800B0860}"/>
    <cellStyle name="Normal 10 2 5 2 3" xfId="12047" xr:uid="{496D436E-B032-4A07-B26D-488CDFFEC77E}"/>
    <cellStyle name="Normal 10 2 5 2 3 2" xfId="22427" xr:uid="{766BF66E-6196-4E68-9B7C-FF0C469F7940}"/>
    <cellStyle name="Normal 10 2 5 2 4" xfId="25622" xr:uid="{157B87D2-C5CA-4D5E-B2DA-1D3FC9672306}"/>
    <cellStyle name="Normal 10 2 5 2 5" xfId="16761" xr:uid="{7082362A-ECD0-4F4B-848B-5CCF414252C3}"/>
    <cellStyle name="Normal 10 2 5 3" xfId="6189" xr:uid="{BD1BFEE4-9F62-4A48-BD95-D53BC4D82615}"/>
    <cellStyle name="Normal 10 2 5 3 2" xfId="28203" xr:uid="{3A30FCB9-803E-4EC5-9919-163306731BC1}"/>
    <cellStyle name="Normal 10 2 5 3 3" xfId="15758" xr:uid="{3F571267-5D40-4D73-81AC-EC846B65A91F}"/>
    <cellStyle name="Normal 10 2 5 4" xfId="8211" xr:uid="{DD3F144C-0B72-4220-AF0F-6C8AF931DF96}"/>
    <cellStyle name="Normal 10 2 5 4 2" xfId="18591" xr:uid="{D44E319F-2FC8-4885-8CA0-4D3D7071A191}"/>
    <cellStyle name="Normal 10 2 5 5" xfId="11044" xr:uid="{4C93613D-EEC5-4473-A995-AFA6F2F8F050}"/>
    <cellStyle name="Normal 10 2 5 5 2" xfId="21424" xr:uid="{63931744-0C21-4ECC-BD7A-9138DB1EEDD1}"/>
    <cellStyle name="Normal 10 2 5 6" xfId="24523" xr:uid="{9F740B7E-7987-49C4-82C9-35191C4BEAEE}"/>
    <cellStyle name="Normal 10 2 5 7" xfId="13652" xr:uid="{5417E4E0-F7F8-4917-9C5E-6C988C3578DF}"/>
    <cellStyle name="Normal 10 2 6" xfId="2890" xr:uid="{00000000-0005-0000-0000-00001F030000}"/>
    <cellStyle name="Normal 10 2 6 2" xfId="6076" xr:uid="{B8B7211B-FFDA-4B81-A375-DD45B1DD517E}"/>
    <cellStyle name="Normal 10 2 6 2 2" xfId="27184" xr:uid="{76D46EE7-A365-41C6-8123-6B42149712D0}"/>
    <cellStyle name="Normal 10 2 6 2 3" xfId="15554" xr:uid="{0796DDD0-7B21-41F0-BCC5-C48576AB08EE}"/>
    <cellStyle name="Normal 10 2 6 3" xfId="8007" xr:uid="{0CA1C121-A45E-4913-9CCA-CBBAA3AE18EB}"/>
    <cellStyle name="Normal 10 2 6 3 2" xfId="18387" xr:uid="{93B5654E-534E-47BD-BD90-C53F0B89EC8A}"/>
    <cellStyle name="Normal 10 2 6 4" xfId="10840" xr:uid="{E7171419-1314-4CBA-B06A-C3721FCD9CA9}"/>
    <cellStyle name="Normal 10 2 6 4 2" xfId="21220" xr:uid="{C8AF0209-EC6E-43EB-9357-A1E5EC0623EF}"/>
    <cellStyle name="Normal 10 2 6 5" xfId="24836" xr:uid="{2AA68A3A-DCAE-496A-82A2-4D3838D9ABF1}"/>
    <cellStyle name="Normal 10 2 6 6" xfId="13392" xr:uid="{14C536AA-DB87-428A-B8DD-54EAB2B90CD1}"/>
    <cellStyle name="Normal 10 2 7" xfId="2502" xr:uid="{00000000-0005-0000-0000-000020030000}"/>
    <cellStyle name="Normal 10 2 7 2" xfId="5783" xr:uid="{D0B4CEE4-5864-4622-B725-5D5D21567676}"/>
    <cellStyle name="Normal 10 2 7 2 2" xfId="27113" xr:uid="{978E091B-8C60-428F-8E28-08D94C396028}"/>
    <cellStyle name="Normal 10 2 7 2 3" xfId="15174" xr:uid="{CE2A363D-DDDE-4623-A501-AAAF537750CD}"/>
    <cellStyle name="Normal 10 2 7 3" xfId="7627" xr:uid="{7A984B8F-FF27-492E-BA0E-F5C3E75B7C54}"/>
    <cellStyle name="Normal 10 2 7 3 2" xfId="18007" xr:uid="{45DE27C2-5F10-4CA5-BF51-54192B24021B}"/>
    <cellStyle name="Normal 10 2 7 4" xfId="10460" xr:uid="{5B46C42E-A9F8-44A4-B466-83BEF0D6B08F}"/>
    <cellStyle name="Normal 10 2 7 4 2" xfId="20840" xr:uid="{A911A6C3-C177-4436-98E2-79D9650DA797}"/>
    <cellStyle name="Normal 10 2 7 5" xfId="22949" xr:uid="{EF1259EB-84F5-4CD6-8766-0001F2586003}"/>
    <cellStyle name="Normal 10 2 7 6" xfId="12890" xr:uid="{62449018-77E9-4C59-A406-BD186A7876FD}"/>
    <cellStyle name="Normal 10 2 8" xfId="2196" xr:uid="{00000000-0005-0000-0000-000009030000}"/>
    <cellStyle name="Normal 10 2 8 2" xfId="7323" xr:uid="{CD3D437D-65A4-45F7-BD24-8B506936D243}"/>
    <cellStyle name="Normal 10 2 8 2 2" xfId="17703" xr:uid="{459D8D6A-E723-445E-8E7D-E58CC4E9DB9E}"/>
    <cellStyle name="Normal 10 2 8 3" xfId="10156" xr:uid="{A4E6239E-293D-43CF-BAE1-920FC2436C0D}"/>
    <cellStyle name="Normal 10 2 8 3 2" xfId="20536" xr:uid="{58CF501C-C41C-4CE0-9DC0-D9DF3C98CCAA}"/>
    <cellStyle name="Normal 10 2 8 4" xfId="23947" xr:uid="{B16A613C-DC7C-4BAB-9CE5-D2D4386F503D}"/>
    <cellStyle name="Normal 10 2 8 5" xfId="14870" xr:uid="{D2AC8B86-F8E4-403F-B63E-A61C29DDF6FC}"/>
    <cellStyle name="Normal 10 2 9" xfId="3905" xr:uid="{8D267ABA-D2E7-4AB9-85B6-698D2920A9CF}"/>
    <cellStyle name="Normal 10 2 9 2" xfId="8737" xr:uid="{AF649095-E975-4879-A024-D9E79D05AA14}"/>
    <cellStyle name="Normal 10 2 9 2 2" xfId="19117" xr:uid="{3191403E-2306-45DA-906D-6C9E51CA3AEA}"/>
    <cellStyle name="Normal 10 2 9 3" xfId="11570" xr:uid="{D853CF8D-5370-4F11-A2CD-EB1C71549CBB}"/>
    <cellStyle name="Normal 10 2 9 3 2" xfId="21950" xr:uid="{967439E1-E452-43A8-80DA-4BBE4EACCEE0}"/>
    <cellStyle name="Normal 10 2 9 4" xfId="16284" xr:uid="{D850474B-04FD-41D5-9E02-5BDAD9D1B3B8}"/>
    <cellStyle name="Normal 10 3" xfId="631" xr:uid="{00000000-0005-0000-0000-000023040000}"/>
    <cellStyle name="Normal 10 3 10" xfId="4991" xr:uid="{B971CAB3-4E5E-42A8-8E41-7E9B5496E5A2}"/>
    <cellStyle name="Normal 10 3 10 2" xfId="14286" xr:uid="{1D1E5673-3166-446E-874B-A45C646CA6F2}"/>
    <cellStyle name="Normal 10 3 11" xfId="6739" xr:uid="{2ED9A2C1-5D97-491C-ACA5-960CC9F31B2C}"/>
    <cellStyle name="Normal 10 3 11 2" xfId="17119" xr:uid="{0911746F-79BE-42B5-8D11-8F7DD6FFFB9D}"/>
    <cellStyle name="Normal 10 3 12" xfId="9572" xr:uid="{255DC69B-92E1-4FEB-9EFA-4F0D81443FB9}"/>
    <cellStyle name="Normal 10 3 12 2" xfId="19952" xr:uid="{7DB05A14-DDDF-42E0-BCD6-AF6AB9D9B9C4}"/>
    <cellStyle name="Normal 10 3 13" xfId="23887" xr:uid="{6272B891-EDDC-4148-A2A1-936240A89EBA}"/>
    <cellStyle name="Normal 10 3 14" xfId="12465" xr:uid="{359FC0B9-F250-4559-B02E-40DB23ABD1A8}"/>
    <cellStyle name="Normal 10 3 2" xfId="632" xr:uid="{00000000-0005-0000-0000-000024040000}"/>
    <cellStyle name="Normal 10 3 2 10" xfId="9573" xr:uid="{51C02921-58A3-463A-B4FC-F82EDF76A44E}"/>
    <cellStyle name="Normal 10 3 2 10 2" xfId="19953" xr:uid="{928C13C0-E605-4FA9-8E38-6C8897FF5498}"/>
    <cellStyle name="Normal 10 3 2 11" xfId="23013" xr:uid="{1AEADB29-65B1-4D02-9750-E5CD446409E6}"/>
    <cellStyle name="Normal 10 3 2 12" xfId="12537" xr:uid="{E0A41ED9-2C13-409B-93F2-56564369BD81}"/>
    <cellStyle name="Normal 10 3 2 2" xfId="633" xr:uid="{00000000-0005-0000-0000-000025040000}"/>
    <cellStyle name="Normal 10 3 2 2 2" xfId="3133" xr:uid="{00000000-0005-0000-0000-000024030000}"/>
    <cellStyle name="Normal 10 3 2 2 2 2" xfId="6191" xr:uid="{818E3871-8BBD-49A5-8F2F-3AA2809212CC}"/>
    <cellStyle name="Normal 10 3 2 2 2 2 2" xfId="26169" xr:uid="{EA40498E-9AB9-4A85-918E-BFACEC00A1BF}"/>
    <cellStyle name="Normal 10 3 2 2 2 2 3" xfId="25886" xr:uid="{53D87904-1416-4640-96E8-2900CC5A05C6}"/>
    <cellStyle name="Normal 10 3 2 2 2 2 4" xfId="15760" xr:uid="{528ECC10-08C3-4C6E-BA5F-675B8F05A6D1}"/>
    <cellStyle name="Normal 10 3 2 2 2 3" xfId="8213" xr:uid="{C721729A-2337-4936-B79F-891C05B4A559}"/>
    <cellStyle name="Normal 10 3 2 2 2 3 2" xfId="28866" xr:uid="{B96E90F2-99D0-4B90-805E-5BE51C97634A}"/>
    <cellStyle name="Normal 10 3 2 2 2 3 3" xfId="18593" xr:uid="{87839693-9F0F-49A5-850D-92BA297E6CB6}"/>
    <cellStyle name="Normal 10 3 2 2 2 4" xfId="11046" xr:uid="{BF195E82-5187-4D41-BD8C-60ED6733DFB5}"/>
    <cellStyle name="Normal 10 3 2 2 2 4 2" xfId="21426" xr:uid="{040CE62B-8DD3-48FD-885B-700066E6B86B}"/>
    <cellStyle name="Normal 10 3 2 2 2 5" xfId="22878" xr:uid="{BBA932E6-1E09-4080-98F2-0F79EA82D601}"/>
    <cellStyle name="Normal 10 3 2 2 2 6" xfId="13654" xr:uid="{5DADBDA1-26F8-4BD9-873A-036A9D4F8118}"/>
    <cellStyle name="Normal 10 3 2 2 3" xfId="4285" xr:uid="{A53AD929-881D-4AA3-8224-140DAE4C1638}"/>
    <cellStyle name="Normal 10 3 2 2 3 2" xfId="9057" xr:uid="{8C75F184-FFC8-4F9E-AACF-5A5E3057638C}"/>
    <cellStyle name="Normal 10 3 2 2 3 2 2" xfId="29100" xr:uid="{3FA52B86-173F-47DB-A46D-08887A85E943}"/>
    <cellStyle name="Normal 10 3 2 2 3 2 3" xfId="19437" xr:uid="{CF9251E8-D165-4028-9B55-9DFABB159669}"/>
    <cellStyle name="Normal 10 3 2 2 3 3" xfId="11890" xr:uid="{7B657372-A9AB-4CC8-A4F1-DA61F6B8BD3E}"/>
    <cellStyle name="Normal 10 3 2 2 3 3 2" xfId="22270" xr:uid="{7A27E98F-A5A0-4A1D-9085-C99D62911EC4}"/>
    <cellStyle name="Normal 10 3 2 2 3 4" xfId="24765" xr:uid="{B0263DA0-4320-4DB7-B5C5-010F7FD3EAA0}"/>
    <cellStyle name="Normal 10 3 2 2 3 5" xfId="16604" xr:uid="{DCC0A920-4C3C-4AB7-BF06-0525ABDD4CEB}"/>
    <cellStyle name="Normal 10 3 2 2 4" xfId="4993" xr:uid="{8FBD8140-B9BC-491C-8D7F-C7C1AAC31563}"/>
    <cellStyle name="Normal 10 3 2 2 4 2" xfId="26246" xr:uid="{5A9FC39D-CFFE-4712-BA37-6A6B52AF9965}"/>
    <cellStyle name="Normal 10 3 2 2 4 3" xfId="14288" xr:uid="{07170A62-D7A3-4CF8-AF7A-00C71D5117E1}"/>
    <cellStyle name="Normal 10 3 2 2 5" xfId="6741" xr:uid="{F488103A-1068-48DE-89EF-889B889BB68C}"/>
    <cellStyle name="Normal 10 3 2 2 5 2" xfId="17121" xr:uid="{723E325F-12B8-4F4B-BDC3-0F57FCB0A260}"/>
    <cellStyle name="Normal 10 3 2 2 6" xfId="9574" xr:uid="{6ED5D63F-9B82-414B-88E6-E4DB8CB3E9EB}"/>
    <cellStyle name="Normal 10 3 2 2 6 2" xfId="19954" xr:uid="{8BE44BC7-DC90-4F84-B987-DC25E2CE5C9D}"/>
    <cellStyle name="Normal 10 3 2 2 7" xfId="25181" xr:uid="{2F7CE6EA-3726-424C-8D77-756D4623EE51}"/>
    <cellStyle name="Normal 10 3 2 2 8" xfId="13128" xr:uid="{B9446284-ECCF-4080-BA5F-5D5B591A76AD}"/>
    <cellStyle name="Normal 10 3 2 3" xfId="3134" xr:uid="{00000000-0005-0000-0000-000025030000}"/>
    <cellStyle name="Normal 10 3 2 3 2" xfId="4443" xr:uid="{AB4DC996-997D-43F3-A978-07BE861BA132}"/>
    <cellStyle name="Normal 10 3 2 3 2 2" xfId="9215" xr:uid="{A96D1B7B-5F8C-4D05-9DC8-DE3645EF2A3D}"/>
    <cellStyle name="Normal 10 3 2 3 2 2 2" xfId="29208" xr:uid="{843C4DA1-F182-487D-80F5-0E6BE11C9AF5}"/>
    <cellStyle name="Normal 10 3 2 3 2 2 3" xfId="19595" xr:uid="{2E2CD963-89F6-41AE-88AD-9526C805221B}"/>
    <cellStyle name="Normal 10 3 2 3 2 3" xfId="12048" xr:uid="{3E76F8F7-3EC2-480D-BE7A-4019B720399F}"/>
    <cellStyle name="Normal 10 3 2 3 2 3 2" xfId="22428" xr:uid="{C1D9A5B9-0886-4A15-B4AC-905F0C43B983}"/>
    <cellStyle name="Normal 10 3 2 3 2 4" xfId="24900" xr:uid="{EF39CD07-3306-40C4-AC6B-FFC0565E7D10}"/>
    <cellStyle name="Normal 10 3 2 3 2 5" xfId="16762" xr:uid="{78EC5100-9684-4998-9F40-39204151AC55}"/>
    <cellStyle name="Normal 10 3 2 3 3" xfId="6192" xr:uid="{4FA7B985-F3FD-4BB1-BE6E-726FBE11C1C7}"/>
    <cellStyle name="Normal 10 3 2 3 3 2" xfId="28119" xr:uid="{CEA23EA0-2236-4A39-8BAD-FB0EC0DB315A}"/>
    <cellStyle name="Normal 10 3 2 3 3 3" xfId="15761" xr:uid="{9144E66A-91B6-4E51-ACAA-56ACDAF6CBAE}"/>
    <cellStyle name="Normal 10 3 2 3 4" xfId="8214" xr:uid="{0277978F-4825-43B0-B34A-710A6A851632}"/>
    <cellStyle name="Normal 10 3 2 3 4 2" xfId="18594" xr:uid="{72752379-22DD-4D52-BF80-11B385A74B1D}"/>
    <cellStyle name="Normal 10 3 2 3 5" xfId="11047" xr:uid="{1C342EAE-3E22-40BE-A5C7-8125513E85B4}"/>
    <cellStyle name="Normal 10 3 2 3 5 2" xfId="21427" xr:uid="{3BCAC77F-4504-4411-91D6-CDBAD0294ACA}"/>
    <cellStyle name="Normal 10 3 2 3 6" xfId="25054" xr:uid="{B1DA9158-FF4F-43E3-81BC-72A67E9F1FCA}"/>
    <cellStyle name="Normal 10 3 2 3 7" xfId="13655" xr:uid="{5F15AA7E-F44B-4554-B334-229175320190}"/>
    <cellStyle name="Normal 10 3 2 4" xfId="3132" xr:uid="{00000000-0005-0000-0000-000026030000}"/>
    <cellStyle name="Normal 10 3 2 4 2" xfId="6190" xr:uid="{B077E13E-CA6B-45D4-9087-D61876575884}"/>
    <cellStyle name="Normal 10 3 2 4 2 2" xfId="26602" xr:uid="{92FF2D64-E0F2-4AAB-81C6-B9C1DA63E523}"/>
    <cellStyle name="Normal 10 3 2 4 2 3" xfId="15759" xr:uid="{4B82FBAC-F2C9-4089-824F-815BB8080F6F}"/>
    <cellStyle name="Normal 10 3 2 4 3" xfId="8212" xr:uid="{B2BFB5DC-6009-4CCA-94A5-544F7797A084}"/>
    <cellStyle name="Normal 10 3 2 4 3 2" xfId="18592" xr:uid="{7E9BCD89-84C1-498B-B93E-51EAF88235C7}"/>
    <cellStyle name="Normal 10 3 2 4 4" xfId="11045" xr:uid="{E028B317-F9CA-4C90-B28A-1E0061DE4622}"/>
    <cellStyle name="Normal 10 3 2 4 4 2" xfId="21425" xr:uid="{66936DCA-6B75-429F-9723-956BD3D56201}"/>
    <cellStyle name="Normal 10 3 2 4 5" xfId="23280" xr:uid="{A2698027-CC44-496E-A047-99571E1CFE91}"/>
    <cellStyle name="Normal 10 3 2 4 6" xfId="13653" xr:uid="{B746249F-45B3-4BC8-9F06-58E0393BEAB6}"/>
    <cellStyle name="Normal 10 3 2 5" xfId="2539" xr:uid="{00000000-0005-0000-0000-000027030000}"/>
    <cellStyle name="Normal 10 3 2 5 2" xfId="5813" xr:uid="{3AFAD17B-9CB7-4043-92C4-690A02D02BCC}"/>
    <cellStyle name="Normal 10 3 2 5 2 2" xfId="28504" xr:uid="{EBF5EBE1-ED80-4526-AEB5-FBEF36F58529}"/>
    <cellStyle name="Normal 10 3 2 5 2 3" xfId="15211" xr:uid="{6989A562-4251-4F9F-8419-A33C25A59A25}"/>
    <cellStyle name="Normal 10 3 2 5 3" xfId="7664" xr:uid="{1831CD6D-9BE7-41B6-B199-6DCD146669B3}"/>
    <cellStyle name="Normal 10 3 2 5 3 2" xfId="18044" xr:uid="{BD83013A-EEF5-42AE-A6F5-16BD16D55753}"/>
    <cellStyle name="Normal 10 3 2 5 4" xfId="10497" xr:uid="{012ED8AA-B686-49AB-AFE6-52E2F18ECBDD}"/>
    <cellStyle name="Normal 10 3 2 5 4 2" xfId="20877" xr:uid="{DDCB5631-F786-43E1-AFAE-8891BC06A146}"/>
    <cellStyle name="Normal 10 3 2 5 5" xfId="24094" xr:uid="{81847829-8D06-4E14-B304-A1014F7064EF}"/>
    <cellStyle name="Normal 10 3 2 5 6" xfId="12927" xr:uid="{DF20E022-3898-4380-82B3-AC87090882AC}"/>
    <cellStyle name="Normal 10 3 2 6" xfId="2305" xr:uid="{00000000-0005-0000-0000-000022030000}"/>
    <cellStyle name="Normal 10 3 2 6 2" xfId="7432" xr:uid="{EAE563C9-0ED2-48F8-9124-2A92354E338C}"/>
    <cellStyle name="Normal 10 3 2 6 2 2" xfId="17812" xr:uid="{9E740C62-6C9B-4F4E-930E-6A6A3F2F3603}"/>
    <cellStyle name="Normal 10 3 2 6 3" xfId="10265" xr:uid="{49165BC3-52B0-4C24-A6C9-50659493E6C0}"/>
    <cellStyle name="Normal 10 3 2 6 3 2" xfId="20645" xr:uid="{9F65774C-CA03-4F18-9D11-43914841E605}"/>
    <cellStyle name="Normal 10 3 2 6 4" xfId="24223" xr:uid="{932920D9-C582-48DA-A395-DE5A8D4E9988}"/>
    <cellStyle name="Normal 10 3 2 6 5" xfId="14979" xr:uid="{58451BA6-A69A-4535-AEA4-F75B5AF1C6C4}"/>
    <cellStyle name="Normal 10 3 2 7" xfId="3836" xr:uid="{5DE2482C-58BB-48C3-BFAB-C7FEF5582713}"/>
    <cellStyle name="Normal 10 3 2 7 2" xfId="8669" xr:uid="{8DB17317-09E6-4641-BC0A-ED4C68F648C6}"/>
    <cellStyle name="Normal 10 3 2 7 2 2" xfId="19049" xr:uid="{353414D2-5965-4C88-9155-5637FB721339}"/>
    <cellStyle name="Normal 10 3 2 7 3" xfId="11502" xr:uid="{A50C2AEA-0E22-4976-9959-F2741F1D478D}"/>
    <cellStyle name="Normal 10 3 2 7 3 2" xfId="21882" xr:uid="{6537CBDA-0B47-4A02-9559-AE5B06F9477F}"/>
    <cellStyle name="Normal 10 3 2 7 4" xfId="16216" xr:uid="{D36FE6EB-A15E-44F2-8054-6C2B99B90891}"/>
    <cellStyle name="Normal 10 3 2 8" xfId="4992" xr:uid="{AABF2103-4513-4583-A363-6F64B000444F}"/>
    <cellStyle name="Normal 10 3 2 8 2" xfId="14287" xr:uid="{7022F2AB-98F8-4CC8-95C8-F55383562AED}"/>
    <cellStyle name="Normal 10 3 2 9" xfId="6740" xr:uid="{1FB954EC-E729-41E3-BF60-916B01A6773C}"/>
    <cellStyle name="Normal 10 3 2 9 2" xfId="17120" xr:uid="{066F68D1-A22B-4004-9509-9E7EFB117A42}"/>
    <cellStyle name="Normal 10 3 3" xfId="634" xr:uid="{00000000-0005-0000-0000-000026040000}"/>
    <cellStyle name="Normal 10 3 3 10" xfId="24635" xr:uid="{FC8A1D8D-9502-4418-BE56-E62F82A545E2}"/>
    <cellStyle name="Normal 10 3 3 11" xfId="12695" xr:uid="{107F9FA7-0259-4E3D-8341-5FD559C59C48}"/>
    <cellStyle name="Normal 10 3 3 2" xfId="2708" xr:uid="{00000000-0005-0000-0000-000029030000}"/>
    <cellStyle name="Normal 10 3 3 2 2" xfId="3136" xr:uid="{00000000-0005-0000-0000-00002A030000}"/>
    <cellStyle name="Normal 10 3 3 2 2 2" xfId="6194" xr:uid="{CD6BC6DD-65A0-4460-A783-00734090C10A}"/>
    <cellStyle name="Normal 10 3 3 2 2 2 2" xfId="27548" xr:uid="{F6E9DF03-CA51-4FF2-BF49-97DE818A30D7}"/>
    <cellStyle name="Normal 10 3 3 2 2 2 3" xfId="15763" xr:uid="{0C0BC6BF-440D-42B6-9B31-E981D40669B5}"/>
    <cellStyle name="Normal 10 3 3 2 2 3" xfId="8216" xr:uid="{E70CDCB3-2C59-4855-AC91-BC2EE6F71F41}"/>
    <cellStyle name="Normal 10 3 3 2 2 3 2" xfId="18596" xr:uid="{B6009367-2002-477F-ADA8-D12A52FB6F22}"/>
    <cellStyle name="Normal 10 3 3 2 2 4" xfId="11049" xr:uid="{511DD6FF-718F-40CE-8B3D-66AD6CA908FC}"/>
    <cellStyle name="Normal 10 3 3 2 2 4 2" xfId="21429" xr:uid="{2E00B27A-A42E-4F8B-B13D-BBB37244772E}"/>
    <cellStyle name="Normal 10 3 3 2 2 5" xfId="25087" xr:uid="{6363B84C-CDDF-4381-9906-941F5A74FE90}"/>
    <cellStyle name="Normal 10 3 3 2 2 6" xfId="13657" xr:uid="{F1911E96-22FE-4804-BF2B-2DC39E7E8FCF}"/>
    <cellStyle name="Normal 10 3 3 2 3" xfId="4286" xr:uid="{1084E21D-2F01-48DF-8530-0DD6342FD1D6}"/>
    <cellStyle name="Normal 10 3 3 2 3 2" xfId="9058" xr:uid="{3A87375D-5DC6-42E2-ACD4-630770DB3433}"/>
    <cellStyle name="Normal 10 3 3 2 3 2 2" xfId="29101" xr:uid="{8FB4BF09-347C-4E03-9A17-26F38F50AD2F}"/>
    <cellStyle name="Normal 10 3 3 2 3 2 3" xfId="19438" xr:uid="{F2F6F10E-DE6A-4D03-A63B-95C80F4D8ECB}"/>
    <cellStyle name="Normal 10 3 3 2 3 3" xfId="11891" xr:uid="{B5FEBB2C-18BD-4B11-9079-92D4D09B2BB6}"/>
    <cellStyle name="Normal 10 3 3 2 3 3 2" xfId="22271" xr:uid="{192847B9-433A-4DBD-8D2A-7ECB95F601F6}"/>
    <cellStyle name="Normal 10 3 3 2 3 4" xfId="24209" xr:uid="{CE8311F5-474D-495D-8F29-9C610027580A}"/>
    <cellStyle name="Normal 10 3 3 2 3 5" xfId="16605" xr:uid="{AA0CBE19-0038-472F-BE01-2DE5D8879BD4}"/>
    <cellStyle name="Normal 10 3 3 2 4" xfId="5926" xr:uid="{49AE9B8B-60D5-412E-A13F-852B75B379C2}"/>
    <cellStyle name="Normal 10 3 3 2 4 2" xfId="28293" xr:uid="{F2CB1B38-AB99-424C-B821-A6989D844967}"/>
    <cellStyle name="Normal 10 3 3 2 4 3" xfId="15379" xr:uid="{8864088A-97F7-4F3D-A94D-BC5AD6843D58}"/>
    <cellStyle name="Normal 10 3 3 2 5" xfId="7832" xr:uid="{AC1960BB-B33A-452C-9BAB-4826B5F1C111}"/>
    <cellStyle name="Normal 10 3 3 2 5 2" xfId="18212" xr:uid="{9738F909-F88A-4DA2-9ADF-3E9855FAB67C}"/>
    <cellStyle name="Normal 10 3 3 2 6" xfId="10665" xr:uid="{1713B0A9-4DFC-43D7-B3CB-4E5CCC9FB9E3}"/>
    <cellStyle name="Normal 10 3 3 2 6 2" xfId="21045" xr:uid="{67AD1D3A-BC95-4F8F-9E67-E20FAC2AEDBB}"/>
    <cellStyle name="Normal 10 3 3 2 7" xfId="24701" xr:uid="{579A7D72-7FBB-4A0B-8AC2-8B77510F8FBA}"/>
    <cellStyle name="Normal 10 3 3 2 8" xfId="13129" xr:uid="{6FCAC9DB-4A81-42EC-A4AF-158C0FC5212E}"/>
    <cellStyle name="Normal 10 3 3 3" xfId="3137" xr:uid="{00000000-0005-0000-0000-00002B030000}"/>
    <cellStyle name="Normal 10 3 3 3 2" xfId="4444" xr:uid="{F11CDAB9-888A-47CC-A013-7F0EA6C8B225}"/>
    <cellStyle name="Normal 10 3 3 3 2 2" xfId="9216" xr:uid="{7538ED8B-886C-49A0-B978-7D4B6B68CB80}"/>
    <cellStyle name="Normal 10 3 3 3 2 2 2" xfId="29209" xr:uid="{64ED5053-508E-494D-8FC0-805F9147E2BE}"/>
    <cellStyle name="Normal 10 3 3 3 2 2 3" xfId="19596" xr:uid="{76FD16F7-01B8-4248-A574-98D03BECB22C}"/>
    <cellStyle name="Normal 10 3 3 3 2 3" xfId="12049" xr:uid="{D05F6A24-CCAD-4391-AE37-AE46768AE2AA}"/>
    <cellStyle name="Normal 10 3 3 3 2 3 2" xfId="22429" xr:uid="{9CB67378-A7E5-4DFF-8039-EA53630F68B4}"/>
    <cellStyle name="Normal 10 3 3 3 2 4" xfId="25688" xr:uid="{59D31921-BD7B-410B-995B-A240C490AAC4}"/>
    <cellStyle name="Normal 10 3 3 3 2 5" xfId="16763" xr:uid="{41C32BF1-2AEF-4FCB-B0FB-832D71E9265B}"/>
    <cellStyle name="Normal 10 3 3 3 3" xfId="6195" xr:uid="{38472D4B-C516-4A45-A07C-56DE8DF449E4}"/>
    <cellStyle name="Normal 10 3 3 3 3 2" xfId="26855" xr:uid="{D4921790-E0C7-425A-8388-42044F8799DA}"/>
    <cellStyle name="Normal 10 3 3 3 3 3" xfId="15764" xr:uid="{80E669C7-FC3B-4E63-B72A-C7C6CC2DDC7B}"/>
    <cellStyle name="Normal 10 3 3 3 4" xfId="8217" xr:uid="{0736BEBB-3583-4FED-9AE4-002B3151CD49}"/>
    <cellStyle name="Normal 10 3 3 3 4 2" xfId="18597" xr:uid="{E149C1C9-FD91-4C75-B8C4-600B9FBC45EB}"/>
    <cellStyle name="Normal 10 3 3 3 5" xfId="11050" xr:uid="{2990E9DE-F821-4438-BA00-5B96F3E4EC3D}"/>
    <cellStyle name="Normal 10 3 3 3 5 2" xfId="21430" xr:uid="{CDD16F88-02D7-4B9A-B06B-6A19C7C01B37}"/>
    <cellStyle name="Normal 10 3 3 3 6" xfId="23028" xr:uid="{0EF7FB8A-31D6-40C1-8A48-66E85E1AE895}"/>
    <cellStyle name="Normal 10 3 3 3 7" xfId="13658" xr:uid="{5D07802A-295C-40F9-9CCC-ED8C4ABAD191}"/>
    <cellStyle name="Normal 10 3 3 4" xfId="3135" xr:uid="{00000000-0005-0000-0000-00002C030000}"/>
    <cellStyle name="Normal 10 3 3 4 2" xfId="6193" xr:uid="{CC2E32D4-5362-4611-AF3F-C0F3B40A61C9}"/>
    <cellStyle name="Normal 10 3 3 4 2 2" xfId="27850" xr:uid="{E7631E61-E7EB-487E-AFA4-2FDCD2DEF47E}"/>
    <cellStyle name="Normal 10 3 3 4 2 3" xfId="15762" xr:uid="{2BF59D66-C81C-499C-A46A-B1E17B24526C}"/>
    <cellStyle name="Normal 10 3 3 4 3" xfId="8215" xr:uid="{4B1740DF-DA70-4371-8F14-AB8C840FB985}"/>
    <cellStyle name="Normal 10 3 3 4 3 2" xfId="18595" xr:uid="{A18AFC81-B1D5-4A27-9E55-AA891CB5A47D}"/>
    <cellStyle name="Normal 10 3 3 4 4" xfId="11048" xr:uid="{A00259E1-939B-4EE5-B516-39DDAEFB0C33}"/>
    <cellStyle name="Normal 10 3 3 4 4 2" xfId="21428" xr:uid="{82B9EB5A-BF13-4A91-B6C3-D4633F88A1BF}"/>
    <cellStyle name="Normal 10 3 3 4 5" xfId="23475" xr:uid="{88365AA0-F73F-4C93-85F9-8056223A3BB7}"/>
    <cellStyle name="Normal 10 3 3 4 6" xfId="13656" xr:uid="{7AC675F4-EDE3-49BF-9A92-3810128595BF}"/>
    <cellStyle name="Normal 10 3 3 5" xfId="2641" xr:uid="{00000000-0005-0000-0000-00002D030000}"/>
    <cellStyle name="Normal 10 3 3 5 2" xfId="5903" xr:uid="{7317C662-3FFA-44C0-8540-BB269EC96C05}"/>
    <cellStyle name="Normal 10 3 3 5 2 2" xfId="28030" xr:uid="{4CBB18E1-F517-4DFF-847C-0B3F7CD6D389}"/>
    <cellStyle name="Normal 10 3 3 5 2 3" xfId="15313" xr:uid="{D2D60040-57CB-48AC-A06D-BA5300FEA18D}"/>
    <cellStyle name="Normal 10 3 3 5 3" xfId="7766" xr:uid="{65C29C45-4F49-4B4C-ACD4-B306EBC5733B}"/>
    <cellStyle name="Normal 10 3 3 5 3 2" xfId="18146" xr:uid="{1EE2A97B-CBB0-483E-BFD9-E0EBA9854283}"/>
    <cellStyle name="Normal 10 3 3 5 4" xfId="10599" xr:uid="{538FCF69-8E10-4AE3-BF4A-413C4FDB95A5}"/>
    <cellStyle name="Normal 10 3 3 5 4 2" xfId="20979" xr:uid="{CA4C8EE0-D68A-423B-AF9F-FEB3A83A347E}"/>
    <cellStyle name="Normal 10 3 3 5 5" xfId="24263" xr:uid="{9EE9879A-47D9-4A6A-B4AB-0EA40920AE79}"/>
    <cellStyle name="Normal 10 3 3 5 6" xfId="13030" xr:uid="{B3FC1032-6990-49BF-84CD-EA042BF26A29}"/>
    <cellStyle name="Normal 10 3 3 6" xfId="4147" xr:uid="{720A314B-D736-4B55-91D2-0A9538020FD9}"/>
    <cellStyle name="Normal 10 3 3 6 2" xfId="8919" xr:uid="{146BDAE5-801A-4480-9109-EF36CF3B3DAA}"/>
    <cellStyle name="Normal 10 3 3 6 2 2" xfId="19299" xr:uid="{F8E6BE30-8223-49EA-B7BC-C94DE5882EE1}"/>
    <cellStyle name="Normal 10 3 3 6 3" xfId="11752" xr:uid="{A25CFEF2-6593-4B5E-BD21-853D15FEBE47}"/>
    <cellStyle name="Normal 10 3 3 6 3 2" xfId="22132" xr:uid="{E2B4B273-0C6E-46FC-9E81-7BEC7BDA1D81}"/>
    <cellStyle name="Normal 10 3 3 6 4" xfId="24871" xr:uid="{6DEEF9DD-47F9-4373-AAF8-CDDE7FDB613C}"/>
    <cellStyle name="Normal 10 3 3 6 5" xfId="16466" xr:uid="{6F742FA1-D46B-4D41-83A7-CE84B26DD2D2}"/>
    <cellStyle name="Normal 10 3 3 7" xfId="4994" xr:uid="{76F195E5-F9BA-4629-A81C-7B3E73E89933}"/>
    <cellStyle name="Normal 10 3 3 7 2" xfId="14289" xr:uid="{793A3B51-E81A-4FCA-A6B8-8CAA78409040}"/>
    <cellStyle name="Normal 10 3 3 8" xfId="6742" xr:uid="{BB120FCB-8F6F-4A47-B67F-5468A5DC608A}"/>
    <cellStyle name="Normal 10 3 3 8 2" xfId="17122" xr:uid="{85583FF8-70AD-437B-93D6-4F13048E3AF1}"/>
    <cellStyle name="Normal 10 3 3 9" xfId="9575" xr:uid="{41F6E2E7-A077-43F8-9D5A-AD836BAB6389}"/>
    <cellStyle name="Normal 10 3 3 9 2" xfId="19955" xr:uid="{114E6468-8F35-48AA-8672-BACA8957B9DF}"/>
    <cellStyle name="Normal 10 3 4" xfId="635" xr:uid="{00000000-0005-0000-0000-000027040000}"/>
    <cellStyle name="Normal 10 3 4 2" xfId="3138" xr:uid="{00000000-0005-0000-0000-00002F030000}"/>
    <cellStyle name="Normal 10 3 4 2 2" xfId="6196" xr:uid="{EC9CB456-353B-44ED-8A95-68E8A608ACEA}"/>
    <cellStyle name="Normal 10 3 4 2 2 2" xfId="26079" xr:uid="{75B4E989-52C1-44C7-8D64-9F4442940882}"/>
    <cellStyle name="Normal 10 3 4 2 2 3" xfId="15765" xr:uid="{89FB9AF6-D2C0-4323-B17D-0D9743F23090}"/>
    <cellStyle name="Normal 10 3 4 2 3" xfId="8218" xr:uid="{D9E85761-58C7-4D3B-A2E5-044FD81D648F}"/>
    <cellStyle name="Normal 10 3 4 2 3 2" xfId="18598" xr:uid="{3AD4567C-F8F1-4839-95DF-E6D1F272F4E9}"/>
    <cellStyle name="Normal 10 3 4 2 4" xfId="11051" xr:uid="{D5C8DE77-E2A0-4247-806C-9D1FB1DA9EF6}"/>
    <cellStyle name="Normal 10 3 4 2 4 2" xfId="21431" xr:uid="{77712E07-E454-4FD2-841B-CDCBB182B862}"/>
    <cellStyle name="Normal 10 3 4 2 5" xfId="23008" xr:uid="{BDA9C7EB-35AD-4DBD-98B6-607A7BF34470}"/>
    <cellStyle name="Normal 10 3 4 2 6" xfId="13659" xr:uid="{C702F0AE-C2AB-4C81-997D-9B38F9C4558A}"/>
    <cellStyle name="Normal 10 3 4 3" xfId="4284" xr:uid="{727D90BB-C968-4920-862C-C2445E4027CE}"/>
    <cellStyle name="Normal 10 3 4 3 2" xfId="9056" xr:uid="{863D40C7-53A3-4DDB-B49D-A4C79F4AD3D9}"/>
    <cellStyle name="Normal 10 3 4 3 2 2" xfId="29099" xr:uid="{64B61225-A459-4345-8D2E-74E1F3B1BE4D}"/>
    <cellStyle name="Normal 10 3 4 3 2 3" xfId="19436" xr:uid="{4EC32CE8-1524-4A45-B50A-B559E9C19604}"/>
    <cellStyle name="Normal 10 3 4 3 3" xfId="11889" xr:uid="{84BC5F95-4EFD-4694-AFF7-81748F31181C}"/>
    <cellStyle name="Normal 10 3 4 3 3 2" xfId="22269" xr:uid="{E621FF38-7BB4-4CAD-B98F-3ED2F043755D}"/>
    <cellStyle name="Normal 10 3 4 3 4" xfId="24841" xr:uid="{874E08A6-1CA2-4DFD-BF71-3686E26141B8}"/>
    <cellStyle name="Normal 10 3 4 3 5" xfId="16603" xr:uid="{F19BB2E2-EA6D-4675-BBF3-E9766FA2DA92}"/>
    <cellStyle name="Normal 10 3 4 4" xfId="4995" xr:uid="{B3771ED7-7A4F-40E1-87A2-DD284B4D1FB0}"/>
    <cellStyle name="Normal 10 3 4 4 2" xfId="27711" xr:uid="{80240733-1F28-42D8-B52E-02AE0A900E69}"/>
    <cellStyle name="Normal 10 3 4 4 3" xfId="14290" xr:uid="{BC0FB313-E332-491A-A5A7-6B4708A96082}"/>
    <cellStyle name="Normal 10 3 4 5" xfId="6743" xr:uid="{B3EB4B11-BE2B-43D1-B380-671FAA13BD8B}"/>
    <cellStyle name="Normal 10 3 4 5 2" xfId="17123" xr:uid="{5F8A9B4C-9FF1-4D8C-9496-FB59C5921250}"/>
    <cellStyle name="Normal 10 3 4 6" xfId="9576" xr:uid="{6E895E4C-005B-4662-9C39-27B82A4CC90B}"/>
    <cellStyle name="Normal 10 3 4 6 2" xfId="19956" xr:uid="{6EC62299-454E-4B07-ACE0-9500222FE647}"/>
    <cellStyle name="Normal 10 3 4 7" xfId="25261" xr:uid="{9EC4ACD6-11A5-4535-A452-6040A01BCAA4}"/>
    <cellStyle name="Normal 10 3 4 8" xfId="13127" xr:uid="{5F516308-ACFA-4B49-ACB9-72422E653091}"/>
    <cellStyle name="Normal 10 3 5" xfId="3139" xr:uid="{00000000-0005-0000-0000-000030030000}"/>
    <cellStyle name="Normal 10 3 5 2" xfId="4445" xr:uid="{62BD4B13-781A-4338-ADA1-0DC58DB46F2D}"/>
    <cellStyle name="Normal 10 3 5 2 2" xfId="9217" xr:uid="{D51671E0-8C4B-44E4-868D-63BEE2417B69}"/>
    <cellStyle name="Normal 10 3 5 2 2 2" xfId="29210" xr:uid="{6B1E295B-F988-45A4-BC42-71E89C2D3DF1}"/>
    <cellStyle name="Normal 10 3 5 2 2 3" xfId="19597" xr:uid="{023E5AED-B5A8-49BA-8431-DBEBB38239BE}"/>
    <cellStyle name="Normal 10 3 5 2 3" xfId="12050" xr:uid="{909C78E4-B07A-4982-B196-49877638CD02}"/>
    <cellStyle name="Normal 10 3 5 2 3 2" xfId="22430" xr:uid="{A6376CE5-989F-4195-817F-5BEAB3B9170C}"/>
    <cellStyle name="Normal 10 3 5 2 4" xfId="22917" xr:uid="{77B4ADC0-A2C8-40E6-9F1C-F642C569F62A}"/>
    <cellStyle name="Normal 10 3 5 2 5" xfId="16764" xr:uid="{9C623E23-6903-4F72-9EE1-85955EAC33BA}"/>
    <cellStyle name="Normal 10 3 5 3" xfId="6197" xr:uid="{CE4477DA-1B11-4CBA-AD1A-7D1380E3DD0C}"/>
    <cellStyle name="Normal 10 3 5 3 2" xfId="28359" xr:uid="{609100A2-1C49-43BA-AFFB-B525D809C074}"/>
    <cellStyle name="Normal 10 3 5 3 3" xfId="15766" xr:uid="{E3A4951F-3AAB-42EB-8126-F57A869F346F}"/>
    <cellStyle name="Normal 10 3 5 4" xfId="8219" xr:uid="{310D63A0-24A3-4583-9A58-6F43F74A70F5}"/>
    <cellStyle name="Normal 10 3 5 4 2" xfId="18599" xr:uid="{473F5B53-4F3E-4867-A798-E2C5F0893558}"/>
    <cellStyle name="Normal 10 3 5 5" xfId="11052" xr:uid="{7D0B090E-B73A-4CEB-B990-6AEF5FBDED22}"/>
    <cellStyle name="Normal 10 3 5 5 2" xfId="21432" xr:uid="{1679AD0C-73AF-4ABB-A95F-69279A289615}"/>
    <cellStyle name="Normal 10 3 5 6" xfId="23809" xr:uid="{D907B0AC-9064-445B-82B3-C52D4CD7D1A4}"/>
    <cellStyle name="Normal 10 3 5 7" xfId="13660" xr:uid="{0BFE96D1-7E73-457E-8B74-D53EC3A2F9E0}"/>
    <cellStyle name="Normal 10 3 6" xfId="2891" xr:uid="{00000000-0005-0000-0000-000031030000}"/>
    <cellStyle name="Normal 10 3 6 2" xfId="6077" xr:uid="{63A2D3D4-354F-449C-B873-B13D65947A08}"/>
    <cellStyle name="Normal 10 3 6 2 2" xfId="25916" xr:uid="{7DE0E2F3-70A6-43B5-93B0-198AD3C5775D}"/>
    <cellStyle name="Normal 10 3 6 2 3" xfId="15555" xr:uid="{C889F172-5532-4A43-BB5E-6EFA80DE8FAA}"/>
    <cellStyle name="Normal 10 3 6 3" xfId="8008" xr:uid="{AD5B01FF-F810-4694-8B59-D841ABAC3A1D}"/>
    <cellStyle name="Normal 10 3 6 3 2" xfId="18388" xr:uid="{58414A3F-B83C-40A9-87CD-F6D074149D43}"/>
    <cellStyle name="Normal 10 3 6 4" xfId="10841" xr:uid="{68254EF4-AEDE-4D34-B040-74F5D68FD5F5}"/>
    <cellStyle name="Normal 10 3 6 4 2" xfId="21221" xr:uid="{3271912B-DD9A-4C23-A609-AD4A7076B685}"/>
    <cellStyle name="Normal 10 3 6 5" xfId="24750" xr:uid="{AD44433C-85A8-4C20-9673-689AB694C163}"/>
    <cellStyle name="Normal 10 3 6 6" xfId="13393" xr:uid="{94555134-64E5-494E-AB15-1E9A2FAA925D}"/>
    <cellStyle name="Normal 10 3 7" xfId="2479" xr:uid="{00000000-0005-0000-0000-000032030000}"/>
    <cellStyle name="Normal 10 3 7 2" xfId="5767" xr:uid="{35DABF79-AA0F-4397-B432-85D30F5B920E}"/>
    <cellStyle name="Normal 10 3 7 2 2" xfId="26005" xr:uid="{FBC0DBAE-8A1D-42BA-BF39-C45491425BDB}"/>
    <cellStyle name="Normal 10 3 7 2 3" xfId="15151" xr:uid="{46D098F0-24F6-4176-88F8-57985AC6B38B}"/>
    <cellStyle name="Normal 10 3 7 3" xfId="7604" xr:uid="{FA9123AC-D647-47A4-9914-D64BDD0110B6}"/>
    <cellStyle name="Normal 10 3 7 3 2" xfId="17984" xr:uid="{38861170-D29E-45DC-8318-4891B525C210}"/>
    <cellStyle name="Normal 10 3 7 4" xfId="10437" xr:uid="{DC90A635-41B1-4961-ACC7-F29EBD1693E0}"/>
    <cellStyle name="Normal 10 3 7 4 2" xfId="20817" xr:uid="{AC535C21-3E7B-4184-A68E-5617BE88C281}"/>
    <cellStyle name="Normal 10 3 7 5" xfId="25491" xr:uid="{C7698235-9481-465F-B45D-D05D6DF59E2A}"/>
    <cellStyle name="Normal 10 3 7 6" xfId="12867" xr:uid="{DA3547F9-157C-4BFC-B3B8-8754CCE8ABEC}"/>
    <cellStyle name="Normal 10 3 8" xfId="2233" xr:uid="{00000000-0005-0000-0000-000021030000}"/>
    <cellStyle name="Normal 10 3 8 2" xfId="7360" xr:uid="{72DDA263-81F6-43F0-8CA4-35ED37362871}"/>
    <cellStyle name="Normal 10 3 8 2 2" xfId="17740" xr:uid="{D0A43869-7421-42CA-AF8E-1A675A7319A5}"/>
    <cellStyle name="Normal 10 3 8 3" xfId="10193" xr:uid="{249BBC59-308D-4AB7-994C-5BA0CB273377}"/>
    <cellStyle name="Normal 10 3 8 3 2" xfId="20573" xr:uid="{B2AE14CA-27EC-4C5A-96EC-CF5A0B662E47}"/>
    <cellStyle name="Normal 10 3 8 4" xfId="23521" xr:uid="{DDCD5947-88AE-4CE7-AD1A-EE9946108DAD}"/>
    <cellStyle name="Normal 10 3 8 5" xfId="14907" xr:uid="{02D250B9-C265-425D-9921-FF6CCCAE255F}"/>
    <cellStyle name="Normal 10 3 9" xfId="3906" xr:uid="{DFAFEC0D-1123-40C7-8396-37B72A42A4E3}"/>
    <cellStyle name="Normal 10 3 9 2" xfId="8738" xr:uid="{0F6D0A89-C57D-4D60-909D-6327E96986AB}"/>
    <cellStyle name="Normal 10 3 9 2 2" xfId="19118" xr:uid="{F5AC2B97-3B86-43D1-AC13-952EA5581640}"/>
    <cellStyle name="Normal 10 3 9 3" xfId="11571" xr:uid="{A4405A67-BCE0-4793-905D-62F3F5DB56A9}"/>
    <cellStyle name="Normal 10 3 9 3 2" xfId="21951" xr:uid="{C3E35E6D-E8DA-48DB-A53C-AD965A433A5D}"/>
    <cellStyle name="Normal 10 3 9 4" xfId="16285" xr:uid="{7A4E722F-1587-42FD-B760-787107CE8583}"/>
    <cellStyle name="Normal 10 4" xfId="636" xr:uid="{00000000-0005-0000-0000-000028040000}"/>
    <cellStyle name="Normal 10 4 10" xfId="6744" xr:uid="{5920DC48-8D65-4018-A698-5A50362A0AE9}"/>
    <cellStyle name="Normal 10 4 10 2" xfId="17124" xr:uid="{44F67FD2-AE53-45BF-A513-ADCA8928DB4C}"/>
    <cellStyle name="Normal 10 4 11" xfId="9577" xr:uid="{B50B7FAB-23C0-4688-A51D-D6CD38E5B80C}"/>
    <cellStyle name="Normal 10 4 11 2" xfId="19957" xr:uid="{125C44FF-B7ED-432F-81AE-C213AA8C7EA1}"/>
    <cellStyle name="Normal 10 4 12" xfId="24682" xr:uid="{07D436A0-15B4-481A-8FE0-DDD06F0E7513}"/>
    <cellStyle name="Normal 10 4 13" xfId="12445" xr:uid="{9AC2E468-90FE-4AEA-8091-0C552D6D5FFB}"/>
    <cellStyle name="Normal 10 4 2" xfId="637" xr:uid="{00000000-0005-0000-0000-000029040000}"/>
    <cellStyle name="Normal 10 4 2 10" xfId="9578" xr:uid="{D4EA277E-FCC7-408B-9F3A-15E2DCB74069}"/>
    <cellStyle name="Normal 10 4 2 10 2" xfId="19958" xr:uid="{D6C62D71-8F1E-42A7-908F-5455BBDA1460}"/>
    <cellStyle name="Normal 10 4 2 11" xfId="25128" xr:uid="{BBCCF5EB-D03B-4D18-8B03-4B5ACA3F8E52}"/>
    <cellStyle name="Normal 10 4 2 12" xfId="12538" xr:uid="{67D8D94B-B82C-4209-95DD-0E71EBF554E7}"/>
    <cellStyle name="Normal 10 4 2 2" xfId="638" xr:uid="{00000000-0005-0000-0000-00002A040000}"/>
    <cellStyle name="Normal 10 4 2 2 2" xfId="3141" xr:uid="{00000000-0005-0000-0000-000036030000}"/>
    <cellStyle name="Normal 10 4 2 2 2 2" xfId="6199" xr:uid="{06F2B0D2-BE3F-4D5B-AE7B-D9F8BAA9692B}"/>
    <cellStyle name="Normal 10 4 2 2 2 2 2" xfId="26132" xr:uid="{EFF958C4-7ABB-4414-90EB-6A9CA6062F73}"/>
    <cellStyle name="Normal 10 4 2 2 2 2 3" xfId="28300" xr:uid="{E8C8467E-3FA8-4BAD-BD59-FD8074EF5103}"/>
    <cellStyle name="Normal 10 4 2 2 2 2 4" xfId="15768" xr:uid="{82792F97-AF95-4AE6-AA11-BB1C251B447A}"/>
    <cellStyle name="Normal 10 4 2 2 2 3" xfId="8221" xr:uid="{E8796C8C-6CB8-435E-9FAA-835CE642407F}"/>
    <cellStyle name="Normal 10 4 2 2 2 3 2" xfId="28867" xr:uid="{5C8AB1BF-315E-4194-950D-C7136336B9A1}"/>
    <cellStyle name="Normal 10 4 2 2 2 3 3" xfId="18601" xr:uid="{151C9F4C-E7BF-4FEC-B6A0-55545E0CB77B}"/>
    <cellStyle name="Normal 10 4 2 2 2 4" xfId="11054" xr:uid="{311656CA-3B45-45CB-A8D1-CA97EE9093C5}"/>
    <cellStyle name="Normal 10 4 2 2 2 4 2" xfId="21434" xr:uid="{9F359290-AB77-40CE-84DD-0746890789C4}"/>
    <cellStyle name="Normal 10 4 2 2 2 5" xfId="24714" xr:uid="{F315BE77-CBE9-40FF-A827-0A56A7F13A4E}"/>
    <cellStyle name="Normal 10 4 2 2 2 6" xfId="13662" xr:uid="{FC7B5103-5216-4ECD-BF0E-B0BF8325ADC0}"/>
    <cellStyle name="Normal 10 4 2 2 3" xfId="4287" xr:uid="{B33BE118-5B4D-42C0-8D8A-297D42D660E7}"/>
    <cellStyle name="Normal 10 4 2 2 3 2" xfId="9059" xr:uid="{011992E4-0B30-44AE-A330-84E6552E89A3}"/>
    <cellStyle name="Normal 10 4 2 2 3 2 2" xfId="29102" xr:uid="{EB6DCA00-11B9-45E4-850C-5A399C944CBC}"/>
    <cellStyle name="Normal 10 4 2 2 3 2 3" xfId="19439" xr:uid="{1E17F9D3-6FD9-4450-99BC-C17CF8C82ACF}"/>
    <cellStyle name="Normal 10 4 2 2 3 3" xfId="11892" xr:uid="{97A9FCD3-A616-4251-8DFA-44C6F1ADE11B}"/>
    <cellStyle name="Normal 10 4 2 2 3 3 2" xfId="22272" xr:uid="{B101FA82-953C-48BB-A152-913C8A344D20}"/>
    <cellStyle name="Normal 10 4 2 2 3 4" xfId="24821" xr:uid="{4F0432A1-A14C-4239-BDE4-C460D67AE82C}"/>
    <cellStyle name="Normal 10 4 2 2 3 5" xfId="16606" xr:uid="{322B70BC-6257-49F5-B228-4413C8E07220}"/>
    <cellStyle name="Normal 10 4 2 2 4" xfId="4998" xr:uid="{DAC04E3E-B1F8-4219-8EEB-0CCC0602482F}"/>
    <cellStyle name="Normal 10 4 2 2 4 2" xfId="27181" xr:uid="{6D7294A7-36FD-411B-8AA4-9FEE1CBCAF8E}"/>
    <cellStyle name="Normal 10 4 2 2 4 3" xfId="14293" xr:uid="{A0DBF87B-3249-475F-9F52-469F0EC7E109}"/>
    <cellStyle name="Normal 10 4 2 2 5" xfId="6746" xr:uid="{A4EB902D-3F9F-482C-86AD-9B66CF3E6B6F}"/>
    <cellStyle name="Normal 10 4 2 2 5 2" xfId="17126" xr:uid="{360D45F0-3803-4399-8218-0E713D188873}"/>
    <cellStyle name="Normal 10 4 2 2 6" xfId="9579" xr:uid="{6837B5A4-4671-4052-B884-5815B8212445}"/>
    <cellStyle name="Normal 10 4 2 2 6 2" xfId="19959" xr:uid="{F386D1A6-ABF7-4A9B-80BB-1D559C002524}"/>
    <cellStyle name="Normal 10 4 2 2 7" xfId="23060" xr:uid="{562739F2-F603-449E-9354-410FD527F77C}"/>
    <cellStyle name="Normal 10 4 2 2 8" xfId="13131" xr:uid="{9088F7F0-E3D0-4740-BC17-78C6ECDB3265}"/>
    <cellStyle name="Normal 10 4 2 3" xfId="3142" xr:uid="{00000000-0005-0000-0000-000037030000}"/>
    <cellStyle name="Normal 10 4 2 3 2" xfId="4446" xr:uid="{993D9A1E-0007-45A2-BDBD-615C6FF77875}"/>
    <cellStyle name="Normal 10 4 2 3 2 2" xfId="9218" xr:uid="{796D87CC-9C72-4436-9930-353404431198}"/>
    <cellStyle name="Normal 10 4 2 3 2 2 2" xfId="29211" xr:uid="{C9ABEA5E-0955-415D-B46F-B2F425FD2BEA}"/>
    <cellStyle name="Normal 10 4 2 3 2 2 3" xfId="19598" xr:uid="{947B9434-2737-4894-9CC1-886C18DE310E}"/>
    <cellStyle name="Normal 10 4 2 3 2 3" xfId="12051" xr:uid="{0017D429-C5F7-490A-95D2-40E3BACD14ED}"/>
    <cellStyle name="Normal 10 4 2 3 2 3 2" xfId="22431" xr:uid="{E15CCBB8-A745-4C41-8B06-D2E218F02349}"/>
    <cellStyle name="Normal 10 4 2 3 2 4" xfId="25646" xr:uid="{8EA90F6A-A0A5-454C-8877-AE245AD0F1CD}"/>
    <cellStyle name="Normal 10 4 2 3 2 5" xfId="16765" xr:uid="{D1707C35-54BC-42A0-B0DB-1F0221CD4D31}"/>
    <cellStyle name="Normal 10 4 2 3 3" xfId="6200" xr:uid="{3DA9AEB0-7430-4CD8-9759-403B2B29CB6E}"/>
    <cellStyle name="Normal 10 4 2 3 3 2" xfId="26248" xr:uid="{3988C583-4C03-4BA0-AD61-B9CD7F2D84B7}"/>
    <cellStyle name="Normal 10 4 2 3 3 3" xfId="15769" xr:uid="{9E97FCAA-40EF-49B6-BAB0-C8A96DEE02DB}"/>
    <cellStyle name="Normal 10 4 2 3 4" xfId="8222" xr:uid="{F9E0C1BB-B07A-45D9-A20E-5C7E023AFF5B}"/>
    <cellStyle name="Normal 10 4 2 3 4 2" xfId="18602" xr:uid="{5A7EDB01-41B1-4940-A948-C970566C72FF}"/>
    <cellStyle name="Normal 10 4 2 3 5" xfId="11055" xr:uid="{EABB47FE-094A-474B-A42F-A7A3FC429DAA}"/>
    <cellStyle name="Normal 10 4 2 3 5 2" xfId="21435" xr:uid="{45C324ED-D85E-4D25-862F-2C30CCA2847A}"/>
    <cellStyle name="Normal 10 4 2 3 6" xfId="22955" xr:uid="{BDD945F4-126B-4310-A9CC-2F9EAEE48A6C}"/>
    <cellStyle name="Normal 10 4 2 3 7" xfId="13663" xr:uid="{3E05150E-F02D-4C9A-AF6B-FB73AF8C6753}"/>
    <cellStyle name="Normal 10 4 2 4" xfId="3140" xr:uid="{00000000-0005-0000-0000-000038030000}"/>
    <cellStyle name="Normal 10 4 2 4 2" xfId="6198" xr:uid="{F68DC60C-0CB8-4A45-BAC8-8424ACFD301F}"/>
    <cellStyle name="Normal 10 4 2 4 2 2" xfId="27849" xr:uid="{BD935948-09BD-4AA5-82A6-309D057C86D6}"/>
    <cellStyle name="Normal 10 4 2 4 2 3" xfId="15767" xr:uid="{A4908460-27B0-484F-92FF-93FF6395B6CD}"/>
    <cellStyle name="Normal 10 4 2 4 3" xfId="8220" xr:uid="{8DA40B03-6080-411D-A100-B17AD3AAEB20}"/>
    <cellStyle name="Normal 10 4 2 4 3 2" xfId="18600" xr:uid="{210C5264-BF80-42B2-94FF-154D54786E94}"/>
    <cellStyle name="Normal 10 4 2 4 4" xfId="11053" xr:uid="{1B409DD8-EB9C-4B23-A0A3-166A63E15783}"/>
    <cellStyle name="Normal 10 4 2 4 4 2" xfId="21433" xr:uid="{83A1F8ED-7D53-4A69-89E7-AE220B6CF328}"/>
    <cellStyle name="Normal 10 4 2 4 5" xfId="24870" xr:uid="{6EC4A12D-7401-478A-88CC-9CEAEB506704}"/>
    <cellStyle name="Normal 10 4 2 4 6" xfId="13661" xr:uid="{88C1FCDE-2E73-41E3-8E0D-E934FA0EA4CD}"/>
    <cellStyle name="Normal 10 4 2 5" xfId="2622" xr:uid="{00000000-0005-0000-0000-000039030000}"/>
    <cellStyle name="Normal 10 4 2 5 2" xfId="5884" xr:uid="{7917804F-2066-4009-AC2B-830867C24119}"/>
    <cellStyle name="Normal 10 4 2 5 2 2" xfId="27756" xr:uid="{D102A650-5E04-4406-B6B7-8060D68E0AB1}"/>
    <cellStyle name="Normal 10 4 2 5 2 3" xfId="15294" xr:uid="{A8C87728-B097-4C76-A74E-DDF95D9FEE7C}"/>
    <cellStyle name="Normal 10 4 2 5 3" xfId="7747" xr:uid="{4B540000-AE30-4A5F-ADEB-495A25D7A052}"/>
    <cellStyle name="Normal 10 4 2 5 3 2" xfId="18127" xr:uid="{45E63A77-7412-4FF8-A4B0-6E92CBB14507}"/>
    <cellStyle name="Normal 10 4 2 5 4" xfId="10580" xr:uid="{C2A5C0CF-02E0-40E3-BA57-074EAA4B0557}"/>
    <cellStyle name="Normal 10 4 2 5 4 2" xfId="20960" xr:uid="{26DADC33-1F0D-4A63-AC2E-045E04BC48F6}"/>
    <cellStyle name="Normal 10 4 2 5 5" xfId="23695" xr:uid="{990F2A7C-A315-40A3-9E57-81A6FF4430F8}"/>
    <cellStyle name="Normal 10 4 2 5 6" xfId="13010" xr:uid="{3484E672-7684-4267-BB0F-3C5E93887B9E}"/>
    <cellStyle name="Normal 10 4 2 6" xfId="2306" xr:uid="{00000000-0005-0000-0000-000034030000}"/>
    <cellStyle name="Normal 10 4 2 6 2" xfId="7433" xr:uid="{BE5C89C6-840C-4D3D-9726-B49AF4747209}"/>
    <cellStyle name="Normal 10 4 2 6 2 2" xfId="17813" xr:uid="{954947CA-450C-4C41-AB3A-EB4432C2DD6E}"/>
    <cellStyle name="Normal 10 4 2 6 3" xfId="10266" xr:uid="{01117BE3-C7B3-4B34-B74A-E7A6E6080D2D}"/>
    <cellStyle name="Normal 10 4 2 6 3 2" xfId="20646" xr:uid="{7D36C5F0-7A94-445A-9AB6-40883BD93440}"/>
    <cellStyle name="Normal 10 4 2 6 4" xfId="25348" xr:uid="{5FF42BE9-003E-4F23-A987-93A9A6D87DA6}"/>
    <cellStyle name="Normal 10 4 2 6 5" xfId="14980" xr:uid="{BBD008D9-0D26-492B-8B56-9A8562448128}"/>
    <cellStyle name="Normal 10 4 2 7" xfId="3837" xr:uid="{7142DFA1-FE94-4334-A0D7-6C68B979514B}"/>
    <cellStyle name="Normal 10 4 2 7 2" xfId="8670" xr:uid="{384817B5-8FD6-4447-BB73-A5B71EE33F12}"/>
    <cellStyle name="Normal 10 4 2 7 2 2" xfId="19050" xr:uid="{46EA25DB-CEB0-45D5-85EE-E6E6C3B22B7B}"/>
    <cellStyle name="Normal 10 4 2 7 3" xfId="11503" xr:uid="{B1C3691F-7152-4061-9FCA-DA33E83D3158}"/>
    <cellStyle name="Normal 10 4 2 7 3 2" xfId="21883" xr:uid="{33FCF75F-0A24-4BC5-923D-974A5A02D885}"/>
    <cellStyle name="Normal 10 4 2 7 4" xfId="16217" xr:uid="{38104868-A40D-4F57-8878-59FCCA185F3D}"/>
    <cellStyle name="Normal 10 4 2 8" xfId="4997" xr:uid="{F5620966-7500-46ED-ADF1-F39A527642D9}"/>
    <cellStyle name="Normal 10 4 2 8 2" xfId="14292" xr:uid="{D9E36E45-AB1F-4C71-B895-C81DBBE23A85}"/>
    <cellStyle name="Normal 10 4 2 9" xfId="6745" xr:uid="{3B20EA16-B0DA-4F52-80D8-4A1A0A0C6CA7}"/>
    <cellStyle name="Normal 10 4 2 9 2" xfId="17125" xr:uid="{D75970FD-2A89-47B8-99E7-A2D9AB51E08D}"/>
    <cellStyle name="Normal 10 4 3" xfId="639" xr:uid="{00000000-0005-0000-0000-00002B040000}"/>
    <cellStyle name="Normal 10 4 3 2" xfId="3143" xr:uid="{00000000-0005-0000-0000-00003B030000}"/>
    <cellStyle name="Normal 10 4 3 2 2" xfId="6201" xr:uid="{8F85BE44-7EF3-4891-845F-2DCD5C213315}"/>
    <cellStyle name="Normal 10 4 3 2 2 2" xfId="24702" xr:uid="{1F5188A0-6D56-4E17-B88D-A7F231F86F17}"/>
    <cellStyle name="Normal 10 4 3 2 2 3" xfId="25959" xr:uid="{081438D6-0364-449B-92F6-660801982FCC}"/>
    <cellStyle name="Normal 10 4 3 2 2 4" xfId="15770" xr:uid="{73B2B1C6-F505-4F47-89A5-6CD78220D768}"/>
    <cellStyle name="Normal 10 4 3 2 3" xfId="8223" xr:uid="{CB49CE44-5EDE-4732-AF65-C4DEDE36D4C3}"/>
    <cellStyle name="Normal 10 4 3 2 3 2" xfId="28868" xr:uid="{2DF24A94-F17A-48E4-9285-3B04406C1BF2}"/>
    <cellStyle name="Normal 10 4 3 2 3 3" xfId="18603" xr:uid="{78738C8F-D1EA-446D-9460-7CA52EF59C6F}"/>
    <cellStyle name="Normal 10 4 3 2 4" xfId="11056" xr:uid="{4029CED2-7EB8-4117-B79B-450103ADD0FA}"/>
    <cellStyle name="Normal 10 4 3 2 4 2" xfId="21436" xr:uid="{89715F7D-B3FC-47EA-A310-712CF50AEFEA}"/>
    <cellStyle name="Normal 10 4 3 2 5" xfId="25533" xr:uid="{6A394A0E-95C8-4E61-97DD-6E9845B52B8B}"/>
    <cellStyle name="Normal 10 4 3 2 6" xfId="13664" xr:uid="{8C4953EC-805E-4453-9DBF-E6316EA73EFA}"/>
    <cellStyle name="Normal 10 4 3 3" xfId="2709" xr:uid="{00000000-0005-0000-0000-00003C030000}"/>
    <cellStyle name="Normal 10 4 3 3 2" xfId="5927" xr:uid="{E87DED74-5821-4857-BC63-6E961DE4D68E}"/>
    <cellStyle name="Normal 10 4 3 3 2 2" xfId="26870" xr:uid="{1AB606FD-7B4A-4E77-9ED0-D6A0BE3B2D8A}"/>
    <cellStyle name="Normal 10 4 3 3 2 3" xfId="15380" xr:uid="{BECC7A84-5C45-406F-B230-8C7832F7B885}"/>
    <cellStyle name="Normal 10 4 3 3 3" xfId="7833" xr:uid="{E69B4CBA-360D-49EB-A290-5485BDB1CBD4}"/>
    <cellStyle name="Normal 10 4 3 3 3 2" xfId="18213" xr:uid="{ADC9A054-D12B-485F-B2B5-93D9AA501CFE}"/>
    <cellStyle name="Normal 10 4 3 3 4" xfId="10666" xr:uid="{599ACBAD-8074-481F-8522-B8A6AA968E3A}"/>
    <cellStyle name="Normal 10 4 3 3 4 2" xfId="21046" xr:uid="{AF954BE9-B8D8-488D-B848-D1C6059FC95C}"/>
    <cellStyle name="Normal 10 4 3 3 5" xfId="24080" xr:uid="{E1FA7AE9-4B99-48AE-A6C0-8B9A1136EE4D}"/>
    <cellStyle name="Normal 10 4 3 3 6" xfId="13130" xr:uid="{348E9538-5BF6-4A8B-B83B-885F374C5708}"/>
    <cellStyle name="Normal 10 4 3 4" xfId="4148" xr:uid="{070D1809-360B-4990-A48A-9E25559891D3}"/>
    <cellStyle name="Normal 10 4 3 4 2" xfId="8920" xr:uid="{C14CCB26-7312-4AD7-833C-AB9D9B8AAB42}"/>
    <cellStyle name="Normal 10 4 3 4 2 2" xfId="29019" xr:uid="{2BCAA687-A7A8-4059-BAD7-6FAFAC315C04}"/>
    <cellStyle name="Normal 10 4 3 4 2 3" xfId="19300" xr:uid="{B0FCB9C4-92EC-4CA7-8EB0-9A23ED324B83}"/>
    <cellStyle name="Normal 10 4 3 4 3" xfId="11753" xr:uid="{CD4AEE46-359D-48CB-9B99-8C7A97D1F520}"/>
    <cellStyle name="Normal 10 4 3 4 3 2" xfId="22133" xr:uid="{8DAD3DEC-E9A7-495A-89B7-F14352CB269B}"/>
    <cellStyle name="Normal 10 4 3 4 4" xfId="25015" xr:uid="{2902129C-7B15-4B58-83AE-8C5C219BCA07}"/>
    <cellStyle name="Normal 10 4 3 4 5" xfId="16467" xr:uid="{A188AB4A-1B58-4C30-8023-79EA61F360E0}"/>
    <cellStyle name="Normal 10 4 3 5" xfId="4999" xr:uid="{D198BE66-4998-4CAE-9F89-01324D1C2DE2}"/>
    <cellStyle name="Normal 10 4 3 5 2" xfId="27212" xr:uid="{E7120924-463D-4C57-B848-00559370920B}"/>
    <cellStyle name="Normal 10 4 3 5 3" xfId="14294" xr:uid="{A453E66D-77BC-4EB6-BE7F-5AAD45936D9F}"/>
    <cellStyle name="Normal 10 4 3 6" xfId="6747" xr:uid="{03C4DB5A-EABD-457E-A697-0F4671C8956C}"/>
    <cellStyle name="Normal 10 4 3 6 2" xfId="17127" xr:uid="{41EE90C5-6814-4D0A-9303-2F921AE41FCC}"/>
    <cellStyle name="Normal 10 4 3 7" xfId="9580" xr:uid="{4F105625-756E-480C-B94F-3F476E725CBC}"/>
    <cellStyle name="Normal 10 4 3 7 2" xfId="19960" xr:uid="{3F4E1114-A756-4379-96E3-1E614F3FC23F}"/>
    <cellStyle name="Normal 10 4 3 8" xfId="23735" xr:uid="{D3699B06-F6E4-4343-BA14-3AFD9E6C5024}"/>
    <cellStyle name="Normal 10 4 3 9" xfId="12696" xr:uid="{B2FFDC8E-DEA9-4E59-9738-598153DBA741}"/>
    <cellStyle name="Normal 10 4 4" xfId="640" xr:uid="{00000000-0005-0000-0000-00002C040000}"/>
    <cellStyle name="Normal 10 4 4 2" xfId="4447" xr:uid="{FED6DE40-C019-4713-873E-099153FC2462}"/>
    <cellStyle name="Normal 10 4 4 2 2" xfId="9219" xr:uid="{ADDE207E-B207-4521-AA01-418E8FD87EAC}"/>
    <cellStyle name="Normal 10 4 4 2 2 2" xfId="29212" xr:uid="{0117A776-8209-429E-B511-2166081CE8C5}"/>
    <cellStyle name="Normal 10 4 4 2 2 3" xfId="19599" xr:uid="{758C5FCF-8A69-40A6-A8FC-9F17C6AFC487}"/>
    <cellStyle name="Normal 10 4 4 2 3" xfId="12052" xr:uid="{0CB694A1-516B-435E-8AD8-D7D9EEE10627}"/>
    <cellStyle name="Normal 10 4 4 2 3 2" xfId="22432" xr:uid="{1F5E7C9E-7277-4887-8E27-6B294F10874B}"/>
    <cellStyle name="Normal 10 4 4 2 4" xfId="24844" xr:uid="{448F5F0F-3DCC-4A78-870C-B32C436A8893}"/>
    <cellStyle name="Normal 10 4 4 2 5" xfId="16766" xr:uid="{214A2348-DC70-4C8D-A503-8F33E34207FB}"/>
    <cellStyle name="Normal 10 4 4 3" xfId="5000" xr:uid="{4EC831B8-43EE-4E74-BE6D-34012E779941}"/>
    <cellStyle name="Normal 10 4 4 3 2" xfId="26612" xr:uid="{F2478B7F-F2C5-4DAB-B8D5-13B59E8F8C2C}"/>
    <cellStyle name="Normal 10 4 4 3 3" xfId="14295" xr:uid="{4BD185A4-710F-4A33-93A6-B29A09C48BC3}"/>
    <cellStyle name="Normal 10 4 4 4" xfId="6748" xr:uid="{ACF83967-AFFD-4259-B641-CDF2E52DB754}"/>
    <cellStyle name="Normal 10 4 4 4 2" xfId="17128" xr:uid="{B3998039-080B-449A-8BB8-E6DFB21D490A}"/>
    <cellStyle name="Normal 10 4 4 5" xfId="9581" xr:uid="{0315C2AD-26DD-44A0-BC81-2138529DB183}"/>
    <cellStyle name="Normal 10 4 4 5 2" xfId="19961" xr:uid="{D93830F2-A53A-48E8-9C81-32A1C026D838}"/>
    <cellStyle name="Normal 10 4 4 6" xfId="22691" xr:uid="{05A5BCF4-7269-4638-ADA4-BCC60A0C206E}"/>
    <cellStyle name="Normal 10 4 4 7" xfId="13665" xr:uid="{CD3F9ABD-7191-4096-9CF6-ECB8A76C26A1}"/>
    <cellStyle name="Normal 10 4 5" xfId="2892" xr:uid="{00000000-0005-0000-0000-00003E030000}"/>
    <cellStyle name="Normal 10 4 5 2" xfId="6078" xr:uid="{EE912FDA-3587-4907-B455-C7712AB88464}"/>
    <cellStyle name="Normal 10 4 5 2 2" xfId="24998" xr:uid="{F76EBA85-BD92-4A09-B34F-0106A2D1DA3C}"/>
    <cellStyle name="Normal 10 4 5 2 3" xfId="26003" xr:uid="{B764BD81-9438-4D8D-92F1-EB1BB9AF4B44}"/>
    <cellStyle name="Normal 10 4 5 2 4" xfId="15556" xr:uid="{D06332D8-C06B-43DF-BF3F-83CBA4628405}"/>
    <cellStyle name="Normal 10 4 5 3" xfId="8009" xr:uid="{CE8C9C37-020C-4A8B-94F1-20CBF2F8BF50}"/>
    <cellStyle name="Normal 10 4 5 3 2" xfId="27917" xr:uid="{840F7BC9-A550-48E0-B7AE-996D58D5931E}"/>
    <cellStyle name="Normal 10 4 5 3 3" xfId="18389" xr:uid="{123E7895-5FD6-4BD2-B883-866B21142F08}"/>
    <cellStyle name="Normal 10 4 5 4" xfId="10842" xr:uid="{6270DEFA-E90F-4669-AEEE-BABC43DA7B6F}"/>
    <cellStyle name="Normal 10 4 5 4 2" xfId="21222" xr:uid="{7F47293F-5670-4749-A092-33C076919B41}"/>
    <cellStyle name="Normal 10 4 5 5" xfId="23793" xr:uid="{358142E0-908E-4AAE-B622-B79C6883EFF6}"/>
    <cellStyle name="Normal 10 4 5 6" xfId="13394" xr:uid="{F7E2404C-B0F7-4039-9E3C-735C7B365134}"/>
    <cellStyle name="Normal 10 4 6" xfId="2459" xr:uid="{00000000-0005-0000-0000-00003F030000}"/>
    <cellStyle name="Normal 10 4 6 2" xfId="5751" xr:uid="{0F23FB93-E217-41B5-ABF7-350F5ACA6F09}"/>
    <cellStyle name="Normal 10 4 6 2 2" xfId="28044" xr:uid="{8F6684C6-94DC-4FB6-B196-01445336A2BA}"/>
    <cellStyle name="Normal 10 4 6 2 3" xfId="15131" xr:uid="{2DF106B1-9B11-4BE2-B006-712D322DCFB7}"/>
    <cellStyle name="Normal 10 4 6 3" xfId="7584" xr:uid="{82E8652B-3E60-4EBE-B46C-ADDBB56DA047}"/>
    <cellStyle name="Normal 10 4 6 3 2" xfId="17964" xr:uid="{436F72D8-A605-401A-908A-B0DBEA597B52}"/>
    <cellStyle name="Normal 10 4 6 4" xfId="10417" xr:uid="{A0533D02-5157-40E1-A203-2FECB84DE265}"/>
    <cellStyle name="Normal 10 4 6 4 2" xfId="20797" xr:uid="{79DB107B-E074-4A46-805C-95DF99F83734}"/>
    <cellStyle name="Normal 10 4 6 5" xfId="24672" xr:uid="{3D96A320-90F3-41AB-B2A1-89FF4A0B9F65}"/>
    <cellStyle name="Normal 10 4 6 6" xfId="12847" xr:uid="{08DCF182-B7AD-4771-9695-0E35C8C1E668}"/>
    <cellStyle name="Normal 10 4 7" xfId="2213" xr:uid="{00000000-0005-0000-0000-000033030000}"/>
    <cellStyle name="Normal 10 4 7 2" xfId="7340" xr:uid="{BE331FC6-BE1F-4BA6-AB16-71F52CB804EC}"/>
    <cellStyle name="Normal 10 4 7 2 2" xfId="17720" xr:uid="{0871289B-5172-4539-A590-E8E25D2E3C85}"/>
    <cellStyle name="Normal 10 4 7 3" xfId="10173" xr:uid="{E60D71B5-629D-4C19-AE8A-9AB81C5D8AD5}"/>
    <cellStyle name="Normal 10 4 7 3 2" xfId="20553" xr:uid="{FDCD28BB-B3A4-4792-9841-DCC21490CF0B}"/>
    <cellStyle name="Normal 10 4 7 4" xfId="23795" xr:uid="{3E0EE174-F350-44F2-9E95-FE2DB17BBCFF}"/>
    <cellStyle name="Normal 10 4 7 5" xfId="14887" xr:uid="{71D0AC05-FEF8-4414-B6D8-72B294B5EF98}"/>
    <cellStyle name="Normal 10 4 8" xfId="3907" xr:uid="{E3CE3152-8EE9-4765-97AE-16B5954DFA2E}"/>
    <cellStyle name="Normal 10 4 8 2" xfId="8739" xr:uid="{FBF29ED0-88FE-4D24-B021-2C77A98FAD44}"/>
    <cellStyle name="Normal 10 4 8 2 2" xfId="19119" xr:uid="{8E9E50EC-59FF-49B7-8FA7-842DC8E7714B}"/>
    <cellStyle name="Normal 10 4 8 3" xfId="11572" xr:uid="{94E00386-5F15-48F7-A089-4B70EBC6EC14}"/>
    <cellStyle name="Normal 10 4 8 3 2" xfId="21952" xr:uid="{22A81BC2-86F5-4CA8-B327-6A8EB93F4376}"/>
    <cellStyle name="Normal 10 4 8 4" xfId="16286" xr:uid="{B590C8A2-F06D-459F-9E43-58AD1DF85E43}"/>
    <cellStyle name="Normal 10 4 9" xfId="4996" xr:uid="{40C4E1E8-B710-44B3-B4BB-CE66911A92FA}"/>
    <cellStyle name="Normal 10 4 9 2" xfId="14291" xr:uid="{149E8972-AEFC-4542-8FFD-BE8B167B9E89}"/>
    <cellStyle name="Normal 10 5" xfId="641" xr:uid="{00000000-0005-0000-0000-00002D040000}"/>
    <cellStyle name="Normal 10 5 10" xfId="9582" xr:uid="{3D2B9324-A82E-4310-BA59-5AAAC4517DA5}"/>
    <cellStyle name="Normal 10 5 10 2" xfId="19962" xr:uid="{2A62569E-31BE-42E9-8263-EB5CA8F29318}"/>
    <cellStyle name="Normal 10 5 11" xfId="22742" xr:uid="{02FDCA8D-FC0E-421D-8178-10DA43CB3C64}"/>
    <cellStyle name="Normal 10 5 12" xfId="12539" xr:uid="{3E9093EA-65F2-4765-9D30-4458D25DA0AC}"/>
    <cellStyle name="Normal 10 5 2" xfId="642" xr:uid="{00000000-0005-0000-0000-00002E040000}"/>
    <cellStyle name="Normal 10 5 2 2" xfId="643" xr:uid="{00000000-0005-0000-0000-00002F040000}"/>
    <cellStyle name="Normal 10 5 2 2 2" xfId="5003" xr:uid="{13D49CC8-AF93-4DCC-BD3F-FEAC19EECBB2}"/>
    <cellStyle name="Normal 10 5 2 2 2 2" xfId="24669" xr:uid="{BB52119C-4708-4E9D-B6D8-6144069A5569}"/>
    <cellStyle name="Normal 10 5 2 2 2 3" xfId="26414" xr:uid="{4B6F5A75-3F2A-4C3B-A9D7-7C32620B3E88}"/>
    <cellStyle name="Normal 10 5 2 2 2 4" xfId="14298" xr:uid="{6A7D45E9-B50D-49D4-9206-BF6526123D9A}"/>
    <cellStyle name="Normal 10 5 2 2 3" xfId="6751" xr:uid="{1E5737D2-CB2F-4760-B114-DEA854BDCBAF}"/>
    <cellStyle name="Normal 10 5 2 2 3 2" xfId="27557" xr:uid="{DAD4E840-AE7B-4604-88DE-1DA4F46BC69D}"/>
    <cellStyle name="Normal 10 5 2 2 3 3" xfId="28231" xr:uid="{3903B8F2-BFE6-4927-92BC-837A5CA78D6C}"/>
    <cellStyle name="Normal 10 5 2 2 3 4" xfId="17131" xr:uid="{F1F2EFC7-890A-42A4-8F8F-1B2CDB6CC3EC}"/>
    <cellStyle name="Normal 10 5 2 2 4" xfId="9584" xr:uid="{CAD3B168-4B51-4F45-A4A6-B0EF52358EEC}"/>
    <cellStyle name="Normal 10 5 2 2 4 2" xfId="29362" xr:uid="{A58EEC2B-C5A6-4934-828C-ACC0AFE19E0D}"/>
    <cellStyle name="Normal 10 5 2 2 4 3" xfId="19964" xr:uid="{F3835EC0-EA80-433B-9448-5E8DA8E2DE32}"/>
    <cellStyle name="Normal 10 5 2 2 5" xfId="24433" xr:uid="{F7137F87-C20B-4970-8EB6-9521C484C005}"/>
    <cellStyle name="Normal 10 5 2 2 6" xfId="13666" xr:uid="{96944166-BF2D-4EC8-AF70-F2B3AC679B41}"/>
    <cellStyle name="Normal 10 5 2 2 7" xfId="30405" xr:uid="{17D33EFF-5B6D-49D0-8156-0881E45B0F7C}"/>
    <cellStyle name="Normal 10 5 2 3" xfId="2710" xr:uid="{00000000-0005-0000-0000-000043030000}"/>
    <cellStyle name="Normal 10 5 2 3 2" xfId="5928" xr:uid="{772520A7-40DF-45D0-9E4E-FD7AF4BB6A20}"/>
    <cellStyle name="Normal 10 5 2 3 2 2" xfId="27375" xr:uid="{7A3A82BE-EB4F-476B-B6FD-7DF6A1D7563E}"/>
    <cellStyle name="Normal 10 5 2 3 2 3" xfId="15381" xr:uid="{7C1A99EC-7531-413E-B4BB-B21DCD684756}"/>
    <cellStyle name="Normal 10 5 2 3 3" xfId="7834" xr:uid="{805BA3C6-0E3E-41ED-A52D-7F9F85B1D98D}"/>
    <cellStyle name="Normal 10 5 2 3 3 2" xfId="18214" xr:uid="{917B624F-01F8-4CA3-A25A-91E857DFFD2F}"/>
    <cellStyle name="Normal 10 5 2 3 4" xfId="10667" xr:uid="{9FAF3AC9-C2DE-40F2-9886-9CD6589B79B0}"/>
    <cellStyle name="Normal 10 5 2 3 4 2" xfId="21047" xr:uid="{82B45561-8EBB-40BF-92C0-375D1B890D86}"/>
    <cellStyle name="Normal 10 5 2 3 5" xfId="23285" xr:uid="{6A6ACFC4-79D8-40A9-B65B-0910BE26AEF2}"/>
    <cellStyle name="Normal 10 5 2 3 6" xfId="13132" xr:uid="{681CAA0D-E8B8-49BA-B0B3-28EF143CAD39}"/>
    <cellStyle name="Normal 10 5 2 4" xfId="4149" xr:uid="{4C14400C-E34E-4C01-8887-3A8C6B63E03D}"/>
    <cellStyle name="Normal 10 5 2 4 2" xfId="8921" xr:uid="{4C48EBA9-F59B-44C9-A24D-4C314E207F08}"/>
    <cellStyle name="Normal 10 5 2 4 2 2" xfId="29020" xr:uid="{850F509F-AFB1-43C9-A790-A6106DBEC02C}"/>
    <cellStyle name="Normal 10 5 2 4 2 3" xfId="19301" xr:uid="{DDEA77CE-47E8-4C55-B8CA-A51C47F69F9B}"/>
    <cellStyle name="Normal 10 5 2 4 3" xfId="11754" xr:uid="{8A2BC8F2-81EF-4856-B76C-10D0DB1454DD}"/>
    <cellStyle name="Normal 10 5 2 4 3 2" xfId="22134" xr:uid="{E7DDCA76-C229-4331-8EAB-786FA0788B6F}"/>
    <cellStyle name="Normal 10 5 2 4 4" xfId="24229" xr:uid="{9CBC4316-7037-4C1A-BDDA-46CE9450F7A3}"/>
    <cellStyle name="Normal 10 5 2 4 5" xfId="16468" xr:uid="{506FDB89-9F30-4141-8870-1C8528927F5A}"/>
    <cellStyle name="Normal 10 5 2 5" xfId="5002" xr:uid="{E18094E2-C432-45DE-95D6-D948243380F5}"/>
    <cellStyle name="Normal 10 5 2 5 2" xfId="27228" xr:uid="{6371D496-E745-437C-B631-0188C249A7EB}"/>
    <cellStyle name="Normal 10 5 2 5 3" xfId="14297" xr:uid="{51A22F7E-012E-46DF-8F82-3FEC58DCF068}"/>
    <cellStyle name="Normal 10 5 2 5 4" xfId="30565" xr:uid="{4B7ABA79-0EA0-44B9-B8CE-ECAEF315A1F9}"/>
    <cellStyle name="Normal 10 5 2 6" xfId="6750" xr:uid="{2A293268-34C3-48B4-9B72-611DF3FD6758}"/>
    <cellStyle name="Normal 10 5 2 6 2" xfId="17130" xr:uid="{F5AF693C-6D25-4EB1-80B9-1AED14FDC168}"/>
    <cellStyle name="Normal 10 5 2 6 3" xfId="30264" xr:uid="{26B9A28A-F2EB-4493-B0FB-2507AFC64E4F}"/>
    <cellStyle name="Normal 10 5 2 6 4" xfId="30674" xr:uid="{BC3282B2-49DF-4525-826A-EA4028C68B3F}"/>
    <cellStyle name="Normal 10 5 2 7" xfId="9583" xr:uid="{80B9C11C-C180-499F-94BA-C2393C403DCA}"/>
    <cellStyle name="Normal 10 5 2 7 2" xfId="19963" xr:uid="{50467DCE-313E-4E47-9BF5-3DD2E127CD9A}"/>
    <cellStyle name="Normal 10 5 2 8" xfId="24850" xr:uid="{090F4E05-A381-40D4-83E2-B26A823EB859}"/>
    <cellStyle name="Normal 10 5 2 9" xfId="12697" xr:uid="{1183FED9-4BD0-4E2F-B2A2-2A128B767239}"/>
    <cellStyle name="Normal 10 5 3" xfId="644" xr:uid="{00000000-0005-0000-0000-000030040000}"/>
    <cellStyle name="Normal 10 5 3 2" xfId="4448" xr:uid="{0A89EA51-063E-43AC-A1E7-E9682E1A5497}"/>
    <cellStyle name="Normal 10 5 3 2 2" xfId="9220" xr:uid="{BEC788BE-A140-47A0-B3F9-6E478422E98D}"/>
    <cellStyle name="Normal 10 5 3 2 2 2" xfId="29213" xr:uid="{DABD82A6-5D8A-4CD2-A5BA-EA9936FF7A45}"/>
    <cellStyle name="Normal 10 5 3 2 2 3" xfId="19600" xr:uid="{1516450A-92D9-4C04-A5EF-E0289F31968B}"/>
    <cellStyle name="Normal 10 5 3 2 3" xfId="12053" xr:uid="{450FDA87-BE48-4598-9290-D9138991DE06}"/>
    <cellStyle name="Normal 10 5 3 2 3 2" xfId="22433" xr:uid="{BC9E09BB-F40E-48A8-BF2D-26B7FBEB0079}"/>
    <cellStyle name="Normal 10 5 3 2 4" xfId="23609" xr:uid="{E0D3A3F8-EB89-463E-A537-660C646B716F}"/>
    <cellStyle name="Normal 10 5 3 2 5" xfId="16767" xr:uid="{A73D3805-4815-48AE-91F3-8E8A74EFB2F3}"/>
    <cellStyle name="Normal 10 5 3 3" xfId="5004" xr:uid="{2370935C-0FC5-43A0-B006-381702E8725C}"/>
    <cellStyle name="Normal 10 5 3 3 2" xfId="25810" xr:uid="{D470DAD1-5445-4CFC-8A2E-461D6B61F8AB}"/>
    <cellStyle name="Normal 10 5 3 3 3" xfId="27073" xr:uid="{B3BFE8E5-F51E-4A6E-A205-5A81DABFDB4F}"/>
    <cellStyle name="Normal 10 5 3 3 4" xfId="14299" xr:uid="{F97CC1F0-6D94-4297-99C7-E2005BFF54E9}"/>
    <cellStyle name="Normal 10 5 3 4" xfId="6752" xr:uid="{E7AB4243-2699-44EE-86F7-5E6A13B8BF80}"/>
    <cellStyle name="Normal 10 5 3 4 2" xfId="23555" xr:uid="{AECD84E2-8C9B-4A09-845D-7B4BAC66D262}"/>
    <cellStyle name="Normal 10 5 3 4 3" xfId="25865" xr:uid="{967A894D-8409-42A0-9782-D490A7D8F21F}"/>
    <cellStyle name="Normal 10 5 3 4 4" xfId="17132" xr:uid="{0CD599A4-10FD-4AA5-B6CC-D23A883806A2}"/>
    <cellStyle name="Normal 10 5 3 5" xfId="9585" xr:uid="{C2C14DB3-8908-4AE5-9D05-EE391474FF2A}"/>
    <cellStyle name="Normal 10 5 3 5 2" xfId="29363" xr:uid="{E48737DB-D702-4530-90D0-CED34E2AC31F}"/>
    <cellStyle name="Normal 10 5 3 5 3" xfId="19965" xr:uid="{57DC1D03-C575-4F1F-B700-D45B4650807B}"/>
    <cellStyle name="Normal 10 5 3 6" xfId="22958" xr:uid="{8E3ADA48-1E77-4039-A3ED-B3239EEBB099}"/>
    <cellStyle name="Normal 10 5 3 7" xfId="13667" xr:uid="{F7C40710-1C7D-4DD7-9825-22D0FC919B80}"/>
    <cellStyle name="Normal 10 5 4" xfId="645" xr:uid="{00000000-0005-0000-0000-000031040000}"/>
    <cellStyle name="Normal 10 5 4 2" xfId="5005" xr:uid="{4342FE0B-AA8F-4CEF-8AD1-7F6AF0BAB1FB}"/>
    <cellStyle name="Normal 10 5 4 2 2" xfId="24354" xr:uid="{A6E43774-BD8C-4352-9908-2DD351546716}"/>
    <cellStyle name="Normal 10 5 4 2 3" xfId="28076" xr:uid="{1B7574FF-4C54-4A95-BA18-173F16F58F3C}"/>
    <cellStyle name="Normal 10 5 4 2 4" xfId="14300" xr:uid="{CA8685CF-F32A-49BA-A644-620267EB76E8}"/>
    <cellStyle name="Normal 10 5 4 3" xfId="6753" xr:uid="{8B908391-30BF-46C0-AA2C-C0D141E31238}"/>
    <cellStyle name="Normal 10 5 4 3 2" xfId="27126" xr:uid="{3F3BF598-F57C-483C-99A5-D3D11EB02E14}"/>
    <cellStyle name="Normal 10 5 4 3 3" xfId="17133" xr:uid="{873FA108-CC8F-47ED-A58C-0134C2E980E2}"/>
    <cellStyle name="Normal 10 5 4 4" xfId="9586" xr:uid="{1E2FBCC0-D82F-4FC5-8A20-6B8C1DB5846F}"/>
    <cellStyle name="Normal 10 5 4 4 2" xfId="19966" xr:uid="{3CD86438-3BE1-48B8-8F94-F0338F604759}"/>
    <cellStyle name="Normal 10 5 4 5" xfId="24983" xr:uid="{4E7198E2-82D7-4B8A-9BC2-CBA7836F1157}"/>
    <cellStyle name="Normal 10 5 4 6" xfId="13395" xr:uid="{7D5D3E02-3D43-4193-B040-52D83F08A6FC}"/>
    <cellStyle name="Normal 10 5 5" xfId="2519" xr:uid="{00000000-0005-0000-0000-000046030000}"/>
    <cellStyle name="Normal 10 5 5 2" xfId="5797" xr:uid="{BBA602D0-A568-4ACB-A67E-F91E93CC6FB9}"/>
    <cellStyle name="Normal 10 5 5 2 2" xfId="27274" xr:uid="{0B555C7B-8EB6-444C-87A4-233D442D0B8D}"/>
    <cellStyle name="Normal 10 5 5 2 3" xfId="15191" xr:uid="{AEB8587F-0FDA-4BC6-9D25-F9DCC8287AB3}"/>
    <cellStyle name="Normal 10 5 5 3" xfId="7644" xr:uid="{2258F18E-951D-40CC-939D-CC1294766736}"/>
    <cellStyle name="Normal 10 5 5 3 2" xfId="18024" xr:uid="{06AFD005-437F-4727-BAE7-1B77907A3A1E}"/>
    <cellStyle name="Normal 10 5 5 4" xfId="10477" xr:uid="{A582D02C-1155-4180-AF05-3E13FA4C7CF6}"/>
    <cellStyle name="Normal 10 5 5 4 2" xfId="20857" xr:uid="{876FD3E6-5094-4C04-8674-5EC01CA7F588}"/>
    <cellStyle name="Normal 10 5 5 5" xfId="22700" xr:uid="{C02C73A9-6AA3-4D62-9381-1FD4F2BFB20C}"/>
    <cellStyle name="Normal 10 5 5 6" xfId="12907" xr:uid="{35683F76-71DE-490F-88CF-96BBEFF827C0}"/>
    <cellStyle name="Normal 10 5 6" xfId="2307" xr:uid="{00000000-0005-0000-0000-000040030000}"/>
    <cellStyle name="Normal 10 5 6 2" xfId="7434" xr:uid="{FC3D809D-CE2E-4EF5-857E-C0DCF26C42B7}"/>
    <cellStyle name="Normal 10 5 6 2 2" xfId="28731" xr:uid="{5C524D39-9C2B-4775-B9F3-C1B576EC8853}"/>
    <cellStyle name="Normal 10 5 6 2 3" xfId="17814" xr:uid="{210D17FB-841F-4727-85E3-5FE3FCC4ADD0}"/>
    <cellStyle name="Normal 10 5 6 3" xfId="10267" xr:uid="{D7731DE1-1F39-414E-94E8-F93ADE22AD36}"/>
    <cellStyle name="Normal 10 5 6 3 2" xfId="20647" xr:uid="{6AB2DD84-FC1E-4FCE-9A41-8AEC43B77AAB}"/>
    <cellStyle name="Normal 10 5 6 4" xfId="23216" xr:uid="{76D85C28-61AE-4219-984D-F64C2F08EF9D}"/>
    <cellStyle name="Normal 10 5 6 5" xfId="14981" xr:uid="{C73A3F77-5F9B-499C-99C1-C10AACA792FB}"/>
    <cellStyle name="Normal 10 5 7" xfId="3908" xr:uid="{8F1ECAB9-B2D0-4C66-A8C8-D8DB6AE70677}"/>
    <cellStyle name="Normal 10 5 7 2" xfId="8740" xr:uid="{3B338859-2BB7-4162-AFF2-8CE799F2D2F0}"/>
    <cellStyle name="Normal 10 5 7 2 2" xfId="19120" xr:uid="{1B97DD6F-C6DE-4CAA-9607-CC5F4AB82DA6}"/>
    <cellStyle name="Normal 10 5 7 3" xfId="11573" xr:uid="{3774D303-F796-402A-B72D-4E421037825C}"/>
    <cellStyle name="Normal 10 5 7 3 2" xfId="21953" xr:uid="{74694248-7D61-4DFB-9E54-39B70FA0DFA2}"/>
    <cellStyle name="Normal 10 5 7 4" xfId="27267" xr:uid="{80689584-B09C-4DBC-87BF-32AC6A054E81}"/>
    <cellStyle name="Normal 10 5 7 5" xfId="16287" xr:uid="{6C2AA31C-BC46-426A-BCD1-F32302E9D9C0}"/>
    <cellStyle name="Normal 10 5 8" xfId="5001" xr:uid="{E8BB7741-C876-45CA-BF01-E4DE7743D2A4}"/>
    <cellStyle name="Normal 10 5 8 2" xfId="14296" xr:uid="{BF531C93-9C84-44B1-B904-F3017FB86359}"/>
    <cellStyle name="Normal 10 5 9" xfId="6749" xr:uid="{60DF6826-08A1-4306-AFE5-63AAD1DDEB6D}"/>
    <cellStyle name="Normal 10 5 9 2" xfId="17129" xr:uid="{E47FA28B-42D9-4FDB-980B-CAB964F7C739}"/>
    <cellStyle name="Normal 10 6" xfId="646" xr:uid="{00000000-0005-0000-0000-000032040000}"/>
    <cellStyle name="Normal 10 6 10" xfId="9587" xr:uid="{BF9B7503-A44F-4390-8711-F07ABCCD2540}"/>
    <cellStyle name="Normal 10 6 10 2" xfId="19967" xr:uid="{8D28974B-C0A7-4A9A-9372-EF4CD004BAA0}"/>
    <cellStyle name="Normal 10 6 11" xfId="22727" xr:uid="{5324FDD6-CA57-4197-9D3A-497320850AF3}"/>
    <cellStyle name="Normal 10 6 12" xfId="12540" xr:uid="{920E345F-4955-448A-AE07-68A5F8ACB112}"/>
    <cellStyle name="Normal 10 6 2" xfId="647" xr:uid="{00000000-0005-0000-0000-000033040000}"/>
    <cellStyle name="Normal 10 6 2 2" xfId="648" xr:uid="{00000000-0005-0000-0000-000034040000}"/>
    <cellStyle name="Normal 10 6 2 2 2" xfId="5008" xr:uid="{39B56996-BACF-4C65-A039-1E7FA06B282E}"/>
    <cellStyle name="Normal 10 6 2 2 2 2" xfId="23704" xr:uid="{FA70729C-931C-4F65-90D9-27DCECD14F7E}"/>
    <cellStyle name="Normal 10 6 2 2 2 3" xfId="26250" xr:uid="{5EE40F8D-F9A4-4B99-822E-0104FF14354B}"/>
    <cellStyle name="Normal 10 6 2 2 2 4" xfId="14303" xr:uid="{10A92140-0D30-4480-BE1A-B6DC52AB4AE1}"/>
    <cellStyle name="Normal 10 6 2 2 3" xfId="6756" xr:uid="{A3F6FFA8-BCE9-488B-9DAC-B79C01361B55}"/>
    <cellStyle name="Normal 10 6 2 2 3 2" xfId="27559" xr:uid="{110C6E9B-7D3A-4776-8589-104B17B83A69}"/>
    <cellStyle name="Normal 10 6 2 2 3 3" xfId="26634" xr:uid="{F8DD828C-3596-4401-950D-AEDD6C57E035}"/>
    <cellStyle name="Normal 10 6 2 2 3 4" xfId="17136" xr:uid="{8F5C6642-B6A5-4231-A1E7-37158AF94102}"/>
    <cellStyle name="Normal 10 6 2 2 4" xfId="9589" xr:uid="{305A9460-1FB6-4B41-8A6E-1AAE76A5C45A}"/>
    <cellStyle name="Normal 10 6 2 2 4 2" xfId="29364" xr:uid="{61129D0B-387D-43DF-A959-20681714EEBD}"/>
    <cellStyle name="Normal 10 6 2 2 4 3" xfId="19969" xr:uid="{77C006B7-64F7-4BAE-AB5B-40567A449837}"/>
    <cellStyle name="Normal 10 6 2 2 5" xfId="23512" xr:uid="{1B56C959-4940-425F-953A-BE4766795580}"/>
    <cellStyle name="Normal 10 6 2 2 6" xfId="13668" xr:uid="{19F67F96-623F-4268-81C2-6B6E4B910625}"/>
    <cellStyle name="Normal 10 6 2 2 7" xfId="30406" xr:uid="{AEF1A8D8-FB61-4B39-A35A-04CE7B56C4FF}"/>
    <cellStyle name="Normal 10 6 2 3" xfId="2711" xr:uid="{00000000-0005-0000-0000-00004A030000}"/>
    <cellStyle name="Normal 10 6 2 3 2" xfId="5929" xr:uid="{5982D64B-25C3-4AA1-B3A0-5D662BD0F663}"/>
    <cellStyle name="Normal 10 6 2 3 2 2" xfId="27902" xr:uid="{7E953B40-9F92-4B00-85F0-A374002C4C29}"/>
    <cellStyle name="Normal 10 6 2 3 2 3" xfId="15382" xr:uid="{0CE8BE64-1BB4-466E-8F36-32925D194118}"/>
    <cellStyle name="Normal 10 6 2 3 3" xfId="7835" xr:uid="{E59735AA-3C3C-4813-AF49-F60A6B61A21D}"/>
    <cellStyle name="Normal 10 6 2 3 3 2" xfId="18215" xr:uid="{0DC37640-7389-4FC8-8837-844B7798AD45}"/>
    <cellStyle name="Normal 10 6 2 3 4" xfId="10668" xr:uid="{2E3654C4-1C74-4339-9077-F92F9F9760F7}"/>
    <cellStyle name="Normal 10 6 2 3 4 2" xfId="21048" xr:uid="{880B7BB3-86A3-475B-935A-15DA7BC57CF9}"/>
    <cellStyle name="Normal 10 6 2 3 5" xfId="25295" xr:uid="{95709B43-6BF3-48EB-A15D-1920011B77FD}"/>
    <cellStyle name="Normal 10 6 2 3 6" xfId="13133" xr:uid="{F97B7FDC-819B-42EA-A182-A16499E8E5BA}"/>
    <cellStyle name="Normal 10 6 2 4" xfId="4150" xr:uid="{EAC5EE57-A6D6-4D64-8CB4-5F4C05BE2785}"/>
    <cellStyle name="Normal 10 6 2 4 2" xfId="8922" xr:uid="{B5C4E55E-AC21-412A-98AF-BE94B7998617}"/>
    <cellStyle name="Normal 10 6 2 4 2 2" xfId="29021" xr:uid="{880A3DEA-76D8-4573-A4D0-5E4C9480521D}"/>
    <cellStyle name="Normal 10 6 2 4 2 3" xfId="19302" xr:uid="{DBBE1912-80A6-4A42-A3FC-441F30A86E8B}"/>
    <cellStyle name="Normal 10 6 2 4 3" xfId="11755" xr:uid="{8E1B8FA6-9491-4279-BC88-632B6882E82C}"/>
    <cellStyle name="Normal 10 6 2 4 3 2" xfId="22135" xr:uid="{FF12EACC-A967-47BE-BE98-85132AE840E3}"/>
    <cellStyle name="Normal 10 6 2 4 4" xfId="25069" xr:uid="{0E0762A2-528D-416B-9669-382F11E08718}"/>
    <cellStyle name="Normal 10 6 2 4 5" xfId="16469" xr:uid="{DE694583-FED0-46AA-85CF-E78DF760D596}"/>
    <cellStyle name="Normal 10 6 2 5" xfId="5007" xr:uid="{DF1F6823-25E7-4F05-B57E-1EB8AA24D56D}"/>
    <cellStyle name="Normal 10 6 2 5 2" xfId="26552" xr:uid="{A0F6A9B4-5712-4C48-BDE6-DCD858684072}"/>
    <cellStyle name="Normal 10 6 2 5 3" xfId="14302" xr:uid="{84ACA945-8CE1-4B7E-82F0-C166E3A49B8C}"/>
    <cellStyle name="Normal 10 6 2 5 4" xfId="30552" xr:uid="{6CFD4037-B5D6-4369-B11E-7A369871CD76}"/>
    <cellStyle name="Normal 10 6 2 6" xfId="6755" xr:uid="{9F471B51-AA82-43BA-A861-84BE83FCD1DC}"/>
    <cellStyle name="Normal 10 6 2 6 2" xfId="17135" xr:uid="{A8ED8A8A-D036-48DD-ABBA-ED8B778C2FE3}"/>
    <cellStyle name="Normal 10 6 2 6 3" xfId="30265" xr:uid="{977809A6-4768-4F2B-BDCB-D0ADB789692E}"/>
    <cellStyle name="Normal 10 6 2 6 4" xfId="30675" xr:uid="{8504EB49-81BA-438D-B2C7-687EEF2DDAFC}"/>
    <cellStyle name="Normal 10 6 2 7" xfId="9588" xr:uid="{25BBE8C9-962D-48BE-A0BD-CF2937216FEC}"/>
    <cellStyle name="Normal 10 6 2 7 2" xfId="19968" xr:uid="{BDC739E1-E4E4-4E6B-A607-0B284BF6181C}"/>
    <cellStyle name="Normal 10 6 2 8" xfId="24089" xr:uid="{A2D4E8B2-D1DA-4754-A7F5-B003BAD84636}"/>
    <cellStyle name="Normal 10 6 2 9" xfId="12698" xr:uid="{34815816-84EF-47F5-8A53-5BDEE672354A}"/>
    <cellStyle name="Normal 10 6 3" xfId="649" xr:uid="{00000000-0005-0000-0000-000035040000}"/>
    <cellStyle name="Normal 10 6 3 2" xfId="4449" xr:uid="{F34BD96A-DB02-481B-9106-BFF9E529D8D4}"/>
    <cellStyle name="Normal 10 6 3 2 2" xfId="9221" xr:uid="{B885A5E0-403D-44AF-9BE1-09DAF86C44C0}"/>
    <cellStyle name="Normal 10 6 3 2 2 2" xfId="29214" xr:uid="{C1E3D8E8-BE48-47A5-B322-D45967D645FE}"/>
    <cellStyle name="Normal 10 6 3 2 2 3" xfId="19601" xr:uid="{16BA06DF-F5B4-43E4-AB90-6062B7824A70}"/>
    <cellStyle name="Normal 10 6 3 2 3" xfId="12054" xr:uid="{9CE428CC-3F08-4A0B-AB7D-6EAE5E11E180}"/>
    <cellStyle name="Normal 10 6 3 2 3 2" xfId="22434" xr:uid="{8D085CAC-80A9-49FB-962B-432B8CE290D6}"/>
    <cellStyle name="Normal 10 6 3 2 4" xfId="24864" xr:uid="{B3055D71-81D0-437D-9D41-F2836BE07C9E}"/>
    <cellStyle name="Normal 10 6 3 2 5" xfId="16768" xr:uid="{4A766B7B-E0F0-456B-A7A7-B6061B2E056F}"/>
    <cellStyle name="Normal 10 6 3 3" xfId="5009" xr:uid="{B637C1DD-301C-44F4-B7A7-79AD509BD66D}"/>
    <cellStyle name="Normal 10 6 3 3 2" xfId="26761" xr:uid="{0A587C40-267B-43F6-8529-3D992534D524}"/>
    <cellStyle name="Normal 10 6 3 3 3" xfId="26383" xr:uid="{8A39AC38-4960-4189-A4F2-FEA8F3F1D7E7}"/>
    <cellStyle name="Normal 10 6 3 3 4" xfId="14304" xr:uid="{6636712E-787F-45E7-B7CE-7C4B22CF90BB}"/>
    <cellStyle name="Normal 10 6 3 4" xfId="6757" xr:uid="{521F4715-30F3-450A-8E70-59A4C856F53B}"/>
    <cellStyle name="Normal 10 6 3 4 2" xfId="28494" xr:uid="{68D5B81F-06F9-4F91-8DA7-F99E5FB63E70}"/>
    <cellStyle name="Normal 10 6 3 4 3" xfId="27730" xr:uid="{A66326AE-615D-4899-9097-F01331D0DC14}"/>
    <cellStyle name="Normal 10 6 3 4 4" xfId="17137" xr:uid="{DFE05748-833C-49B5-8FC2-581C2F669F45}"/>
    <cellStyle name="Normal 10 6 3 5" xfId="9590" xr:uid="{9BEA53C0-A74E-473E-95EB-6E1EFC8E46DA}"/>
    <cellStyle name="Normal 10 6 3 5 2" xfId="29365" xr:uid="{1B00EA1A-C873-4984-AD72-859ACAA6BCF7}"/>
    <cellStyle name="Normal 10 6 3 5 3" xfId="19970" xr:uid="{C54DFF6E-8683-4C6A-AE25-D82FB9F4C314}"/>
    <cellStyle name="Normal 10 6 3 6" xfId="23753" xr:uid="{C3E94CB5-A5A2-47A9-A8D2-C9F20271064B}"/>
    <cellStyle name="Normal 10 6 3 7" xfId="13669" xr:uid="{431234E6-A6AB-4CDD-9650-3B70FE740AD1}"/>
    <cellStyle name="Normal 10 6 4" xfId="650" xr:uid="{00000000-0005-0000-0000-000036040000}"/>
    <cellStyle name="Normal 10 6 4 2" xfId="5010" xr:uid="{CDC7742B-7B1D-44B1-A6C7-1F7BF825D790}"/>
    <cellStyle name="Normal 10 6 4 2 2" xfId="25619" xr:uid="{90403AD1-87A2-4A06-B8D4-461532C87A2B}"/>
    <cellStyle name="Normal 10 6 4 2 3" xfId="26949" xr:uid="{8F25B05A-6692-41D6-AC10-02DF8228ABF7}"/>
    <cellStyle name="Normal 10 6 4 2 4" xfId="14305" xr:uid="{DE45C426-2429-44FA-BF31-64B37C6D2B76}"/>
    <cellStyle name="Normal 10 6 4 3" xfId="6758" xr:uid="{8DD2C49C-88CC-4D1E-9FC3-B3DB4EDF03DE}"/>
    <cellStyle name="Normal 10 6 4 3 2" xfId="27045" xr:uid="{29447C94-2B87-406A-A6EC-A96BA26D6005}"/>
    <cellStyle name="Normal 10 6 4 3 3" xfId="17138" xr:uid="{DA62D91E-8730-4317-BBDC-371015900A8A}"/>
    <cellStyle name="Normal 10 6 4 4" xfId="9591" xr:uid="{8D5F5DC9-0F6D-4E91-BB28-C2224301C004}"/>
    <cellStyle name="Normal 10 6 4 4 2" xfId="19971" xr:uid="{BDE4E12D-F3FD-40EB-ADC3-760BA283CA50}"/>
    <cellStyle name="Normal 10 6 4 5" xfId="23636" xr:uid="{EA37B6BC-5E00-4185-891A-4FC7F30E6DE9}"/>
    <cellStyle name="Normal 10 6 4 6" xfId="13396" xr:uid="{AE8005BD-9DD0-4DFB-9025-EA49D1ED0B05}"/>
    <cellStyle name="Normal 10 6 5" xfId="2582" xr:uid="{00000000-0005-0000-0000-00004D030000}"/>
    <cellStyle name="Normal 10 6 5 2" xfId="5847" xr:uid="{FE6DE163-301C-4795-9D06-4A5573B6961C}"/>
    <cellStyle name="Normal 10 6 5 2 2" xfId="26621" xr:uid="{3B123A76-95AA-4AF0-B4E8-68558BE41F55}"/>
    <cellStyle name="Normal 10 6 5 2 3" xfId="15254" xr:uid="{508EC014-028B-40B4-A293-3AE342E1137C}"/>
    <cellStyle name="Normal 10 6 5 3" xfId="7707" xr:uid="{03F66AF6-0F94-47D4-BCE0-E4F38834EC61}"/>
    <cellStyle name="Normal 10 6 5 3 2" xfId="18087" xr:uid="{09400E10-ADC3-428B-86CB-4AF8165E69E4}"/>
    <cellStyle name="Normal 10 6 5 4" xfId="10540" xr:uid="{86986A51-A91C-4172-AC43-10C674BD080F}"/>
    <cellStyle name="Normal 10 6 5 4 2" xfId="20920" xr:uid="{22F9676A-0A99-40C1-8725-F5A266751B24}"/>
    <cellStyle name="Normal 10 6 5 5" xfId="23404" xr:uid="{E89352E2-534E-475D-8CD3-48D0129E04DA}"/>
    <cellStyle name="Normal 10 6 5 6" xfId="12970" xr:uid="{D3105435-CF6A-4D95-9759-F0B25EEDE91F}"/>
    <cellStyle name="Normal 10 6 6" xfId="2308" xr:uid="{00000000-0005-0000-0000-000047030000}"/>
    <cellStyle name="Normal 10 6 6 2" xfId="7435" xr:uid="{F1276FE4-3F1A-44B8-B22D-1BCFFE76D63A}"/>
    <cellStyle name="Normal 10 6 6 2 2" xfId="26779" xr:uid="{B0BBD40A-C10E-4E20-8B65-20FF403BF4C4}"/>
    <cellStyle name="Normal 10 6 6 2 3" xfId="17815" xr:uid="{C074B1F8-18E2-4DEE-A23E-D7FDFD521CA2}"/>
    <cellStyle name="Normal 10 6 6 3" xfId="10268" xr:uid="{285AAFDB-F04D-43BE-9987-4E22A93AECB8}"/>
    <cellStyle name="Normal 10 6 6 3 2" xfId="20648" xr:uid="{B193B365-E63E-4F24-A47E-36330FBA0B4B}"/>
    <cellStyle name="Normal 10 6 6 4" xfId="24798" xr:uid="{9786D1C4-93E6-461A-BB9A-2F390036C635}"/>
    <cellStyle name="Normal 10 6 6 5" xfId="14982" xr:uid="{958DBBFA-20D9-4A0B-BE07-59CAABDC4B74}"/>
    <cellStyle name="Normal 10 6 7" xfId="3909" xr:uid="{A60CFB81-47FF-43EC-B87D-7B2942726973}"/>
    <cellStyle name="Normal 10 6 7 2" xfId="8741" xr:uid="{117CF4B0-DC20-439A-9C13-DE813CBE2479}"/>
    <cellStyle name="Normal 10 6 7 2 2" xfId="19121" xr:uid="{6D224E80-2EC9-4682-B730-A7D49657996C}"/>
    <cellStyle name="Normal 10 6 7 3" xfId="11574" xr:uid="{6E3979E6-29FC-4AD6-A1C8-A556A0047BFD}"/>
    <cellStyle name="Normal 10 6 7 3 2" xfId="21954" xr:uid="{0D3647C2-022A-4930-85A8-0685315DF9D0}"/>
    <cellStyle name="Normal 10 6 7 4" xfId="26979" xr:uid="{1AFC1FBA-F9D5-46EC-A43F-0046A8D48EC0}"/>
    <cellStyle name="Normal 10 6 7 5" xfId="16288" xr:uid="{946ACEF6-C366-4EA0-B9A2-DD5644EA8DD7}"/>
    <cellStyle name="Normal 10 6 8" xfId="5006" xr:uid="{CFAADE8E-03E3-433D-842C-3097079E60E5}"/>
    <cellStyle name="Normal 10 6 8 2" xfId="14301" xr:uid="{BD482CB5-9EAB-4853-B0E2-071175A9790D}"/>
    <cellStyle name="Normal 10 6 9" xfId="6754" xr:uid="{2058E728-6CCA-4E62-8143-E5BCB0205D8E}"/>
    <cellStyle name="Normal 10 6 9 2" xfId="17134" xr:uid="{FAA1640A-AFD2-4287-AD13-70DFDB6442C3}"/>
    <cellStyle name="Normal 10 7" xfId="651" xr:uid="{00000000-0005-0000-0000-000037040000}"/>
    <cellStyle name="Normal 10 7 10" xfId="12541" xr:uid="{F821FDA3-12BC-4518-8F28-E452748F667F}"/>
    <cellStyle name="Normal 10 7 2" xfId="652" xr:uid="{00000000-0005-0000-0000-000038040000}"/>
    <cellStyle name="Normal 10 7 2 2" xfId="2893" xr:uid="{00000000-0005-0000-0000-000050030000}"/>
    <cellStyle name="Normal 10 7 2 2 2" xfId="6079" xr:uid="{CC2ECD8F-407B-4927-ABEA-D40D40D24F66}"/>
    <cellStyle name="Normal 10 7 2 2 2 2" xfId="27282" xr:uid="{882C2F25-DCBF-4694-AA17-02BB48F7B57E}"/>
    <cellStyle name="Normal 10 7 2 2 2 3" xfId="26433" xr:uid="{DF87DB64-E865-49CB-9FDC-157286E0647D}"/>
    <cellStyle name="Normal 10 7 2 2 2 4" xfId="15557" xr:uid="{7EA5F5C9-C78D-415C-9D6F-9362545C0D7C}"/>
    <cellStyle name="Normal 10 7 2 2 3" xfId="8010" xr:uid="{94FA797D-4915-4A54-A568-7FEF5F6F8D40}"/>
    <cellStyle name="Normal 10 7 2 2 3 2" xfId="28451" xr:uid="{AEE86EF5-1F81-4D7C-8A04-C59592590F03}"/>
    <cellStyle name="Normal 10 7 2 2 3 3" xfId="18390" xr:uid="{228C6A02-AE5C-4173-A679-937E957CD907}"/>
    <cellStyle name="Normal 10 7 2 2 4" xfId="10843" xr:uid="{CF1B72B4-4A3F-4F90-A469-E1241D344A7F}"/>
    <cellStyle name="Normal 10 7 2 2 4 2" xfId="21223" xr:uid="{45CCC362-57C6-49C0-993A-DE7C70B0BADB}"/>
    <cellStyle name="Normal 10 7 2 2 5" xfId="24894" xr:uid="{57C54EAD-27D1-4A4D-9B91-6F36FCFB2DFE}"/>
    <cellStyle name="Normal 10 7 2 2 6" xfId="13397" xr:uid="{5FF3E50C-48B5-4A13-A404-BC06F6BFCA6D}"/>
    <cellStyle name="Normal 10 7 2 3" xfId="5012" xr:uid="{FBDBE7E8-6F8E-4593-9927-D38559C06384}"/>
    <cellStyle name="Normal 10 7 2 3 2" xfId="25202" xr:uid="{992B24E4-E892-44B1-90A3-931ACC9D3048}"/>
    <cellStyle name="Normal 10 7 2 3 3" xfId="28700" xr:uid="{90F417C6-03DE-4C3A-92A9-AC7D5FE1C73C}"/>
    <cellStyle name="Normal 10 7 2 3 4" xfId="14307" xr:uid="{0CF190E2-42DC-4B88-88DA-17A866438CF3}"/>
    <cellStyle name="Normal 10 7 2 4" xfId="6760" xr:uid="{A0459E73-A983-4DDF-9714-8E97BD05D5D6}"/>
    <cellStyle name="Normal 10 7 2 4 2" xfId="28298" xr:uid="{A292C127-3B59-4345-8BF7-9EC1B8D0DC4A}"/>
    <cellStyle name="Normal 10 7 2 4 3" xfId="27532" xr:uid="{EAD04638-6469-4367-8D06-21510AA38F8E}"/>
    <cellStyle name="Normal 10 7 2 4 4" xfId="17140" xr:uid="{558ABC0A-95E8-4546-9D32-71B526151466}"/>
    <cellStyle name="Normal 10 7 2 5" xfId="9593" xr:uid="{1784AC74-1DFC-4771-AE3E-D68ED207F8EE}"/>
    <cellStyle name="Normal 10 7 2 5 2" xfId="29366" xr:uid="{CF24331F-8507-4C5D-BFCC-1D3F38373ABE}"/>
    <cellStyle name="Normal 10 7 2 5 3" xfId="19973" xr:uid="{C3ECC58A-68DB-4012-A294-0326A38AC199}"/>
    <cellStyle name="Normal 10 7 2 5 4" xfId="30714" xr:uid="{78B5ACE8-8B89-41AB-AF65-D63938817683}"/>
    <cellStyle name="Normal 10 7 2 6" xfId="22778" xr:uid="{B22A62FB-71E1-4CEA-8DA1-514420CD1381}"/>
    <cellStyle name="Normal 10 7 2 7" xfId="12699" xr:uid="{E4679F30-9D82-48AD-8C5B-CE3E86709B40}"/>
    <cellStyle name="Normal 10 7 2 8" xfId="30336" xr:uid="{80D3D6DE-A12E-4211-A2F7-5460297EC48B}"/>
    <cellStyle name="Normal 10 7 3" xfId="653" xr:uid="{00000000-0005-0000-0000-000039040000}"/>
    <cellStyle name="Normal 10 7 3 2" xfId="5013" xr:uid="{C88D703C-81D9-4E77-A9D3-E3A21517C11B}"/>
    <cellStyle name="Normal 10 7 3 2 2" xfId="26638" xr:uid="{D73DE642-9C95-4957-8D2E-3DF02C734610}"/>
    <cellStyle name="Normal 10 7 3 2 3" xfId="26236" xr:uid="{638ADA3B-9727-4610-9F27-6A8251079301}"/>
    <cellStyle name="Normal 10 7 3 2 4" xfId="14308" xr:uid="{97DB6D93-0FB0-40C0-8035-803DA0B0EED5}"/>
    <cellStyle name="Normal 10 7 3 3" xfId="6761" xr:uid="{4E8E6403-062F-4D33-B367-EFB72E124076}"/>
    <cellStyle name="Normal 10 7 3 3 2" xfId="26747" xr:uid="{50992C7C-F8DB-4CD2-A1D6-F4DB4AA7DF31}"/>
    <cellStyle name="Normal 10 7 3 3 3" xfId="26568" xr:uid="{5EE0FC62-3A65-427E-BAF7-A25739160E17}"/>
    <cellStyle name="Normal 10 7 3 3 4" xfId="17141" xr:uid="{A8AA640D-8C7D-4575-AAFC-4DAADC06BCDA}"/>
    <cellStyle name="Normal 10 7 3 4" xfId="9594" xr:uid="{EE2FC9AD-A65D-4B9A-8732-6B708047D937}"/>
    <cellStyle name="Normal 10 7 3 4 2" xfId="29367" xr:uid="{32611AD5-F7BB-4BC4-BCB9-A2E09C46AC95}"/>
    <cellStyle name="Normal 10 7 3 4 3" xfId="19974" xr:uid="{2B1A8C81-742B-46B5-84AD-00923842F051}"/>
    <cellStyle name="Normal 10 7 3 5" xfId="22871" xr:uid="{4DDD050D-7732-43E9-90C4-007065CD737D}"/>
    <cellStyle name="Normal 10 7 3 6" xfId="13134" xr:uid="{5F5A99A5-EF3A-4D04-B501-071509441D16}"/>
    <cellStyle name="Normal 10 7 4" xfId="2309" xr:uid="{00000000-0005-0000-0000-00004E030000}"/>
    <cellStyle name="Normal 10 7 4 2" xfId="7436" xr:uid="{BAF217EA-ABDC-42D9-9E6F-41A7B7DE8930}"/>
    <cellStyle name="Normal 10 7 4 2 2" xfId="28147" xr:uid="{A559740B-61C2-4534-A1F4-8F727F634966}"/>
    <cellStyle name="Normal 10 7 4 2 3" xfId="17816" xr:uid="{AB56073A-238B-40AC-BFBA-98C82DDD024F}"/>
    <cellStyle name="Normal 10 7 4 3" xfId="10269" xr:uid="{DDDC7BD6-B3FE-46EE-9E13-DD6DB8618B71}"/>
    <cellStyle name="Normal 10 7 4 3 2" xfId="20649" xr:uid="{C96C7EF9-3262-4674-BF86-7BD8EC2521DD}"/>
    <cellStyle name="Normal 10 7 4 4" xfId="23390" xr:uid="{458D4371-4EFE-4C1D-832F-9A8A629CD593}"/>
    <cellStyle name="Normal 10 7 4 5" xfId="14983" xr:uid="{B299F396-D6F3-4F44-804C-772EFBD69A4E}"/>
    <cellStyle name="Normal 10 7 5" xfId="3910" xr:uid="{61C603DD-50F2-47B0-BCA8-B5EB6B4B49E1}"/>
    <cellStyle name="Normal 10 7 5 2" xfId="8742" xr:uid="{B49ABC57-6C3A-4AA0-B697-397F7ABD4B90}"/>
    <cellStyle name="Normal 10 7 5 2 2" xfId="28970" xr:uid="{ECD4C1E9-2E16-4E43-BC25-666E2AB156C1}"/>
    <cellStyle name="Normal 10 7 5 2 3" xfId="19122" xr:uid="{17C24AE6-B0A5-4521-86AC-96BAD9EAE656}"/>
    <cellStyle name="Normal 10 7 5 3" xfId="11575" xr:uid="{C81BDC82-E733-4F9D-938D-25440A8EEDD4}"/>
    <cellStyle name="Normal 10 7 5 3 2" xfId="21955" xr:uid="{DE0AD418-101F-4343-93B5-357FED240FAF}"/>
    <cellStyle name="Normal 10 7 5 4" xfId="25690" xr:uid="{DA66FF33-3ED4-4FF5-884F-8E76CA287F4D}"/>
    <cellStyle name="Normal 10 7 5 5" xfId="16289" xr:uid="{3A0456F9-E35C-4571-BD66-61535D499AF1}"/>
    <cellStyle name="Normal 10 7 6" xfId="5011" xr:uid="{85677112-D774-4197-804C-C7161A506172}"/>
    <cellStyle name="Normal 10 7 6 2" xfId="26309" xr:uid="{7EF06433-0338-44F1-A066-86EA325F5537}"/>
    <cellStyle name="Normal 10 7 6 3" xfId="27162" xr:uid="{EAE7A6D8-C933-46E4-B21C-514D984637C4}"/>
    <cellStyle name="Normal 10 7 6 4" xfId="14306" xr:uid="{2B4195E4-819A-4BBE-99A5-78CA492C5487}"/>
    <cellStyle name="Normal 10 7 7" xfId="6759" xr:uid="{6CB15D54-D6BE-4B60-8229-8F91DBFF0962}"/>
    <cellStyle name="Normal 10 7 7 2" xfId="27450" xr:uid="{4345BBE0-7708-4EFA-B388-A2920912B8B0}"/>
    <cellStyle name="Normal 10 7 7 3" xfId="17139" xr:uid="{3FA8B168-32A7-44B9-A805-AC0D19DB1902}"/>
    <cellStyle name="Normal 10 7 8" xfId="9592" xr:uid="{A30B71C2-1253-4D9E-8E5A-96397D10B1A0}"/>
    <cellStyle name="Normal 10 7 8 2" xfId="19972" xr:uid="{68E2C79B-3351-427E-90A4-9F8EE4F19241}"/>
    <cellStyle name="Normal 10 7 9" xfId="22895" xr:uid="{EE917F65-BFB8-4AFD-A29D-EA140501DFF2}"/>
    <cellStyle name="Normal 10 8" xfId="654" xr:uid="{00000000-0005-0000-0000-00003A040000}"/>
    <cellStyle name="Normal 10 8 10" xfId="12542" xr:uid="{EE31A128-3B45-438F-9726-B19FCB184595}"/>
    <cellStyle name="Normal 10 8 2" xfId="655" xr:uid="{00000000-0005-0000-0000-00003B040000}"/>
    <cellStyle name="Normal 10 8 2 2" xfId="2894" xr:uid="{00000000-0005-0000-0000-000054030000}"/>
    <cellStyle name="Normal 10 8 2 2 2" xfId="6080" xr:uid="{A0CFB994-EA60-4B02-AA68-B03074C76735}"/>
    <cellStyle name="Normal 10 8 2 2 2 2" xfId="28399" xr:uid="{D5975A2B-9295-469A-A133-0EBC572336E0}"/>
    <cellStyle name="Normal 10 8 2 2 2 3" xfId="27064" xr:uid="{70555EC4-546F-41C0-B750-52D6A322269C}"/>
    <cellStyle name="Normal 10 8 2 2 2 4" xfId="15558" xr:uid="{794DBC6E-14A2-4734-99F7-70D117FBBAD0}"/>
    <cellStyle name="Normal 10 8 2 2 3" xfId="8011" xr:uid="{FBAF8402-64FF-45F9-A42F-592C594DC771}"/>
    <cellStyle name="Normal 10 8 2 2 3 2" xfId="25987" xr:uid="{9097DAC1-B209-4E21-AE4E-BCAE804BAEFE}"/>
    <cellStyle name="Normal 10 8 2 2 3 3" xfId="18391" xr:uid="{CAE71BF5-3F3D-4465-B553-BCFC6E73AF9D}"/>
    <cellStyle name="Normal 10 8 2 2 4" xfId="10844" xr:uid="{6FC633C3-D4A3-42B9-AFCB-1ECA9A33E754}"/>
    <cellStyle name="Normal 10 8 2 2 4 2" xfId="21224" xr:uid="{1D1CE3C8-1DB9-4DB7-A522-1FDDFAADDA5E}"/>
    <cellStyle name="Normal 10 8 2 2 5" xfId="24858" xr:uid="{EB632C0D-AD4B-4FCC-8228-E986BEAEE4B1}"/>
    <cellStyle name="Normal 10 8 2 2 6" xfId="13398" xr:uid="{4FED0E67-E53E-4A17-AAA0-0A54730B296C}"/>
    <cellStyle name="Normal 10 8 2 3" xfId="5015" xr:uid="{409B2478-6962-4107-A19E-0FB21C35F15C}"/>
    <cellStyle name="Normal 10 8 2 3 2" xfId="24767" xr:uid="{CFA91C3D-2253-4631-B07D-0522ADC66C9B}"/>
    <cellStyle name="Normal 10 8 2 3 3" xfId="28166" xr:uid="{972AC645-2F54-44C0-987C-BB9102FC5DE8}"/>
    <cellStyle name="Normal 10 8 2 3 4" xfId="14310" xr:uid="{2D2E11D5-34E7-4B68-A643-72F678070917}"/>
    <cellStyle name="Normal 10 8 2 4" xfId="6763" xr:uid="{1584479C-892A-4314-962F-4E68ADB6D5E5}"/>
    <cellStyle name="Normal 10 8 2 4 2" xfId="28375" xr:uid="{CA89F0A2-B79D-43E4-9223-BD20D06DFA40}"/>
    <cellStyle name="Normal 10 8 2 4 3" xfId="26654" xr:uid="{F72933AC-3920-49BC-A29A-2ADF779F0C81}"/>
    <cellStyle name="Normal 10 8 2 4 4" xfId="17143" xr:uid="{21D46F1C-F270-4F2E-B443-4BE2392A6BB7}"/>
    <cellStyle name="Normal 10 8 2 5" xfId="9596" xr:uid="{317A581C-C5FB-445B-93C4-0A1BE1730DE7}"/>
    <cellStyle name="Normal 10 8 2 5 2" xfId="29368" xr:uid="{D0F43B31-E562-48A9-9176-AA5F40F37B3C}"/>
    <cellStyle name="Normal 10 8 2 5 3" xfId="19976" xr:uid="{92C0130D-6161-4069-ACD0-5D1D49843D38}"/>
    <cellStyle name="Normal 10 8 2 5 4" xfId="30715" xr:uid="{0D7D9730-AAF1-4D9F-8BCA-2EB54997DCE7}"/>
    <cellStyle name="Normal 10 8 2 6" xfId="24667" xr:uid="{8DE1D7DF-FF9D-4516-A4A3-9FF161B67641}"/>
    <cellStyle name="Normal 10 8 2 7" xfId="12700" xr:uid="{F3D7643F-E5BE-412E-90FF-8EDF06986B0A}"/>
    <cellStyle name="Normal 10 8 2 8" xfId="30337" xr:uid="{05A55896-DEE3-4BCF-9AB0-14D1ED557D38}"/>
    <cellStyle name="Normal 10 8 3" xfId="656" xr:uid="{00000000-0005-0000-0000-00003C040000}"/>
    <cellStyle name="Normal 10 8 3 2" xfId="5016" xr:uid="{CAE5D93E-5D45-48CC-B987-3875BFAADF96}"/>
    <cellStyle name="Normal 10 8 3 2 2" xfId="26530" xr:uid="{47C137B0-9F61-45C8-BF19-4E2E1C05E6FE}"/>
    <cellStyle name="Normal 10 8 3 2 3" xfId="27572" xr:uid="{E8F109B9-33A9-41CC-91A6-5AB2C9B69C61}"/>
    <cellStyle name="Normal 10 8 3 2 4" xfId="14311" xr:uid="{AB4E8A9C-01B8-438D-9B99-62BE1966F05F}"/>
    <cellStyle name="Normal 10 8 3 3" xfId="6764" xr:uid="{A22C5863-B2D3-4AEC-A96F-85228836E625}"/>
    <cellStyle name="Normal 10 8 3 3 2" xfId="26857" xr:uid="{6ABAE12B-5A3C-48EC-A6EA-795259A43F37}"/>
    <cellStyle name="Normal 10 8 3 3 3" xfId="26174" xr:uid="{64A3C3EE-5345-4EA9-A7ED-8F7696168E86}"/>
    <cellStyle name="Normal 10 8 3 3 4" xfId="17144" xr:uid="{734FADE0-5EE3-4874-8BF2-008752407627}"/>
    <cellStyle name="Normal 10 8 3 4" xfId="9597" xr:uid="{EB7E1E39-BF3C-4703-8287-CB441AAE210D}"/>
    <cellStyle name="Normal 10 8 3 4 2" xfId="29369" xr:uid="{B25A99E3-6995-487D-A1B1-71C4FF5FF6CF}"/>
    <cellStyle name="Normal 10 8 3 4 3" xfId="19977" xr:uid="{F471CF1F-0349-4DBC-9773-0612DF90A625}"/>
    <cellStyle name="Normal 10 8 3 5" xfId="23462" xr:uid="{D0EFAB01-FE0D-4A03-A9A3-CA9F0E3D1FE0}"/>
    <cellStyle name="Normal 10 8 3 6" xfId="13135" xr:uid="{35FEE4B3-836F-4F9E-9143-C316473FB6F6}"/>
    <cellStyle name="Normal 10 8 4" xfId="2310" xr:uid="{00000000-0005-0000-0000-000052030000}"/>
    <cellStyle name="Normal 10 8 4 2" xfId="7437" xr:uid="{8FF68166-9F49-494D-8462-25DE2B08EE2E}"/>
    <cellStyle name="Normal 10 8 4 2 2" xfId="26886" xr:uid="{4669CDC5-AE32-433E-B6A4-3AE4679915BE}"/>
    <cellStyle name="Normal 10 8 4 2 3" xfId="17817" xr:uid="{70364681-6142-4D63-B7DE-0F5B7101ADAD}"/>
    <cellStyle name="Normal 10 8 4 3" xfId="10270" xr:uid="{488C0532-C5F5-45E2-B7BD-5CA7C011EA91}"/>
    <cellStyle name="Normal 10 8 4 3 2" xfId="20650" xr:uid="{30FDD3FA-02F4-47DB-8A7A-CAC4633D2432}"/>
    <cellStyle name="Normal 10 8 4 4" xfId="24217" xr:uid="{5EFFEEF8-FFC8-4640-85FA-258239ACB54A}"/>
    <cellStyle name="Normal 10 8 4 5" xfId="14984" xr:uid="{C9A74A77-D189-4A5F-BE8B-C46B08914AE5}"/>
    <cellStyle name="Normal 10 8 5" xfId="3911" xr:uid="{C8F123DD-E0F6-4353-820B-E926F9972A75}"/>
    <cellStyle name="Normal 10 8 5 2" xfId="8743" xr:uid="{8F970CBC-8B8E-4BE5-91D5-B32D299E0C52}"/>
    <cellStyle name="Normal 10 8 5 2 2" xfId="28971" xr:uid="{1B312749-DA4D-4BFD-8951-FB227F931A60}"/>
    <cellStyle name="Normal 10 8 5 2 3" xfId="19123" xr:uid="{F076B2C6-4BA3-4F4A-9744-89DC8E5F2DA0}"/>
    <cellStyle name="Normal 10 8 5 3" xfId="11576" xr:uid="{DAE36C14-F7EF-42EC-9DDD-DA03FD75FAFE}"/>
    <cellStyle name="Normal 10 8 5 3 2" xfId="21956" xr:uid="{D7DADB29-3C49-4D5F-B11D-4483FA22B25D}"/>
    <cellStyle name="Normal 10 8 5 4" xfId="23051" xr:uid="{6A8155D8-4B40-41BD-8C49-098456DFD963}"/>
    <cellStyle name="Normal 10 8 5 5" xfId="16290" xr:uid="{02F3164E-78E2-46D4-9BA6-C9EC3EA0CA17}"/>
    <cellStyle name="Normal 10 8 6" xfId="5014" xr:uid="{73290ACF-874E-4463-BF29-35BF3C392A42}"/>
    <cellStyle name="Normal 10 8 6 2" xfId="27013" xr:uid="{05E55131-60F5-414F-90BD-5809515F18DE}"/>
    <cellStyle name="Normal 10 8 6 3" xfId="28623" xr:uid="{FA43042F-556E-47EF-BE99-43541F3F04F3}"/>
    <cellStyle name="Normal 10 8 6 4" xfId="14309" xr:uid="{7A1DFDA4-BFFE-4316-976D-5C0000D69D46}"/>
    <cellStyle name="Normal 10 8 7" xfId="6762" xr:uid="{833A8830-F59C-4B79-94D7-4628C3C62663}"/>
    <cellStyle name="Normal 10 8 7 2" xfId="27920" xr:uid="{545609B8-E434-4CC6-8A8F-8B96C19D7E3D}"/>
    <cellStyle name="Normal 10 8 7 3" xfId="17142" xr:uid="{DB5D6570-175C-4332-8757-3BF2DA3031F1}"/>
    <cellStyle name="Normal 10 8 8" xfId="9595" xr:uid="{D3C09DE8-C693-446C-B052-83ABF954DF2A}"/>
    <cellStyle name="Normal 10 8 8 2" xfId="19975" xr:uid="{1C13563C-18B1-4DF8-ABE6-F35F41AFD964}"/>
    <cellStyle name="Normal 10 8 9" xfId="24297" xr:uid="{B603D7A7-04B1-4ED7-88ED-BFC0E0C71988}"/>
    <cellStyle name="Normal 10 9" xfId="657" xr:uid="{00000000-0005-0000-0000-00003D040000}"/>
    <cellStyle name="Normal 10 9 10" xfId="12535" xr:uid="{6A35C548-C03B-41DB-89F5-E67E3EC2B6B8}"/>
    <cellStyle name="Normal 10 9 2" xfId="658" xr:uid="{00000000-0005-0000-0000-00003E040000}"/>
    <cellStyle name="Normal 10 9 2 2" xfId="5018" xr:uid="{44EA2E7B-0E28-4354-ADFF-C1824D0A66F5}"/>
    <cellStyle name="Normal 10 9 2 2 2" xfId="25680" xr:uid="{49F5C2C5-B8A4-4A2F-B8EF-288E2B6DD99D}"/>
    <cellStyle name="Normal 10 9 2 2 3" xfId="28070" xr:uid="{C5C0F6E1-80A2-467C-8197-E34ABA307372}"/>
    <cellStyle name="Normal 10 9 2 2 4" xfId="14313" xr:uid="{BC7474D3-290D-4433-9889-54AF8D03D824}"/>
    <cellStyle name="Normal 10 9 2 3" xfId="6766" xr:uid="{35CE7DCA-172E-41D1-AEDF-D6BDD15EF4BE}"/>
    <cellStyle name="Normal 10 9 2 3 2" xfId="26056" xr:uid="{037D4F64-AFC1-4B88-8F04-59F028158B0E}"/>
    <cellStyle name="Normal 10 9 2 3 3" xfId="26707" xr:uid="{727E0F45-F15A-4771-A83B-58D00358145B}"/>
    <cellStyle name="Normal 10 9 2 3 4" xfId="17146" xr:uid="{BEBCC9DC-6C69-4362-8885-4504A4A3058D}"/>
    <cellStyle name="Normal 10 9 2 4" xfId="9599" xr:uid="{3012AD1B-DAF3-4034-8022-9E938CE83436}"/>
    <cellStyle name="Normal 10 9 2 4 2" xfId="29370" xr:uid="{332065EF-1C3C-48D9-8992-87DE9C467AFE}"/>
    <cellStyle name="Normal 10 9 2 4 3" xfId="19979" xr:uid="{42CEACA7-1BC8-4363-853A-DF1FCF5E462A}"/>
    <cellStyle name="Normal 10 9 2 5" xfId="24586" xr:uid="{9CAE7B6A-39D2-4C48-9EE7-84D4FD6E1A64}"/>
    <cellStyle name="Normal 10 9 2 6" xfId="13670" xr:uid="{9DEB3DFF-343C-40F6-A724-425256BF1796}"/>
    <cellStyle name="Normal 10 9 3" xfId="659" xr:uid="{00000000-0005-0000-0000-00003F040000}"/>
    <cellStyle name="Normal 10 9 3 2" xfId="2704" xr:uid="{00000000-0005-0000-0000-000058030000}"/>
    <cellStyle name="Normal 10 9 3 2 2" xfId="7828" xr:uid="{2BC96A01-13A6-43CF-9A41-B31CCAED71FF}"/>
    <cellStyle name="Normal 10 9 3 2 2 2" xfId="18208" xr:uid="{D0E5DF64-B356-420C-A17C-FC4B250E48FB}"/>
    <cellStyle name="Normal 10 9 3 2 3" xfId="10661" xr:uid="{109CB8A7-E0E7-403C-BF11-6492C60BA467}"/>
    <cellStyle name="Normal 10 9 3 2 3 2" xfId="21041" xr:uid="{CB50AAB3-2FDA-4AE0-BAAD-EE57FEBDB697}"/>
    <cellStyle name="Normal 10 9 3 2 4" xfId="27812" xr:uid="{7DB748C1-9AD9-4060-ABE2-5B42446CC4E2}"/>
    <cellStyle name="Normal 10 9 3 2 5" xfId="15375" xr:uid="{8A1082E3-E28F-4BA8-BE5A-701F36954EB8}"/>
    <cellStyle name="Normal 10 9 3 3" xfId="3627" xr:uid="{00000000-0005-0000-0000-00003F040000}"/>
    <cellStyle name="Normal 10 9 3 3 2" xfId="30140" xr:uid="{F4870E34-AA86-459E-9EA8-A2C526E4B0A5}"/>
    <cellStyle name="Normal 10 9 3 4" xfId="5019" xr:uid="{0C061EC0-651E-4DB0-B891-F07E2F1BDD54}"/>
    <cellStyle name="Normal 10 9 3 4 2" xfId="30496" xr:uid="{083A53B1-345E-490C-B11A-D4E3B0229D84}"/>
    <cellStyle name="Normal 10 9 3 5" xfId="25108" xr:uid="{A45BE94C-D0DC-47D2-B563-6A624B103F55}"/>
    <cellStyle name="Normal 10 9 3 6" xfId="13122" xr:uid="{C69776D5-8F20-4F3F-A364-1CB5A543619C}"/>
    <cellStyle name="Normal 10 9 4" xfId="2303" xr:uid="{00000000-0005-0000-0000-000056030000}"/>
    <cellStyle name="Normal 10 9 4 2" xfId="7430" xr:uid="{9EF342DE-D374-45F9-84AF-CFDBD2020EC2}"/>
    <cellStyle name="Normal 10 9 4 2 2" xfId="26516" xr:uid="{47B76C65-A14F-45B4-86BE-32651113DE28}"/>
    <cellStyle name="Normal 10 9 4 2 3" xfId="17810" xr:uid="{6A00B2B1-1E41-43BF-844E-E441F7A086EB}"/>
    <cellStyle name="Normal 10 9 4 3" xfId="10263" xr:uid="{682143A9-6192-47B4-93BA-0CB37927D3EE}"/>
    <cellStyle name="Normal 10 9 4 3 2" xfId="20643" xr:uid="{53B223BB-7E51-48BD-B152-655A411727BD}"/>
    <cellStyle name="Normal 10 9 4 4" xfId="24827" xr:uid="{4B75FB7A-6443-4AD5-A663-73E034A91ED2}"/>
    <cellStyle name="Normal 10 9 4 5" xfId="14977" xr:uid="{B9FD1D9C-4B85-4425-9107-F3FAA7C3292F}"/>
    <cellStyle name="Normal 10 9 5" xfId="3834" xr:uid="{38BEE9A2-138A-41C8-B897-26528965E9DC}"/>
    <cellStyle name="Normal 10 9 5 2" xfId="8667" xr:uid="{B1742B3F-F04A-46A7-9828-8E973F14E9E6}"/>
    <cellStyle name="Normal 10 9 5 2 2" xfId="19047" xr:uid="{12F12C3C-1009-41E4-BBFA-73E7EDC440C5}"/>
    <cellStyle name="Normal 10 9 5 2 3" xfId="30001" xr:uid="{EF88AFCF-142E-4A13-98AC-5EDC54E10CA4}"/>
    <cellStyle name="Normal 10 9 5 3" xfId="11500" xr:uid="{A752D179-299D-4CED-84AC-43D333648C84}"/>
    <cellStyle name="Normal 10 9 5 3 2" xfId="21880" xr:uid="{CE83D025-6021-4861-A652-A8E895DDA20B}"/>
    <cellStyle name="Normal 10 9 5 4" xfId="24304" xr:uid="{7E973DDE-E521-4FF7-8B24-244FD6CEED26}"/>
    <cellStyle name="Normal 10 9 5 5" xfId="16214" xr:uid="{4CE5572E-57F1-406B-B8C2-60A4D9CDF3DA}"/>
    <cellStyle name="Normal 10 9 6" xfId="5017" xr:uid="{AEAAFD5F-4136-4B13-B97E-E1E6C09730CD}"/>
    <cellStyle name="Normal 10 9 6 2" xfId="14312" xr:uid="{4C8CA4C8-5764-4A18-B6E2-6CF1E28FDB22}"/>
    <cellStyle name="Normal 10 9 6 3" xfId="30673" xr:uid="{BEB2D05A-E0BE-485D-BF2D-D6633DA55A03}"/>
    <cellStyle name="Normal 10 9 7" xfId="6765" xr:uid="{8784D988-4DCD-4478-948C-0E41BDC10F40}"/>
    <cellStyle name="Normal 10 9 7 2" xfId="17145" xr:uid="{25522DA6-EE50-4885-8B3B-D83433D1611A}"/>
    <cellStyle name="Normal 10 9 8" xfId="9598" xr:uid="{27AEA380-710C-4BDB-900B-A2D1A307B94E}"/>
    <cellStyle name="Normal 10 9 8 2" xfId="19978" xr:uid="{30E46A4B-4D08-4DB9-B09C-757CA4C06A5D}"/>
    <cellStyle name="Normal 10 9 9" xfId="23673" xr:uid="{85013132-E928-4914-B06F-88A658A30795}"/>
    <cellStyle name="Normal 11" xfId="660" xr:uid="{00000000-0005-0000-0000-000040040000}"/>
    <cellStyle name="Normal 11 10" xfId="3912" xr:uid="{B5FFDD0D-8E0B-4ED0-8A0D-4B8007D11A86}"/>
    <cellStyle name="Normal 11 10 2" xfId="8744" xr:uid="{AAB818BF-5CBB-4811-A7E4-A58D68CC5CE6}"/>
    <cellStyle name="Normal 11 10 2 2" xfId="19124" xr:uid="{C4FDB22F-4B32-4AFE-B1AC-B26D9CF0FEB6}"/>
    <cellStyle name="Normal 11 10 3" xfId="11577" xr:uid="{D8EDAFB7-A8BA-4FFF-91B2-6F2F30E36C13}"/>
    <cellStyle name="Normal 11 10 3 2" xfId="21957" xr:uid="{482897BE-7CE2-40D9-842C-3D6ACA578724}"/>
    <cellStyle name="Normal 11 10 4" xfId="27743" xr:uid="{34AA4C46-2A82-4BEC-A34F-A934DFD40F05}"/>
    <cellStyle name="Normal 11 10 5" xfId="16291" xr:uid="{D3184AC5-B09E-4D07-9B20-2FC93E3C3148}"/>
    <cellStyle name="Normal 11 11" xfId="5020" xr:uid="{4441E4E4-3C73-4FAC-9B9C-BDA790075A13}"/>
    <cellStyle name="Normal 11 11 2" xfId="14314" xr:uid="{646FA8FC-F484-45CF-B8FB-D6C592D859AF}"/>
    <cellStyle name="Normal 11 12" xfId="6767" xr:uid="{A351784F-7502-4117-838D-712C558F09FF}"/>
    <cellStyle name="Normal 11 12 2" xfId="17147" xr:uid="{2569FF26-C820-41A3-B9C6-C00588A74406}"/>
    <cellStyle name="Normal 11 13" xfId="9600" xr:uid="{A86FF662-0F53-4B38-8D1E-BE7AAF8E4A33}"/>
    <cellStyle name="Normal 11 13 2" xfId="19980" xr:uid="{0FC1EA5E-0F5F-486C-9AF6-605A65B49914}"/>
    <cellStyle name="Normal 11 14" xfId="22816" xr:uid="{5833387D-E9A9-4441-B9FE-4D9EAFAC98D4}"/>
    <cellStyle name="Normal 11 15" xfId="12489" xr:uid="{7EFC5989-DA7E-48B8-880F-CC6997E49A5D}"/>
    <cellStyle name="Normal 11 2" xfId="661" xr:uid="{00000000-0005-0000-0000-000041040000}"/>
    <cellStyle name="Normal 11 2 10" xfId="12544" xr:uid="{7E869A50-9584-4C5E-9D24-F234CDB98485}"/>
    <cellStyle name="Normal 11 2 2" xfId="662" xr:uid="{00000000-0005-0000-0000-000042040000}"/>
    <cellStyle name="Normal 11 2 2 2" xfId="663" xr:uid="{00000000-0005-0000-0000-000043040000}"/>
    <cellStyle name="Normal 11 2 2 2 2" xfId="5023" xr:uid="{BA8DA40D-765F-4216-82AB-BCD7EFE51A86}"/>
    <cellStyle name="Normal 11 2 2 2 2 2" xfId="26768" xr:uid="{D7BC8985-AC76-484A-83F1-F401BDDEC26E}"/>
    <cellStyle name="Normal 11 2 2 2 2 3" xfId="26094" xr:uid="{395AE3D6-859A-4CE7-A280-6E488F1674D3}"/>
    <cellStyle name="Normal 11 2 2 2 2 4" xfId="14317" xr:uid="{B2FC0D89-6FFE-420A-BBC4-6244EB26879D}"/>
    <cellStyle name="Normal 11 2 2 2 3" xfId="6770" xr:uid="{6ED8C70E-7C6C-4CA0-891E-0EEECA17AA0B}"/>
    <cellStyle name="Normal 11 2 2 2 3 2" xfId="27562" xr:uid="{094EEDDA-A4DD-4F1C-ABB6-2BE7049EC4E0}"/>
    <cellStyle name="Normal 11 2 2 2 3 3" xfId="17150" xr:uid="{6439F4BB-E5F4-4187-B455-B2E1C3FE540A}"/>
    <cellStyle name="Normal 11 2 2 2 3 4" xfId="30617" xr:uid="{8C9AB4BC-ADD9-46D9-B840-AD6AD6A42F38}"/>
    <cellStyle name="Normal 11 2 2 2 4" xfId="9603" xr:uid="{18713007-5CA2-4DE3-A579-91CDBA2B003D}"/>
    <cellStyle name="Normal 11 2 2 2 4 2" xfId="19983" xr:uid="{B954F003-7930-465D-BCF0-331C99E7F348}"/>
    <cellStyle name="Normal 11 2 2 2 5" xfId="22839" xr:uid="{71469C86-025B-4C88-9D43-019C15117EF9}"/>
    <cellStyle name="Normal 11 2 2 2 6" xfId="13400" xr:uid="{86A143AF-F29F-4F80-B659-86F5E63994C2}"/>
    <cellStyle name="Normal 11 2 2 3" xfId="5022" xr:uid="{3666E523-EAB3-4F61-8F2A-1ED85699C265}"/>
    <cellStyle name="Normal 11 2 2 3 2" xfId="25104" xr:uid="{A78CBC4B-639F-4CB4-8708-3B4C0F09661D}"/>
    <cellStyle name="Normal 11 2 2 3 3" xfId="28021" xr:uid="{429137E1-1FD7-4D02-BE96-8AE50CA8DCE0}"/>
    <cellStyle name="Normal 11 2 2 3 4" xfId="14316" xr:uid="{92DA86C5-C158-4A16-B7A1-8B534FB7D785}"/>
    <cellStyle name="Normal 11 2 2 4" xfId="6769" xr:uid="{E0CD5663-441D-498F-A2EB-60988238896E}"/>
    <cellStyle name="Normal 11 2 2 4 2" xfId="23149" xr:uid="{B44FB618-BE3C-4955-9D18-97BD37EE7801}"/>
    <cellStyle name="Normal 11 2 2 4 3" xfId="26286" xr:uid="{32FF9B93-DE82-4AF8-A8A0-FB357E510D26}"/>
    <cellStyle name="Normal 11 2 2 4 4" xfId="17149" xr:uid="{A617F348-0250-40A7-9E68-6603C4F1233F}"/>
    <cellStyle name="Normal 11 2 2 5" xfId="9602" xr:uid="{669B17C0-DD9D-485B-8A13-678C00CFD102}"/>
    <cellStyle name="Normal 11 2 2 5 2" xfId="29371" xr:uid="{5BED36D4-72D3-43BB-A326-B56F2A7DB586}"/>
    <cellStyle name="Normal 11 2 2 5 3" xfId="19982" xr:uid="{04AF60EA-E3B2-4C0D-888A-5643CF5F053A}"/>
    <cellStyle name="Normal 11 2 2 5 4" xfId="30564" xr:uid="{9C6E8EA1-DDA2-4D25-8E77-3A2D570DE67F}"/>
    <cellStyle name="Normal 11 2 2 6" xfId="24037" xr:uid="{2A976BB5-7227-426B-BAF5-710F9FB7AD66}"/>
    <cellStyle name="Normal 11 2 2 6 2" xfId="30028" xr:uid="{83ACA125-7D90-46C3-BF2C-6DB5612E91E9}"/>
    <cellStyle name="Normal 11 2 2 6 3" xfId="30299" xr:uid="{7F4983BE-1CC7-4D6C-A6F2-CFF05698A599}"/>
    <cellStyle name="Normal 11 2 2 6 4" xfId="30716" xr:uid="{111CFC28-E83E-4140-9921-20BE6AB98027}"/>
    <cellStyle name="Normal 11 2 2 7" xfId="12702" xr:uid="{B9B44B2F-09F4-4F5A-81A4-A363C3B08CD8}"/>
    <cellStyle name="Normal 11 2 2 8" xfId="30050" xr:uid="{C318B9A0-88F3-41B4-ACCB-21749E5F6A22}"/>
    <cellStyle name="Normal 11 2 2 9" xfId="30338" xr:uid="{AD8B78EF-0D7D-438E-A54D-F24F65C18CA3}"/>
    <cellStyle name="Normal 11 2 3" xfId="664" xr:uid="{00000000-0005-0000-0000-000044040000}"/>
    <cellStyle name="Normal 11 2 3 2" xfId="5024" xr:uid="{8D7B7765-0EE9-4AB0-9533-6D02F1D32CA6}"/>
    <cellStyle name="Normal 11 2 3 2 2" xfId="24061" xr:uid="{13EE7752-BAC5-4761-8D52-865BD1687F8B}"/>
    <cellStyle name="Normal 11 2 3 2 3" xfId="26423" xr:uid="{3F65E947-7EC7-4CA6-9FA9-31FBAAC4DB31}"/>
    <cellStyle name="Normal 11 2 3 2 4" xfId="14318" xr:uid="{36110C57-00AC-439B-9109-7B28C2CE2368}"/>
    <cellStyle name="Normal 11 2 3 3" xfId="6771" xr:uid="{D2360609-4E98-41CE-9402-047DAEBF7659}"/>
    <cellStyle name="Normal 11 2 3 3 2" xfId="25745" xr:uid="{9BF657A4-76E3-4294-96AC-9699E9AD370A}"/>
    <cellStyle name="Normal 11 2 3 3 3" xfId="28561" xr:uid="{5B8552F4-CAA9-45AB-A23A-F3B977DEA90C}"/>
    <cellStyle name="Normal 11 2 3 3 4" xfId="17151" xr:uid="{1EE0F6BE-5908-4A06-8918-BCBC0962A927}"/>
    <cellStyle name="Normal 11 2 3 4" xfId="9604" xr:uid="{E227C0A7-82F8-433F-AAF0-F42C79778371}"/>
    <cellStyle name="Normal 11 2 3 4 2" xfId="29372" xr:uid="{47494459-9E4E-4E1E-9967-DF12DF0B497D}"/>
    <cellStyle name="Normal 11 2 3 4 3" xfId="19984" xr:uid="{FC34B077-EBC7-4E7B-B96A-5617E40A1C2B}"/>
    <cellStyle name="Normal 11 2 3 5" xfId="25354" xr:uid="{2C1C60BF-0ED5-4A71-A86B-258F3212A8ED}"/>
    <cellStyle name="Normal 11 2 3 6" xfId="13137" xr:uid="{CE0F4D07-EED5-46F9-80EE-7ECBB432934E}"/>
    <cellStyle name="Normal 11 2 3 7" xfId="30400" xr:uid="{67C55AD9-862B-4DC5-8684-AA78AE5AE1F4}"/>
    <cellStyle name="Normal 11 2 4" xfId="665" xr:uid="{00000000-0005-0000-0000-000045040000}"/>
    <cellStyle name="Normal 11 2 4 2" xfId="6772" xr:uid="{6FC13055-6C37-4A68-84C0-0EF1382DF28E}"/>
    <cellStyle name="Normal 11 2 4 2 2" xfId="27255" xr:uid="{41EC3C82-FA1C-4CB9-A3E7-F65B4905A12C}"/>
    <cellStyle name="Normal 11 2 4 2 3" xfId="17152" xr:uid="{2AEBD2DB-F0C3-47CB-BEF5-8D3B2C03CCC4}"/>
    <cellStyle name="Normal 11 2 4 3" xfId="9605" xr:uid="{149F13F6-B3CB-4D97-A0CE-2FFA9F125BEF}"/>
    <cellStyle name="Normal 11 2 4 3 2" xfId="19985" xr:uid="{05C9874B-CE67-4883-ABF1-BF3E014ED98B}"/>
    <cellStyle name="Normal 11 2 4 4" xfId="24291" xr:uid="{7EA0A519-3A89-48B0-9F76-76FA7FC64127}"/>
    <cellStyle name="Normal 11 2 4 5" xfId="14319" xr:uid="{3B4D1103-8FD6-4B6F-A67D-2616A7686505}"/>
    <cellStyle name="Normal 11 2 5" xfId="3913" xr:uid="{6D6FC8A0-19C3-4AFB-B0F3-1A70299C8861}"/>
    <cellStyle name="Normal 11 2 5 2" xfId="8745" xr:uid="{F42E2E87-920C-451F-A729-A8A289DF4DA6}"/>
    <cellStyle name="Normal 11 2 5 2 2" xfId="28972" xr:uid="{54456655-4F9A-48B2-BDC1-89B46144FB14}"/>
    <cellStyle name="Normal 11 2 5 2 3" xfId="19125" xr:uid="{65BFA062-C9FB-4635-A3E3-75513F96D177}"/>
    <cellStyle name="Normal 11 2 5 3" xfId="11578" xr:uid="{1B5C27D1-9672-4C2A-AFF7-0103D9DCCFF8}"/>
    <cellStyle name="Normal 11 2 5 3 2" xfId="21958" xr:uid="{D4500874-26D1-47F2-BA91-E45F7B7C840F}"/>
    <cellStyle name="Normal 11 2 5 4" xfId="25611" xr:uid="{FF225065-C54F-40C4-9707-1FAC0F1087E9}"/>
    <cellStyle name="Normal 11 2 5 5" xfId="16292" xr:uid="{93EDE843-9A22-4B3F-A14C-23A596433670}"/>
    <cellStyle name="Normal 11 2 6" xfId="5021" xr:uid="{3D522979-40D5-4A0D-812B-B82FFA87AAE4}"/>
    <cellStyle name="Normal 11 2 6 2" xfId="25734" xr:uid="{A09E37DF-F035-4BCA-A2E3-7A1295B00C72}"/>
    <cellStyle name="Normal 11 2 6 3" xfId="26554" xr:uid="{2C88A89D-BE01-464B-ACA7-6C72CCE9D11C}"/>
    <cellStyle name="Normal 11 2 6 4" xfId="14315" xr:uid="{7644D493-7267-4E52-AE60-1BA38E58EDDC}"/>
    <cellStyle name="Normal 11 2 7" xfId="6768" xr:uid="{41A70720-8E2A-42FE-9FBA-A60213032968}"/>
    <cellStyle name="Normal 11 2 7 2" xfId="27774" xr:uid="{ECB8DF8A-84B3-4F5D-B320-3B309D58FA40}"/>
    <cellStyle name="Normal 11 2 7 3" xfId="17148" xr:uid="{D41CF98A-C869-4219-9D61-63C9438080EF}"/>
    <cellStyle name="Normal 11 2 7 4" xfId="30642" xr:uid="{5C45C227-1C4A-49A6-B892-38C2E4B0EE41}"/>
    <cellStyle name="Normal 11 2 8" xfId="9601" xr:uid="{03680630-C21E-427F-A1D7-05E958DC8ADA}"/>
    <cellStyle name="Normal 11 2 8 2" xfId="19981" xr:uid="{8E89BE1B-ADF8-4A58-B216-FE5A5BCD1E3C}"/>
    <cellStyle name="Normal 11 2 9" xfId="23177" xr:uid="{81460E23-6EB1-49D8-A645-1A3E44E65310}"/>
    <cellStyle name="Normal 11 3" xfId="666" xr:uid="{00000000-0005-0000-0000-000046040000}"/>
    <cellStyle name="Normal 11 3 10" xfId="12545" xr:uid="{DE5CB4EC-3856-4404-8BD5-694F19EB3F2D}"/>
    <cellStyle name="Normal 11 3 2" xfId="667" xr:uid="{00000000-0005-0000-0000-000047040000}"/>
    <cellStyle name="Normal 11 3 2 2" xfId="668" xr:uid="{00000000-0005-0000-0000-000048040000}"/>
    <cellStyle name="Normal 11 3 2 2 2" xfId="5027" xr:uid="{C586F6EF-9902-4006-9902-EFBD3D1B3642}"/>
    <cellStyle name="Normal 11 3 2 2 2 2" xfId="26769" xr:uid="{0E88BB26-8DE8-4727-8EE1-C4104993574F}"/>
    <cellStyle name="Normal 11 3 2 2 2 3" xfId="26175" xr:uid="{9B686E4D-46C1-400F-BDB0-7E4DF50065AF}"/>
    <cellStyle name="Normal 11 3 2 2 2 4" xfId="14322" xr:uid="{4C7A75A4-55C7-4E8D-9CC7-EAF58D0D639A}"/>
    <cellStyle name="Normal 11 3 2 2 3" xfId="6775" xr:uid="{61E2EB25-B676-4750-8EF4-67A1701A3DF1}"/>
    <cellStyle name="Normal 11 3 2 2 3 2" xfId="27563" xr:uid="{9975980D-517F-4D31-8D2C-7D36363CCB32}"/>
    <cellStyle name="Normal 11 3 2 2 3 3" xfId="17155" xr:uid="{FB084660-5EC1-4824-888F-AAD9D6A5A50B}"/>
    <cellStyle name="Normal 11 3 2 2 3 4" xfId="30618" xr:uid="{D9A87F07-0A89-43DB-A7C6-9B2700A9D135}"/>
    <cellStyle name="Normal 11 3 2 2 4" xfId="9608" xr:uid="{B93F1DC8-F2EB-4222-9E05-D11416E9425E}"/>
    <cellStyle name="Normal 11 3 2 2 4 2" xfId="19988" xr:uid="{FA781ABD-CA61-4631-8DAF-3991ED4F265C}"/>
    <cellStyle name="Normal 11 3 2 2 5" xfId="24449" xr:uid="{DAC33619-D368-4550-A016-8622F25A9985}"/>
    <cellStyle name="Normal 11 3 2 2 6" xfId="13401" xr:uid="{D18452EE-469E-4F40-A03A-DF8D1F87B9CF}"/>
    <cellStyle name="Normal 11 3 2 3" xfId="5026" xr:uid="{DBAD4C82-4BF6-469F-81BD-0D549C5FFEAE}"/>
    <cellStyle name="Normal 11 3 2 3 2" xfId="23761" xr:uid="{EC0EF743-3D30-43D1-B983-4201625E7AD6}"/>
    <cellStyle name="Normal 11 3 2 3 3" xfId="28497" xr:uid="{8E1709E5-F404-41D5-B7E0-7AEA04AEB1FD}"/>
    <cellStyle name="Normal 11 3 2 3 4" xfId="14321" xr:uid="{5A480C38-8B8B-4B06-8B69-93FA2FF2396C}"/>
    <cellStyle name="Normal 11 3 2 4" xfId="6774" xr:uid="{05A750AD-AE05-48AD-B276-D9CA212BFE29}"/>
    <cellStyle name="Normal 11 3 2 4 2" xfId="24829" xr:uid="{0BBCF30A-9949-44A1-B8C4-E0C4D4D5D345}"/>
    <cellStyle name="Normal 11 3 2 4 3" xfId="28614" xr:uid="{C01ED12D-4FAB-49DF-A5F2-D3A87905D3BD}"/>
    <cellStyle name="Normal 11 3 2 4 4" xfId="17154" xr:uid="{3B0486EB-1E20-4ED3-A24E-DD6F37DF8F78}"/>
    <cellStyle name="Normal 11 3 2 5" xfId="9607" xr:uid="{549D58CD-3A88-48EC-9E8F-308ACBA6E02D}"/>
    <cellStyle name="Normal 11 3 2 5 2" xfId="29373" xr:uid="{EA46AE19-808A-4B5C-B068-F29641C577CC}"/>
    <cellStyle name="Normal 11 3 2 5 3" xfId="19987" xr:uid="{6B09AE4B-A9F8-4E59-AF75-B41B85C3F703}"/>
    <cellStyle name="Normal 11 3 2 5 4" xfId="30551" xr:uid="{4025284F-1101-4CE8-960D-FDB7CB94AC8E}"/>
    <cellStyle name="Normal 11 3 2 6" xfId="23838" xr:uid="{27B6450B-2151-40CE-BF23-437819165869}"/>
    <cellStyle name="Normal 11 3 2 6 2" xfId="30029" xr:uid="{A22F3F16-7187-4BB5-914D-76202B34A11F}"/>
    <cellStyle name="Normal 11 3 2 6 3" xfId="30300" xr:uid="{316F86EB-8D05-4286-9BA4-C8E5532F370B}"/>
    <cellStyle name="Normal 11 3 2 6 4" xfId="30717" xr:uid="{8D5D587B-BE36-4930-9EFC-DA73693F6E87}"/>
    <cellStyle name="Normal 11 3 2 7" xfId="12703" xr:uid="{AEE0F9C2-DBED-4C83-9B30-1BFF1EF0E86D}"/>
    <cellStyle name="Normal 11 3 2 8" xfId="30051" xr:uid="{6847E806-3547-4848-B20B-1D0B515F010F}"/>
    <cellStyle name="Normal 11 3 2 9" xfId="30339" xr:uid="{778597DD-1DF3-4AD0-8034-050207A15589}"/>
    <cellStyle name="Normal 11 3 3" xfId="669" xr:uid="{00000000-0005-0000-0000-000049040000}"/>
    <cellStyle name="Normal 11 3 3 2" xfId="5028" xr:uid="{8C06DBC2-DDA8-4EF3-BD25-C5AA42C4564D}"/>
    <cellStyle name="Normal 11 3 3 2 2" xfId="26770" xr:uid="{A25B506B-BAF3-4505-8C8B-22FF2B6837ED}"/>
    <cellStyle name="Normal 11 3 3 2 3" xfId="28292" xr:uid="{CB6A426F-82A5-4260-A673-F81C3686242E}"/>
    <cellStyle name="Normal 11 3 3 2 4" xfId="14323" xr:uid="{0935CDD8-A7DB-4461-A014-80E9BEF715E7}"/>
    <cellStyle name="Normal 11 3 3 3" xfId="6776" xr:uid="{A41BC5D5-5123-4ED0-95F1-D9D160AC9C9D}"/>
    <cellStyle name="Normal 11 3 3 3 2" xfId="27564" xr:uid="{1A5F9BCC-B8AF-4809-8026-C15ADB9475A0}"/>
    <cellStyle name="Normal 11 3 3 3 3" xfId="26756" xr:uid="{477DA55A-367C-46B8-AC6D-106F743997AE}"/>
    <cellStyle name="Normal 11 3 3 3 4" xfId="17156" xr:uid="{93677684-FB0B-435D-A229-1C0AA2DA0D95}"/>
    <cellStyle name="Normal 11 3 3 4" xfId="9609" xr:uid="{6F0DFD3F-9895-4D8B-A8F5-981B36E0833D}"/>
    <cellStyle name="Normal 11 3 3 4 2" xfId="29374" xr:uid="{37D965CF-A197-4014-AFCA-5E70F1CD73C5}"/>
    <cellStyle name="Normal 11 3 3 4 3" xfId="19989" xr:uid="{296E0623-3297-40EC-93A6-E57B3F4A63A3}"/>
    <cellStyle name="Normal 11 3 3 5" xfId="24235" xr:uid="{0D851AD1-5272-4B55-9B36-BC31461895C4}"/>
    <cellStyle name="Normal 11 3 3 6" xfId="13138" xr:uid="{72F81136-ACE5-4FE5-A423-15E999396A2B}"/>
    <cellStyle name="Normal 11 3 3 7" xfId="30401" xr:uid="{ABF136E6-464E-4D34-9B18-6EFD3355D6B1}"/>
    <cellStyle name="Normal 11 3 4" xfId="670" xr:uid="{00000000-0005-0000-0000-00004A040000}"/>
    <cellStyle name="Normal 11 3 4 2" xfId="6777" xr:uid="{525E3984-2309-474D-8E61-2FBEDEDD798E}"/>
    <cellStyle name="Normal 11 3 4 2 2" xfId="27240" xr:uid="{18DF850A-9BB7-49F7-87DC-E6724D416728}"/>
    <cellStyle name="Normal 11 3 4 2 3" xfId="17157" xr:uid="{D4BEB83E-59B7-466C-B2C6-BE7ED1AC57D3}"/>
    <cellStyle name="Normal 11 3 4 3" xfId="9610" xr:uid="{7B93175C-3CC7-4031-B187-09D083BC8DD3}"/>
    <cellStyle name="Normal 11 3 4 3 2" xfId="19990" xr:uid="{EA99FA9B-4552-4798-981D-D2D03430BACB}"/>
    <cellStyle name="Normal 11 3 4 4" xfId="22882" xr:uid="{BA692C8E-869D-49A4-9FBB-086A65872992}"/>
    <cellStyle name="Normal 11 3 4 5" xfId="14324" xr:uid="{429B78E7-79ED-4010-8247-8AE18B06BFDD}"/>
    <cellStyle name="Normal 11 3 5" xfId="3914" xr:uid="{5F8D0651-3182-4A9E-AA1E-9C3AA1F77872}"/>
    <cellStyle name="Normal 11 3 5 2" xfId="8746" xr:uid="{1E1AD780-6E4E-4309-A722-2ECEAD03D09D}"/>
    <cellStyle name="Normal 11 3 5 2 2" xfId="28973" xr:uid="{30B45775-90E9-42E7-8B5C-46CCA9BAF7D7}"/>
    <cellStyle name="Normal 11 3 5 2 3" xfId="19126" xr:uid="{B67135CF-3284-4839-AAB7-7A6E3C0EBE03}"/>
    <cellStyle name="Normal 11 3 5 3" xfId="11579" xr:uid="{BD6BA976-0F9A-4F2C-90BB-CC1A607DED1A}"/>
    <cellStyle name="Normal 11 3 5 3 2" xfId="21959" xr:uid="{DE7A4E47-0D13-4BFE-8D85-77E6EBB294CC}"/>
    <cellStyle name="Normal 11 3 5 4" xfId="24000" xr:uid="{FC38D255-9A66-4C5C-B6F8-2FA9BE087CEF}"/>
    <cellStyle name="Normal 11 3 5 5" xfId="16293" xr:uid="{7DBADBA1-71E0-4C63-BF7C-8B98471971B0}"/>
    <cellStyle name="Normal 11 3 6" xfId="5025" xr:uid="{D4B640ED-396F-451B-B450-FED05EC40CCF}"/>
    <cellStyle name="Normal 11 3 6 2" xfId="23499" xr:uid="{45C3B587-B34B-4C0C-88D8-F99AF9F39D21}"/>
    <cellStyle name="Normal 11 3 6 3" xfId="27394" xr:uid="{D818418A-E729-4CFB-82CD-736FF1664127}"/>
    <cellStyle name="Normal 11 3 6 4" xfId="14320" xr:uid="{6A686EA7-3EC9-44F1-A330-0BA34D3C04DE}"/>
    <cellStyle name="Normal 11 3 7" xfId="6773" xr:uid="{AFE4D348-22E3-4EB0-8EB2-3C3195851085}"/>
    <cellStyle name="Normal 11 3 7 2" xfId="27385" xr:uid="{35B54A7C-0AE2-4961-8813-85FFE7E9F321}"/>
    <cellStyle name="Normal 11 3 7 3" xfId="17153" xr:uid="{E8A39245-1E46-4E1B-BEC6-4CE9E1F208E1}"/>
    <cellStyle name="Normal 11 3 7 4" xfId="30643" xr:uid="{9D3F4E4D-5467-433A-AA06-372130D69EFC}"/>
    <cellStyle name="Normal 11 3 8" xfId="9606" xr:uid="{E413EBD7-91A4-4C65-A0EC-EBF30833767A}"/>
    <cellStyle name="Normal 11 3 8 2" xfId="19986" xr:uid="{1B735CB8-671D-4E0E-B092-914FB5F16E02}"/>
    <cellStyle name="Normal 11 3 9" xfId="24661" xr:uid="{2AE20C54-B79E-4CDD-8E85-0E151CBDC13D}"/>
    <cellStyle name="Normal 11 4" xfId="671" xr:uid="{00000000-0005-0000-0000-00004B040000}"/>
    <cellStyle name="Normal 11 4 10" xfId="12546" xr:uid="{32DA3DB1-B217-4604-9AFD-0F53DC3D9D79}"/>
    <cellStyle name="Normal 11 4 2" xfId="672" xr:uid="{00000000-0005-0000-0000-00004C040000}"/>
    <cellStyle name="Normal 11 4 2 2" xfId="2895" xr:uid="{00000000-0005-0000-0000-000064030000}"/>
    <cellStyle name="Normal 11 4 2 2 2" xfId="6081" xr:uid="{638AB7AD-2EFD-4587-8170-B6C9ABC8A860}"/>
    <cellStyle name="Normal 11 4 2 2 2 2" xfId="27505" xr:uid="{44BCF25B-3303-491B-9398-AC74199A8FB7}"/>
    <cellStyle name="Normal 11 4 2 2 2 3" xfId="27959" xr:uid="{421CA5BC-66DE-4C11-8560-8085836A964F}"/>
    <cellStyle name="Normal 11 4 2 2 2 4" xfId="15559" xr:uid="{77D678A6-FB04-499A-8D50-6CC3EF7377B6}"/>
    <cellStyle name="Normal 11 4 2 2 3" xfId="8012" xr:uid="{92A64233-E5FA-4DF0-9033-18F2C8D20752}"/>
    <cellStyle name="Normal 11 4 2 2 3 2" xfId="27483" xr:uid="{A24A71F0-CF05-4172-B496-E2FD313B6CA9}"/>
    <cellStyle name="Normal 11 4 2 2 3 3" xfId="18392" xr:uid="{8535BAF6-E18C-4E47-A456-D14F8A6AAF7D}"/>
    <cellStyle name="Normal 11 4 2 2 4" xfId="10845" xr:uid="{0E33385C-032E-4B16-86D0-C2EC2609EB17}"/>
    <cellStyle name="Normal 11 4 2 2 4 2" xfId="21225" xr:uid="{0A965AF9-165C-4F2E-A797-A6545CDDAC86}"/>
    <cellStyle name="Normal 11 4 2 2 5" xfId="24842" xr:uid="{6C4EF4A7-F04B-40EB-B0CB-D2FB244C5B1D}"/>
    <cellStyle name="Normal 11 4 2 2 6" xfId="13402" xr:uid="{FF490721-9360-45FF-B598-4A6DEAEF1BD9}"/>
    <cellStyle name="Normal 11 4 2 3" xfId="5030" xr:uid="{09D41346-65F9-4754-8981-A6AE4D6D2B71}"/>
    <cellStyle name="Normal 11 4 2 3 2" xfId="23139" xr:uid="{A5B4D553-00F5-4278-A192-BCA5460DB1D2}"/>
    <cellStyle name="Normal 11 4 2 3 3" xfId="27656" xr:uid="{DA2178ED-C0B4-47E7-9A18-D04930947376}"/>
    <cellStyle name="Normal 11 4 2 3 4" xfId="14326" xr:uid="{8C3C65EE-A230-4AE1-A48F-8F19DD39C15D}"/>
    <cellStyle name="Normal 11 4 2 4" xfId="6779" xr:uid="{3FC43918-8A16-43A7-86EC-EF093A22A354}"/>
    <cellStyle name="Normal 11 4 2 4 2" xfId="26986" xr:uid="{F9C89338-8822-49FE-A0F9-344C1828451B}"/>
    <cellStyle name="Normal 11 4 2 4 3" xfId="28197" xr:uid="{CAFE39BD-9339-49FD-BE1D-24FC802D2383}"/>
    <cellStyle name="Normal 11 4 2 4 4" xfId="17159" xr:uid="{BE195126-BF42-46F0-80F9-B7BDBD2D837F}"/>
    <cellStyle name="Normal 11 4 2 5" xfId="9612" xr:uid="{FA3BF229-151C-4960-B5B6-9BD084993B34}"/>
    <cellStyle name="Normal 11 4 2 5 2" xfId="29375" xr:uid="{C66D6D37-59E4-46D1-9486-9A0AA0B9946A}"/>
    <cellStyle name="Normal 11 4 2 5 3" xfId="19992" xr:uid="{15262610-0F77-49C1-8B94-420F88791E14}"/>
    <cellStyle name="Normal 11 4 2 5 4" xfId="30718" xr:uid="{1890D6E6-7BED-4C1F-9A34-A78888C17915}"/>
    <cellStyle name="Normal 11 4 2 6" xfId="23281" xr:uid="{9B5595E7-9D85-47DE-A5FF-B00EA32836C6}"/>
    <cellStyle name="Normal 11 4 2 7" xfId="12704" xr:uid="{CE0D822D-5F48-4257-89C6-FAE62D7003F1}"/>
    <cellStyle name="Normal 11 4 2 8" xfId="30340" xr:uid="{A0266777-AA3A-4713-8AAE-A3E4B17F761D}"/>
    <cellStyle name="Normal 11 4 3" xfId="673" xr:uid="{00000000-0005-0000-0000-00004D040000}"/>
    <cellStyle name="Normal 11 4 3 2" xfId="5031" xr:uid="{0C5810A7-7868-4A70-B763-EFD90EACFF69}"/>
    <cellStyle name="Normal 11 4 3 2 2" xfId="27264" xr:uid="{95ED38D0-6E85-4036-B35C-1751487878B3}"/>
    <cellStyle name="Normal 11 4 3 2 3" xfId="28068" xr:uid="{04B9A4C7-6478-42D6-90BF-88A3E2705691}"/>
    <cellStyle name="Normal 11 4 3 2 4" xfId="14327" xr:uid="{5C58E733-5A2F-4AD8-8A2A-8E8AFD15AB66}"/>
    <cellStyle name="Normal 11 4 3 3" xfId="6780" xr:uid="{D2ABF370-7D95-4DC2-9860-4CF5DB0775BE}"/>
    <cellStyle name="Normal 11 4 3 3 2" xfId="27796" xr:uid="{8DB23A2A-405D-4EF1-BDCA-91298B2F4FDA}"/>
    <cellStyle name="Normal 11 4 3 3 3" xfId="28405" xr:uid="{542C35E4-DE9B-4FD1-AC17-9798A51217D5}"/>
    <cellStyle name="Normal 11 4 3 3 4" xfId="17160" xr:uid="{69FE33AE-1816-4A43-89F9-3170E4FBBB41}"/>
    <cellStyle name="Normal 11 4 3 4" xfId="9613" xr:uid="{DC1B4FCE-FA02-4419-A0F4-7832434EF505}"/>
    <cellStyle name="Normal 11 4 3 4 2" xfId="29376" xr:uid="{1B44CD20-4F94-4165-8758-24170B523D18}"/>
    <cellStyle name="Normal 11 4 3 4 3" xfId="19993" xr:uid="{6EEE6ED3-74BF-4802-9021-5CF73EF5E5E3}"/>
    <cellStyle name="Normal 11 4 3 5" xfId="23338" xr:uid="{913A5553-8E2D-491A-9ECD-001DA73C9D57}"/>
    <cellStyle name="Normal 11 4 3 6" xfId="13139" xr:uid="{D9C8ABD3-EB57-455D-B81C-45325FB4E9B5}"/>
    <cellStyle name="Normal 11 4 4" xfId="2312" xr:uid="{00000000-0005-0000-0000-000062030000}"/>
    <cellStyle name="Normal 11 4 4 2" xfId="7439" xr:uid="{394811E4-217E-4816-8676-94FAE0589D3B}"/>
    <cellStyle name="Normal 11 4 4 2 2" xfId="26727" xr:uid="{1AF97864-D37D-4037-84D1-6CCD2AE37F6A}"/>
    <cellStyle name="Normal 11 4 4 2 3" xfId="17819" xr:uid="{22C4DDA3-0E64-4F06-8798-CE2CF1C14E38}"/>
    <cellStyle name="Normal 11 4 4 3" xfId="10272" xr:uid="{9A3D01F3-3A79-4FC6-B0B3-6124229E4D93}"/>
    <cellStyle name="Normal 11 4 4 3 2" xfId="20652" xr:uid="{C29B0363-002B-411E-895A-035368462CED}"/>
    <cellStyle name="Normal 11 4 4 4" xfId="25165" xr:uid="{D83C62A1-72F3-433C-BBC3-3EA1C796A097}"/>
    <cellStyle name="Normal 11 4 4 5" xfId="14986" xr:uid="{E5B598D3-FBC0-4B13-8358-920035AFF140}"/>
    <cellStyle name="Normal 11 4 5" xfId="3915" xr:uid="{9902BB13-0532-49D2-AEAD-792FC1809C68}"/>
    <cellStyle name="Normal 11 4 5 2" xfId="8747" xr:uid="{15F0FC37-5EC8-4DBB-AB36-1807EBF63018}"/>
    <cellStyle name="Normal 11 4 5 2 2" xfId="28974" xr:uid="{8CB43262-9F07-43E1-A748-EC554C77FA7B}"/>
    <cellStyle name="Normal 11 4 5 2 3" xfId="19127" xr:uid="{75928AAB-E63A-4E0D-B91B-1CB56A039DA7}"/>
    <cellStyle name="Normal 11 4 5 3" xfId="11580" xr:uid="{0405A663-ADD8-4A00-B9EC-955BAA456DF8}"/>
    <cellStyle name="Normal 11 4 5 3 2" xfId="21960" xr:uid="{23CC4FBC-7AC6-4FC7-BB7E-4EC14EF4FD8B}"/>
    <cellStyle name="Normal 11 4 5 4" xfId="23502" xr:uid="{CFD8BA40-1C3D-4CC8-8CB4-2F43131FAC8C}"/>
    <cellStyle name="Normal 11 4 5 5" xfId="16294" xr:uid="{608C74BC-40EF-43E7-8644-7C6CDFA9BA1E}"/>
    <cellStyle name="Normal 11 4 6" xfId="5029" xr:uid="{530B1860-0E38-4AB1-82D5-34D2D503466A}"/>
    <cellStyle name="Normal 11 4 6 2" xfId="26626" xr:uid="{6E4FFAB8-89DA-48A3-860E-AECD758CC5DF}"/>
    <cellStyle name="Normal 11 4 6 3" xfId="28682" xr:uid="{3FB66B60-3A9D-4335-8BCD-F245C49E3A54}"/>
    <cellStyle name="Normal 11 4 6 4" xfId="14325" xr:uid="{D3CE1157-80D7-4098-A91E-25BC0F82AE7C}"/>
    <cellStyle name="Normal 11 4 7" xfId="6778" xr:uid="{FA6FE495-F3FF-4302-943D-6B551539A985}"/>
    <cellStyle name="Normal 11 4 7 2" xfId="26818" xr:uid="{C8C05CDF-F846-41C0-A7BD-E6BF2BBE40CA}"/>
    <cellStyle name="Normal 11 4 7 3" xfId="17158" xr:uid="{C919DAC2-5ED6-4CA6-9C63-167B91DD9B7C}"/>
    <cellStyle name="Normal 11 4 8" xfId="9611" xr:uid="{E9EBDB79-4531-45D4-BD3C-274B2FF4B4C8}"/>
    <cellStyle name="Normal 11 4 8 2" xfId="19991" xr:uid="{FFA46CB1-C19C-4FD7-86AB-486C0515D668}"/>
    <cellStyle name="Normal 11 4 9" xfId="24257" xr:uid="{E8D0F19D-FDF9-43A5-91F0-731DE19A0A38}"/>
    <cellStyle name="Normal 11 5" xfId="674" xr:uid="{00000000-0005-0000-0000-00004E040000}"/>
    <cellStyle name="Normal 11 5 10" xfId="12543" xr:uid="{51AC1F11-C3FE-4EE9-8A11-26E03486E04E}"/>
    <cellStyle name="Normal 11 5 2" xfId="675" xr:uid="{00000000-0005-0000-0000-00004F040000}"/>
    <cellStyle name="Normal 11 5 2 2" xfId="5033" xr:uid="{2ECDA429-4EC8-4F67-98C9-7D876071CA03}"/>
    <cellStyle name="Normal 11 5 2 2 2" xfId="23180" xr:uid="{D6939B94-C692-4BBC-915C-45AE47A84439}"/>
    <cellStyle name="Normal 11 5 2 2 3" xfId="28361" xr:uid="{D36EC450-F19F-4975-AFB9-0B6FBC0C572B}"/>
    <cellStyle name="Normal 11 5 2 2 4" xfId="14329" xr:uid="{5D1E616E-3750-4D32-8DF1-D7426BDEB46B}"/>
    <cellStyle name="Normal 11 5 2 3" xfId="6782" xr:uid="{D1E164DC-1B11-469A-A7D5-A802A85B6DB3}"/>
    <cellStyle name="Normal 11 5 2 3 2" xfId="27566" xr:uid="{88109015-6CD9-4DC7-AE64-38E719ED4739}"/>
    <cellStyle name="Normal 11 5 2 3 3" xfId="28264" xr:uid="{0F2F7947-5A46-4A3D-8922-F710568EAD34}"/>
    <cellStyle name="Normal 11 5 2 3 4" xfId="17162" xr:uid="{D65AD02B-E74C-4006-B96B-120B8260D3AF}"/>
    <cellStyle name="Normal 11 5 2 4" xfId="9615" xr:uid="{E3B27907-6F21-42C4-BE25-292AEB6116F5}"/>
    <cellStyle name="Normal 11 5 2 4 2" xfId="29377" xr:uid="{88499F2D-8EDE-4595-B670-5C59F4C4079E}"/>
    <cellStyle name="Normal 11 5 2 4 3" xfId="19995" xr:uid="{A0AC8923-E63F-4815-87E4-1F847DC99337}"/>
    <cellStyle name="Normal 11 5 2 5" xfId="22898" xr:uid="{10AC2A4C-25B8-407B-86EB-D23AC8AE782F}"/>
    <cellStyle name="Normal 11 5 2 6" xfId="13671" xr:uid="{76BB1F48-F840-4163-B2ED-D67E928F6313}"/>
    <cellStyle name="Normal 11 5 2 7" xfId="30407" xr:uid="{4FD4A6D2-4F33-4968-80D0-40B242CD0E15}"/>
    <cellStyle name="Normal 11 5 3" xfId="2712" xr:uid="{00000000-0005-0000-0000-000068030000}"/>
    <cellStyle name="Normal 11 5 3 2" xfId="5930" xr:uid="{6F92EF33-8D36-4526-A477-9E3E38C0EF3D}"/>
    <cellStyle name="Normal 11 5 3 2 2" xfId="28483" xr:uid="{3D87EF29-19C2-41BB-8C2A-1F71A97B2050}"/>
    <cellStyle name="Normal 11 5 3 2 3" xfId="15383" xr:uid="{61F7D16C-D0BE-4935-AD5F-5C37E576F00C}"/>
    <cellStyle name="Normal 11 5 3 3" xfId="7836" xr:uid="{DC9D65AA-0A05-4438-B41F-99F031A1D619}"/>
    <cellStyle name="Normal 11 5 3 3 2" xfId="18216" xr:uid="{39276640-D55F-4F75-835D-12F838513141}"/>
    <cellStyle name="Normal 11 5 3 4" xfId="10669" xr:uid="{37F29275-441E-4E18-BABE-CF5B89C41A13}"/>
    <cellStyle name="Normal 11 5 3 4 2" xfId="21049" xr:uid="{5843CE77-DEA0-46CE-BA6D-3AA8FC5A9BC7}"/>
    <cellStyle name="Normal 11 5 3 5" xfId="24016" xr:uid="{4F462E06-2789-43B4-9538-4BFEF5954722}"/>
    <cellStyle name="Normal 11 5 3 6" xfId="13136" xr:uid="{99B4E794-325F-4CD6-91D4-ACCEC952CE5D}"/>
    <cellStyle name="Normal 11 5 4" xfId="2311" xr:uid="{00000000-0005-0000-0000-000066030000}"/>
    <cellStyle name="Normal 11 5 4 2" xfId="7438" xr:uid="{35B10574-9D4D-4578-AC4E-A61C69771504}"/>
    <cellStyle name="Normal 11 5 4 2 2" xfId="27377" xr:uid="{C8368EE2-DA1F-43DE-8F75-E476DF764D55}"/>
    <cellStyle name="Normal 11 5 4 2 3" xfId="17818" xr:uid="{419A3659-2A11-44E1-A28C-26C85944F939}"/>
    <cellStyle name="Normal 11 5 4 3" xfId="10271" xr:uid="{C8B48D61-49CA-4B57-9C8B-DBD170D7F774}"/>
    <cellStyle name="Normal 11 5 4 3 2" xfId="20651" xr:uid="{DCC9D1B5-17C8-42D9-BC5F-22A86B416D42}"/>
    <cellStyle name="Normal 11 5 4 4" xfId="25360" xr:uid="{5C49BD4A-9C02-47AF-9DA1-A08A087E6962}"/>
    <cellStyle name="Normal 11 5 4 5" xfId="14985" xr:uid="{A07DE548-936A-4CB8-94E7-52FA4E3A9589}"/>
    <cellStyle name="Normal 11 5 5" xfId="3838" xr:uid="{D19BC1C9-2E10-4B47-B0C8-B6F0346CE62D}"/>
    <cellStyle name="Normal 11 5 5 2" xfId="8671" xr:uid="{98449998-45F3-41E3-BEFC-C7A5CD274203}"/>
    <cellStyle name="Normal 11 5 5 2 2" xfId="19051" xr:uid="{D9DFE239-6AE4-49FD-91BC-4D8FE9CC916D}"/>
    <cellStyle name="Normal 11 5 5 3" xfId="11504" xr:uid="{ECB60C65-AE28-4FD2-A77A-C8F5F5E542F8}"/>
    <cellStyle name="Normal 11 5 5 3 2" xfId="21884" xr:uid="{D537F629-95BF-4A91-AE3A-8202DF7F1EAD}"/>
    <cellStyle name="Normal 11 5 5 4" xfId="26819" xr:uid="{1132127F-3DB5-46A5-BB43-6BCF4B34D10F}"/>
    <cellStyle name="Normal 11 5 5 5" xfId="16218" xr:uid="{7BA8269A-E710-4EEF-BE55-A3B6C7D256FA}"/>
    <cellStyle name="Normal 11 5 6" xfId="5032" xr:uid="{ACC57913-C41D-415C-AB56-B836E90863CC}"/>
    <cellStyle name="Normal 11 5 6 2" xfId="14328" xr:uid="{3918465B-9A15-4C3E-9B12-CCF9B5CA9EF1}"/>
    <cellStyle name="Normal 11 5 6 3" xfId="30266" xr:uid="{0086DE32-428B-42DD-BB66-05AB865CF1CC}"/>
    <cellStyle name="Normal 11 5 6 4" xfId="30676" xr:uid="{1DE6EC5F-79C2-4583-957C-F53317C53246}"/>
    <cellStyle name="Normal 11 5 7" xfId="6781" xr:uid="{BA1E19AF-9C0A-4A8D-8781-6A9D8108365F}"/>
    <cellStyle name="Normal 11 5 7 2" xfId="17161" xr:uid="{8BE4348E-2A2B-4371-99E8-1FAAFC57962E}"/>
    <cellStyle name="Normal 11 5 8" xfId="9614" xr:uid="{1EF09A24-7522-4965-91FA-F627EED0F86E}"/>
    <cellStyle name="Normal 11 5 8 2" xfId="19994" xr:uid="{36C7FCF1-DF08-49D1-B277-C0EA1EF462A2}"/>
    <cellStyle name="Normal 11 5 9" xfId="23310" xr:uid="{0BB148A3-0364-4042-9D78-23888DA62354}"/>
    <cellStyle name="Normal 11 6" xfId="676" xr:uid="{00000000-0005-0000-0000-000050040000}"/>
    <cellStyle name="Normal 11 6 2" xfId="3144" xr:uid="{00000000-0005-0000-0000-00006A030000}"/>
    <cellStyle name="Normal 11 6 2 2" xfId="6202" xr:uid="{BD2FB26E-5A54-4702-8AD8-BF4594B190BE}"/>
    <cellStyle name="Normal 11 6 2 2 2" xfId="27434" xr:uid="{8411C2E7-6F5C-4B86-9ABF-BFF24311035C}"/>
    <cellStyle name="Normal 11 6 2 2 3" xfId="27279" xr:uid="{99477210-CFF4-4DA4-9107-C7EDD774EF58}"/>
    <cellStyle name="Normal 11 6 2 2 4" xfId="15771" xr:uid="{2A1554A1-6644-46C6-AD6B-A491CE4466C2}"/>
    <cellStyle name="Normal 11 6 2 3" xfId="8224" xr:uid="{1977EEAB-C78B-4F89-A0A2-57B4FE295A7A}"/>
    <cellStyle name="Normal 11 6 2 3 2" xfId="28869" xr:uid="{9AEE0E77-4E08-48C3-9C2F-5E9C4C8DCA98}"/>
    <cellStyle name="Normal 11 6 2 3 3" xfId="18604" xr:uid="{4FB95FB6-A6BC-4810-A27B-07F758FEBEF0}"/>
    <cellStyle name="Normal 11 6 2 4" xfId="11057" xr:uid="{5DC9A81C-8400-4BF9-B424-33BD0E155F50}"/>
    <cellStyle name="Normal 11 6 2 4 2" xfId="21437" xr:uid="{3245FFD4-9E08-459A-805A-681AC8FDAD7D}"/>
    <cellStyle name="Normal 11 6 2 5" xfId="24379" xr:uid="{9788469F-2D8A-4D77-A45D-F5DD89018255}"/>
    <cellStyle name="Normal 11 6 2 6" xfId="13672" xr:uid="{6D5378A5-9F6A-4DD9-88B5-A35EDAE7891B}"/>
    <cellStyle name="Normal 11 6 3" xfId="2860" xr:uid="{00000000-0005-0000-0000-00006B030000}"/>
    <cellStyle name="Normal 11 6 3 2" xfId="6073" xr:uid="{15DD6167-203B-433F-A9E3-2A16E6DED355}"/>
    <cellStyle name="Normal 11 6 3 2 2" xfId="26195" xr:uid="{4BEDC51B-725A-4593-9E6F-94F99D7F80AA}"/>
    <cellStyle name="Normal 11 6 3 2 3" xfId="15529" xr:uid="{49E981A8-79E2-4F5A-B95F-10B2AB8193C5}"/>
    <cellStyle name="Normal 11 6 3 3" xfId="7982" xr:uid="{08214E28-A72D-40B5-A0FF-BBC0FE4C1529}"/>
    <cellStyle name="Normal 11 6 3 3 2" xfId="18362" xr:uid="{43EB3EFD-E78F-4679-BBDC-835B346BDB3B}"/>
    <cellStyle name="Normal 11 6 3 4" xfId="10815" xr:uid="{A1CE415C-D7A7-430E-B35E-FA2D26E8C63C}"/>
    <cellStyle name="Normal 11 6 3 4 2" xfId="21195" xr:uid="{3E53748C-901F-4ABE-B0FB-05984115E6B7}"/>
    <cellStyle name="Normal 11 6 3 5" xfId="24151" xr:uid="{D95C5E7B-8D7F-4AFD-9FFC-363BC5D9368F}"/>
    <cellStyle name="Normal 11 6 3 6" xfId="13349" xr:uid="{A7160CAA-E05C-42CC-9C4E-7CF2940DD71A}"/>
    <cellStyle name="Normal 11 6 4" xfId="4151" xr:uid="{8897D64D-3888-4BB8-9522-58EB076CD29F}"/>
    <cellStyle name="Normal 11 6 4 2" xfId="8923" xr:uid="{34FD39BE-6E6B-4AD5-BEC0-389BB156B5B3}"/>
    <cellStyle name="Normal 11 6 4 2 2" xfId="29022" xr:uid="{96374AE3-3679-4035-B9B3-F79B3DA14166}"/>
    <cellStyle name="Normal 11 6 4 2 3" xfId="19303" xr:uid="{217AB037-360E-43AE-B0B0-259481AA9338}"/>
    <cellStyle name="Normal 11 6 4 3" xfId="11756" xr:uid="{A9DA5D51-E46E-4BCB-8481-C81DCA54B20A}"/>
    <cellStyle name="Normal 11 6 4 3 2" xfId="22136" xr:uid="{2FF41ADB-2ECD-4F50-AC3B-147B5FE36219}"/>
    <cellStyle name="Normal 11 6 4 4" xfId="28485" xr:uid="{75AA98EB-F151-4117-9127-C1275A9C0006}"/>
    <cellStyle name="Normal 11 6 4 5" xfId="16470" xr:uid="{078E3D01-56AA-4595-9FB7-B04864440EC3}"/>
    <cellStyle name="Normal 11 6 5" xfId="5034" xr:uid="{CC1A95E0-B1E7-46CF-AFFF-52BB857E64C8}"/>
    <cellStyle name="Normal 11 6 5 2" xfId="27490" xr:uid="{64B45BFB-1BBC-4084-97A0-74B6A5E9A3EA}"/>
    <cellStyle name="Normal 11 6 5 3" xfId="14330" xr:uid="{FA70D1E4-E891-43DE-A664-7C2EE46E6787}"/>
    <cellStyle name="Normal 11 6 6" xfId="6783" xr:uid="{7D48E33C-69FE-439E-942C-4531C77FC840}"/>
    <cellStyle name="Normal 11 6 6 2" xfId="17163" xr:uid="{C9D6E1D2-24A2-448A-B67A-2510BAAC2BC4}"/>
    <cellStyle name="Normal 11 6 7" xfId="9616" xr:uid="{D7C41B80-F05F-49AC-9D45-D2A58C8503A3}"/>
    <cellStyle name="Normal 11 6 7 2" xfId="19996" xr:uid="{B05B765F-6156-4216-9857-FFAFC4C46E29}"/>
    <cellStyle name="Normal 11 6 8" xfId="25570" xr:uid="{F67A65D7-3B24-4110-8BA4-D4600D14EC47}"/>
    <cellStyle name="Normal 11 6 9" xfId="12701" xr:uid="{7B8BA89E-E580-44A4-B170-94A6475269B6}"/>
    <cellStyle name="Normal 11 7" xfId="677" xr:uid="{00000000-0005-0000-0000-000051040000}"/>
    <cellStyle name="Normal 11 7 2" xfId="5035" xr:uid="{E2F2A623-6DC7-4ADF-87D8-C8404433EF29}"/>
    <cellStyle name="Normal 11 7 2 2" xfId="24300" xr:uid="{6658F537-39AE-4CEA-A705-BFA760AE7921}"/>
    <cellStyle name="Normal 11 7 2 3" xfId="28288" xr:uid="{4AF7F0B1-F341-4D19-B61E-35484FCA54DA}"/>
    <cellStyle name="Normal 11 7 2 4" xfId="14331" xr:uid="{172FED5F-EF95-4CE1-895E-131F5BFE53E3}"/>
    <cellStyle name="Normal 11 7 3" xfId="6784" xr:uid="{C70B7F4A-CFDA-408D-8E8C-60D74F6957C8}"/>
    <cellStyle name="Normal 11 7 3 2" xfId="26916" xr:uid="{45EE320C-490B-472A-84F1-B3CD9D7A21FE}"/>
    <cellStyle name="Normal 11 7 3 3" xfId="17164" xr:uid="{DA37AFFF-3F63-4AF7-BA68-6F52E5231E45}"/>
    <cellStyle name="Normal 11 7 4" xfId="9617" xr:uid="{207D58B0-82A5-4E81-BBD0-2A00B8F9B192}"/>
    <cellStyle name="Normal 11 7 4 2" xfId="19997" xr:uid="{217F3421-304B-4632-AAD6-496D87CB8017}"/>
    <cellStyle name="Normal 11 7 5" xfId="24074" xr:uid="{17114C85-D6E0-4CA6-8C08-BE54408EB7E6}"/>
    <cellStyle name="Normal 11 7 6" xfId="13399" xr:uid="{FA874369-E5D4-4170-94AB-236BD918FFB8}"/>
    <cellStyle name="Normal 11 8" xfId="2652" xr:uid="{00000000-0005-0000-0000-00006D030000}"/>
    <cellStyle name="Normal 11 8 2" xfId="5914" xr:uid="{3C16B3C4-9BA2-4BA5-B56C-569FDC9C4593}"/>
    <cellStyle name="Normal 11 8 2 2" xfId="26112" xr:uid="{54BF3F3F-E486-4A98-8F86-41E336AFA9FE}"/>
    <cellStyle name="Normal 11 8 2 3" xfId="15324" xr:uid="{C9968FD0-A6FD-4FFC-8DD2-8D5D8F8B13DB}"/>
    <cellStyle name="Normal 11 8 3" xfId="7777" xr:uid="{1CBB693E-D222-4711-9277-F48DC820F811}"/>
    <cellStyle name="Normal 11 8 3 2" xfId="18157" xr:uid="{695EB2FB-8162-4F8F-AB9B-77C49AC9BC6D}"/>
    <cellStyle name="Normal 11 8 4" xfId="10610" xr:uid="{9DDBDCA2-A42D-46D7-A65A-9B5B5F7571DF}"/>
    <cellStyle name="Normal 11 8 4 2" xfId="20990" xr:uid="{E64107D0-E411-4EED-ABAC-042DFC620510}"/>
    <cellStyle name="Normal 11 8 5" xfId="24149" xr:uid="{DE3B9CCD-AB2F-43CC-8B21-43E9D3C24ECA}"/>
    <cellStyle name="Normal 11 8 6" xfId="13054" xr:uid="{683EF287-66DA-4C6E-89BD-CBED583B0E34}"/>
    <cellStyle name="Normal 11 9" xfId="2257" xr:uid="{00000000-0005-0000-0000-000059030000}"/>
    <cellStyle name="Normal 11 9 2" xfId="7384" xr:uid="{CC45CD05-6C38-4C8F-969D-40CD46DD4EC2}"/>
    <cellStyle name="Normal 11 9 2 2" xfId="27281" xr:uid="{72E147AB-D952-44EA-AF13-327D60A7B6A6}"/>
    <cellStyle name="Normal 11 9 2 3" xfId="17764" xr:uid="{8A41127B-A9DB-421D-8BAB-419AD756C79D}"/>
    <cellStyle name="Normal 11 9 3" xfId="10217" xr:uid="{1EAA9FB2-92CE-410F-B029-E2AE91B18BE7}"/>
    <cellStyle name="Normal 11 9 3 2" xfId="20597" xr:uid="{4321BE4B-2DA1-492D-8447-49E3C6028460}"/>
    <cellStyle name="Normal 11 9 4" xfId="23173" xr:uid="{9FB7D291-3478-42A8-8F80-95239D39C086}"/>
    <cellStyle name="Normal 11 9 5" xfId="14931" xr:uid="{9FD45EBF-AC69-4791-830E-35A1B66B4468}"/>
    <cellStyle name="Normal 12" xfId="678" xr:uid="{00000000-0005-0000-0000-000052040000}"/>
    <cellStyle name="Normal 12 10" xfId="22966" xr:uid="{033343EA-8A5A-4D18-A061-28041EF0DCC6}"/>
    <cellStyle name="Normal 12 11" xfId="12497" xr:uid="{C76A44B9-FF9F-49AA-868F-89A514942165}"/>
    <cellStyle name="Normal 12 2" xfId="679" xr:uid="{00000000-0005-0000-0000-000053040000}"/>
    <cellStyle name="Normal 12 2 2" xfId="5037" xr:uid="{AD475A3E-73E0-4B12-B0FE-634B3B93A6DB}"/>
    <cellStyle name="Normal 12 2 2 2" xfId="25711" xr:uid="{7DEF7E45-F8D2-4063-B834-3C42CF35FB5A}"/>
    <cellStyle name="Normal 12 2 2 3" xfId="28325" xr:uid="{47B5D16A-CAC2-48DD-97F0-0C9E4E57B817}"/>
    <cellStyle name="Normal 12 2 2 4" xfId="14333" xr:uid="{073FA9A3-B4A4-40BF-82B1-D44419344B16}"/>
    <cellStyle name="Normal 12 2 3" xfId="6786" xr:uid="{7E55DEA3-BC79-4550-9BF7-EE947CFB9519}"/>
    <cellStyle name="Normal 12 2 3 2" xfId="26154" xr:uid="{81BE5766-15C6-4192-B29B-386BCB362BB7}"/>
    <cellStyle name="Normal 12 2 3 3" xfId="28619" xr:uid="{41EE9D90-22B5-4D91-B56D-7AEBE4D80B29}"/>
    <cellStyle name="Normal 12 2 3 4" xfId="17166" xr:uid="{EB77552A-3E39-4B3A-B257-4C2ECD7599FC}"/>
    <cellStyle name="Normal 12 2 4" xfId="9619" xr:uid="{F376DB83-EF64-4A8A-8A23-F57AF8F0224E}"/>
    <cellStyle name="Normal 12 2 4 2" xfId="29378" xr:uid="{16BF253E-C692-4009-9718-45A3A081B9C4}"/>
    <cellStyle name="Normal 12 2 4 3" xfId="19999" xr:uid="{C7955B86-9016-4C69-83B8-7A3A2A612F4F}"/>
    <cellStyle name="Normal 12 2 5" xfId="23085" xr:uid="{01633C0A-A72D-4EE4-9F1A-3DF12E369B3B}"/>
    <cellStyle name="Normal 12 2 6" xfId="13350" xr:uid="{04ADC0D9-B86A-46C2-99CE-0C892D77FB6D}"/>
    <cellStyle name="Normal 12 3" xfId="3145" xr:uid="{00000000-0005-0000-0000-000070030000}"/>
    <cellStyle name="Normal 12 3 2" xfId="6203" xr:uid="{7D022FC5-7870-45D9-8D59-60C6C14ADAA5}"/>
    <cellStyle name="Normal 12 3 2 2" xfId="22822" xr:uid="{A94978FC-D56E-43B3-9DC5-0274A2631273}"/>
    <cellStyle name="Normal 12 3 2 3" xfId="28692" xr:uid="{B751A062-B9D7-469D-A5F7-D39FB081053B}"/>
    <cellStyle name="Normal 12 3 2 4" xfId="15772" xr:uid="{12715E97-5114-4E2C-8FB6-DE55CB85D0A7}"/>
    <cellStyle name="Normal 12 3 3" xfId="8225" xr:uid="{280E29AF-96C5-490F-A35E-4FE1D8B8925E}"/>
    <cellStyle name="Normal 12 3 3 2" xfId="28870" xr:uid="{DB1364C7-AF5D-4030-A5A3-4EC5C448E437}"/>
    <cellStyle name="Normal 12 3 3 3" xfId="18605" xr:uid="{4A4433A0-54AB-4011-AC64-8F7A09961B7A}"/>
    <cellStyle name="Normal 12 3 4" xfId="11058" xr:uid="{967ED9CC-BE3E-49B9-B845-28C03999D68A}"/>
    <cellStyle name="Normal 12 3 4 2" xfId="21438" xr:uid="{709F180A-4DE2-4C8B-8544-6FE558FA0956}"/>
    <cellStyle name="Normal 12 3 5" xfId="23531" xr:uid="{D5234BF6-12FD-419A-8C41-7A9641DE3930}"/>
    <cellStyle name="Normal 12 3 6" xfId="13673" xr:uid="{0E151977-D1A2-40E0-AF8A-9538AD77A839}"/>
    <cellStyle name="Normal 12 4" xfId="2660" xr:uid="{00000000-0005-0000-0000-000071030000}"/>
    <cellStyle name="Normal 12 4 2" xfId="5920" xr:uid="{770C451C-813B-4FF8-B587-13F9DBD1EDDF}"/>
    <cellStyle name="Normal 12 4 2 2" xfId="26366" xr:uid="{A71634E2-0DF5-493D-84C0-FC73DA14EE97}"/>
    <cellStyle name="Normal 12 4 2 3" xfId="15332" xr:uid="{CC0B48EF-C0F2-4E06-A1BC-09A8A75F57FE}"/>
    <cellStyle name="Normal 12 4 3" xfId="7785" xr:uid="{BE42800C-35A8-4D46-A402-C7092A9B236B}"/>
    <cellStyle name="Normal 12 4 3 2" xfId="18165" xr:uid="{7B232A74-B0B6-4F4E-96AB-6D93C640B5A0}"/>
    <cellStyle name="Normal 12 4 4" xfId="10618" xr:uid="{FA08CA2A-FAAF-443C-9DDE-1D77E1DEA92C}"/>
    <cellStyle name="Normal 12 4 4 2" xfId="20998" xr:uid="{92F78D94-E3D1-471E-BEDA-A74745FCF85D}"/>
    <cellStyle name="Normal 12 4 5" xfId="23751" xr:uid="{DD1E9B09-6FEC-4C59-9677-7A102651FFEB}"/>
    <cellStyle name="Normal 12 4 6" xfId="13062" xr:uid="{A5C88BF8-7A2F-4C5B-A0D7-BBF24B97022B}"/>
    <cellStyle name="Normal 12 5" xfId="2265" xr:uid="{00000000-0005-0000-0000-00006E030000}"/>
    <cellStyle name="Normal 12 5 2" xfId="7392" xr:uid="{7E50454D-933B-4840-8B3F-BB52394ED944}"/>
    <cellStyle name="Normal 12 5 2 2" xfId="17772" xr:uid="{4048479F-63F7-41DF-BC82-7A11D85C922E}"/>
    <cellStyle name="Normal 12 5 3" xfId="10225" xr:uid="{F12FA1EC-A2E7-45E9-BE43-2774C2E1BC84}"/>
    <cellStyle name="Normal 12 5 3 2" xfId="20605" xr:uid="{B9D70D8E-2672-4BF9-9869-6734F15C2519}"/>
    <cellStyle name="Normal 12 5 4" xfId="24478" xr:uid="{DFAA973F-326E-446E-A2AD-301ABEE1A675}"/>
    <cellStyle name="Normal 12 5 5" xfId="14939" xr:uid="{10721356-729C-4D58-94C5-73C19FEC5DA1}"/>
    <cellStyle name="Normal 12 6" xfId="3788" xr:uid="{FC5D471A-BA1A-4CEB-A00A-3C532FA45458}"/>
    <cellStyle name="Normal 12 6 2" xfId="8627" xr:uid="{4A058FC5-A2EB-4011-AFB4-00F15F2B6912}"/>
    <cellStyle name="Normal 12 6 2 2" xfId="19007" xr:uid="{317FE9FD-0925-4241-B2DD-16B933DBA824}"/>
    <cellStyle name="Normal 12 6 3" xfId="11460" xr:uid="{F70DC20A-4CB9-48B4-9B61-85C555A8C8E9}"/>
    <cellStyle name="Normal 12 6 3 2" xfId="21840" xr:uid="{0810842A-5B40-4B7C-9C40-6719AEEE95F9}"/>
    <cellStyle name="Normal 12 6 4" xfId="16174" xr:uid="{5BB47EA7-B128-4837-9360-E10735DAAB63}"/>
    <cellStyle name="Normal 12 7" xfId="5036" xr:uid="{D8E44DB6-B01F-4F4D-BD68-0CD5A36983BA}"/>
    <cellStyle name="Normal 12 7 2" xfId="14332" xr:uid="{8BB7854B-15D0-42A0-B9E8-58D48B1E44D2}"/>
    <cellStyle name="Normal 12 8" xfId="6785" xr:uid="{A16B3C71-8F9F-450E-843E-AC7EFF0240D8}"/>
    <cellStyle name="Normal 12 8 2" xfId="17165" xr:uid="{B73FF3CB-5A5C-4E83-9F3D-74B341F1AA0B}"/>
    <cellStyle name="Normal 12 9" xfId="9618" xr:uid="{1F8F4189-B832-4E1E-A1D8-D39FD28B04F1}"/>
    <cellStyle name="Normal 12 9 2" xfId="19998" xr:uid="{8DD72BD7-34D7-44AA-991F-BA6B4ED22B16}"/>
    <cellStyle name="Normal 13" xfId="680" xr:uid="{00000000-0005-0000-0000-000054040000}"/>
    <cellStyle name="Normal 13 2" xfId="2858" xr:uid="{00000000-0005-0000-0000-000073030000}"/>
    <cellStyle name="Normal 13 2 2" xfId="6071" xr:uid="{AA45E48B-09ED-4685-8AB6-AA6F639FBB2D}"/>
    <cellStyle name="Normal 13 2 2 2" xfId="27454" xr:uid="{0ECDDCD3-2C26-43D1-B28A-9066ED64A0C3}"/>
    <cellStyle name="Normal 13 2 2 3" xfId="15527" xr:uid="{5315A895-933C-4175-B1C5-5A178C13C8AC}"/>
    <cellStyle name="Normal 13 2 3" xfId="7980" xr:uid="{D6ED7299-EB16-4696-9CA3-92A77439F31C}"/>
    <cellStyle name="Normal 13 2 3 2" xfId="18360" xr:uid="{D5E1AFA7-D19D-42A0-9BA6-AB9511E67ADC}"/>
    <cellStyle name="Normal 13 2 4" xfId="10813" xr:uid="{A6E33D61-2B9E-43E3-8C2E-E87F8B37CAB6}"/>
    <cellStyle name="Normal 13 2 4 2" xfId="21193" xr:uid="{0F36D579-9F20-4F18-916E-96830EF010CE}"/>
    <cellStyle name="Normal 13 2 5" xfId="25077" xr:uid="{4FF1AE43-EA66-47B5-B73F-454B5E6A16AC}"/>
    <cellStyle name="Normal 13 2 6" xfId="13347" xr:uid="{D4F3D36C-A7FC-4FDC-AAE9-E1EEBC23B8B9}"/>
    <cellStyle name="Normal 13 3" xfId="5038" xr:uid="{5EF0DBC1-19E6-4D57-AA65-7566483BF4E3}"/>
    <cellStyle name="Normal 13 3 2" xfId="23888" xr:uid="{BAF24BDA-9EA4-4E49-9C2F-0A1B24FBA196}"/>
    <cellStyle name="Normal 13 3 3" xfId="14334" xr:uid="{9DE4D361-8895-4AF1-9B4A-485DAAF66D82}"/>
    <cellStyle name="Normal 13 3 4" xfId="30497" xr:uid="{FEC66DC0-0B17-48D3-BC71-1F8284616A65}"/>
    <cellStyle name="Normal 13 4" xfId="6787" xr:uid="{E5B61214-23AE-4E08-9C32-6624FB8807D7}"/>
    <cellStyle name="Normal 13 4 2" xfId="24751" xr:uid="{30EAA314-B589-4A22-96C7-402013D2E5F1}"/>
    <cellStyle name="Normal 13 4 3" xfId="17167" xr:uid="{CD1AFCFF-8A29-40F4-BCB3-13A9938CCB65}"/>
    <cellStyle name="Normal 13 4 4" xfId="30595" xr:uid="{DF727250-7163-47B1-A5AB-8A5F8CEBBC14}"/>
    <cellStyle name="Normal 13 5" xfId="9620" xr:uid="{A64C81F3-8753-4787-8678-DA3C0B4E0D5D}"/>
    <cellStyle name="Normal 13 5 2" xfId="20000" xr:uid="{6AD10095-07EB-44EC-BF77-DAA26E917E4A}"/>
    <cellStyle name="Normal 13 5 3" xfId="30703" xr:uid="{2557267F-0F24-40E6-8CB3-CA63E85820A8}"/>
    <cellStyle name="Normal 13 6" xfId="24644" xr:uid="{C31D4092-6773-469F-B36E-534BE4E414D1}"/>
    <cellStyle name="Normal 13 7" xfId="12655" xr:uid="{8816A397-40EB-4D81-AB75-F4B738433536}"/>
    <cellStyle name="Normal 13 8" xfId="30335" xr:uid="{D74E8F71-100A-49D4-A245-480EEB7A0244}"/>
    <cellStyle name="Normal 14" xfId="681" xr:uid="{00000000-0005-0000-0000-000055040000}"/>
    <cellStyle name="Normal 14 2" xfId="5039" xr:uid="{0D3D8E5F-1EDF-435C-B1B0-BD478797D276}"/>
    <cellStyle name="Normal 14 2 2" xfId="24479" xr:uid="{C034AB12-76B5-486A-9894-6A048BC7366A}"/>
    <cellStyle name="Normal 14 2 3" xfId="27543" xr:uid="{2A7A1040-187C-4B84-82AB-F3A4C14E60F4}"/>
    <cellStyle name="Normal 14 2 4" xfId="14335" xr:uid="{1F912A46-1F27-4E86-990F-1ED3312AE108}"/>
    <cellStyle name="Normal 14 3" xfId="6788" xr:uid="{F3711F9B-2A3C-4CD8-BBD7-40DE750693A8}"/>
    <cellStyle name="Normal 14 3 2" xfId="26277" xr:uid="{2E219A78-E01D-45C7-835F-4A082BBDE51C}"/>
    <cellStyle name="Normal 14 3 3" xfId="17168" xr:uid="{98E27F91-1457-4546-AA50-24A60B093E5D}"/>
    <cellStyle name="Normal 14 4" xfId="9621" xr:uid="{24ACE589-6F58-480C-A0A9-E0CCB13410CC}"/>
    <cellStyle name="Normal 14 4 2" xfId="20001" xr:uid="{34A16C81-10AF-4836-996D-F492EE7E1506}"/>
    <cellStyle name="Normal 14 5" xfId="24461" xr:uid="{B2C5D97A-D174-4AE7-8B7D-B2C708EFC8E7}"/>
    <cellStyle name="Normal 14 6" xfId="13353" xr:uid="{A6F71BD5-6E29-429D-86A0-A3FE750FA4A2}"/>
    <cellStyle name="Normal 15" xfId="2427" xr:uid="{00000000-0005-0000-0000-000075030000}"/>
    <cellStyle name="Normal 15 2" xfId="23096" xr:uid="{2C9AB8CE-D120-4791-BB69-A1D95A2CF072}"/>
    <cellStyle name="Normal 15 2 2" xfId="29816" xr:uid="{7C54EFF0-50AE-4AB3-9D12-814CF8ABBF21}"/>
    <cellStyle name="Normal 15 3" xfId="25235" xr:uid="{43C97933-000E-4EB9-ADD0-F68EC944A8A0}"/>
    <cellStyle name="Normal 15 4" xfId="30435" xr:uid="{A9F5FB84-94D9-4B39-A7C4-3E63E46F3FE4}"/>
    <cellStyle name="Normal 15 5" xfId="29695" xr:uid="{2F462547-B876-4E31-9CD7-351D4CA0C4C6}"/>
    <cellStyle name="Normal 16" xfId="2426" xr:uid="{00000000-0005-0000-0000-000076030000}"/>
    <cellStyle name="Normal 16 2" xfId="5726" xr:uid="{B477EC25-0A93-45EF-93C3-5F54D32200CD}"/>
    <cellStyle name="Normal 16 2 2" xfId="28320" xr:uid="{D5DCF4FC-BC09-4702-B3D6-AB3F7724FBFD}"/>
    <cellStyle name="Normal 16 2 3" xfId="15100" xr:uid="{29037CB6-2C9A-47AC-9730-FFD64DBF95FD}"/>
    <cellStyle name="Normal 16 3" xfId="7553" xr:uid="{63D701BD-ABDA-4964-8C51-6402DDBE271A}"/>
    <cellStyle name="Normal 16 3 2" xfId="17933" xr:uid="{9D219CFE-1969-42B2-A553-D5847A6DA9DD}"/>
    <cellStyle name="Normal 16 4" xfId="10386" xr:uid="{D2522661-93A0-4956-9697-D1730F5CFA20}"/>
    <cellStyle name="Normal 16 4 2" xfId="20766" xr:uid="{5137FD37-CDFD-4897-8D9B-C3DCFC154183}"/>
    <cellStyle name="Normal 16 5" xfId="25182" xr:uid="{7A977A69-078F-4B3B-A863-D178A5FF7356}"/>
    <cellStyle name="Normal 16 6" xfId="12813" xr:uid="{29E9BBF2-7804-4601-B0CA-D6862E03B065}"/>
    <cellStyle name="Normal 17" xfId="4846" xr:uid="{4EC3EDA1-0B49-4397-ACE6-F65BB86475E3}"/>
    <cellStyle name="Normal 17 2" xfId="26265" xr:uid="{F9058EFE-70AF-4C20-8F8B-416CE835CA40}"/>
    <cellStyle name="Normal 17 3" xfId="14134" xr:uid="{19AEF679-6457-4A98-AD6A-ED8181B653C8}"/>
    <cellStyle name="Normal 17 4" xfId="29614" xr:uid="{1408406F-0F3E-4B32-8FAF-E9953EA12EC1}"/>
    <cellStyle name="Normal 17 5" xfId="29589" xr:uid="{4ED93E39-21EF-4DCF-B005-6E3097EA06BD}"/>
    <cellStyle name="Normal 17 5 2" xfId="29641" xr:uid="{45B16796-CAAF-4DF6-B906-098BDC71E282}"/>
    <cellStyle name="Normal 17 6" xfId="29639" xr:uid="{2615603F-F587-465C-9DB1-DFE5AAD13470}"/>
    <cellStyle name="Normal 18" xfId="6587" xr:uid="{41350291-B8D4-4B0F-BB97-B6A2FEFF55C8}"/>
    <cellStyle name="Normal 18 2" xfId="16967" xr:uid="{A08ADA9E-880A-423A-BC21-A77F0F152E4B}"/>
    <cellStyle name="Normal 19" xfId="9420" xr:uid="{EEFE1ADD-8068-4691-A806-69EFDD9F49C8}"/>
    <cellStyle name="Normal 19 2" xfId="19800" xr:uid="{B56B06F7-E066-401E-BD37-8901D45D37C2}"/>
    <cellStyle name="Normal 2" xfId="682" xr:uid="{00000000-0005-0000-0000-000056040000}"/>
    <cellStyle name="Normal 2 10" xfId="683" xr:uid="{00000000-0005-0000-0000-000057040000}"/>
    <cellStyle name="Normal 2 10 10" xfId="9622" xr:uid="{6A978DBD-1903-4566-A76F-D9BD2824005F}"/>
    <cellStyle name="Normal 2 10 10 2" xfId="20002" xr:uid="{FCAF2797-04A4-45F3-AAB4-4974094B7C05}"/>
    <cellStyle name="Normal 2 10 11" xfId="24310" xr:uid="{7CE40F8D-2C6C-40A0-827F-401595517E6B}"/>
    <cellStyle name="Normal 2 10 12" xfId="12547" xr:uid="{D8F2B4BC-75C0-46DD-AA3E-912AAFB27616}"/>
    <cellStyle name="Normal 2 10 2" xfId="684" xr:uid="{00000000-0005-0000-0000-000058040000}"/>
    <cellStyle name="Normal 2 10 2 10" xfId="12705" xr:uid="{03590174-D100-4823-9470-1F863032040F}"/>
    <cellStyle name="Normal 2 10 2 2" xfId="685" xr:uid="{00000000-0005-0000-0000-000059040000}"/>
    <cellStyle name="Normal 2 10 2 2 2" xfId="5042" xr:uid="{4B1D97E6-96DB-48FB-BE29-9C4A808EEAF1}"/>
    <cellStyle name="Normal 2 10 2 2 2 2" xfId="25028" xr:uid="{85EF3525-AC41-4E56-B053-2013675EAF5F}"/>
    <cellStyle name="Normal 2 10 2 2 2 3" xfId="27771" xr:uid="{E3908DE8-2AA8-4280-BAA0-A0384637A422}"/>
    <cellStyle name="Normal 2 10 2 2 2 4" xfId="14338" xr:uid="{715D0DB7-0BAC-4BB5-8734-41CF55C22CDC}"/>
    <cellStyle name="Normal 2 10 2 2 3" xfId="6791" xr:uid="{0E5A8F5D-0961-4D45-9D50-F9720832934F}"/>
    <cellStyle name="Normal 2 10 2 2 3 2" xfId="27570" xr:uid="{FC2BD4B1-3FF0-4C9B-B62C-30EB7E056146}"/>
    <cellStyle name="Normal 2 10 2 2 3 3" xfId="28315" xr:uid="{2E712B32-BDE8-415B-A965-6709DFF53A01}"/>
    <cellStyle name="Normal 2 10 2 2 3 4" xfId="17171" xr:uid="{7732C903-252A-4177-B4EE-01EA203637C3}"/>
    <cellStyle name="Normal 2 10 2 2 4" xfId="9624" xr:uid="{90E5D0CC-8E0F-4145-AD1C-7A6B585F163D}"/>
    <cellStyle name="Normal 2 10 2 2 4 2" xfId="29379" xr:uid="{48816090-0EC0-4318-9EF0-31208B402F94}"/>
    <cellStyle name="Normal 2 10 2 2 4 3" xfId="20004" xr:uid="{BAC9179B-5B3E-4B5E-946C-494A9C64BE30}"/>
    <cellStyle name="Normal 2 10 2 2 5" xfId="24023" xr:uid="{69D296D9-4E64-4349-A6C1-12380EBC0D27}"/>
    <cellStyle name="Normal 2 10 2 2 6" xfId="13674" xr:uid="{21AB60BC-1520-40B2-80EB-15E14175247D}"/>
    <cellStyle name="Normal 2 10 2 2 7" xfId="30408" xr:uid="{0AA53683-634A-4507-BD2D-B5FCFF4004A5}"/>
    <cellStyle name="Normal 2 10 2 3" xfId="2713" xr:uid="{00000000-0005-0000-0000-00007B030000}"/>
    <cellStyle name="Normal 2 10 2 3 2" xfId="5931" xr:uid="{6F9B445A-F519-4F2B-841F-0828963C8272}"/>
    <cellStyle name="Normal 2 10 2 3 2 2" xfId="27658" xr:uid="{84CDA419-4F55-43FC-ADC1-410564068752}"/>
    <cellStyle name="Normal 2 10 2 3 2 3" xfId="15384" xr:uid="{4BF48A87-A58E-48C5-B237-DBBC0B37BCFF}"/>
    <cellStyle name="Normal 2 10 2 3 3" xfId="7837" xr:uid="{756D2142-0636-4E39-AA65-B82595E47ED9}"/>
    <cellStyle name="Normal 2 10 2 3 3 2" xfId="18217" xr:uid="{8974FC1F-3940-4551-8566-90BF8E1DBE46}"/>
    <cellStyle name="Normal 2 10 2 3 4" xfId="10670" xr:uid="{981C3D8B-0BC7-4C56-8B70-DF9DCC096F32}"/>
    <cellStyle name="Normal 2 10 2 3 4 2" xfId="21050" xr:uid="{04A75ED6-0273-48B9-957F-A9EF01D42227}"/>
    <cellStyle name="Normal 2 10 2 3 5" xfId="23046" xr:uid="{A8EBECA3-327C-48A7-853D-6A48EDFE396E}"/>
    <cellStyle name="Normal 2 10 2 3 6" xfId="13140" xr:uid="{C2DFDE86-C1D5-41D4-BE4E-0A9C42D6D918}"/>
    <cellStyle name="Normal 2 10 2 4" xfId="2421" xr:uid="{00000000-0005-0000-0000-000079030000}"/>
    <cellStyle name="Normal 2 10 2 4 2" xfId="7548" xr:uid="{3B36CAC2-FF81-448A-95FB-1AA5EF72530D}"/>
    <cellStyle name="Normal 2 10 2 4 2 2" xfId="27934" xr:uid="{D2FE575E-6C08-4270-98DA-54828BC91846}"/>
    <cellStyle name="Normal 2 10 2 4 2 3" xfId="17928" xr:uid="{F6D443BF-C32A-492D-865E-6B60716A332A}"/>
    <cellStyle name="Normal 2 10 2 4 3" xfId="10381" xr:uid="{78384D6C-1B9B-4ED5-A6E0-75FBD89CE93B}"/>
    <cellStyle name="Normal 2 10 2 4 3 2" xfId="20761" xr:uid="{B112BDC5-E73D-4943-A297-053DD2012967}"/>
    <cellStyle name="Normal 2 10 2 4 4" xfId="24925" xr:uid="{54163CFA-A981-416D-A52A-8376976FC0C9}"/>
    <cellStyle name="Normal 2 10 2 4 5" xfId="15095" xr:uid="{5725EBF2-79D5-45F0-9961-B3DD42B887C3}"/>
    <cellStyle name="Normal 2 10 2 5" xfId="3917" xr:uid="{BD5E7341-68BF-4756-8305-A435157C6732}"/>
    <cellStyle name="Normal 2 10 2 5 2" xfId="8749" xr:uid="{7215D1F5-0354-459D-8EC2-14DB0923EF4F}"/>
    <cellStyle name="Normal 2 10 2 5 2 2" xfId="19129" xr:uid="{1B946FF3-D8FF-49C9-8E18-EDA76F7B3291}"/>
    <cellStyle name="Normal 2 10 2 5 3" xfId="11582" xr:uid="{A2149190-495C-499F-817F-63A921074BCE}"/>
    <cellStyle name="Normal 2 10 2 5 3 2" xfId="21962" xr:uid="{CCB3DD2F-6369-4CCF-A0BB-9B6FD6A06564}"/>
    <cellStyle name="Normal 2 10 2 5 4" xfId="26100" xr:uid="{12B3E98C-809D-4A86-BBB9-BCD3ED4B0349}"/>
    <cellStyle name="Normal 2 10 2 5 5" xfId="16296" xr:uid="{12D5A544-ABFE-4F3E-BCE3-3E0259E3DDDD}"/>
    <cellStyle name="Normal 2 10 2 6" xfId="5041" xr:uid="{D5B2E7E1-955B-4DE0-AE72-078AEA147FA3}"/>
    <cellStyle name="Normal 2 10 2 6 2" xfId="14337" xr:uid="{B1481CA9-47DB-478D-B9E6-EDCB74F5F9FE}"/>
    <cellStyle name="Normal 2 10 2 6 3" xfId="30267" xr:uid="{A2E0FC31-06EC-445C-B375-BD77499B58A9}"/>
    <cellStyle name="Normal 2 10 2 6 4" xfId="30677" xr:uid="{C9D70F90-E708-431C-B74A-EF9BC5F25EB1}"/>
    <cellStyle name="Normal 2 10 2 7" xfId="6790" xr:uid="{836EDE06-7085-4C14-AD6D-C9F5F92FC2A3}"/>
    <cellStyle name="Normal 2 10 2 7 2" xfId="17170" xr:uid="{38C9EFBA-9DB9-48BD-96E0-0CB7D0C9787F}"/>
    <cellStyle name="Normal 2 10 2 8" xfId="9623" xr:uid="{B9D44309-A423-4CC3-8623-A597779FE67A}"/>
    <cellStyle name="Normal 2 10 2 8 2" xfId="20003" xr:uid="{D7D18A0B-24F2-45BA-8A57-C998D2A2B2F1}"/>
    <cellStyle name="Normal 2 10 2 9" xfId="23587" xr:uid="{8CE583E1-4E59-4591-9A6A-677E69EF0669}"/>
    <cellStyle name="Normal 2 10 3" xfId="686" xr:uid="{00000000-0005-0000-0000-00005A040000}"/>
    <cellStyle name="Normal 2 10 3 2" xfId="4450" xr:uid="{056BFCF5-1274-4918-A4DB-F87B2191CBDF}"/>
    <cellStyle name="Normal 2 10 3 2 2" xfId="9222" xr:uid="{050CFBA6-16B7-4853-A509-E414C781678D}"/>
    <cellStyle name="Normal 2 10 3 2 2 2" xfId="29215" xr:uid="{2BA3FFC7-FF5D-4274-8170-8C001DC032FF}"/>
    <cellStyle name="Normal 2 10 3 2 2 3" xfId="19602" xr:uid="{3F2C4159-088E-40FF-8CC1-40E4F01F2175}"/>
    <cellStyle name="Normal 2 10 3 2 3" xfId="12055" xr:uid="{1737CD57-5D2B-42D0-AF93-FA54A6266609}"/>
    <cellStyle name="Normal 2 10 3 2 3 2" xfId="22435" xr:uid="{92A273E8-584A-4750-B49B-6A439EE7CDCF}"/>
    <cellStyle name="Normal 2 10 3 2 4" xfId="25659" xr:uid="{939EA17D-5404-42BF-9BCE-F96FB7F08C8C}"/>
    <cellStyle name="Normal 2 10 3 2 5" xfId="16769" xr:uid="{5BD07587-E792-4E60-81B5-E88AF2F62CBA}"/>
    <cellStyle name="Normal 2 10 3 3" xfId="5043" xr:uid="{A07D5222-E95C-4645-B95C-D413E152A2E0}"/>
    <cellStyle name="Normal 2 10 3 3 2" xfId="24508" xr:uid="{E4FB581A-5B57-460F-9BFE-9BBB58D36D54}"/>
    <cellStyle name="Normal 2 10 3 3 3" xfId="26534" xr:uid="{EB907162-DEC4-4F5E-9493-D102550CE772}"/>
    <cellStyle name="Normal 2 10 3 3 4" xfId="14339" xr:uid="{42913208-0214-447A-AAC1-150923146ADA}"/>
    <cellStyle name="Normal 2 10 3 4" xfId="6792" xr:uid="{C7792434-52BD-4AF3-90AC-0E6F0DB2DE3B}"/>
    <cellStyle name="Normal 2 10 3 4 2" xfId="24388" xr:uid="{ACBB8426-ADCF-4399-A188-1C03473A4B6F}"/>
    <cellStyle name="Normal 2 10 3 4 3" xfId="25866" xr:uid="{C99A89DD-C295-4A1A-AEFA-162926ACA3B9}"/>
    <cellStyle name="Normal 2 10 3 4 4" xfId="17172" xr:uid="{0F2D2FA9-4751-42CD-9D77-7FED9BC3B7DD}"/>
    <cellStyle name="Normal 2 10 3 5" xfId="9625" xr:uid="{D3E6235E-5788-4E8F-827B-7F0456FA5E08}"/>
    <cellStyle name="Normal 2 10 3 5 2" xfId="29380" xr:uid="{23296332-AF0F-4B31-8C10-BDC4A4C91A07}"/>
    <cellStyle name="Normal 2 10 3 5 3" xfId="20005" xr:uid="{0A543DC3-5871-41AF-A95F-CCCD8399027A}"/>
    <cellStyle name="Normal 2 10 3 6" xfId="23882" xr:uid="{88A6EF82-244A-4931-A304-409A70362C02}"/>
    <cellStyle name="Normal 2 10 3 7" xfId="13675" xr:uid="{35D9751C-52C4-44B3-AE92-A0BE2C32FF41}"/>
    <cellStyle name="Normal 2 10 4" xfId="687" xr:uid="{00000000-0005-0000-0000-00005B040000}"/>
    <cellStyle name="Normal 2 10 4 2" xfId="5044" xr:uid="{F0F1627E-1D02-477B-9062-80DFA671F4A1}"/>
    <cellStyle name="Normal 2 10 4 2 2" xfId="25679" xr:uid="{EFD2D526-1985-4BBF-B4E7-627FD67D47DC}"/>
    <cellStyle name="Normal 2 10 4 2 3" xfId="27924" xr:uid="{C17E5783-7881-49DD-859E-5D6DC5FCDACD}"/>
    <cellStyle name="Normal 2 10 4 2 4" xfId="14340" xr:uid="{0D9E0302-872C-41EE-AAD3-1D698F8F637D}"/>
    <cellStyle name="Normal 2 10 4 3" xfId="6793" xr:uid="{2E122C95-0419-48D1-B781-FE19679BDA09}"/>
    <cellStyle name="Normal 2 10 4 3 2" xfId="26673" xr:uid="{756C9BF8-7F4E-4D5D-BFEA-0DC97959D1C8}"/>
    <cellStyle name="Normal 2 10 4 3 3" xfId="17173" xr:uid="{6C9C85BD-F9DC-424A-8FA1-5460624278FD}"/>
    <cellStyle name="Normal 2 10 4 4" xfId="9626" xr:uid="{326FC538-9A19-44D5-B746-510789696F5A}"/>
    <cellStyle name="Normal 2 10 4 4 2" xfId="20006" xr:uid="{C629BCCB-DEA1-46F1-8FCC-A0F4FCAC0B9B}"/>
    <cellStyle name="Normal 2 10 4 5" xfId="24326" xr:uid="{D3B42B4B-9B2D-4347-967B-69A50EED4634}"/>
    <cellStyle name="Normal 2 10 4 6" xfId="13403" xr:uid="{0F9FA0E0-BEE7-41CF-AF3D-4AB2C0132119}"/>
    <cellStyle name="Normal 2 10 5" xfId="2504" xr:uid="{00000000-0005-0000-0000-00007E030000}"/>
    <cellStyle name="Normal 2 10 5 2" xfId="5784" xr:uid="{35CEC759-4A6C-40CC-BF8A-236861E32D53}"/>
    <cellStyle name="Normal 2 10 5 2 2" xfId="28492" xr:uid="{45F6E169-BB30-4E7B-9E02-EE4370FD78A0}"/>
    <cellStyle name="Normal 2 10 5 2 3" xfId="15176" xr:uid="{1C2128C8-39D5-467D-B67D-C52C1ACE183E}"/>
    <cellStyle name="Normal 2 10 5 3" xfId="7629" xr:uid="{58E3CCDA-41AC-456B-8B87-365313B280B1}"/>
    <cellStyle name="Normal 2 10 5 3 2" xfId="18009" xr:uid="{3B8B6460-2202-4356-BD8D-D6C673D66CAF}"/>
    <cellStyle name="Normal 2 10 5 4" xfId="10462" xr:uid="{7BD48EB6-81F0-4168-9D24-324DCFC2998C}"/>
    <cellStyle name="Normal 2 10 5 4 2" xfId="20842" xr:uid="{E05399EA-7298-4A1B-8A5D-E719A730BCFD}"/>
    <cellStyle name="Normal 2 10 5 5" xfId="23022" xr:uid="{A4F06588-7611-44B0-941D-2B3DAE839F8A}"/>
    <cellStyle name="Normal 2 10 5 6" xfId="12892" xr:uid="{77731914-FBAD-4C62-8728-7EB91800362C}"/>
    <cellStyle name="Normal 2 10 6" xfId="2313" xr:uid="{00000000-0005-0000-0000-000078030000}"/>
    <cellStyle name="Normal 2 10 6 2" xfId="7440" xr:uid="{823EDB6F-E493-41CE-A857-F74FF97C3104}"/>
    <cellStyle name="Normal 2 10 6 2 2" xfId="28349" xr:uid="{F9D97EDC-77FD-4C92-8C2F-CB40999DFDDD}"/>
    <cellStyle name="Normal 2 10 6 2 3" xfId="17820" xr:uid="{F5C772A3-31A2-4AF6-92E9-FDFC9BB82E61}"/>
    <cellStyle name="Normal 2 10 6 3" xfId="10273" xr:uid="{97712D6C-5236-40BF-BEE6-725451375070}"/>
    <cellStyle name="Normal 2 10 6 3 2" xfId="20653" xr:uid="{68EC7E14-846C-47E4-A899-7D9526CC3A2A}"/>
    <cellStyle name="Normal 2 10 6 4" xfId="24083" xr:uid="{4D8E30FC-2E63-43FE-A0C3-711DD8F4D046}"/>
    <cellStyle name="Normal 2 10 6 5" xfId="14987" xr:uid="{1181DD5C-0855-4543-8E8D-3FA0D1405AC4}"/>
    <cellStyle name="Normal 2 10 7" xfId="3787" xr:uid="{518FA295-D8E6-4FED-B958-7995796B86E0}"/>
    <cellStyle name="Normal 2 10 7 2" xfId="8626" xr:uid="{DF8E0C14-C08B-4D4E-8B85-5D64FADE70B5}"/>
    <cellStyle name="Normal 2 10 7 2 2" xfId="19006" xr:uid="{ACBA6765-E82B-40E4-8880-08D673526B82}"/>
    <cellStyle name="Normal 2 10 7 3" xfId="11459" xr:uid="{B3B5DF78-D8AF-4EDA-998E-39990D31FCD8}"/>
    <cellStyle name="Normal 2 10 7 3 2" xfId="21839" xr:uid="{92F6B062-43CF-4C49-BC32-F58100DAAC0E}"/>
    <cellStyle name="Normal 2 10 7 4" xfId="26544" xr:uid="{740D2E73-59CD-42D3-B046-5A1CFF56CCE5}"/>
    <cellStyle name="Normal 2 10 7 5" xfId="16173" xr:uid="{E850A9D8-B814-422E-8901-B9B7BCB32F8B}"/>
    <cellStyle name="Normal 2 10 8" xfId="5040" xr:uid="{8B8E9146-C08B-4340-A020-2D969D66A976}"/>
    <cellStyle name="Normal 2 10 8 2" xfId="14336" xr:uid="{E740B02E-4A03-4B04-9557-5007D61D822E}"/>
    <cellStyle name="Normal 2 10 9" xfId="6789" xr:uid="{93F39D5F-0B91-48F9-A606-E5256C9A4BF8}"/>
    <cellStyle name="Normal 2 10 9 2" xfId="17169" xr:uid="{02CFE5B8-BBCE-4940-BE7B-08B07D6A68F7}"/>
    <cellStyle name="Normal 2 11" xfId="688" xr:uid="{00000000-0005-0000-0000-00005C040000}"/>
    <cellStyle name="Normal 2 11 10" xfId="9627" xr:uid="{7548FCAA-9289-4A47-BA79-68BAFF6D3460}"/>
    <cellStyle name="Normal 2 11 10 2" xfId="20007" xr:uid="{A173D02A-D76A-45AF-9D7E-CF93B835499F}"/>
    <cellStyle name="Normal 2 11 11" xfId="23297" xr:uid="{17368848-A1E5-4BD5-A1FE-E3698DB59D92}"/>
    <cellStyle name="Normal 2 11 12" xfId="12548" xr:uid="{CDFC12FC-8415-4608-AA79-491AC8CBA97C}"/>
    <cellStyle name="Normal 2 11 2" xfId="689" xr:uid="{00000000-0005-0000-0000-00005D040000}"/>
    <cellStyle name="Normal 2 11 2 2" xfId="690" xr:uid="{00000000-0005-0000-0000-00005E040000}"/>
    <cellStyle name="Normal 2 11 2 2 2" xfId="5047" xr:uid="{A121F22B-E9DC-42F4-B6C5-AB0316A4170F}"/>
    <cellStyle name="Normal 2 11 2 2 2 2" xfId="24721" xr:uid="{FB5F1BBE-6AB3-41AF-8185-463AD36EB213}"/>
    <cellStyle name="Normal 2 11 2 2 2 3" xfId="26690" xr:uid="{FF9964BB-61F7-4489-80BE-4BF8BFA0CAFD}"/>
    <cellStyle name="Normal 2 11 2 2 2 4" xfId="14343" xr:uid="{85C26CF3-9A61-41B4-9EFA-809A6A39FA16}"/>
    <cellStyle name="Normal 2 11 2 2 3" xfId="6796" xr:uid="{463C792A-969D-45EA-890B-D4320993EA6A}"/>
    <cellStyle name="Normal 2 11 2 2 3 2" xfId="27573" xr:uid="{2450452C-7EDC-4CDD-8592-E8D48DD6E376}"/>
    <cellStyle name="Normal 2 11 2 2 3 3" xfId="26775" xr:uid="{441DF291-444B-43E1-A2AC-6EDBE1179BC5}"/>
    <cellStyle name="Normal 2 11 2 2 3 4" xfId="17176" xr:uid="{E6E690B2-CFF4-4E20-8FE2-C1CE4943C2CE}"/>
    <cellStyle name="Normal 2 11 2 2 4" xfId="9629" xr:uid="{DB6D3923-1ED3-4A63-89AA-B99AC5FED05C}"/>
    <cellStyle name="Normal 2 11 2 2 4 2" xfId="29381" xr:uid="{70BD47A4-93BD-4240-828D-C84766DEECF7}"/>
    <cellStyle name="Normal 2 11 2 2 4 3" xfId="20009" xr:uid="{0E3F1D15-7B3C-4D4B-8FE1-584FDBF7F8E3}"/>
    <cellStyle name="Normal 2 11 2 2 5" xfId="24825" xr:uid="{EBA2E477-AD16-452A-88E4-24DD740FE92F}"/>
    <cellStyle name="Normal 2 11 2 2 6" xfId="13676" xr:uid="{0C357037-5A12-4E9F-A359-B6EE41BB8FAC}"/>
    <cellStyle name="Normal 2 11 2 2 7" xfId="30409" xr:uid="{84E657BD-6ECE-4C98-B515-A3D3273736DE}"/>
    <cellStyle name="Normal 2 11 2 3" xfId="2714" xr:uid="{00000000-0005-0000-0000-000082030000}"/>
    <cellStyle name="Normal 2 11 2 3 2" xfId="5932" xr:uid="{9A09F166-FA77-4869-954E-ADAB91502713}"/>
    <cellStyle name="Normal 2 11 2 3 2 2" xfId="27084" xr:uid="{D2CD80BB-9D3A-4852-8F45-D9B4481616CB}"/>
    <cellStyle name="Normal 2 11 2 3 2 3" xfId="15385" xr:uid="{F33F2DAC-F98D-48AB-8924-842E8DBA5A51}"/>
    <cellStyle name="Normal 2 11 2 3 3" xfId="7838" xr:uid="{B4A9C05E-4CE1-4774-BB3D-6872279E97A9}"/>
    <cellStyle name="Normal 2 11 2 3 3 2" xfId="18218" xr:uid="{B64314EC-7446-45FD-9DDF-84AD8E4E2989}"/>
    <cellStyle name="Normal 2 11 2 3 4" xfId="10671" xr:uid="{57A0FED7-EE91-4F36-B209-B14BD447FFDB}"/>
    <cellStyle name="Normal 2 11 2 3 4 2" xfId="21051" xr:uid="{4C7B949E-1FB9-4AAC-8BF3-235375D74781}"/>
    <cellStyle name="Normal 2 11 2 3 5" xfId="25372" xr:uid="{0DCA70EE-9F8E-474B-9424-83BEB2617289}"/>
    <cellStyle name="Normal 2 11 2 3 6" xfId="13141" xr:uid="{31C34A61-71BC-4FA9-A305-6233FF33ADB2}"/>
    <cellStyle name="Normal 2 11 2 4" xfId="4152" xr:uid="{6318FECA-3F45-4155-812A-21138AD32A2F}"/>
    <cellStyle name="Normal 2 11 2 4 2" xfId="8924" xr:uid="{B9EC27BE-90BB-40FA-83FF-1CD425CCCAAF}"/>
    <cellStyle name="Normal 2 11 2 4 2 2" xfId="29023" xr:uid="{3A3C317C-E6AC-433D-BEFA-7B1878C467AC}"/>
    <cellStyle name="Normal 2 11 2 4 2 3" xfId="19304" xr:uid="{0A00667E-00DE-44A3-AE8F-86910B1AEDDC}"/>
    <cellStyle name="Normal 2 11 2 4 3" xfId="11757" xr:uid="{D08207BA-352E-413A-819E-FA704D7726FA}"/>
    <cellStyle name="Normal 2 11 2 4 3 2" xfId="22137" xr:uid="{F91428F8-9EF9-4878-98DE-CE6DE92C1F16}"/>
    <cellStyle name="Normal 2 11 2 4 4" xfId="24822" xr:uid="{B6F9C03E-37D1-4BF4-A756-E837032DF0A1}"/>
    <cellStyle name="Normal 2 11 2 4 5" xfId="16471" xr:uid="{BEF11B16-C78A-4FD0-AFBE-C19E85D82267}"/>
    <cellStyle name="Normal 2 11 2 5" xfId="5046" xr:uid="{2109241C-B5BC-4E24-B38E-4BB82FE72988}"/>
    <cellStyle name="Normal 2 11 2 5 2" xfId="27694" xr:uid="{5798BFE2-BADB-43AD-945A-44D3BCAF67DE}"/>
    <cellStyle name="Normal 2 11 2 5 3" xfId="14342" xr:uid="{B3AFDC84-0E9C-4CF5-A8AB-E3F38705A0A1}"/>
    <cellStyle name="Normal 2 11 2 5 4" xfId="30536" xr:uid="{DF08B93E-4B64-44C4-9854-7B78844E7F3C}"/>
    <cellStyle name="Normal 2 11 2 6" xfId="6795" xr:uid="{40B32340-8D5B-460B-8831-8EF4ACC8C41B}"/>
    <cellStyle name="Normal 2 11 2 6 2" xfId="17175" xr:uid="{996A3F2C-39EB-4707-A2F2-F78D870EB6E8}"/>
    <cellStyle name="Normal 2 11 2 6 3" xfId="30268" xr:uid="{92770906-8FD0-419F-B3DE-90443267C5E6}"/>
    <cellStyle name="Normal 2 11 2 6 4" xfId="30678" xr:uid="{8D6B2C66-8EFE-4662-A87B-D19CD2E0A42E}"/>
    <cellStyle name="Normal 2 11 2 7" xfId="9628" xr:uid="{52B71E2C-50C5-44A7-90E1-88009A44BF23}"/>
    <cellStyle name="Normal 2 11 2 7 2" xfId="20008" xr:uid="{A438D991-6F78-4109-A30C-894D3D31F343}"/>
    <cellStyle name="Normal 2 11 2 8" xfId="24105" xr:uid="{AF03A40D-7B56-4DA0-ADCC-41B065F1C27F}"/>
    <cellStyle name="Normal 2 11 2 9" xfId="12706" xr:uid="{5B829EA5-7AAB-4415-9D70-13C1EC52E975}"/>
    <cellStyle name="Normal 2 11 3" xfId="691" xr:uid="{00000000-0005-0000-0000-00005F040000}"/>
    <cellStyle name="Normal 2 11 3 2" xfId="4451" xr:uid="{E4AA06BD-7FE9-48CD-90B1-A362FCBD00C8}"/>
    <cellStyle name="Normal 2 11 3 2 2" xfId="9223" xr:uid="{F0550F66-C55F-492A-A3AD-90BFD7C6BBDC}"/>
    <cellStyle name="Normal 2 11 3 2 2 2" xfId="29216" xr:uid="{37E09FE3-3014-4F20-BFD7-8E250D838089}"/>
    <cellStyle name="Normal 2 11 3 2 2 3" xfId="19603" xr:uid="{3C72F442-633A-4228-8991-E78B9EB79B03}"/>
    <cellStyle name="Normal 2 11 3 2 3" xfId="12056" xr:uid="{B946B2CC-E385-4F3B-AAC6-D354A5957472}"/>
    <cellStyle name="Normal 2 11 3 2 3 2" xfId="22436" xr:uid="{E93E7978-5662-40B0-81D3-620034DA0316}"/>
    <cellStyle name="Normal 2 11 3 2 4" xfId="25493" xr:uid="{D84B4758-CB8C-4D79-8E7D-7EE6146C1370}"/>
    <cellStyle name="Normal 2 11 3 2 5" xfId="16770" xr:uid="{095285EF-4D64-4392-9B31-8190D4A20ED2}"/>
    <cellStyle name="Normal 2 11 3 3" xfId="5048" xr:uid="{E89A2EE6-1ED1-47F2-B0C8-EA5ED086468D}"/>
    <cellStyle name="Normal 2 11 3 3 2" xfId="26776" xr:uid="{8827C68F-BD88-4085-8760-A7E1A3FA6C26}"/>
    <cellStyle name="Normal 2 11 3 3 3" xfId="28721" xr:uid="{662A2953-B65F-4D77-BC6A-49B049514D0B}"/>
    <cellStyle name="Normal 2 11 3 3 4" xfId="14344" xr:uid="{FCA7E365-B79A-448B-BA9F-C1559274F769}"/>
    <cellStyle name="Normal 2 11 3 4" xfId="6797" xr:uid="{C614A644-0336-47E7-A754-B93549ACD5B1}"/>
    <cellStyle name="Normal 2 11 3 4 2" xfId="26105" xr:uid="{BD6077F8-424E-45BA-890F-381664F411F8}"/>
    <cellStyle name="Normal 2 11 3 4 3" xfId="27928" xr:uid="{91779748-978F-4488-92EC-023F7053C0F9}"/>
    <cellStyle name="Normal 2 11 3 4 4" xfId="17177" xr:uid="{E121E7C8-2AD4-413C-B568-6D6773F8980D}"/>
    <cellStyle name="Normal 2 11 3 5" xfId="9630" xr:uid="{A96993EA-D2CD-46B2-AA33-7CA4B13204C7}"/>
    <cellStyle name="Normal 2 11 3 5 2" xfId="29382" xr:uid="{F415137C-BA0B-471C-A285-A0165AA071B4}"/>
    <cellStyle name="Normal 2 11 3 5 3" xfId="20010" xr:uid="{69F6D4C8-E326-4E7C-A2F4-77FAD8FE2A55}"/>
    <cellStyle name="Normal 2 11 3 6" xfId="25040" xr:uid="{24C1CE92-4BC4-4CB8-9D5C-F637E06C03CE}"/>
    <cellStyle name="Normal 2 11 3 7" xfId="13677" xr:uid="{C070D5ED-9226-4525-8A50-EBFAA8BEBDF9}"/>
    <cellStyle name="Normal 2 11 4" xfId="692" xr:uid="{00000000-0005-0000-0000-000060040000}"/>
    <cellStyle name="Normal 2 11 4 2" xfId="5049" xr:uid="{B459AB12-4828-4AA2-8E40-F8B486715A2D}"/>
    <cellStyle name="Normal 2 11 4 2 2" xfId="25262" xr:uid="{5E960269-814D-4456-95E2-655708844D34}"/>
    <cellStyle name="Normal 2 11 4 2 3" xfId="26090" xr:uid="{2C256AD7-078B-4201-9285-BA4F52ED228D}"/>
    <cellStyle name="Normal 2 11 4 2 4" xfId="14345" xr:uid="{6A39B338-3722-45EB-8A96-EA61AD7CBAA7}"/>
    <cellStyle name="Normal 2 11 4 3" xfId="6798" xr:uid="{3CF92346-50DA-4EB4-9C5C-3CCF6DDBC05C}"/>
    <cellStyle name="Normal 2 11 4 3 2" xfId="28543" xr:uid="{B32E054C-5B25-4561-AF31-1988B222402D}"/>
    <cellStyle name="Normal 2 11 4 3 3" xfId="17178" xr:uid="{5B29483F-8037-4C59-95DF-1295B2B45F5D}"/>
    <cellStyle name="Normal 2 11 4 4" xfId="9631" xr:uid="{8C4681F5-AAAA-46E5-9AF1-527E58636B02}"/>
    <cellStyle name="Normal 2 11 4 4 2" xfId="20011" xr:uid="{E0A811DB-F42D-4E4B-B5CF-B8996681460E}"/>
    <cellStyle name="Normal 2 11 4 5" xfId="23098" xr:uid="{C8991AE7-7C46-4C24-A122-733EF8D1EDE0}"/>
    <cellStyle name="Normal 2 11 4 6" xfId="13404" xr:uid="{62845E8B-48F5-4245-B069-A95A01B8AF7B}"/>
    <cellStyle name="Normal 2 11 5" xfId="2564" xr:uid="{00000000-0005-0000-0000-000085030000}"/>
    <cellStyle name="Normal 2 11 5 2" xfId="5833" xr:uid="{3843DFB2-AF84-43EE-B4D8-AE7AFCBBA700}"/>
    <cellStyle name="Normal 2 11 5 2 2" xfId="27269" xr:uid="{8D4F960F-5476-4E3F-B11B-250FAC601B6D}"/>
    <cellStyle name="Normal 2 11 5 2 3" xfId="15236" xr:uid="{D0010BDF-DB6D-45C2-9BF5-B06545F845E0}"/>
    <cellStyle name="Normal 2 11 5 3" xfId="7689" xr:uid="{44B9F64B-A6E0-4186-B934-BA18663C252F}"/>
    <cellStyle name="Normal 2 11 5 3 2" xfId="18069" xr:uid="{97428237-8D3A-49DB-965A-577A4C3636D2}"/>
    <cellStyle name="Normal 2 11 5 4" xfId="10522" xr:uid="{671E1D28-6DC0-42BC-B9C0-60C548BCDE3F}"/>
    <cellStyle name="Normal 2 11 5 4 2" xfId="20902" xr:uid="{A880F3B5-688A-4283-B8C5-7C7FE41008B3}"/>
    <cellStyle name="Normal 2 11 5 5" xfId="23035" xr:uid="{3E971D98-ED51-449C-8034-B00CD32D0621}"/>
    <cellStyle name="Normal 2 11 5 6" xfId="12952" xr:uid="{E1E1477C-2118-45A7-9CD4-049AB2E9D66F}"/>
    <cellStyle name="Normal 2 11 6" xfId="2314" xr:uid="{00000000-0005-0000-0000-00007F030000}"/>
    <cellStyle name="Normal 2 11 6 2" xfId="7441" xr:uid="{69E11F5C-F7BF-4C8E-AD28-0E8B14D6579A}"/>
    <cellStyle name="Normal 2 11 6 2 2" xfId="26938" xr:uid="{9E12E909-DDE7-4313-AB68-987C5001D703}"/>
    <cellStyle name="Normal 2 11 6 2 3" xfId="17821" xr:uid="{373AEC07-D39E-4183-8813-DBA35C3F2492}"/>
    <cellStyle name="Normal 2 11 6 3" xfId="10274" xr:uid="{539AB551-65C7-4741-B5A2-D5FCDB5026CD}"/>
    <cellStyle name="Normal 2 11 6 3 2" xfId="20654" xr:uid="{A8188C4A-C06A-45AD-B4D1-6BC021A6D367}"/>
    <cellStyle name="Normal 2 11 6 4" xfId="22766" xr:uid="{116E2B37-4337-40A3-B329-BE5487142260}"/>
    <cellStyle name="Normal 2 11 6 5" xfId="14988" xr:uid="{67241E7E-C338-4013-BCAF-399ABDFB593E}"/>
    <cellStyle name="Normal 2 11 7" xfId="3918" xr:uid="{06BB3BE3-9D12-4985-BD31-756EEB205484}"/>
    <cellStyle name="Normal 2 11 7 2" xfId="8750" xr:uid="{F57683C8-A1C4-4944-8FD6-7F4EE5939C8F}"/>
    <cellStyle name="Normal 2 11 7 2 2" xfId="19130" xr:uid="{CE16FD75-23A0-4DCC-BFCD-A73B6318A001}"/>
    <cellStyle name="Normal 2 11 7 3" xfId="11583" xr:uid="{82F203D4-7521-454E-A00F-E5AD75C1763C}"/>
    <cellStyle name="Normal 2 11 7 3 2" xfId="21963" xr:uid="{FB0B6F23-F158-4F56-B6D4-B7BC8BEDF650}"/>
    <cellStyle name="Normal 2 11 7 4" xfId="26486" xr:uid="{DBD1EC51-B97B-4FB0-A2A1-503AD5AA6633}"/>
    <cellStyle name="Normal 2 11 7 5" xfId="16297" xr:uid="{C552E4D6-655E-41D0-87B8-4B144DD82BBF}"/>
    <cellStyle name="Normal 2 11 8" xfId="5045" xr:uid="{1F883003-EC5B-4260-8FC9-7C6DB9ABE434}"/>
    <cellStyle name="Normal 2 11 8 2" xfId="14341" xr:uid="{C0136DF8-21E1-4D0E-9F14-3B063A768726}"/>
    <cellStyle name="Normal 2 11 9" xfId="6794" xr:uid="{44DE699F-26F4-406B-AC29-3FB1BDB84D9D}"/>
    <cellStyle name="Normal 2 11 9 2" xfId="17174" xr:uid="{17C94238-CFBE-4971-BCCC-B358BCF6191F}"/>
    <cellStyle name="Normal 2 12" xfId="693" xr:uid="{00000000-0005-0000-0000-000061040000}"/>
    <cellStyle name="Normal 2 12 10" xfId="24315" xr:uid="{C4B1694A-5BCF-45DE-9B73-CFCDB20B6893}"/>
    <cellStyle name="Normal 2 12 11" xfId="12549" xr:uid="{BFFFDA71-7163-41DB-9A19-3654BD8B95EB}"/>
    <cellStyle name="Normal 2 12 2" xfId="694" xr:uid="{00000000-0005-0000-0000-000062040000}"/>
    <cellStyle name="Normal 2 12 2 2" xfId="3146" xr:uid="{00000000-0005-0000-0000-000088030000}"/>
    <cellStyle name="Normal 2 12 2 2 2" xfId="6204" xr:uid="{6C071AA9-8052-4A19-BBC4-C8E53F832150}"/>
    <cellStyle name="Normal 2 12 2 2 2 2" xfId="25990" xr:uid="{F695E4B9-4BC3-47BC-9CA0-3B7921F5510E}"/>
    <cellStyle name="Normal 2 12 2 2 2 3" xfId="27230" xr:uid="{38AFDA61-A737-403B-A881-135D42BED6E6}"/>
    <cellStyle name="Normal 2 12 2 2 2 4" xfId="15773" xr:uid="{FD12E452-2EC6-4BC0-9A90-3CB71518575D}"/>
    <cellStyle name="Normal 2 12 2 2 3" xfId="8226" xr:uid="{EC34CF9E-73C1-4F11-877E-764BEF518540}"/>
    <cellStyle name="Normal 2 12 2 2 3 2" xfId="28871" xr:uid="{6779F0AC-58B0-4A9E-9D88-CC257E668B5C}"/>
    <cellStyle name="Normal 2 12 2 2 3 3" xfId="18606" xr:uid="{A4154F23-51F5-449E-8A05-FDD905E69D20}"/>
    <cellStyle name="Normal 2 12 2 2 4" xfId="11059" xr:uid="{D0A10C70-916A-4888-9EEA-ED28F8E4FF6D}"/>
    <cellStyle name="Normal 2 12 2 2 4 2" xfId="21439" xr:uid="{CF5B5B14-00CE-4717-B460-9F1F01FE11E2}"/>
    <cellStyle name="Normal 2 12 2 2 5" xfId="23632" xr:uid="{26CF3B86-1C4D-4D2A-A134-D8A6565FFB65}"/>
    <cellStyle name="Normal 2 12 2 2 6" xfId="13678" xr:uid="{873C0DE1-ED71-4AE4-AD00-59466186DF89}"/>
    <cellStyle name="Normal 2 12 2 3" xfId="4153" xr:uid="{D6D889A8-360D-4F80-BE4E-266A6A20A4BF}"/>
    <cellStyle name="Normal 2 12 2 3 2" xfId="8925" xr:uid="{A16E22F0-1D4D-45A4-AA47-286B6C3ADAA3}"/>
    <cellStyle name="Normal 2 12 2 3 2 2" xfId="29024" xr:uid="{83CBF888-FA03-447F-8596-28C7633A1CC7}"/>
    <cellStyle name="Normal 2 12 2 3 2 3" xfId="19305" xr:uid="{538EA8EF-BD3F-48CE-8778-1FD143DD9B26}"/>
    <cellStyle name="Normal 2 12 2 3 3" xfId="11758" xr:uid="{F3A7152B-C212-4717-A9E4-13C63A060CD2}"/>
    <cellStyle name="Normal 2 12 2 3 3 2" xfId="22138" xr:uid="{CD431837-B461-4DAD-AEF5-D8B2EA3EC706}"/>
    <cellStyle name="Normal 2 12 2 3 4" xfId="25526" xr:uid="{7C6351C7-1DF0-49F4-89CA-46204D01BE09}"/>
    <cellStyle name="Normal 2 12 2 3 5" xfId="16472" xr:uid="{B1C6F4CE-8387-4716-88CE-B2A151364380}"/>
    <cellStyle name="Normal 2 12 2 4" xfId="5051" xr:uid="{F62C2ABC-1BB4-4029-953A-D59273C67F6E}"/>
    <cellStyle name="Normal 2 12 2 4 2" xfId="26666" xr:uid="{0B9CEAF7-1404-42E7-A05F-D198DDED00CE}"/>
    <cellStyle name="Normal 2 12 2 4 3" xfId="26013" xr:uid="{9DEAB642-BE4E-4E78-A67E-70699AD08010}"/>
    <cellStyle name="Normal 2 12 2 4 4" xfId="14347" xr:uid="{48070E90-91AC-435A-A5A8-EE27C64ECD30}"/>
    <cellStyle name="Normal 2 12 2 5" xfId="6800" xr:uid="{BDA83EE7-03C3-42D1-A66E-72EC9F67172F}"/>
    <cellStyle name="Normal 2 12 2 5 2" xfId="27693" xr:uid="{687265EA-AABC-48CA-A712-B105A5D5D19F}"/>
    <cellStyle name="Normal 2 12 2 5 3" xfId="17180" xr:uid="{82FC7CC3-B637-4692-A214-3CD7CFD6DF5D}"/>
    <cellStyle name="Normal 2 12 2 5 4" xfId="30761" xr:uid="{BEEDA273-0500-41C5-B676-849DBE0EEEF6}"/>
    <cellStyle name="Normal 2 12 2 6" xfId="9633" xr:uid="{1638419B-06C1-42AB-9F98-77B9A86A3617}"/>
    <cellStyle name="Normal 2 12 2 6 2" xfId="20013" xr:uid="{6079A914-03B8-4C16-8E6F-9BCDF6ACEFB3}"/>
    <cellStyle name="Normal 2 12 2 7" xfId="23841" xr:uid="{7C71DCE9-5F17-4CC9-9737-9F99AF9F3569}"/>
    <cellStyle name="Normal 2 12 2 8" xfId="12707" xr:uid="{8DDC709A-75C5-4897-9B52-E8F6F1A3181B}"/>
    <cellStyle name="Normal 2 12 3" xfId="695" xr:uid="{00000000-0005-0000-0000-000063040000}"/>
    <cellStyle name="Normal 2 12 3 2" xfId="5052" xr:uid="{CCC813CD-B7C3-42C7-A528-E5AC42534405}"/>
    <cellStyle name="Normal 2 12 3 2 2" xfId="25267" xr:uid="{A77A91DB-57CE-4117-B9A7-D2B1DBB076DB}"/>
    <cellStyle name="Normal 2 12 3 2 3" xfId="28129" xr:uid="{F62CBC98-6ADF-4C8A-8ADE-D1476DB1C7F4}"/>
    <cellStyle name="Normal 2 12 3 2 4" xfId="14348" xr:uid="{1A6A9825-4FB8-448D-8E8D-BB1048C7D29A}"/>
    <cellStyle name="Normal 2 12 3 3" xfId="6801" xr:uid="{1CFA7D1D-7493-40E9-BCE4-7710842CBAFE}"/>
    <cellStyle name="Normal 2 12 3 3 2" xfId="28733" xr:uid="{41CD5769-6139-4791-9F18-3E8DFDE530F4}"/>
    <cellStyle name="Normal 2 12 3 3 3" xfId="28263" xr:uid="{C966000D-184A-49D0-A2FF-DE2BB300B107}"/>
    <cellStyle name="Normal 2 12 3 3 4" xfId="17181" xr:uid="{EBA3E272-AFDC-446B-977E-9F575C9FF67C}"/>
    <cellStyle name="Normal 2 12 3 4" xfId="9634" xr:uid="{C2EE0B6B-E4B6-4424-B574-89BE29F83862}"/>
    <cellStyle name="Normal 2 12 3 4 2" xfId="26926" xr:uid="{D86BA0A1-F63D-4904-BE59-A0269A7B455F}"/>
    <cellStyle name="Normal 2 12 3 4 3" xfId="29383" xr:uid="{787C53C1-CC97-472E-BB39-879554D19472}"/>
    <cellStyle name="Normal 2 12 3 4 4" xfId="20014" xr:uid="{CD4337CD-DEB4-435A-8FF3-AA4B0D6DFDB8}"/>
    <cellStyle name="Normal 2 12 3 5" xfId="24528" xr:uid="{A71F60CB-D922-4F5A-9AD6-54A8BDC0EB0C}"/>
    <cellStyle name="Normal 2 12 3 6" xfId="26866" xr:uid="{1D230C7E-42DC-4938-B1D1-54C79D0144FB}"/>
    <cellStyle name="Normal 2 12 3 7" xfId="13405" xr:uid="{87A5CEEB-4A97-4BFC-BAA5-FB0FCC8F2AB3}"/>
    <cellStyle name="Normal 2 12 4" xfId="2715" xr:uid="{00000000-0005-0000-0000-00008A030000}"/>
    <cellStyle name="Normal 2 12 4 2" xfId="5933" xr:uid="{6EDD2CC7-2227-43CD-82A7-24FAE130A86C}"/>
    <cellStyle name="Normal 2 12 4 2 2" xfId="26960" xr:uid="{024009E2-69BC-4D14-85E4-41DAC904AAC2}"/>
    <cellStyle name="Normal 2 12 4 2 3" xfId="15386" xr:uid="{038E392B-4452-45D1-8175-0D0EF474C8A6}"/>
    <cellStyle name="Normal 2 12 4 3" xfId="7839" xr:uid="{E0B3EA40-2C1C-44F2-B694-F9521881BF73}"/>
    <cellStyle name="Normal 2 12 4 3 2" xfId="18219" xr:uid="{B472CFE4-A8DF-4F8A-BE9A-CF47B3E19988}"/>
    <cellStyle name="Normal 2 12 4 4" xfId="10672" xr:uid="{D99342C7-A30D-4D14-8108-8C3DECC0681A}"/>
    <cellStyle name="Normal 2 12 4 4 2" xfId="21052" xr:uid="{C3B3BD40-4897-4BAB-AE6F-B5D7241EEB89}"/>
    <cellStyle name="Normal 2 12 4 5" xfId="23047" xr:uid="{403BE773-368D-4016-90E9-A4AFA6A0328E}"/>
    <cellStyle name="Normal 2 12 4 6" xfId="13142" xr:uid="{35741350-EEE0-4A6C-A2C8-88454173C03D}"/>
    <cellStyle name="Normal 2 12 5" xfId="2315" xr:uid="{00000000-0005-0000-0000-000086030000}"/>
    <cellStyle name="Normal 2 12 5 2" xfId="7442" xr:uid="{DC74244F-CEF2-40BA-8E8B-AA2F626EA3B1}"/>
    <cellStyle name="Normal 2 12 5 2 2" xfId="27191" xr:uid="{12ED516D-C73E-4159-ABAD-D572C6B0472C}"/>
    <cellStyle name="Normal 2 12 5 2 3" xfId="17822" xr:uid="{A3327FF1-3D14-4461-8F48-9B893F7E937A}"/>
    <cellStyle name="Normal 2 12 5 3" xfId="10275" xr:uid="{2F6BF530-90FD-4764-B767-726AEAE083C0}"/>
    <cellStyle name="Normal 2 12 5 3 2" xfId="20655" xr:uid="{086AB441-B602-4A8B-8825-81A7CE08EDE3}"/>
    <cellStyle name="Normal 2 12 5 4" xfId="23383" xr:uid="{1930B0EF-6E92-4AD4-91BE-C5868B2324D3}"/>
    <cellStyle name="Normal 2 12 5 5" xfId="14989" xr:uid="{24197653-0156-4DCD-AAC4-185551D9B75C}"/>
    <cellStyle name="Normal 2 12 6" xfId="3919" xr:uid="{862F9C56-87FC-4028-AEE0-D599749BAE49}"/>
    <cellStyle name="Normal 2 12 6 2" xfId="8751" xr:uid="{4FE3C1CA-2370-4773-903B-43E21AD7A1A4}"/>
    <cellStyle name="Normal 2 12 6 2 2" xfId="28975" xr:uid="{88234ACF-7E58-4A8D-8098-E71BB925D1F5}"/>
    <cellStyle name="Normal 2 12 6 2 3" xfId="19131" xr:uid="{8A0FA511-4F05-41B9-9E2A-8EDE7BD4E1C5}"/>
    <cellStyle name="Normal 2 12 6 3" xfId="11584" xr:uid="{42E6267B-FCAD-4BAE-BAD2-0197454CED5A}"/>
    <cellStyle name="Normal 2 12 6 3 2" xfId="21964" xr:uid="{9BEE1500-3526-4456-B1DE-487CBCA099FF}"/>
    <cellStyle name="Normal 2 12 6 4" xfId="27262" xr:uid="{9509CF65-F4CD-4A01-B23A-D9B9F2577566}"/>
    <cellStyle name="Normal 2 12 6 5" xfId="16298" xr:uid="{32B63F1B-CB00-443A-B658-9EF61CC085BF}"/>
    <cellStyle name="Normal 2 12 7" xfId="5050" xr:uid="{205DCC1C-D8B2-45D1-9E98-A8EC02216FA7}"/>
    <cellStyle name="Normal 2 12 7 2" xfId="27217" xr:uid="{0DCF1CAA-9412-4493-867B-E55880945362}"/>
    <cellStyle name="Normal 2 12 7 3" xfId="14346" xr:uid="{45B08D12-5F3A-46E1-8825-F340495B8EA6}"/>
    <cellStyle name="Normal 2 12 8" xfId="6799" xr:uid="{3E9A390C-A202-4D43-8789-BFABD91A663E}"/>
    <cellStyle name="Normal 2 12 8 2" xfId="17179" xr:uid="{D6CDDCE8-823E-46BE-93B7-C9BAD3FB48F6}"/>
    <cellStyle name="Normal 2 12 9" xfId="9632" xr:uid="{9A2B37B7-75C6-4AB4-A526-78B3BAB40987}"/>
    <cellStyle name="Normal 2 12 9 2" xfId="20012" xr:uid="{FD04D961-0A2A-4BFA-9186-70C7CDAB289E}"/>
    <cellStyle name="Normal 2 13" xfId="696" xr:uid="{00000000-0005-0000-0000-000064040000}"/>
    <cellStyle name="Normal 2 13 10" xfId="12550" xr:uid="{607C6339-EF34-4CA7-B007-093589A9DFF1}"/>
    <cellStyle name="Normal 2 13 2" xfId="697" xr:uid="{00000000-0005-0000-0000-000065040000}"/>
    <cellStyle name="Normal 2 13 2 2" xfId="2896" xr:uid="{00000000-0005-0000-0000-00008D030000}"/>
    <cellStyle name="Normal 2 13 2 2 2" xfId="6082" xr:uid="{E7CD39CE-381A-480F-8304-93B35A1E0682}"/>
    <cellStyle name="Normal 2 13 2 2 2 2" xfId="28010" xr:uid="{9854EA64-D986-4B49-A540-0ECA80FCEA37}"/>
    <cellStyle name="Normal 2 13 2 2 2 3" xfId="26643" xr:uid="{3F1FD5B6-B6CD-4ACB-81A0-D882C93C8B85}"/>
    <cellStyle name="Normal 2 13 2 2 2 4" xfId="15560" xr:uid="{870D363D-9308-4DD1-890B-6775A99DE0C9}"/>
    <cellStyle name="Normal 2 13 2 2 3" xfId="8013" xr:uid="{25095A88-A81D-42AE-AF2C-DBADA90D3AC1}"/>
    <cellStyle name="Normal 2 13 2 2 3 2" xfId="27898" xr:uid="{312B33F7-0587-48D5-B937-0C1DDA6D7348}"/>
    <cellStyle name="Normal 2 13 2 2 3 3" xfId="18393" xr:uid="{E002EEA5-C0DA-4285-A382-40BA20D929BD}"/>
    <cellStyle name="Normal 2 13 2 2 4" xfId="10846" xr:uid="{71BB9C2D-DF6D-459D-95F5-030FDE47A73E}"/>
    <cellStyle name="Normal 2 13 2 2 4 2" xfId="21226" xr:uid="{C52CE360-551D-43D7-8E1F-982CAD2A7CE3}"/>
    <cellStyle name="Normal 2 13 2 2 5" xfId="24831" xr:uid="{17456269-B238-4D4B-AB28-04A2ABB60D54}"/>
    <cellStyle name="Normal 2 13 2 2 6" xfId="13406" xr:uid="{38B46987-3AED-480E-8634-DEC961362DBF}"/>
    <cellStyle name="Normal 2 13 2 3" xfId="5054" xr:uid="{C9DD66FA-B797-44BE-9410-5751FBD68DB7}"/>
    <cellStyle name="Normal 2 13 2 3 2" xfId="25401" xr:uid="{D76BF7DB-D0CE-4DA6-8D43-039205485AB8}"/>
    <cellStyle name="Normal 2 13 2 3 3" xfId="28712" xr:uid="{A8A6D2A8-1314-49BF-8395-21ABE9006B2F}"/>
    <cellStyle name="Normal 2 13 2 3 4" xfId="14350" xr:uid="{3E9E1CEC-20B8-4297-AF85-22B2129D76E3}"/>
    <cellStyle name="Normal 2 13 2 4" xfId="6803" xr:uid="{5B4DBFDA-5B2E-45CA-A5D1-EE20766DBB63}"/>
    <cellStyle name="Normal 2 13 2 4 2" xfId="26582" xr:uid="{3C5FB58E-3930-4A1D-AAA5-9891C20A8A77}"/>
    <cellStyle name="Normal 2 13 2 4 3" xfId="26782" xr:uid="{D38BDE4A-B84E-4801-ADA2-55FE88D7D48E}"/>
    <cellStyle name="Normal 2 13 2 4 4" xfId="17183" xr:uid="{35B851E9-70DE-4CEE-AE83-D37F0EA6D399}"/>
    <cellStyle name="Normal 2 13 2 5" xfId="9636" xr:uid="{955ACF57-2DC0-4076-81F5-1243B7117EF2}"/>
    <cellStyle name="Normal 2 13 2 5 2" xfId="29384" xr:uid="{4DA17BA7-05FA-4293-AD12-06B398A16DA6}"/>
    <cellStyle name="Normal 2 13 2 5 3" xfId="20016" xr:uid="{213CDD61-EBBA-4353-A7AD-8D16FE7D192B}"/>
    <cellStyle name="Normal 2 13 2 5 4" xfId="30719" xr:uid="{054C51D7-3033-4CDA-876B-247BB508F4E6}"/>
    <cellStyle name="Normal 2 13 2 6" xfId="23569" xr:uid="{A0A782DB-AEF9-44EF-BB70-DDB14D6F3F53}"/>
    <cellStyle name="Normal 2 13 2 7" xfId="12708" xr:uid="{49B418C9-0409-418F-8BC6-D6E3895FCCE4}"/>
    <cellStyle name="Normal 2 13 2 8" xfId="30341" xr:uid="{2525B10B-E346-410C-8B02-E2BEF76D30D7}"/>
    <cellStyle name="Normal 2 13 3" xfId="698" xr:uid="{00000000-0005-0000-0000-000066040000}"/>
    <cellStyle name="Normal 2 13 3 2" xfId="5055" xr:uid="{16B57749-BC2F-4EBA-8A66-16C913CCE0A7}"/>
    <cellStyle name="Normal 2 13 3 2 2" xfId="26676" xr:uid="{4CE37BDF-DDA6-4EF4-A8BE-19F02199E1C5}"/>
    <cellStyle name="Normal 2 13 3 2 3" xfId="26170" xr:uid="{C0B932BA-994D-4246-B559-E24B1500E6E2}"/>
    <cellStyle name="Normal 2 13 3 2 4" xfId="14351" xr:uid="{4B9D994D-9B7F-4BAE-9A81-F34F5BDEB577}"/>
    <cellStyle name="Normal 2 13 3 3" xfId="6804" xr:uid="{629CD0E2-4D5B-451A-B552-F635A4777AA9}"/>
    <cellStyle name="Normal 2 13 3 3 2" xfId="27353" xr:uid="{38F693FB-6BC9-4DE0-96E1-669B38E1019A}"/>
    <cellStyle name="Normal 2 13 3 3 3" xfId="27786" xr:uid="{9680442B-8245-4246-A718-160A9B4BF8B1}"/>
    <cellStyle name="Normal 2 13 3 3 4" xfId="17184" xr:uid="{8323F49B-5484-4FB6-A4F9-5C80BEBC965C}"/>
    <cellStyle name="Normal 2 13 3 4" xfId="9637" xr:uid="{F3E931C3-F020-4CB7-9A99-B88618CE1F14}"/>
    <cellStyle name="Normal 2 13 3 4 2" xfId="29385" xr:uid="{D01D4042-F080-4C53-BD18-CDD381A6175C}"/>
    <cellStyle name="Normal 2 13 3 4 3" xfId="20017" xr:uid="{6DB56589-5B17-4810-8000-63FFF2681DCE}"/>
    <cellStyle name="Normal 2 13 3 5" xfId="23213" xr:uid="{7BF45036-8F2B-49EA-B7BD-11796D6E0761}"/>
    <cellStyle name="Normal 2 13 3 6" xfId="13143" xr:uid="{F3A004A6-7AA8-48A4-9171-2AFF8C2B85B7}"/>
    <cellStyle name="Normal 2 13 4" xfId="2316" xr:uid="{00000000-0005-0000-0000-00008B030000}"/>
    <cellStyle name="Normal 2 13 4 2" xfId="7443" xr:uid="{9FDCFD15-2045-4A73-B622-AAF6F3D2DB93}"/>
    <cellStyle name="Normal 2 13 4 2 2" xfId="27133" xr:uid="{BF7D1718-C9FB-4127-BC76-F04B7B5D282A}"/>
    <cellStyle name="Normal 2 13 4 2 3" xfId="17823" xr:uid="{21DDEA4D-1D09-4C5B-962F-FF6625B56D26}"/>
    <cellStyle name="Normal 2 13 4 3" xfId="10276" xr:uid="{940BD426-6BBD-4FF7-93CB-9B9049819199}"/>
    <cellStyle name="Normal 2 13 4 3 2" xfId="20656" xr:uid="{3E70BC60-4938-42BA-ADAC-D4256578727F}"/>
    <cellStyle name="Normal 2 13 4 4" xfId="23222" xr:uid="{BDD319B5-62A8-4F8E-837C-6526D1A0B017}"/>
    <cellStyle name="Normal 2 13 4 5" xfId="14990" xr:uid="{E57267F2-BDCA-4007-B707-B4B798846748}"/>
    <cellStyle name="Normal 2 13 5" xfId="3920" xr:uid="{AC20E962-BB90-4FD9-AACA-F35BDE47B5CC}"/>
    <cellStyle name="Normal 2 13 5 2" xfId="8752" xr:uid="{B76659DB-71A3-4D9A-81B3-85C900BAE2A4}"/>
    <cellStyle name="Normal 2 13 5 2 2" xfId="28976" xr:uid="{ABE0CF6F-4A69-4581-B8E2-387E2E91F688}"/>
    <cellStyle name="Normal 2 13 5 2 3" xfId="19132" xr:uid="{2EEF2137-3ACA-45D2-BDD9-EC95A5EF6D5A}"/>
    <cellStyle name="Normal 2 13 5 3" xfId="11585" xr:uid="{B612831D-FB7F-41B9-906D-ADCD843F1893}"/>
    <cellStyle name="Normal 2 13 5 3 2" xfId="21965" xr:uid="{E4933414-0080-41AE-BF13-7DEFA8A01D4A}"/>
    <cellStyle name="Normal 2 13 5 4" xfId="24187" xr:uid="{93C18363-F828-42DA-900A-A93383C46AF8}"/>
    <cellStyle name="Normal 2 13 5 5" xfId="16299" xr:uid="{8071185E-916E-422A-8C47-1CEDA5601695}"/>
    <cellStyle name="Normal 2 13 6" xfId="5053" xr:uid="{7B2222A7-5518-4240-ABEF-BB54564377AF}"/>
    <cellStyle name="Normal 2 13 6 2" xfId="28665" xr:uid="{509D706F-B397-497B-B228-7E14A9FD0E9D}"/>
    <cellStyle name="Normal 2 13 6 3" xfId="28527" xr:uid="{995C575B-22C2-4EB5-9366-2DA73AF2183D}"/>
    <cellStyle name="Normal 2 13 6 4" xfId="14349" xr:uid="{B52B2403-5BC0-40BA-9B3C-4D3583CA869C}"/>
    <cellStyle name="Normal 2 13 7" xfId="6802" xr:uid="{51956793-B0A0-42C4-AF73-0CD50D0F0060}"/>
    <cellStyle name="Normal 2 13 7 2" xfId="25838" xr:uid="{B020079B-E1E3-4D6B-892E-4E6785B372D3}"/>
    <cellStyle name="Normal 2 13 7 3" xfId="17182" xr:uid="{6FABBDF4-5A02-47AC-8BBA-64ED8D97D7BD}"/>
    <cellStyle name="Normal 2 13 8" xfId="9635" xr:uid="{29066DE0-0AC4-40A5-A210-1F32B4403DD1}"/>
    <cellStyle name="Normal 2 13 8 2" xfId="20015" xr:uid="{40C4E7B4-633A-405F-98B9-71C300C04F3E}"/>
    <cellStyle name="Normal 2 13 9" xfId="23537" xr:uid="{E3D13D6F-55A0-45A0-8F71-C656C2403A8B}"/>
    <cellStyle name="Normal 2 14" xfId="699" xr:uid="{00000000-0005-0000-0000-000067040000}"/>
    <cellStyle name="Normal 2 14 10" xfId="12498" xr:uid="{E4B5DED5-9547-46A4-84B7-2070BD7594F5}"/>
    <cellStyle name="Normal 2 14 2" xfId="700" xr:uid="{00000000-0005-0000-0000-000068040000}"/>
    <cellStyle name="Normal 2 14 2 2" xfId="5057" xr:uid="{1363D8E9-2358-4A8D-9C52-EE95A4EF83AB}"/>
    <cellStyle name="Normal 2 14 2 2 2" xfId="23647" xr:uid="{858CFCC9-7183-4B2F-B333-E1BC88013BC4}"/>
    <cellStyle name="Normal 2 14 2 2 3" xfId="26030" xr:uid="{40B98B3B-FF7B-495D-BA61-32A07F1C7778}"/>
    <cellStyle name="Normal 2 14 2 2 4" xfId="14353" xr:uid="{AEA686FA-6D4B-45CB-AA24-5FCE2B657FDE}"/>
    <cellStyle name="Normal 2 14 2 3" xfId="6806" xr:uid="{B71CAB16-0D84-48BE-9FE6-E95E192B92BF}"/>
    <cellStyle name="Normal 2 14 2 3 2" xfId="26481" xr:uid="{4F89B049-78E2-40D9-B8C7-1D736BF01293}"/>
    <cellStyle name="Normal 2 14 2 3 3" xfId="17186" xr:uid="{EFE3F972-A6A9-417F-8812-50DAFD47C87F}"/>
    <cellStyle name="Normal 2 14 2 4" xfId="9639" xr:uid="{6CA6BDB9-9B84-4635-8818-F3FF250B3FF6}"/>
    <cellStyle name="Normal 2 14 2 4 2" xfId="20019" xr:uid="{8DA8322E-FA58-48C2-9857-5F86B153E87A}"/>
    <cellStyle name="Normal 2 14 2 5" xfId="24374" xr:uid="{CEF9AF8D-2CF6-4C9A-8003-3940DE7E9F12}"/>
    <cellStyle name="Normal 2 14 2 6" xfId="13679" xr:uid="{174C2A17-2022-4783-8EFD-559BCAD0B7C8}"/>
    <cellStyle name="Normal 2 14 3" xfId="2866" xr:uid="{00000000-0005-0000-0000-000091030000}"/>
    <cellStyle name="Normal 2 14 3 2" xfId="6074" xr:uid="{433CEF8A-6A09-4ED8-AB5B-0926C5EB880D}"/>
    <cellStyle name="Normal 2 14 3 2 2" xfId="28115" xr:uid="{ED8068E4-02E9-4FD7-B3C2-595B9801CF8B}"/>
    <cellStyle name="Normal 2 14 3 2 3" xfId="15530" xr:uid="{FD6EB884-8A67-412A-97AB-66F0E8320116}"/>
    <cellStyle name="Normal 2 14 3 3" xfId="7983" xr:uid="{BA1B966F-DF06-49F3-9029-ABF63BD6DC72}"/>
    <cellStyle name="Normal 2 14 3 3 2" xfId="18363" xr:uid="{B5AA080D-5C5E-4BF3-A5AF-C3BA3DFBB6E8}"/>
    <cellStyle name="Normal 2 14 3 4" xfId="10816" xr:uid="{08498F0A-B8A9-456B-824D-8206B1236DB3}"/>
    <cellStyle name="Normal 2 14 3 4 2" xfId="21196" xr:uid="{49E6165B-1E45-482D-A6DA-B1691A0050C5}"/>
    <cellStyle name="Normal 2 14 3 5" xfId="23791" xr:uid="{D5072974-2C03-4927-BE24-8778772FACC3}"/>
    <cellStyle name="Normal 2 14 3 6" xfId="13351" xr:uid="{7CB9BDEC-71AE-46E8-AC9D-08D2EC46FF1D}"/>
    <cellStyle name="Normal 2 14 4" xfId="2266" xr:uid="{00000000-0005-0000-0000-00008F030000}"/>
    <cellStyle name="Normal 2 14 4 2" xfId="7393" xr:uid="{0B907001-6677-447A-A6C2-0B09DF739454}"/>
    <cellStyle name="Normal 2 14 4 2 2" xfId="28254" xr:uid="{C0F8C62A-F16A-4B3C-AF8B-30750ECC8415}"/>
    <cellStyle name="Normal 2 14 4 2 3" xfId="17773" xr:uid="{3C0F6D6B-5410-44C0-A2DB-223EC0D3F1BC}"/>
    <cellStyle name="Normal 2 14 4 3" xfId="10226" xr:uid="{08302955-BB10-41D8-909E-3E8424E9FBB3}"/>
    <cellStyle name="Normal 2 14 4 3 2" xfId="20606" xr:uid="{3013B32C-E195-4AA3-8280-F836F29D0E34}"/>
    <cellStyle name="Normal 2 14 4 4" xfId="23520" xr:uid="{C86BF460-B055-49D0-BA39-328E04DA1CEE}"/>
    <cellStyle name="Normal 2 14 4 5" xfId="14940" xr:uid="{355B811E-59FE-40CC-B377-45F176EF503D}"/>
    <cellStyle name="Normal 2 14 5" xfId="3809" xr:uid="{D9DAA485-8357-442D-9B98-92C0F260699D}"/>
    <cellStyle name="Normal 2 14 5 2" xfId="8644" xr:uid="{FFA257BC-0620-463A-8892-FF98F7E2FEA9}"/>
    <cellStyle name="Normal 2 14 5 2 2" xfId="19024" xr:uid="{C254367F-4AEE-4169-94FB-52330374D4F4}"/>
    <cellStyle name="Normal 2 14 5 3" xfId="11477" xr:uid="{CC096F01-573E-4C8E-A134-F943EA1CE1B8}"/>
    <cellStyle name="Normal 2 14 5 3 2" xfId="21857" xr:uid="{440DB34D-A26C-498E-BEAB-741B827F6018}"/>
    <cellStyle name="Normal 2 14 5 4" xfId="26723" xr:uid="{72278402-EFDA-4577-8A0D-2FF38D6C0467}"/>
    <cellStyle name="Normal 2 14 5 5" xfId="16191" xr:uid="{23538F8E-01F0-4BE4-968D-C2682A3143FB}"/>
    <cellStyle name="Normal 2 14 6" xfId="5056" xr:uid="{003AE1A6-2D71-41E4-8367-493182C6B595}"/>
    <cellStyle name="Normal 2 14 6 2" xfId="14352" xr:uid="{5DC8EE2A-B3AE-479B-8C67-FF5DB3DD5D9A}"/>
    <cellStyle name="Normal 2 14 7" xfId="6805" xr:uid="{BFD99BEB-92C6-46EC-A90C-D7FFF9A4A6DD}"/>
    <cellStyle name="Normal 2 14 7 2" xfId="17185" xr:uid="{C535D681-CD2F-4176-A2D3-4607F3A12937}"/>
    <cellStyle name="Normal 2 14 8" xfId="9638" xr:uid="{4CC85F6F-785C-4071-B5FD-E355E9959BC3}"/>
    <cellStyle name="Normal 2 14 8 2" xfId="20018" xr:uid="{245A27DE-B47D-4235-8FF5-2773DE19B130}"/>
    <cellStyle name="Normal 2 14 9" xfId="25428" xr:uid="{55DD9E7F-4A86-4C45-BB96-9BFBCE3F7FCB}"/>
    <cellStyle name="Normal 2 15" xfId="701" xr:uid="{00000000-0005-0000-0000-000069040000}"/>
    <cellStyle name="Normal 2 15 2" xfId="702" xr:uid="{00000000-0005-0000-0000-00006A040000}"/>
    <cellStyle name="Normal 2 15 2 2" xfId="5059" xr:uid="{2BFEB100-9E5C-4387-B323-D67574CF9B7E}"/>
    <cellStyle name="Normal 2 15 2 2 2" xfId="26555" xr:uid="{A2B43DCB-B00A-482D-A40B-EE72A1E43D53}"/>
    <cellStyle name="Normal 2 15 2 2 3" xfId="14355" xr:uid="{3D68C065-92F3-43AB-99E1-4F65DB8487D7}"/>
    <cellStyle name="Normal 2 15 2 3" xfId="6808" xr:uid="{7B49F8A6-84DA-45DA-9ABE-2256DFC46515}"/>
    <cellStyle name="Normal 2 15 2 3 2" xfId="17188" xr:uid="{CAA3F761-7097-401C-A1B3-3B23208D0B9D}"/>
    <cellStyle name="Normal 2 15 2 4" xfId="9641" xr:uid="{5527F7A9-E05B-4E2E-9705-E11411FA6C58}"/>
    <cellStyle name="Normal 2 15 2 4 2" xfId="20021" xr:uid="{7503549F-4A4C-4279-AD31-4F76F925ABC4}"/>
    <cellStyle name="Normal 2 15 2 5" xfId="22893" xr:uid="{39EF4E33-F99E-4775-AB98-C096AB7B8D4D}"/>
    <cellStyle name="Normal 2 15 2 6" xfId="13354" xr:uid="{31590658-156D-4AB2-BE37-F7F99165142D}"/>
    <cellStyle name="Normal 2 15 3" xfId="5058" xr:uid="{2CBAD390-B99A-43FD-9248-D8EFF22F6AC0}"/>
    <cellStyle name="Normal 2 15 3 2" xfId="25723" xr:uid="{6A9C28D9-3083-46F9-BD79-130EB0FE65BE}"/>
    <cellStyle name="Normal 2 15 3 3" xfId="27309" xr:uid="{74C16C77-A14C-43B2-98C1-C7ADD053C533}"/>
    <cellStyle name="Normal 2 15 3 4" xfId="14354" xr:uid="{5D2F0C45-D806-4776-8CAB-00970BA81410}"/>
    <cellStyle name="Normal 2 15 4" xfId="6807" xr:uid="{6D31F998-186C-4A82-B044-AB8AC20D8683}"/>
    <cellStyle name="Normal 2 15 4 2" xfId="25635" xr:uid="{91E43EBE-1915-4800-B7E0-94D2E29B09F0}"/>
    <cellStyle name="Normal 2 15 4 3" xfId="17187" xr:uid="{623333CB-EDDB-4765-A904-CE9FBC3BF16B}"/>
    <cellStyle name="Normal 2 15 4 4" xfId="30705" xr:uid="{63D9C53E-8A46-4FCF-B106-2699A7FE8A80}"/>
    <cellStyle name="Normal 2 15 5" xfId="9640" xr:uid="{B7199FFC-96E7-4347-B276-3A7FC63208A7}"/>
    <cellStyle name="Normal 2 15 5 2" xfId="20020" xr:uid="{95357289-5930-45E0-BAB5-2E572F5D4028}"/>
    <cellStyle name="Normal 2 15 6" xfId="24645" xr:uid="{228E92B8-911F-4BEC-90AB-1F2260168AC5}"/>
    <cellStyle name="Normal 2 15 7" xfId="12656" xr:uid="{5EFFA12E-06D8-49A5-8274-9AAF4DD80AA9}"/>
    <cellStyle name="Normal 2 16" xfId="703" xr:uid="{00000000-0005-0000-0000-00006B040000}"/>
    <cellStyle name="Normal 2 16 2" xfId="5060" xr:uid="{51280BA4-E357-4EC2-9A34-789C36438E69}"/>
    <cellStyle name="Normal 2 16 2 2" xfId="25753" xr:uid="{CCCD803B-7AE1-4D41-ABE9-B9F6DA72F6FB}"/>
    <cellStyle name="Normal 2 16 2 3" xfId="14356" xr:uid="{8F0649BB-FB29-4495-8867-9DADDE3172C1}"/>
    <cellStyle name="Normal 2 16 3" xfId="6809" xr:uid="{4AF8C3FB-1633-48BC-AC40-61D949CAD707}"/>
    <cellStyle name="Normal 2 16 3 2" xfId="25305" xr:uid="{5BB29FFF-05A9-49BD-9902-2A0D82D89346}"/>
    <cellStyle name="Normal 2 16 3 3" xfId="17189" xr:uid="{A72A8BC0-DA84-4C90-9A1A-1B149D8DB9CF}"/>
    <cellStyle name="Normal 2 16 4" xfId="9642" xr:uid="{7769E6A8-C929-46BD-9D9B-0CE77F82B4BD}"/>
    <cellStyle name="Normal 2 16 4 2" xfId="20022" xr:uid="{1B964D72-BC3E-4B50-B774-79758B8AF137}"/>
    <cellStyle name="Normal 2 16 5" xfId="25117" xr:uid="{39C6474D-79C0-4B4E-B2DD-74132C6BA907}"/>
    <cellStyle name="Normal 2 16 6" xfId="12815" xr:uid="{6C7A0E04-A236-4994-AD69-90C1FC6ADB2C}"/>
    <cellStyle name="Normal 2 17" xfId="704" xr:uid="{00000000-0005-0000-0000-00006C040000}"/>
    <cellStyle name="Normal 2 17 2" xfId="6810" xr:uid="{1585CA1A-B0BC-44CA-B92E-8C4A5C1CAD0A}"/>
    <cellStyle name="Normal 2 17 2 2" xfId="24636" xr:uid="{3ED16BA5-56C6-4154-967B-867B46BD49CE}"/>
    <cellStyle name="Normal 2 17 2 3" xfId="17190" xr:uid="{568842C7-4E9D-4D74-8F9A-50A419319891}"/>
    <cellStyle name="Normal 2 17 3" xfId="9643" xr:uid="{68A23A47-558E-4E49-9C63-20825D5B2438}"/>
    <cellStyle name="Normal 2 17 3 2" xfId="22674" xr:uid="{B1FAF7FF-9E8C-4DA4-A408-DDB7E7A7F771}"/>
    <cellStyle name="Normal 2 17 3 3" xfId="20023" xr:uid="{E61D0583-2D14-4241-9338-5AB767513FAC}"/>
    <cellStyle name="Normal 2 17 4" xfId="22655" xr:uid="{2D14B024-0C15-4849-A1C9-CC6835BF0F10}"/>
    <cellStyle name="Normal 2 17 5" xfId="26000" xr:uid="{48156FCF-7B74-410D-844E-48DE9A4DB097}"/>
    <cellStyle name="Normal 2 17 6" xfId="14357" xr:uid="{0FDB1D7D-3738-4279-AFC1-D13102CF7782}"/>
    <cellStyle name="Normal 2 18" xfId="3779" xr:uid="{687AD789-15F4-45FC-8C5E-5A0C50946765}"/>
    <cellStyle name="Normal 2 18 2" xfId="8619" xr:uid="{D0E1F64E-A739-4764-9D73-CF87B51A5F00}"/>
    <cellStyle name="Normal 2 18 2 2" xfId="25821" xr:uid="{BEE5FA88-0071-4F52-8AB1-13C8648A6374}"/>
    <cellStyle name="Normal 2 18 2 3" xfId="18999" xr:uid="{F51F4F5B-90B2-4451-9A34-FF469B481271}"/>
    <cellStyle name="Normal 2 18 3" xfId="11452" xr:uid="{CDA90886-5D08-49E0-9163-5C00974CD9B6}"/>
    <cellStyle name="Normal 2 18 3 2" xfId="24301" xr:uid="{0C326032-0FD6-4917-9657-495AC37DBBE3}"/>
    <cellStyle name="Normal 2 18 3 3" xfId="21832" xr:uid="{8A722C41-4A34-4A02-A2B3-53A584E5910E}"/>
    <cellStyle name="Normal 2 18 4" xfId="25129" xr:uid="{BA8BD175-2F83-4035-AE66-B7D2C8E6709A}"/>
    <cellStyle name="Normal 2 18 5" xfId="24076" xr:uid="{FE883123-03AC-49F1-B7FA-8A98A4DAAC28}"/>
    <cellStyle name="Normal 2 18 6" xfId="16166" xr:uid="{184E429F-5396-4319-8D7D-B20F7B31B908}"/>
    <cellStyle name="Normal 2 19" xfId="12346" xr:uid="{2851D229-502A-4D82-8490-01DA0EBA2159}"/>
    <cellStyle name="Normal 2 19 2" xfId="24058" xr:uid="{C9B81072-9CE2-4F0C-B5E2-CE8D5CE0A9C0}"/>
    <cellStyle name="Normal 2 19 3" xfId="24240" xr:uid="{1066F9CC-788C-4F68-89FE-9B9F75C44A5D}"/>
    <cellStyle name="Normal 2 19 4" xfId="25829" xr:uid="{5058E664-5536-45CD-84E0-6FADFD894F75}"/>
    <cellStyle name="Normal 2 19 4 2" xfId="30773" xr:uid="{EFD8E692-F765-4C68-9CFD-C3BFC6B818C5}"/>
    <cellStyle name="Normal 2 19 5" xfId="24509" xr:uid="{D329221E-E5FF-44FA-92BC-FF4B1867B2F5}"/>
    <cellStyle name="Normal 2 19 6" xfId="29617" xr:uid="{903768B7-2C41-46B2-A4D0-9D86B34D41A4}"/>
    <cellStyle name="Normal 2 19 7" xfId="29591" xr:uid="{8AF71700-81D8-4687-AC91-003585AB8325}"/>
    <cellStyle name="Normal 2 2" xfId="705" xr:uid="{00000000-0005-0000-0000-00006D040000}"/>
    <cellStyle name="Normal 2 2 10" xfId="706" xr:uid="{00000000-0005-0000-0000-00006E040000}"/>
    <cellStyle name="Normal 2 2 10 10" xfId="9645" xr:uid="{AA7C8D4E-8A4E-47BF-9CCA-4873F35B795C}"/>
    <cellStyle name="Normal 2 2 10 10 2" xfId="20025" xr:uid="{98345C2A-DAC5-4825-A0A8-021C089C2AF2}"/>
    <cellStyle name="Normal 2 2 10 11" xfId="24552" xr:uid="{505E598B-1912-43BF-8BA3-279748371E41}"/>
    <cellStyle name="Normal 2 2 10 12" xfId="12551" xr:uid="{69C35B79-29A5-43FB-862C-7335567D3235}"/>
    <cellStyle name="Normal 2 2 10 2" xfId="707" xr:uid="{00000000-0005-0000-0000-00006F040000}"/>
    <cellStyle name="Normal 2 2 10 2 2" xfId="708" xr:uid="{00000000-0005-0000-0000-000070040000}"/>
    <cellStyle name="Normal 2 2 10 2 2 2" xfId="5064" xr:uid="{E5DB27A1-F095-4B0D-B1FE-17B19E42AD2F}"/>
    <cellStyle name="Normal 2 2 10 2 2 2 2" xfId="24800" xr:uid="{FBA8B858-5805-4A81-83DE-365226052A35}"/>
    <cellStyle name="Normal 2 2 10 2 2 2 3" xfId="25900" xr:uid="{00543A6A-1BC8-44D0-9D96-E92831C3A63A}"/>
    <cellStyle name="Normal 2 2 10 2 2 2 4" xfId="14361" xr:uid="{F19CDEC1-13FD-4EE2-ADEF-DEEB1E15C467}"/>
    <cellStyle name="Normal 2 2 10 2 2 3" xfId="6814" xr:uid="{99174851-CC96-4A4C-91C6-5EB30DC24C04}"/>
    <cellStyle name="Normal 2 2 10 2 2 3 2" xfId="27579" xr:uid="{AF3C2EFA-9EB6-4B79-9DA5-FC9B9457BE6D}"/>
    <cellStyle name="Normal 2 2 10 2 2 3 3" xfId="27904" xr:uid="{BA4D5C2E-54AF-42B6-B1E0-A312C4F38B4D}"/>
    <cellStyle name="Normal 2 2 10 2 2 3 4" xfId="17194" xr:uid="{7F1932C3-573D-48A4-9694-EF8B0597E5E4}"/>
    <cellStyle name="Normal 2 2 10 2 2 4" xfId="9647" xr:uid="{2B8E2916-1FAD-4174-93AD-4FDDE1DA699C}"/>
    <cellStyle name="Normal 2 2 10 2 2 4 2" xfId="29386" xr:uid="{D9B05DEC-3C44-4ABB-92C4-B01E058A307D}"/>
    <cellStyle name="Normal 2 2 10 2 2 4 3" xfId="20027" xr:uid="{E1D17510-D4F8-4DF8-9C86-54A85495661A}"/>
    <cellStyle name="Normal 2 2 10 2 2 5" xfId="24649" xr:uid="{2863DE93-E0E9-4DCA-A783-915B8B2D6A3A}"/>
    <cellStyle name="Normal 2 2 10 2 2 6" xfId="13680" xr:uid="{DA987683-831F-4677-BAD2-DC6A81293BDA}"/>
    <cellStyle name="Normal 2 2 10 2 2 7" xfId="30410" xr:uid="{D28C5806-2A99-4669-A7F4-BE978C6542EA}"/>
    <cellStyle name="Normal 2 2 10 2 3" xfId="2717" xr:uid="{00000000-0005-0000-0000-000099030000}"/>
    <cellStyle name="Normal 2 2 10 2 3 2" xfId="5935" xr:uid="{107F8361-8D14-48E4-B386-6681F6985830}"/>
    <cellStyle name="Normal 2 2 10 2 3 2 2" xfId="27980" xr:uid="{439563EB-CDA5-4BE7-8F09-47FBE716BB3B}"/>
    <cellStyle name="Normal 2 2 10 2 3 2 3" xfId="15388" xr:uid="{AB8BAA13-0168-4B0A-A122-BEA762FA4220}"/>
    <cellStyle name="Normal 2 2 10 2 3 3" xfId="7841" xr:uid="{63CB1A3F-51C9-40AA-BDFC-374A71D849BD}"/>
    <cellStyle name="Normal 2 2 10 2 3 3 2" xfId="18221" xr:uid="{E506574E-4CD6-4127-960A-7E103336C974}"/>
    <cellStyle name="Normal 2 2 10 2 3 4" xfId="10674" xr:uid="{09130169-8034-4D96-85F9-4356246BFE9D}"/>
    <cellStyle name="Normal 2 2 10 2 3 4 2" xfId="21054" xr:uid="{1F5D3BB1-A60B-4476-8120-9E675D91B416}"/>
    <cellStyle name="Normal 2 2 10 2 3 5" xfId="25026" xr:uid="{4FFB09B8-3AF9-4044-A95D-D1F4BFC266C5}"/>
    <cellStyle name="Normal 2 2 10 2 3 6" xfId="13145" xr:uid="{88DEC1F8-E74A-47F2-B634-04FE49086530}"/>
    <cellStyle name="Normal 2 2 10 2 4" xfId="4154" xr:uid="{E764446D-83C9-4004-865D-359BF5B5F454}"/>
    <cellStyle name="Normal 2 2 10 2 4 2" xfId="8926" xr:uid="{13B6B776-8552-4F27-A149-221E36F04BD2}"/>
    <cellStyle name="Normal 2 2 10 2 4 2 2" xfId="29025" xr:uid="{68438DB2-A994-485C-B68E-63993A56C537}"/>
    <cellStyle name="Normal 2 2 10 2 4 2 3" xfId="19306" xr:uid="{B3CE92A7-987B-4043-8629-8C2E39A98538}"/>
    <cellStyle name="Normal 2 2 10 2 4 3" xfId="11759" xr:uid="{D0E1A260-329B-4663-B10B-AA9B56A80EFF}"/>
    <cellStyle name="Normal 2 2 10 2 4 3 2" xfId="22139" xr:uid="{B6CF3B47-D87D-45BB-87DF-85B77E70452A}"/>
    <cellStyle name="Normal 2 2 10 2 4 4" xfId="22992" xr:uid="{938AAFBC-6206-4672-B3C4-A0BA08185F9C}"/>
    <cellStyle name="Normal 2 2 10 2 4 5" xfId="16473" xr:uid="{90BFF79D-AAD0-4A91-BEBE-C3458FE2D30F}"/>
    <cellStyle name="Normal 2 2 10 2 5" xfId="5063" xr:uid="{7C5CCD42-756E-44AA-B35D-0888BE67E4DC}"/>
    <cellStyle name="Normal 2 2 10 2 5 2" xfId="26499" xr:uid="{8B0F7587-3D90-44A9-9D4E-94008281CF70}"/>
    <cellStyle name="Normal 2 2 10 2 5 3" xfId="14360" xr:uid="{6BB59D92-C073-4562-AF8F-C02AD369E213}"/>
    <cellStyle name="Normal 2 2 10 2 5 4" xfId="30537" xr:uid="{89D6F891-1C6F-4610-A96D-3742B72363A9}"/>
    <cellStyle name="Normal 2 2 10 2 6" xfId="6813" xr:uid="{064FAEDA-6750-41CD-8BA4-6A0D5049602B}"/>
    <cellStyle name="Normal 2 2 10 2 6 2" xfId="17193" xr:uid="{837E47D0-0D94-4D5F-8367-141ABA0D4D67}"/>
    <cellStyle name="Normal 2 2 10 2 6 3" xfId="30269" xr:uid="{9A84B3F5-A54E-4121-9279-734CF4D54A9B}"/>
    <cellStyle name="Normal 2 2 10 2 6 4" xfId="30679" xr:uid="{CB1E9A02-505A-46EA-8FA2-581B02D79752}"/>
    <cellStyle name="Normal 2 2 10 2 7" xfId="9646" xr:uid="{1E27734E-7094-4271-96C0-49C3F5B2DE9F}"/>
    <cellStyle name="Normal 2 2 10 2 7 2" xfId="20026" xr:uid="{81815907-AA58-4EF1-B4BC-87EBA1A0663F}"/>
    <cellStyle name="Normal 2 2 10 2 8" xfId="24488" xr:uid="{B0AB4854-A5AA-4971-A35C-FD6795C66512}"/>
    <cellStyle name="Normal 2 2 10 2 9" xfId="12709" xr:uid="{443C35AA-3E7C-4729-9C69-8DD456AB955A}"/>
    <cellStyle name="Normal 2 2 10 3" xfId="709" xr:uid="{00000000-0005-0000-0000-000071040000}"/>
    <cellStyle name="Normal 2 2 10 3 2" xfId="4452" xr:uid="{42C8B070-231B-4968-AE45-24977E7CDEBF}"/>
    <cellStyle name="Normal 2 2 10 3 2 2" xfId="9224" xr:uid="{B3100822-4B11-4BA9-940F-F2078324B99E}"/>
    <cellStyle name="Normal 2 2 10 3 2 2 2" xfId="29217" xr:uid="{398D0ABA-3928-427C-8C30-89730A5D7A3C}"/>
    <cellStyle name="Normal 2 2 10 3 2 2 3" xfId="19604" xr:uid="{AD153CD0-B2EC-4F34-96CD-AC815A48A242}"/>
    <cellStyle name="Normal 2 2 10 3 2 3" xfId="12057" xr:uid="{2B843B58-7B92-4A52-B7B1-0B052D6B6194}"/>
    <cellStyle name="Normal 2 2 10 3 2 3 2" xfId="22437" xr:uid="{3AD3D460-9B74-4C95-B9E1-A22A6F72193D}"/>
    <cellStyle name="Normal 2 2 10 3 2 4" xfId="23109" xr:uid="{6419FB7A-3DCF-4E03-99E4-C92D33E270D2}"/>
    <cellStyle name="Normal 2 2 10 3 2 5" xfId="16771" xr:uid="{57F08712-9C9F-4D18-8F3C-BB0511D0669C}"/>
    <cellStyle name="Normal 2 2 10 3 3" xfId="5065" xr:uid="{4A72CBA2-F61E-430F-AD4A-4CD853A42699}"/>
    <cellStyle name="Normal 2 2 10 3 3 2" xfId="26780" xr:uid="{F84AF31A-FE99-4562-B39C-4E385FDC17F3}"/>
    <cellStyle name="Normal 2 2 10 3 3 3" xfId="27558" xr:uid="{44CDE390-F64D-4A78-A0D1-B0C47C36573E}"/>
    <cellStyle name="Normal 2 2 10 3 3 4" xfId="14362" xr:uid="{2E7DDF77-9C26-42DB-8D72-47296D039541}"/>
    <cellStyle name="Normal 2 2 10 3 4" xfId="6815" xr:uid="{9D5CA963-1CB6-4841-BECA-773E3EF2CAA0}"/>
    <cellStyle name="Normal 2 2 10 3 4 2" xfId="26618" xr:uid="{789273C5-3E89-4F22-BC58-9FB25ED07422}"/>
    <cellStyle name="Normal 2 2 10 3 4 3" xfId="27222" xr:uid="{CF839B75-0BF5-4802-B3D9-B5A7B178CBC5}"/>
    <cellStyle name="Normal 2 2 10 3 4 4" xfId="17195" xr:uid="{ED4B26D7-2591-4F59-88AA-D0D54072C88D}"/>
    <cellStyle name="Normal 2 2 10 3 5" xfId="9648" xr:uid="{9019F8E2-FD32-4731-A2A8-6681B973D239}"/>
    <cellStyle name="Normal 2 2 10 3 5 2" xfId="29387" xr:uid="{65370D3C-9EB5-4761-8E5F-554AF99B3F9B}"/>
    <cellStyle name="Normal 2 2 10 3 5 3" xfId="20028" xr:uid="{BA430A4F-FF72-4303-9A89-E1A48B406065}"/>
    <cellStyle name="Normal 2 2 10 3 6" xfId="24518" xr:uid="{49067D6F-8843-4DD1-BAE8-7FA2BF07E820}"/>
    <cellStyle name="Normal 2 2 10 3 7" xfId="13681" xr:uid="{6339AC71-D4C9-41B9-A9DB-829F6C8BF374}"/>
    <cellStyle name="Normal 2 2 10 4" xfId="710" xr:uid="{00000000-0005-0000-0000-000072040000}"/>
    <cellStyle name="Normal 2 2 10 4 2" xfId="5066" xr:uid="{43FAF4F6-5944-411B-9C6E-4A883C4EBCCF}"/>
    <cellStyle name="Normal 2 2 10 4 2 2" xfId="24153" xr:uid="{0FF8B60A-773E-488B-9CA4-80B69D49D6F0}"/>
    <cellStyle name="Normal 2 2 10 4 2 3" xfId="28727" xr:uid="{0044B5AD-CC47-4AD7-9BAC-85830A68790F}"/>
    <cellStyle name="Normal 2 2 10 4 2 4" xfId="14363" xr:uid="{63833D4F-15C8-4AB3-85D1-56CFFDC43AAB}"/>
    <cellStyle name="Normal 2 2 10 4 3" xfId="6816" xr:uid="{6F8A17C8-5B7C-4D0A-89CE-3313691FEA10}"/>
    <cellStyle name="Normal 2 2 10 4 3 2" xfId="28598" xr:uid="{A29D8535-73B2-441D-AB06-3782139610D9}"/>
    <cellStyle name="Normal 2 2 10 4 3 3" xfId="17196" xr:uid="{BF3BCAE3-A914-4FAF-8660-894DFDDE4948}"/>
    <cellStyle name="Normal 2 2 10 4 4" xfId="9649" xr:uid="{F6AF43C2-38D3-4B63-9AFB-550F9CC18867}"/>
    <cellStyle name="Normal 2 2 10 4 4 2" xfId="20029" xr:uid="{0C94FB6B-3908-46B9-B035-AA01DE88862A}"/>
    <cellStyle name="Normal 2 2 10 4 5" xfId="24027" xr:uid="{EDDD3FD3-3F21-4BBB-A21E-5363C936A286}"/>
    <cellStyle name="Normal 2 2 10 4 6" xfId="13407" xr:uid="{52461BEE-55D6-4F43-9398-5A297151B16A}"/>
    <cellStyle name="Normal 2 2 10 5" xfId="2565" xr:uid="{00000000-0005-0000-0000-00009C030000}"/>
    <cellStyle name="Normal 2 2 10 5 2" xfId="5834" xr:uid="{F90F4BDD-8B44-417F-9C44-F07B562A1590}"/>
    <cellStyle name="Normal 2 2 10 5 2 2" xfId="26793" xr:uid="{C347E35F-955F-4394-8027-29A455EB4226}"/>
    <cellStyle name="Normal 2 2 10 5 2 3" xfId="15237" xr:uid="{8D2EC9C0-8C74-410D-8868-1302CCCBA839}"/>
    <cellStyle name="Normal 2 2 10 5 3" xfId="7690" xr:uid="{FAD042E3-0A5D-44D0-9B55-4A5BF2609101}"/>
    <cellStyle name="Normal 2 2 10 5 3 2" xfId="18070" xr:uid="{80FFC775-E0A3-405C-9250-A0FE081BCED3}"/>
    <cellStyle name="Normal 2 2 10 5 4" xfId="10523" xr:uid="{271EE65C-4308-4093-A0CA-EBD53146ED2E}"/>
    <cellStyle name="Normal 2 2 10 5 4 2" xfId="20903" xr:uid="{957E9CC8-329E-4D48-BD47-CE43D3C79F5C}"/>
    <cellStyle name="Normal 2 2 10 5 5" xfId="22944" xr:uid="{7FF42F5A-F766-492C-B313-F86840EA921E}"/>
    <cellStyle name="Normal 2 2 10 5 6" xfId="12953" xr:uid="{AFEA08B3-64BD-49F2-A894-F862B4F7670C}"/>
    <cellStyle name="Normal 2 2 10 6" xfId="2317" xr:uid="{00000000-0005-0000-0000-000096030000}"/>
    <cellStyle name="Normal 2 2 10 6 2" xfId="7444" xr:uid="{49339BE6-5FE9-42AE-9BC6-6DD209B051E8}"/>
    <cellStyle name="Normal 2 2 10 6 2 2" xfId="27932" xr:uid="{7D37FA61-88A9-417F-9E00-1067742685F6}"/>
    <cellStyle name="Normal 2 2 10 6 2 3" xfId="17824" xr:uid="{8BA1A808-3FDE-44C7-9142-154BE5F5E6B6}"/>
    <cellStyle name="Normal 2 2 10 6 3" xfId="10277" xr:uid="{2A7065D5-296E-44B5-86F3-53A1D5651C31}"/>
    <cellStyle name="Normal 2 2 10 6 3 2" xfId="20657" xr:uid="{0CDD9D9A-C9E9-419B-BFC8-FB6779F563E0}"/>
    <cellStyle name="Normal 2 2 10 6 4" xfId="24891" xr:uid="{946DE919-8989-49F0-8624-F124357DCEE6}"/>
    <cellStyle name="Normal 2 2 10 6 5" xfId="14991" xr:uid="{A42EDF13-7335-4FE4-9A95-547834990660}"/>
    <cellStyle name="Normal 2 2 10 7" xfId="3922" xr:uid="{498F4368-C384-4172-A5C5-389852219A0E}"/>
    <cellStyle name="Normal 2 2 10 7 2" xfId="8754" xr:uid="{7A29565A-49DE-496F-9B46-A14210F21EEC}"/>
    <cellStyle name="Normal 2 2 10 7 2 2" xfId="19134" xr:uid="{62EC0076-2ADE-4D86-9020-4C074AF71ABC}"/>
    <cellStyle name="Normal 2 2 10 7 3" xfId="11587" xr:uid="{0B8A006D-0451-4A93-A9DD-3B02EF3D4ED5}"/>
    <cellStyle name="Normal 2 2 10 7 3 2" xfId="21967" xr:uid="{1E17511E-8D69-4181-BF2A-8594B5C37FFA}"/>
    <cellStyle name="Normal 2 2 10 7 4" xfId="26887" xr:uid="{EE14755E-4017-4A11-B3B3-C3690CBE6087}"/>
    <cellStyle name="Normal 2 2 10 7 5" xfId="16301" xr:uid="{774583A9-CB71-49DF-9DC4-54BB1C00CF1D}"/>
    <cellStyle name="Normal 2 2 10 8" xfId="5062" xr:uid="{9A8CA319-5397-4A04-92EC-15A8A45212D4}"/>
    <cellStyle name="Normal 2 2 10 8 2" xfId="14359" xr:uid="{C8D3DA57-87D8-4704-97B7-6849991807F7}"/>
    <cellStyle name="Normal 2 2 10 9" xfId="6812" xr:uid="{6AB13237-9298-49AB-B12E-5BEA92D8EA25}"/>
    <cellStyle name="Normal 2 2 10 9 2" xfId="17192" xr:uid="{54002836-6CE1-4C08-BFD8-E939A1F4DFF9}"/>
    <cellStyle name="Normal 2 2 11" xfId="711" xr:uid="{00000000-0005-0000-0000-000073040000}"/>
    <cellStyle name="Normal 2 2 11 10" xfId="24716" xr:uid="{F360E3F7-4553-4010-BCA7-6D1AE9B901A1}"/>
    <cellStyle name="Normal 2 2 11 11" xfId="12552" xr:uid="{0081C13F-8DD0-413F-9503-D5C8BA41F1B0}"/>
    <cellStyle name="Normal 2 2 11 2" xfId="712" xr:uid="{00000000-0005-0000-0000-000074040000}"/>
    <cellStyle name="Normal 2 2 11 2 2" xfId="3147" xr:uid="{00000000-0005-0000-0000-00009F030000}"/>
    <cellStyle name="Normal 2 2 11 2 2 2" xfId="6205" xr:uid="{FF317ED0-C3C5-4BBA-96D4-A4FA9F71D13C}"/>
    <cellStyle name="Normal 2 2 11 2 2 2 2" xfId="26614" xr:uid="{C3C86F65-1009-45B4-ADDC-6A57ED7AC03D}"/>
    <cellStyle name="Normal 2 2 11 2 2 2 3" xfId="27337" xr:uid="{6C543D13-686B-42FE-9BED-916A8DF160CA}"/>
    <cellStyle name="Normal 2 2 11 2 2 2 4" xfId="15774" xr:uid="{F56D3B67-4334-45F9-8EA7-AB3AD0ED3090}"/>
    <cellStyle name="Normal 2 2 11 2 2 3" xfId="8227" xr:uid="{90B187A8-9982-44B7-9857-A6B63355AC82}"/>
    <cellStyle name="Normal 2 2 11 2 2 3 2" xfId="28872" xr:uid="{7EB596B2-7B15-4D64-83F3-AC9014D1750B}"/>
    <cellStyle name="Normal 2 2 11 2 2 3 3" xfId="18607" xr:uid="{8E5CC260-40CB-4E67-9E15-4F95D03C0961}"/>
    <cellStyle name="Normal 2 2 11 2 2 4" xfId="11060" xr:uid="{0C11086F-936F-4562-A968-407CE5092957}"/>
    <cellStyle name="Normal 2 2 11 2 2 4 2" xfId="21440" xr:uid="{ADB81A79-B7E1-43EB-BA27-D0C539476A90}"/>
    <cellStyle name="Normal 2 2 11 2 2 5" xfId="23265" xr:uid="{0F54DA92-1F69-4FE6-B714-AD6A3B712B6E}"/>
    <cellStyle name="Normal 2 2 11 2 2 6" xfId="13682" xr:uid="{66B84033-BF7F-481B-9AFA-9567FEF2CBE8}"/>
    <cellStyle name="Normal 2 2 11 2 3" xfId="4155" xr:uid="{00F1D4EF-91CF-40E8-B6B5-67F1D0D3D9FB}"/>
    <cellStyle name="Normal 2 2 11 2 3 2" xfId="8927" xr:uid="{0790826B-CA55-4CA9-B627-8A167494FAF5}"/>
    <cellStyle name="Normal 2 2 11 2 3 2 2" xfId="29026" xr:uid="{A608EEA1-12E2-4A50-AA92-15B6A6B67A09}"/>
    <cellStyle name="Normal 2 2 11 2 3 2 3" xfId="19307" xr:uid="{EA885710-01F3-4985-8E77-B95014EDAAF3}"/>
    <cellStyle name="Normal 2 2 11 2 3 3" xfId="11760" xr:uid="{858F1373-6516-4269-95EA-069E9EA42B73}"/>
    <cellStyle name="Normal 2 2 11 2 3 3 2" xfId="22140" xr:uid="{5A6A1CE6-03AA-488A-81B0-1F53FD50E577}"/>
    <cellStyle name="Normal 2 2 11 2 3 4" xfId="25220" xr:uid="{530BCB53-2788-48FC-8732-7713CE1DDE0F}"/>
    <cellStyle name="Normal 2 2 11 2 3 5" xfId="16474" xr:uid="{EB502878-9D72-4A66-8CC3-6FE968AF4A80}"/>
    <cellStyle name="Normal 2 2 11 2 4" xfId="5068" xr:uid="{C97103D0-552A-43CA-9D7F-000BE4CCD9EA}"/>
    <cellStyle name="Normal 2 2 11 2 4 2" xfId="27909" xr:uid="{5350DF39-5008-4E85-A8E3-EA51D3E70538}"/>
    <cellStyle name="Normal 2 2 11 2 4 3" xfId="26437" xr:uid="{45D098FC-3762-4A95-8E63-9E90376ED403}"/>
    <cellStyle name="Normal 2 2 11 2 4 4" xfId="14365" xr:uid="{852E6F0C-3895-4C89-86AC-0372EC1A09FB}"/>
    <cellStyle name="Normal 2 2 11 2 5" xfId="6818" xr:uid="{541B02AB-102A-4D2C-B7E2-2CAFA7B83913}"/>
    <cellStyle name="Normal 2 2 11 2 5 2" xfId="27589" xr:uid="{2B54EA2A-F5D7-4647-A3C3-89DA672DC2B2}"/>
    <cellStyle name="Normal 2 2 11 2 5 3" xfId="17198" xr:uid="{F7667B26-C2B3-4730-BA59-8727ECB0A4C1}"/>
    <cellStyle name="Normal 2 2 11 2 5 4" xfId="30762" xr:uid="{947C68D6-7676-4864-B0D9-856B6AFD9179}"/>
    <cellStyle name="Normal 2 2 11 2 6" xfId="9651" xr:uid="{42FEB642-99A6-4F20-9405-ED218DBCD43E}"/>
    <cellStyle name="Normal 2 2 11 2 6 2" xfId="20031" xr:uid="{2D652F2E-72EB-4499-AC69-741A8BA79020}"/>
    <cellStyle name="Normal 2 2 11 2 7" xfId="22928" xr:uid="{9D773C07-20EF-400A-A5CD-96C731A65415}"/>
    <cellStyle name="Normal 2 2 11 2 8" xfId="12710" xr:uid="{557D45CE-8F42-4ABE-9E84-82DBCC416DEF}"/>
    <cellStyle name="Normal 2 2 11 3" xfId="713" xr:uid="{00000000-0005-0000-0000-000075040000}"/>
    <cellStyle name="Normal 2 2 11 3 2" xfId="5069" xr:uid="{0955E37E-640E-43B0-BD50-B8A99418383A}"/>
    <cellStyle name="Normal 2 2 11 3 2 2" xfId="22754" xr:uid="{2BEE5CBA-6AF4-40AF-B0DB-8908603C96C7}"/>
    <cellStyle name="Normal 2 2 11 3 2 3" xfId="27058" xr:uid="{4D557C4E-47EB-4C41-A11C-E40E615CDB78}"/>
    <cellStyle name="Normal 2 2 11 3 2 4" xfId="14366" xr:uid="{4016AE17-1A41-4C9A-98F4-1B4611B620B6}"/>
    <cellStyle name="Normal 2 2 11 3 3" xfId="6819" xr:uid="{00BD513C-FB94-428B-876A-E8EF0C4F55EF}"/>
    <cellStyle name="Normal 2 2 11 3 3 2" xfId="27765" xr:uid="{7ABA0B96-13D5-447B-85CC-329AC2C6D123}"/>
    <cellStyle name="Normal 2 2 11 3 3 3" xfId="26115" xr:uid="{D8E70133-ADC3-46CD-9CF8-B13AD605DBE3}"/>
    <cellStyle name="Normal 2 2 11 3 3 4" xfId="17199" xr:uid="{17775DBB-41D4-400E-94BF-23CFF9786007}"/>
    <cellStyle name="Normal 2 2 11 3 4" xfId="9652" xr:uid="{E8608BBB-BA40-49FE-9FE2-9263E842B72E}"/>
    <cellStyle name="Normal 2 2 11 3 4 2" xfId="27884" xr:uid="{A559915D-1C89-4A10-9523-59AE7D14C0BE}"/>
    <cellStyle name="Normal 2 2 11 3 4 3" xfId="29388" xr:uid="{3F8F59DF-F173-4A24-8C68-4AD13CC6FB4D}"/>
    <cellStyle name="Normal 2 2 11 3 4 4" xfId="20032" xr:uid="{4A8FE24E-E0C9-4A18-A18A-3252FA41CA10}"/>
    <cellStyle name="Normal 2 2 11 3 5" xfId="23891" xr:uid="{A43DAE62-9E93-4920-8A90-84070D82DB45}"/>
    <cellStyle name="Normal 2 2 11 3 6" xfId="26875" xr:uid="{993D1EDA-F7F0-4197-9D42-8112A38CDE4E}"/>
    <cellStyle name="Normal 2 2 11 3 7" xfId="13408" xr:uid="{0077151E-73EA-4320-85DE-C40187F66014}"/>
    <cellStyle name="Normal 2 2 11 4" xfId="2718" xr:uid="{00000000-0005-0000-0000-0000A1030000}"/>
    <cellStyle name="Normal 2 2 11 4 2" xfId="5936" xr:uid="{63E0683B-ACD4-4AA2-90DC-DB6AEBFA2948}"/>
    <cellStyle name="Normal 2 2 11 4 2 2" xfId="26141" xr:uid="{E537ED85-99E9-4A2C-ADE8-0473EAF8C191}"/>
    <cellStyle name="Normal 2 2 11 4 2 3" xfId="15389" xr:uid="{7E1EF9F7-FD04-4E90-BE93-DE2066F7588A}"/>
    <cellStyle name="Normal 2 2 11 4 3" xfId="7842" xr:uid="{FF13673E-D845-4C55-B7C8-00D6EF36B7D1}"/>
    <cellStyle name="Normal 2 2 11 4 3 2" xfId="18222" xr:uid="{D5B33116-A451-467B-9CE8-8F15637E1DCE}"/>
    <cellStyle name="Normal 2 2 11 4 4" xfId="10675" xr:uid="{93731593-600F-4279-9BC7-1C337825ADA4}"/>
    <cellStyle name="Normal 2 2 11 4 4 2" xfId="21055" xr:uid="{86328D34-6873-4657-BB4D-1FF619BF9538}"/>
    <cellStyle name="Normal 2 2 11 4 5" xfId="24616" xr:uid="{FFEC11AB-DB5A-4402-9B21-590F99BB08F6}"/>
    <cellStyle name="Normal 2 2 11 4 6" xfId="13146" xr:uid="{7C3F6871-62B6-4B36-8448-9E73B188E3DE}"/>
    <cellStyle name="Normal 2 2 11 5" xfId="2318" xr:uid="{00000000-0005-0000-0000-00009D030000}"/>
    <cellStyle name="Normal 2 2 11 5 2" xfId="7445" xr:uid="{7A3307D6-3912-4C07-B0F6-72C6E4F3B661}"/>
    <cellStyle name="Normal 2 2 11 5 2 2" xfId="25947" xr:uid="{1FFCC7DB-DE91-465E-A767-AAEF631C5C7D}"/>
    <cellStyle name="Normal 2 2 11 5 2 3" xfId="17825" xr:uid="{D00543A4-5E81-4315-ABFC-3BE08527D330}"/>
    <cellStyle name="Normal 2 2 11 5 3" xfId="10278" xr:uid="{CAE4606C-9F99-412B-B7A9-5DB4111EB00D}"/>
    <cellStyle name="Normal 2 2 11 5 3 2" xfId="20658" xr:uid="{0FF4E45D-E5E1-40C8-B569-7E751AA1A551}"/>
    <cellStyle name="Normal 2 2 11 5 4" xfId="24919" xr:uid="{121CDEFB-55B8-40A6-A06C-5FDF46209248}"/>
    <cellStyle name="Normal 2 2 11 5 5" xfId="14992" xr:uid="{7F643549-6605-400C-8C36-DF20AF78D7FB}"/>
    <cellStyle name="Normal 2 2 11 6" xfId="3923" xr:uid="{B8846A1D-2C16-48D2-8A11-823ADBAB4F28}"/>
    <cellStyle name="Normal 2 2 11 6 2" xfId="8755" xr:uid="{91A10251-2EEC-445C-82E3-E53D5D0CA3A7}"/>
    <cellStyle name="Normal 2 2 11 6 2 2" xfId="28977" xr:uid="{39F5A64B-9A16-4AC9-8402-214E3758C73A}"/>
    <cellStyle name="Normal 2 2 11 6 2 3" xfId="19135" xr:uid="{D8663FF4-7F2C-4388-B7A9-17831C9372D7}"/>
    <cellStyle name="Normal 2 2 11 6 3" xfId="11588" xr:uid="{D8BC32F4-4140-4BD2-BC51-A4794D42B1FF}"/>
    <cellStyle name="Normal 2 2 11 6 3 2" xfId="21968" xr:uid="{4644D31E-EB41-48D5-B4E9-516AFEBE10EF}"/>
    <cellStyle name="Normal 2 2 11 6 4" xfId="27278" xr:uid="{75C8AD18-4AFE-4842-A978-28943ACC31D9}"/>
    <cellStyle name="Normal 2 2 11 6 5" xfId="16302" xr:uid="{8E42CAA9-3BBD-4E3B-9F0B-24760E32739D}"/>
    <cellStyle name="Normal 2 2 11 7" xfId="5067" xr:uid="{B2DA2C86-A69D-4363-A409-5F20A56822C5}"/>
    <cellStyle name="Normal 2 2 11 7 2" xfId="26478" xr:uid="{8DA8B6FD-9B1D-46D4-BB5E-72F6E93EFE7C}"/>
    <cellStyle name="Normal 2 2 11 7 3" xfId="14364" xr:uid="{B631ECBF-56E4-4E7E-A0A4-2E50DFF99648}"/>
    <cellStyle name="Normal 2 2 11 8" xfId="6817" xr:uid="{0A45DC38-A460-417D-B5FF-5914C4641DB3}"/>
    <cellStyle name="Normal 2 2 11 8 2" xfId="17197" xr:uid="{F9AC5293-430A-4340-83DE-C9501E3F8EAB}"/>
    <cellStyle name="Normal 2 2 11 9" xfId="9650" xr:uid="{AEFEC1A8-311C-4583-9866-B998AF29808A}"/>
    <cellStyle name="Normal 2 2 11 9 2" xfId="20030" xr:uid="{36E210C7-88C1-4054-AA67-CA222587FB4B}"/>
    <cellStyle name="Normal 2 2 12" xfId="714" xr:uid="{00000000-0005-0000-0000-000076040000}"/>
    <cellStyle name="Normal 2 2 12 10" xfId="12553" xr:uid="{1065672E-2A58-4FF3-B14F-7A5A656F2C14}"/>
    <cellStyle name="Normal 2 2 12 2" xfId="715" xr:uid="{00000000-0005-0000-0000-000077040000}"/>
    <cellStyle name="Normal 2 2 12 2 2" xfId="2897" xr:uid="{00000000-0005-0000-0000-0000A4030000}"/>
    <cellStyle name="Normal 2 2 12 2 2 2" xfId="6083" xr:uid="{87D14F9D-0490-40A1-B2DF-6C3236D91088}"/>
    <cellStyle name="Normal 2 2 12 2 2 2 2" xfId="27092" xr:uid="{C3153807-B2E2-4D54-8253-7DBAF51F2DE7}"/>
    <cellStyle name="Normal 2 2 12 2 2 2 3" xfId="26700" xr:uid="{C8350D81-427F-46C9-AD88-E335CC47A38B}"/>
    <cellStyle name="Normal 2 2 12 2 2 2 4" xfId="15561" xr:uid="{39752D66-A282-4578-9662-B9863F6E05F0}"/>
    <cellStyle name="Normal 2 2 12 2 2 3" xfId="8014" xr:uid="{0D9E3B43-EDE7-49DA-AC95-C8D84130DC72}"/>
    <cellStyle name="Normal 2 2 12 2 2 3 2" xfId="27686" xr:uid="{AB1AF7C7-2D5A-48E6-8BF5-E5578B2E77B5}"/>
    <cellStyle name="Normal 2 2 12 2 2 3 3" xfId="18394" xr:uid="{1AFB2ABE-54F2-4B73-BE53-A072DAF3C08C}"/>
    <cellStyle name="Normal 2 2 12 2 2 4" xfId="10847" xr:uid="{4AE1C396-5D59-4371-B09F-AFF16EEF18AE}"/>
    <cellStyle name="Normal 2 2 12 2 2 4 2" xfId="21227" xr:uid="{3288323C-DEC5-4597-ACA5-E75281895242}"/>
    <cellStyle name="Normal 2 2 12 2 2 5" xfId="22930" xr:uid="{451C44D4-D385-49D8-8775-BDE566AC57E3}"/>
    <cellStyle name="Normal 2 2 12 2 2 6" xfId="13409" xr:uid="{CD1B9E5A-8689-4A5D-825F-CA09B31EB215}"/>
    <cellStyle name="Normal 2 2 12 2 3" xfId="5071" xr:uid="{E9CA4D25-7E66-4D37-9C3D-EE609FBB5CD4}"/>
    <cellStyle name="Normal 2 2 12 2 3 2" xfId="25614" xr:uid="{C82A4E5B-713A-4F0B-9C44-41515AA8671E}"/>
    <cellStyle name="Normal 2 2 12 2 3 3" xfId="28120" xr:uid="{D1426DE1-404F-476D-AA0E-23A2566C7733}"/>
    <cellStyle name="Normal 2 2 12 2 3 4" xfId="14368" xr:uid="{201E6DFB-DAAA-47D2-93D5-7D35EEF5EE4A}"/>
    <cellStyle name="Normal 2 2 12 2 4" xfId="6821" xr:uid="{9CE24DF9-8A53-40A5-9B9F-A4ED79DBA681}"/>
    <cellStyle name="Normal 2 2 12 2 4 2" xfId="25847" xr:uid="{DB2D1C67-6117-442B-B678-0E475AA7346F}"/>
    <cellStyle name="Normal 2 2 12 2 4 3" xfId="27933" xr:uid="{51025091-3DC7-4B0E-B201-8992EE577B4E}"/>
    <cellStyle name="Normal 2 2 12 2 4 4" xfId="17201" xr:uid="{83106FBE-5519-470B-B973-DC7EFE978364}"/>
    <cellStyle name="Normal 2 2 12 2 5" xfId="9654" xr:uid="{0B7EACDA-BBDF-48E1-8FE2-FC3073D2F396}"/>
    <cellStyle name="Normal 2 2 12 2 5 2" xfId="29389" xr:uid="{EBF4D029-387B-44E3-9D2A-2D2346652B52}"/>
    <cellStyle name="Normal 2 2 12 2 5 3" xfId="20034" xr:uid="{C0C59DC8-A38B-49A7-8B9B-B6BAEE89D21E}"/>
    <cellStyle name="Normal 2 2 12 2 5 4" xfId="30720" xr:uid="{DAB2C873-4E44-4A7B-80AD-6521DDD29687}"/>
    <cellStyle name="Normal 2 2 12 2 6" xfId="23522" xr:uid="{58EB0826-388D-445A-8CD5-082685758BAB}"/>
    <cellStyle name="Normal 2 2 12 2 7" xfId="12711" xr:uid="{D90D89C1-CD52-404E-8854-9A6CE05D6A25}"/>
    <cellStyle name="Normal 2 2 12 2 8" xfId="30342" xr:uid="{B99F1EE7-70E1-4EF3-AF14-E29B82734648}"/>
    <cellStyle name="Normal 2 2 12 3" xfId="716" xr:uid="{00000000-0005-0000-0000-000078040000}"/>
    <cellStyle name="Normal 2 2 12 3 2" xfId="5072" xr:uid="{3B181DA7-558B-4F08-91C6-2EF108D18741}"/>
    <cellStyle name="Normal 2 2 12 3 2 2" xfId="26076" xr:uid="{DADFDF4C-031A-4E25-9D4F-90085FBCDD66}"/>
    <cellStyle name="Normal 2 2 12 3 2 3" xfId="27302" xr:uid="{7C3C2C6B-A376-4C08-B672-72DD1C6DDA24}"/>
    <cellStyle name="Normal 2 2 12 3 2 4" xfId="14369" xr:uid="{87AA43E2-ABF6-4CF1-95E1-324AB002C98D}"/>
    <cellStyle name="Normal 2 2 12 3 3" xfId="6822" xr:uid="{E2C41153-FFAB-4ED0-AB8B-6014853786DF}"/>
    <cellStyle name="Normal 2 2 12 3 3 2" xfId="27509" xr:uid="{CC38DC81-9159-4D28-B7A4-DAC637FEB901}"/>
    <cellStyle name="Normal 2 2 12 3 3 3" xfId="27088" xr:uid="{7EF38C80-B0D3-4DFD-9A0A-41F57020FEC4}"/>
    <cellStyle name="Normal 2 2 12 3 3 4" xfId="17202" xr:uid="{26E52485-6547-4818-9BE2-E34CFBD2E42B}"/>
    <cellStyle name="Normal 2 2 12 3 4" xfId="9655" xr:uid="{6F87446E-73B0-415B-B3DF-BCDB2932CF02}"/>
    <cellStyle name="Normal 2 2 12 3 4 2" xfId="29390" xr:uid="{E1AB4123-829E-472B-8201-5042441F9D0E}"/>
    <cellStyle name="Normal 2 2 12 3 4 3" xfId="20035" xr:uid="{B5528FC7-B11C-4B89-AD12-5EA5CEA3F156}"/>
    <cellStyle name="Normal 2 2 12 3 5" xfId="23589" xr:uid="{E4661236-05E0-4733-83E4-BF38DCBD5CFB}"/>
    <cellStyle name="Normal 2 2 12 3 6" xfId="13147" xr:uid="{59784323-D983-4403-A797-10888BEA3561}"/>
    <cellStyle name="Normal 2 2 12 4" xfId="2319" xr:uid="{00000000-0005-0000-0000-0000A2030000}"/>
    <cellStyle name="Normal 2 2 12 4 2" xfId="7446" xr:uid="{BC4AB11F-05B5-41C6-848E-34FE761CDCF0}"/>
    <cellStyle name="Normal 2 2 12 4 2 2" xfId="27510" xr:uid="{1D0CBB2E-B506-46BE-9D6B-6EAEAD8F035C}"/>
    <cellStyle name="Normal 2 2 12 4 2 3" xfId="17826" xr:uid="{F50110FA-FA26-4B8F-BD48-D96B1E0B9EFD}"/>
    <cellStyle name="Normal 2 2 12 4 3" xfId="10279" xr:uid="{04089D3B-4538-4C52-A27C-4A9708A69974}"/>
    <cellStyle name="Normal 2 2 12 4 3 2" xfId="20659" xr:uid="{2E0D2A35-A4E4-431F-A576-04C14ABCDA3C}"/>
    <cellStyle name="Normal 2 2 12 4 4" xfId="23711" xr:uid="{93C07792-30FE-4B44-9573-26AEFF3A7BF0}"/>
    <cellStyle name="Normal 2 2 12 4 5" xfId="14993" xr:uid="{51B5B4D7-F9FA-4226-9AA7-18D07081935F}"/>
    <cellStyle name="Normal 2 2 12 5" xfId="3924" xr:uid="{80B48330-8868-42AD-8BDC-4ABE101D7FE5}"/>
    <cellStyle name="Normal 2 2 12 5 2" xfId="8756" xr:uid="{0552D940-71B3-43C0-B2DB-648923AA1A54}"/>
    <cellStyle name="Normal 2 2 12 5 2 2" xfId="28978" xr:uid="{B40DC248-C826-4482-AFB1-2C50FE8E20F9}"/>
    <cellStyle name="Normal 2 2 12 5 2 3" xfId="19136" xr:uid="{0DBB2F03-198E-4EA9-9FCB-52E1EB65A82B}"/>
    <cellStyle name="Normal 2 2 12 5 3" xfId="11589" xr:uid="{F8030501-846D-475A-A3BE-5B1CA040C545}"/>
    <cellStyle name="Normal 2 2 12 5 3 2" xfId="21969" xr:uid="{93B94236-8E68-420A-B001-78A4B3C4C0E4}"/>
    <cellStyle name="Normal 2 2 12 5 4" xfId="23011" xr:uid="{FF2626A7-2135-440A-A877-AEE80954058E}"/>
    <cellStyle name="Normal 2 2 12 5 5" xfId="16303" xr:uid="{E8CC1F3D-DAFB-4840-966E-72DE70B7AF30}"/>
    <cellStyle name="Normal 2 2 12 6" xfId="5070" xr:uid="{084EAE70-9054-40F8-BFE2-D35318827036}"/>
    <cellStyle name="Normal 2 2 12 6 2" xfId="28310" xr:uid="{E571C781-2D2F-4739-921B-7BDC8F0ACB39}"/>
    <cellStyle name="Normal 2 2 12 6 3" xfId="26135" xr:uid="{68DF8A38-4DBF-4086-9398-2C368CB90CBF}"/>
    <cellStyle name="Normal 2 2 12 6 4" xfId="14367" xr:uid="{E415832E-07C5-4280-9D6D-23D0D3FCCF5E}"/>
    <cellStyle name="Normal 2 2 12 7" xfId="6820" xr:uid="{BF3DB480-ACE2-4974-AD3C-1760B38EE11C}"/>
    <cellStyle name="Normal 2 2 12 7 2" xfId="26794" xr:uid="{64BE9471-4482-46F0-B926-F236CF48DE7A}"/>
    <cellStyle name="Normal 2 2 12 7 3" xfId="17200" xr:uid="{CDA13340-5781-4640-96A4-DAC67D8249D7}"/>
    <cellStyle name="Normal 2 2 12 8" xfId="9653" xr:uid="{EC8A2C6E-8145-4C6B-98CD-6625A6067AC5}"/>
    <cellStyle name="Normal 2 2 12 8 2" xfId="20033" xr:uid="{E34FB326-D462-4975-BFF1-2D6B474B3857}"/>
    <cellStyle name="Normal 2 2 12 9" xfId="24820" xr:uid="{92E2412E-AE0B-4E04-8A02-EE933A9D2232}"/>
    <cellStyle name="Normal 2 2 13" xfId="717" xr:uid="{00000000-0005-0000-0000-000079040000}"/>
    <cellStyle name="Normal 2 2 13 10" xfId="12499" xr:uid="{61170B46-1634-41C8-94F6-182BD1D0ECF0}"/>
    <cellStyle name="Normal 2 2 13 2" xfId="3148" xr:uid="{00000000-0005-0000-0000-0000A7030000}"/>
    <cellStyle name="Normal 2 2 13 2 2" xfId="6206" xr:uid="{1BE0B72C-EB5F-4A68-ADBB-776D2ABC6E28}"/>
    <cellStyle name="Normal 2 2 13 2 2 2" xfId="22859" xr:uid="{53D22A31-D144-49D0-91AA-1D8AA931FF1F}"/>
    <cellStyle name="Normal 2 2 13 2 2 3" xfId="26299" xr:uid="{D8911CED-764F-48E2-9168-73042C5D13ED}"/>
    <cellStyle name="Normal 2 2 13 2 2 4" xfId="15775" xr:uid="{E725DF8F-2486-44A0-9DDC-35451486C16E}"/>
    <cellStyle name="Normal 2 2 13 2 3" xfId="8228" xr:uid="{8FE612A1-40D0-4D13-BCB0-0744C78DD892}"/>
    <cellStyle name="Normal 2 2 13 2 3 2" xfId="26186" xr:uid="{06BF066D-2D8C-4346-B71C-B793C1B4A8CB}"/>
    <cellStyle name="Normal 2 2 13 2 3 3" xfId="28873" xr:uid="{8129AB89-2906-47C8-9BA7-89EE51578157}"/>
    <cellStyle name="Normal 2 2 13 2 3 4" xfId="18608" xr:uid="{64C64456-37D7-4EE3-92B2-E77B6817AC99}"/>
    <cellStyle name="Normal 2 2 13 2 4" xfId="11061" xr:uid="{FD08E1CF-839E-4985-96D9-9AA4F72A3267}"/>
    <cellStyle name="Normal 2 2 13 2 4 2" xfId="29476" xr:uid="{038BD399-35D3-48F3-8F87-83353631008F}"/>
    <cellStyle name="Normal 2 2 13 2 4 3" xfId="21441" xr:uid="{535D86DE-691C-4D4C-97D3-6C9A8B1E520E}"/>
    <cellStyle name="Normal 2 2 13 2 5" xfId="25158" xr:uid="{C24663EF-B84A-4159-827E-04DA4C4C0947}"/>
    <cellStyle name="Normal 2 2 13 2 6" xfId="13683" xr:uid="{D7D50C91-20D1-4F4F-B216-79150BA26CFA}"/>
    <cellStyle name="Normal 2 2 13 3" xfId="2716" xr:uid="{00000000-0005-0000-0000-0000A8030000}"/>
    <cellStyle name="Normal 2 2 13 3 2" xfId="5934" xr:uid="{D0C06B45-2A7E-4AB6-A718-198594DC2508}"/>
    <cellStyle name="Normal 2 2 13 3 2 2" xfId="27395" xr:uid="{6491416E-F12A-4584-81F1-655F94FF171F}"/>
    <cellStyle name="Normal 2 2 13 3 2 3" xfId="15387" xr:uid="{ED351527-011C-4C1E-AC63-0808C644313D}"/>
    <cellStyle name="Normal 2 2 13 3 3" xfId="7840" xr:uid="{906AFB7C-6C05-4D62-9036-BCB3EF4B597A}"/>
    <cellStyle name="Normal 2 2 13 3 3 2" xfId="18220" xr:uid="{70736B79-02B6-4245-8B46-CAAAA5DE7056}"/>
    <cellStyle name="Normal 2 2 13 3 4" xfId="10673" xr:uid="{2CB8B3FA-0C80-47EE-9634-14D33F0FA550}"/>
    <cellStyle name="Normal 2 2 13 3 4 2" xfId="21053" xr:uid="{F769EB83-E13C-416F-9B09-5D4D5057E829}"/>
    <cellStyle name="Normal 2 2 13 3 5" xfId="25240" xr:uid="{6C3C5C07-9AFA-4E02-B0A6-FA91BFF57E6E}"/>
    <cellStyle name="Normal 2 2 13 3 6" xfId="13144" xr:uid="{1162147A-342C-4981-8B63-09F1ABF2E97A}"/>
    <cellStyle name="Normal 2 2 13 4" xfId="2267" xr:uid="{00000000-0005-0000-0000-0000A6030000}"/>
    <cellStyle name="Normal 2 2 13 4 2" xfId="7394" xr:uid="{89FD8668-7FA1-4059-9FE1-C4A120F59806}"/>
    <cellStyle name="Normal 2 2 13 4 2 2" xfId="26380" xr:uid="{30E68958-E569-42E9-BA2F-E453205D9189}"/>
    <cellStyle name="Normal 2 2 13 4 2 3" xfId="17774" xr:uid="{C11B38C0-F736-4D86-A774-66F20C82FCF6}"/>
    <cellStyle name="Normal 2 2 13 4 3" xfId="10227" xr:uid="{C380EA43-0880-44F7-916A-3D91415E0C58}"/>
    <cellStyle name="Normal 2 2 13 4 3 2" xfId="20607" xr:uid="{1B250137-71E8-4861-B427-84820C9A4C85}"/>
    <cellStyle name="Normal 2 2 13 4 4" xfId="25248" xr:uid="{0774F863-049F-497C-9A81-59CA0A5BAD79}"/>
    <cellStyle name="Normal 2 2 13 4 5" xfId="14941" xr:uid="{9D586C60-AB7D-471D-9DEB-58BC88B4A903}"/>
    <cellStyle name="Normal 2 2 13 5" xfId="3921" xr:uid="{88D0797E-A6BF-4D0F-A6C0-FD36B77BCA0E}"/>
    <cellStyle name="Normal 2 2 13 5 2" xfId="8753" xr:uid="{03051166-9FC1-44DA-988E-9FADE5847749}"/>
    <cellStyle name="Normal 2 2 13 5 2 2" xfId="19133" xr:uid="{7E7697FE-260A-4D9E-AA2B-095703FCCC3B}"/>
    <cellStyle name="Normal 2 2 13 5 3" xfId="11586" xr:uid="{94226967-A082-4D5A-8487-E119D38878D8}"/>
    <cellStyle name="Normal 2 2 13 5 3 2" xfId="21966" xr:uid="{8E1EFF97-26F7-4B56-B54B-BA8AE98EEF0A}"/>
    <cellStyle name="Normal 2 2 13 5 4" xfId="28465" xr:uid="{C6513DD1-384B-4C82-BAD2-CE01468518F9}"/>
    <cellStyle name="Normal 2 2 13 5 5" xfId="16300" xr:uid="{CE55F6FE-2C4D-414D-8412-7E9EC598D893}"/>
    <cellStyle name="Normal 2 2 13 6" xfId="5073" xr:uid="{B3B3FD30-0DA2-4D0B-90F4-16E1CD25FDF6}"/>
    <cellStyle name="Normal 2 2 13 6 2" xfId="14370" xr:uid="{13419BAA-B656-4198-A9F7-5A4FD8DA4709}"/>
    <cellStyle name="Normal 2 2 13 7" xfId="6823" xr:uid="{CEB21734-C8F9-465C-B46A-FCCCCCE8CFCF}"/>
    <cellStyle name="Normal 2 2 13 7 2" xfId="17203" xr:uid="{706C0D92-3F15-4226-8081-848ED9C101B0}"/>
    <cellStyle name="Normal 2 2 13 8" xfId="9656" xr:uid="{C8721B46-B374-4413-9AE3-932F85723B3E}"/>
    <cellStyle name="Normal 2 2 13 8 2" xfId="20036" xr:uid="{FEB40EA4-6CE0-42DE-A328-4F68BE1326E9}"/>
    <cellStyle name="Normal 2 2 13 9" xfId="24745" xr:uid="{C60147FB-826F-443F-AA1A-C1D4BD123A46}"/>
    <cellStyle name="Normal 2 2 14" xfId="718" xr:uid="{00000000-0005-0000-0000-00007A040000}"/>
    <cellStyle name="Normal 2 2 14 2" xfId="3149" xr:uid="{00000000-0005-0000-0000-0000AA030000}"/>
    <cellStyle name="Normal 2 2 14 2 2" xfId="6207" xr:uid="{8F05DB9B-6A25-4038-B62A-F4C873DD9350}"/>
    <cellStyle name="Normal 2 2 14 2 2 2" xfId="28571" xr:uid="{33B1D394-50B2-48C6-8C60-F743ED085D4B}"/>
    <cellStyle name="Normal 2 2 14 2 2 3" xfId="15776" xr:uid="{9F35178A-3720-4778-B1B0-CC80F28CC6AB}"/>
    <cellStyle name="Normal 2 2 14 2 3" xfId="8229" xr:uid="{2044CE16-91FB-4D80-914A-CE644F87D8F4}"/>
    <cellStyle name="Normal 2 2 14 2 3 2" xfId="18609" xr:uid="{D2404AF2-005E-4188-9906-4F235B286828}"/>
    <cellStyle name="Normal 2 2 14 2 4" xfId="11062" xr:uid="{978E363D-3991-4448-883D-E2E7811566D6}"/>
    <cellStyle name="Normal 2 2 14 2 4 2" xfId="21442" xr:uid="{7CD9C325-1851-4180-A5CB-3E7F4E214531}"/>
    <cellStyle name="Normal 2 2 14 2 5" xfId="25280" xr:uid="{0E9922C5-37E1-4CFC-A1AD-C203AD371C98}"/>
    <cellStyle name="Normal 2 2 14 2 6" xfId="13684" xr:uid="{FA8C0126-C36E-4F2D-B7DC-A80CBCD032BF}"/>
    <cellStyle name="Normal 2 2 14 3" xfId="4114" xr:uid="{602DFCFD-72D5-44D7-ACF2-C21656B95719}"/>
    <cellStyle name="Normal 2 2 14 3 2" xfId="8886" xr:uid="{2CCE2982-B565-4F22-8E33-8D5CA20D7F6E}"/>
    <cellStyle name="Normal 2 2 14 3 2 2" xfId="29001" xr:uid="{2C74AD77-220B-4613-8EF4-23EA7DCE53B9}"/>
    <cellStyle name="Normal 2 2 14 3 2 3" xfId="19266" xr:uid="{CA98168B-B65C-4AA5-94DF-F59345996913}"/>
    <cellStyle name="Normal 2 2 14 3 3" xfId="11719" xr:uid="{78412A5D-245A-4544-97D0-24E00F40E1FB}"/>
    <cellStyle name="Normal 2 2 14 3 3 2" xfId="22099" xr:uid="{76B852D3-6881-4247-B526-76ED020D3A4D}"/>
    <cellStyle name="Normal 2 2 14 3 4" xfId="25692" xr:uid="{75B9DCA7-9735-49CB-B831-5B7CB6738F60}"/>
    <cellStyle name="Normal 2 2 14 3 5" xfId="16433" xr:uid="{0D9D12F8-7C95-49C3-93C2-5B61176932CC}"/>
    <cellStyle name="Normal 2 2 14 4" xfId="5074" xr:uid="{0FE830B5-3A30-4425-8BA3-1607EFF37B17}"/>
    <cellStyle name="Normal 2 2 14 4 2" xfId="25634" xr:uid="{CA7AE7FF-9709-40FF-9F56-95356DE17C7B}"/>
    <cellStyle name="Normal 2 2 14 4 3" xfId="26939" xr:uid="{C80C593B-D2C3-4351-A7D5-8F610999EDE7}"/>
    <cellStyle name="Normal 2 2 14 4 4" xfId="14371" xr:uid="{1BB74058-6697-4959-92B2-21F05B0323C1}"/>
    <cellStyle name="Normal 2 2 14 5" xfId="6824" xr:uid="{C93C6F00-7AA6-4DFD-83A2-657CD0BC4C50}"/>
    <cellStyle name="Normal 2 2 14 5 2" xfId="28718" xr:uid="{8A97C4F5-E096-4825-9758-77B6F6DA2CD0}"/>
    <cellStyle name="Normal 2 2 14 5 3" xfId="17204" xr:uid="{BE1AB2A4-25C8-48F8-AD75-90D61AD378D0}"/>
    <cellStyle name="Normal 2 2 14 5 4" xfId="30763" xr:uid="{8AD1CA2C-A2B8-4B87-9F3E-ADCFBCC180C2}"/>
    <cellStyle name="Normal 2 2 14 6" xfId="9657" xr:uid="{74930A9B-473A-4A6C-8087-6DB80EE741A5}"/>
    <cellStyle name="Normal 2 2 14 6 2" xfId="20037" xr:uid="{24AF2EAD-E8F1-441C-8B69-9B4ADD7029B5}"/>
    <cellStyle name="Normal 2 2 14 7" xfId="25035" xr:uid="{BEC619D2-5B98-42AF-BBF7-4FB6E12567A9}"/>
    <cellStyle name="Normal 2 2 14 8" xfId="12657" xr:uid="{63162DEC-A129-4FF9-A03A-433E2293C74C}"/>
    <cellStyle name="Normal 2 2 15" xfId="719" xr:uid="{00000000-0005-0000-0000-00007B040000}"/>
    <cellStyle name="Normal 2 2 15 2" xfId="5075" xr:uid="{99306018-F539-426E-AFF6-71AB4177B221}"/>
    <cellStyle name="Normal 2 2 15 2 2" xfId="24898" xr:uid="{E75E3B17-5623-440A-8AC2-87E8488F28F8}"/>
    <cellStyle name="Normal 2 2 15 2 3" xfId="27594" xr:uid="{0DEC1CF2-4696-41D2-BDF1-5213B9DC73D4}"/>
    <cellStyle name="Normal 2 2 15 2 4" xfId="14372" xr:uid="{8A48EF3E-8497-433A-B4E0-FC09E0C9B29D}"/>
    <cellStyle name="Normal 2 2 15 3" xfId="6825" xr:uid="{2AFC4162-E263-4598-B568-AA1597C44A31}"/>
    <cellStyle name="Normal 2 2 15 3 2" xfId="23601" xr:uid="{25F08F60-A152-4AFF-9E13-906EB14A6DBF}"/>
    <cellStyle name="Normal 2 2 15 3 3" xfId="17205" xr:uid="{C4B807F5-A277-4249-AB06-7D0E0B3D6BF2}"/>
    <cellStyle name="Normal 2 2 15 4" xfId="9658" xr:uid="{F7968E4B-B502-4F1E-82C8-90DBD07CB023}"/>
    <cellStyle name="Normal 2 2 15 4 2" xfId="20038" xr:uid="{6CBDC6EB-DB76-4B70-AB04-21547ACF243C}"/>
    <cellStyle name="Normal 2 2 15 5" xfId="25483" xr:uid="{F089609E-A798-4813-922E-69531170DBF7}"/>
    <cellStyle name="Normal 2 2 15 6" xfId="13355" xr:uid="{1F482952-DA57-4E9F-823C-05C97A7B78EE}"/>
    <cellStyle name="Normal 2 2 16" xfId="2430" xr:uid="{00000000-0005-0000-0000-0000AC030000}"/>
    <cellStyle name="Normal 2 2 16 2" xfId="5727" xr:uid="{E66317E7-6FD0-4B91-B500-9D3330F0A614}"/>
    <cellStyle name="Normal 2 2 16 2 2" xfId="26391" xr:uid="{ABDA310A-0346-4DC4-984F-29ED74B584EF}"/>
    <cellStyle name="Normal 2 2 16 2 3" xfId="15102" xr:uid="{A6040207-EB44-4575-8EA9-C4CE90C60DC5}"/>
    <cellStyle name="Normal 2 2 16 3" xfId="7555" xr:uid="{1514F63C-9927-45A2-B5F6-B96FBA1E7225}"/>
    <cellStyle name="Normal 2 2 16 3 2" xfId="17935" xr:uid="{E0721F0A-358B-4AE8-9224-B0BFCC2F56D7}"/>
    <cellStyle name="Normal 2 2 16 4" xfId="10388" xr:uid="{FF4F799A-66E3-4F40-B618-37BB9F15E6A9}"/>
    <cellStyle name="Normal 2 2 16 4 2" xfId="20768" xr:uid="{C773C84F-6066-46CF-883F-384DBDBBE522}"/>
    <cellStyle name="Normal 2 2 16 5" xfId="25422" xr:uid="{A63BB850-207E-4F37-B731-B70170A9DB5E}"/>
    <cellStyle name="Normal 2 2 16 6" xfId="12816" xr:uid="{7EF3574B-DB58-4C59-B778-7C91746B762A}"/>
    <cellStyle name="Normal 2 2 17" xfId="2157" xr:uid="{00000000-0005-0000-0000-000095030000}"/>
    <cellStyle name="Normal 2 2 17 2" xfId="7284" xr:uid="{B4EC62D9-AF82-4025-970D-EA4C3E026774}"/>
    <cellStyle name="Normal 2 2 17 2 2" xfId="26238" xr:uid="{6DAF2BCE-0C86-4D88-9E2F-78E919AFD190}"/>
    <cellStyle name="Normal 2 2 17 2 3" xfId="17664" xr:uid="{1E015E8D-58DC-456F-BDFE-E140A635E965}"/>
    <cellStyle name="Normal 2 2 17 3" xfId="10117" xr:uid="{2EC4786D-A0A0-483A-9CB6-2C0C04AACC31}"/>
    <cellStyle name="Normal 2 2 17 3 2" xfId="20497" xr:uid="{0E6F1898-8781-4A3A-BF71-DBEE4D01B0BB}"/>
    <cellStyle name="Normal 2 2 17 4" xfId="23736" xr:uid="{A8D75A14-F8ED-4363-B00E-9520DBE2BB4B}"/>
    <cellStyle name="Normal 2 2 17 5" xfId="14831" xr:uid="{B1CA58E7-00A2-41F1-9A0F-BDFFC5AAD87E}"/>
    <cellStyle name="Normal 2 2 18" xfId="3780" xr:uid="{1A373675-4207-447F-B1B4-24466C74361E}"/>
    <cellStyle name="Normal 2 2 18 2" xfId="8620" xr:uid="{A213806B-ABAF-492B-B6D9-CA5737F09E61}"/>
    <cellStyle name="Normal 2 2 18 2 2" xfId="19000" xr:uid="{160AAC24-51E3-424E-AD27-F18D3F8AE720}"/>
    <cellStyle name="Normal 2 2 18 3" xfId="11453" xr:uid="{5ACF6E83-7460-44A6-9393-BEDF0BFE2652}"/>
    <cellStyle name="Normal 2 2 18 3 2" xfId="21833" xr:uid="{16E87DC4-FD90-46D1-A322-126D2F2E83E0}"/>
    <cellStyle name="Normal 2 2 18 4" xfId="24738" xr:uid="{AA2FF3AD-A4EF-4B36-8436-1AADB93BDB37}"/>
    <cellStyle name="Normal 2 2 18 5" xfId="16167" xr:uid="{AC157D38-856C-4580-B563-DCA32EBD428F}"/>
    <cellStyle name="Normal 2 2 19" xfId="5061" xr:uid="{BC3E59D0-D094-48BD-81F3-E96859DFE0F0}"/>
    <cellStyle name="Normal 2 2 19 2" xfId="14358" xr:uid="{AD30DF1C-1582-45A7-99EE-46D101CF8C51}"/>
    <cellStyle name="Normal 2 2 2" xfId="720" xr:uid="{00000000-0005-0000-0000-00007C040000}"/>
    <cellStyle name="Normal 2 2 2 2" xfId="29565" xr:uid="{0140F41A-A7F6-4E64-8D0A-7ADB50A575AD}"/>
    <cellStyle name="Normal 2 2 20" xfId="6811" xr:uid="{9AA093BE-465D-42F9-802A-DCF38D2C3E24}"/>
    <cellStyle name="Normal 2 2 20 2" xfId="17191" xr:uid="{B7BD99B6-0B8B-4E45-BB86-E9AAD9928BCD}"/>
    <cellStyle name="Normal 2 2 21" xfId="9644" xr:uid="{0A98CF2D-EF20-429F-B97D-47442972AF38}"/>
    <cellStyle name="Normal 2 2 21 2" xfId="20024" xr:uid="{A91E6670-104C-49CF-BFCC-DB2F2A80100C}"/>
    <cellStyle name="Normal 2 2 22" xfId="23645" xr:uid="{0A2E6619-5DD4-4182-B404-64DD36161338}"/>
    <cellStyle name="Normal 2 2 23" xfId="12388"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50" xr:uid="{00000000-0005-0000-0000-0000B1030000}"/>
    <cellStyle name="Normal 2 2 4 10 2 2" xfId="6208" xr:uid="{D7D969D3-4E61-4406-BF24-BF599DCF1FAF}"/>
    <cellStyle name="Normal 2 2 4 10 2 2 2" xfId="26540" xr:uid="{E88740FE-679A-4BE2-AB30-5E1E4717FB7B}"/>
    <cellStyle name="Normal 2 2 4 10 2 2 3" xfId="15777" xr:uid="{F38DC642-4549-412E-BBDA-A3A6DD21FAE8}"/>
    <cellStyle name="Normal 2 2 4 10 2 3" xfId="8230" xr:uid="{D6982DF3-9915-4EEC-9953-5C07FCBC40B5}"/>
    <cellStyle name="Normal 2 2 4 10 2 3 2" xfId="18610" xr:uid="{0946FFCE-0946-4566-BB07-7342E0525B8C}"/>
    <cellStyle name="Normal 2 2 4 10 2 4" xfId="11063" xr:uid="{526B7178-26B3-4B9F-BAE8-574354D1F0EB}"/>
    <cellStyle name="Normal 2 2 4 10 2 4 2" xfId="21443" xr:uid="{AC1455A0-CF64-4E90-A7EF-26CE4100BB90}"/>
    <cellStyle name="Normal 2 2 4 10 2 5" xfId="24283" xr:uid="{3C5BC3D8-8C4D-426E-8F06-8F3538AF29AB}"/>
    <cellStyle name="Normal 2 2 4 10 2 6" xfId="13685" xr:uid="{48B9F930-0C25-4581-8E69-79189B949E6F}"/>
    <cellStyle name="Normal 2 2 4 10 3" xfId="4156" xr:uid="{0FD2C3DC-255B-49BE-9FF6-4AC92C7D63F7}"/>
    <cellStyle name="Normal 2 2 4 10 3 2" xfId="8928" xr:uid="{80F2C0FB-F1DC-4258-AD0E-0DD06142707D}"/>
    <cellStyle name="Normal 2 2 4 10 3 2 2" xfId="29027" xr:uid="{37D72171-B24D-4194-B4D3-0A959E954D4C}"/>
    <cellStyle name="Normal 2 2 4 10 3 2 3" xfId="19308" xr:uid="{0681EC7E-E68D-4E35-B1B5-2655A10948DE}"/>
    <cellStyle name="Normal 2 2 4 10 3 3" xfId="11761" xr:uid="{FB782192-D2F5-470E-9650-80D7248ADBA5}"/>
    <cellStyle name="Normal 2 2 4 10 3 3 2" xfId="22141" xr:uid="{6E3AFC5A-8E1D-454F-B124-8B28C999AE87}"/>
    <cellStyle name="Normal 2 2 4 10 3 4" xfId="25697" xr:uid="{960F127A-99EC-4F61-836C-569C208D49CA}"/>
    <cellStyle name="Normal 2 2 4 10 3 5" xfId="16475" xr:uid="{9FDA4D38-87A1-433B-9B04-BCCC15C7061F}"/>
    <cellStyle name="Normal 2 2 4 10 4" xfId="5077" xr:uid="{1FCF3AF0-FBC6-4D63-B3BA-20A01A6167FF}"/>
    <cellStyle name="Normal 2 2 4 10 4 2" xfId="24033" xr:uid="{1E9FBC44-0CCC-4A72-9906-A1159634CC09}"/>
    <cellStyle name="Normal 2 2 4 10 4 3" xfId="26852" xr:uid="{C9EF5E2D-A247-4207-82D8-EEE74AFA64FD}"/>
    <cellStyle name="Normal 2 2 4 10 4 4" xfId="14374" xr:uid="{A90D1DCD-BBBB-4311-AE23-3B6BA1E3AF5D}"/>
    <cellStyle name="Normal 2 2 4 10 5" xfId="6827" xr:uid="{3A3629AD-74B0-46DD-930A-D13A43E4B5A8}"/>
    <cellStyle name="Normal 2 2 4 10 5 2" xfId="27194" xr:uid="{EE7C6482-5934-4C5E-8210-9C33C60F11DA}"/>
    <cellStyle name="Normal 2 2 4 10 5 3" xfId="17207" xr:uid="{2EA77B2A-9F6B-494B-9CDD-F0DCBF707307}"/>
    <cellStyle name="Normal 2 2 4 10 6" xfId="9660" xr:uid="{C57FB809-5FE2-45E4-ACDC-C1DBA03283E4}"/>
    <cellStyle name="Normal 2 2 4 10 6 2" xfId="20040" xr:uid="{CDB3F3D8-A21A-4F07-ADB0-05173762F68D}"/>
    <cellStyle name="Normal 2 2 4 10 7" xfId="22880" xr:uid="{5CF308C9-6D51-4643-9E2C-5CA6A840CF6A}"/>
    <cellStyle name="Normal 2 2 4 10 8" xfId="12712" xr:uid="{E7A9E7AD-6F08-45B4-9A3F-FF2B6DF2184A}"/>
    <cellStyle name="Normal 2 2 4 11" xfId="724" xr:uid="{00000000-0005-0000-0000-000080040000}"/>
    <cellStyle name="Normal 2 2 4 11 2" xfId="5078" xr:uid="{B2B51439-26A5-4C50-95D8-D9A322E62328}"/>
    <cellStyle name="Normal 2 2 4 11 2 2" xfId="25678" xr:uid="{C402C1D2-4423-4CDA-ADCF-C57202F1D021}"/>
    <cellStyle name="Normal 2 2 4 11 2 3" xfId="26359" xr:uid="{056DCAAC-24E9-43A1-82A6-0C9A315D56AD}"/>
    <cellStyle name="Normal 2 2 4 11 2 4" xfId="14375" xr:uid="{872521E7-6E08-4614-B377-4B95D2864DA4}"/>
    <cellStyle name="Normal 2 2 4 11 3" xfId="6828" xr:uid="{7C2751A7-702E-4DF4-9E80-C1AE00BF3135}"/>
    <cellStyle name="Normal 2 2 4 11 3 2" xfId="27643" xr:uid="{19F6A390-B923-463C-9013-7110AED7F8C9}"/>
    <cellStyle name="Normal 2 2 4 11 3 3" xfId="17208" xr:uid="{AC1AC1C8-1FF9-407E-943E-53543251EF25}"/>
    <cellStyle name="Normal 2 2 4 11 4" xfId="9661" xr:uid="{19073B8C-2791-4F34-812F-A2DE9320F133}"/>
    <cellStyle name="Normal 2 2 4 11 4 2" xfId="20041" xr:uid="{34810A10-8551-4547-9322-99F6D9A4A5EA}"/>
    <cellStyle name="Normal 2 2 4 11 5" xfId="23142" xr:uid="{416C81B3-0819-4BF8-9A30-32B0AC090322}"/>
    <cellStyle name="Normal 2 2 4 11 6" xfId="13410" xr:uid="{FC688F8D-7DA8-4750-8693-6F6C1C293274}"/>
    <cellStyle name="Normal 2 2 4 12" xfId="2437" xr:uid="{00000000-0005-0000-0000-0000B3030000}"/>
    <cellStyle name="Normal 2 2 4 12 2" xfId="5732" xr:uid="{1CA93B62-87E4-4705-96DD-F355FB40FC33}"/>
    <cellStyle name="Normal 2 2 4 12 2 2" xfId="27529" xr:uid="{693F9F83-E752-4F7D-B8DA-264691227F4E}"/>
    <cellStyle name="Normal 2 2 4 12 2 3" xfId="15109" xr:uid="{F5B0BC0C-3FEA-4385-B77E-05F42AF9B996}"/>
    <cellStyle name="Normal 2 2 4 12 3" xfId="7562" xr:uid="{D54A0966-299F-4FC9-8FED-1E10BBEC96F3}"/>
    <cellStyle name="Normal 2 2 4 12 3 2" xfId="17942" xr:uid="{26E2A7A7-1EAB-45EE-920C-AD013DF7E206}"/>
    <cellStyle name="Normal 2 2 4 12 4" xfId="10395" xr:uid="{C84F7657-F60B-4659-BC49-8D0BE4A04CC6}"/>
    <cellStyle name="Normal 2 2 4 12 4 2" xfId="20775" xr:uid="{5769F3AE-2EF9-48C9-AB5C-93E5211D5A0F}"/>
    <cellStyle name="Normal 2 2 4 12 5" xfId="24008" xr:uid="{FABCEE1E-7C42-4836-8C1F-79CA52228F4A}"/>
    <cellStyle name="Normal 2 2 4 12 6" xfId="12824" xr:uid="{676C421A-797B-4EB2-918A-9AC76E6E9645}"/>
    <cellStyle name="Normal 2 2 4 13" xfId="2167" xr:uid="{00000000-0005-0000-0000-0000AF030000}"/>
    <cellStyle name="Normal 2 2 4 13 2" xfId="7294" xr:uid="{F1BFA181-64C5-4E4A-ABD0-7974201F6931}"/>
    <cellStyle name="Normal 2 2 4 13 2 2" xfId="26398" xr:uid="{C5112DC9-9925-499D-B2E9-335E18D7B2D2}"/>
    <cellStyle name="Normal 2 2 4 13 2 3" xfId="17674" xr:uid="{F344F0F8-8DF6-4F0A-BAB4-42D5F92328BF}"/>
    <cellStyle name="Normal 2 2 4 13 3" xfId="10127" xr:uid="{E442D80D-08EC-4EAA-BC94-B6780007F958}"/>
    <cellStyle name="Normal 2 2 4 13 3 2" xfId="20507" xr:uid="{246E3730-AF31-49D0-A8E0-7E7785E2D887}"/>
    <cellStyle name="Normal 2 2 4 13 4" xfId="23599" xr:uid="{D26C7D18-001A-43BB-9815-B9CF2762C3E7}"/>
    <cellStyle name="Normal 2 2 4 13 5" xfId="14841" xr:uid="{A06D253D-74AA-4949-A3C4-488C2ED85076}"/>
    <cellStyle name="Normal 2 2 4 14" xfId="3927" xr:uid="{9224FE76-AF9F-40C7-9E4B-7A38724FA954}"/>
    <cellStyle name="Normal 2 2 4 14 2" xfId="8759" xr:uid="{6E95594E-0165-4B4D-ADF3-14A3EE4DDC8E}"/>
    <cellStyle name="Normal 2 2 4 14 2 2" xfId="19139" xr:uid="{2422C39E-40B6-44E7-8B83-F4CBD35700F8}"/>
    <cellStyle name="Normal 2 2 4 14 3" xfId="11592" xr:uid="{BC9F1DA9-C5F5-42AD-BD86-0A771A3DF603}"/>
    <cellStyle name="Normal 2 2 4 14 3 2" xfId="21972" xr:uid="{4D8611E8-F2C4-448E-BE12-76FC605A333A}"/>
    <cellStyle name="Normal 2 2 4 14 4" xfId="27370" xr:uid="{FE9CCE05-EF0F-418B-AE5C-0376211A82BB}"/>
    <cellStyle name="Normal 2 2 4 14 5" xfId="16306" xr:uid="{10BBC8C1-DA61-4642-8926-FA9976CAA80E}"/>
    <cellStyle name="Normal 2 2 4 15" xfId="5076" xr:uid="{3F321B4F-E47A-4304-B738-AE2327016E19}"/>
    <cellStyle name="Normal 2 2 4 15 2" xfId="14373" xr:uid="{AE14D018-34CD-4C44-BCC8-1E57CECF4998}"/>
    <cellStyle name="Normal 2 2 4 16" xfId="6826" xr:uid="{1BB3EEC8-AF94-4899-A302-68D57360357C}"/>
    <cellStyle name="Normal 2 2 4 16 2" xfId="17206" xr:uid="{A687550A-8C82-42DC-9A95-3E243EE3767B}"/>
    <cellStyle name="Normal 2 2 4 17" xfId="9659" xr:uid="{C6FCDE00-F4C5-44DE-844A-7083A1A96C98}"/>
    <cellStyle name="Normal 2 2 4 17 2" xfId="20039" xr:uid="{B61EA2A4-DD29-4E0D-90E6-932E4981EC6A}"/>
    <cellStyle name="Normal 2 2 4 18" xfId="23385" xr:uid="{E36E8115-6050-4A3E-9EF7-52F5E1BB4ED5}"/>
    <cellStyle name="Normal 2 2 4 19" xfId="12399" xr:uid="{7149CC92-E14B-4B1D-A89B-503FF7AF0A7B}"/>
    <cellStyle name="Normal 2 2 4 2" xfId="725" xr:uid="{00000000-0005-0000-0000-000081040000}"/>
    <cellStyle name="Normal 2 2 4 2 10" xfId="5079" xr:uid="{082F0210-4C72-422F-80F9-ACC646677EA2}"/>
    <cellStyle name="Normal 2 2 4 2 10 2" xfId="14376" xr:uid="{94822CAF-2092-49A9-B8CD-410DA0A1A116}"/>
    <cellStyle name="Normal 2 2 4 2 11" xfId="6829" xr:uid="{242FD371-17D0-477D-B9D8-109C3D143C7C}"/>
    <cellStyle name="Normal 2 2 4 2 11 2" xfId="17209" xr:uid="{065C0B98-270C-4FA0-BFD9-19E1970F6214}"/>
    <cellStyle name="Normal 2 2 4 2 12" xfId="9662" xr:uid="{9EC68AC5-DB34-4CC7-9026-D9E313DA6B00}"/>
    <cellStyle name="Normal 2 2 4 2 12 2" xfId="20042" xr:uid="{9D0222BA-8F09-45F6-B777-449CA78646CA}"/>
    <cellStyle name="Normal 2 2 4 2 13" xfId="24969" xr:uid="{0C738B10-8E93-4856-BCB1-B19FD7867AA7}"/>
    <cellStyle name="Normal 2 2 4 2 14" xfId="12422" xr:uid="{384D961C-EC37-4EA2-A57F-262696283CE4}"/>
    <cellStyle name="Normal 2 2 4 2 2" xfId="726" xr:uid="{00000000-0005-0000-0000-000082040000}"/>
    <cellStyle name="Normal 2 2 4 2 2 10" xfId="6830" xr:uid="{BE5F802E-0A33-4C0C-B22F-904F96F5C12D}"/>
    <cellStyle name="Normal 2 2 4 2 2 10 2" xfId="17210" xr:uid="{0E0A262A-9010-4CD1-BFCB-467216AADD64}"/>
    <cellStyle name="Normal 2 2 4 2 2 11" xfId="9663" xr:uid="{ABFE3BC2-408D-4C96-99C4-97DE3C927B68}"/>
    <cellStyle name="Normal 2 2 4 2 2 11 2" xfId="20043" xr:uid="{7F457473-275E-44E9-8293-D49E2EC6900B}"/>
    <cellStyle name="Normal 2 2 4 2 2 12" xfId="23568" xr:uid="{714019CF-C46E-40AB-935E-1D4B4ECBD1B9}"/>
    <cellStyle name="Normal 2 2 4 2 2 13" xfId="12482" xr:uid="{18DB36CC-DB17-43E4-811E-FC915DA0DCCC}"/>
    <cellStyle name="Normal 2 2 4 2 2 2" xfId="727" xr:uid="{00000000-0005-0000-0000-000083040000}"/>
    <cellStyle name="Normal 2 2 4 2 2 2 10" xfId="13047" xr:uid="{B75C6799-77DF-49EF-B0AB-0CAF2F2B5AA6}"/>
    <cellStyle name="Normal 2 2 4 2 2 2 2" xfId="2722" xr:uid="{00000000-0005-0000-0000-0000B7030000}"/>
    <cellStyle name="Normal 2 2 4 2 2 2 2 2" xfId="3153" xr:uid="{00000000-0005-0000-0000-0000B8030000}"/>
    <cellStyle name="Normal 2 2 4 2 2 2 2 2 2" xfId="6211" xr:uid="{2699C163-FD31-4EAE-A8F7-B64A6502ECF7}"/>
    <cellStyle name="Normal 2 2 4 2 2 2 2 2 2 2" xfId="27310" xr:uid="{979CD163-8371-46E5-A003-E51E3D7A9388}"/>
    <cellStyle name="Normal 2 2 4 2 2 2 2 2 2 3" xfId="15780" xr:uid="{F6DCBA35-A6CE-45ED-8A34-3DB0D43A58A2}"/>
    <cellStyle name="Normal 2 2 4 2 2 2 2 2 3" xfId="8233" xr:uid="{F0D0C146-855C-4C83-8150-0B386D5B8ED4}"/>
    <cellStyle name="Normal 2 2 4 2 2 2 2 2 3 2" xfId="18613" xr:uid="{6399A8DE-701C-4DB0-91AB-D921947BE8E1}"/>
    <cellStyle name="Normal 2 2 4 2 2 2 2 2 4" xfId="11066" xr:uid="{1E9C24A1-9573-4B38-8468-E68552F1F4BA}"/>
    <cellStyle name="Normal 2 2 4 2 2 2 2 2 4 2" xfId="21446" xr:uid="{6EA31103-5C99-4B3E-AD13-B9D29EBA98AE}"/>
    <cellStyle name="Normal 2 2 4 2 2 2 2 2 5" xfId="25299" xr:uid="{2DD1FCC2-D5B0-44E4-80A1-FF322D89482A}"/>
    <cellStyle name="Normal 2 2 4 2 2 2 2 2 6" xfId="13688" xr:uid="{00D91A39-C71B-4EF1-940F-2B85EFA0B76C}"/>
    <cellStyle name="Normal 2 2 4 2 2 2 2 3" xfId="4289" xr:uid="{EB4C999B-FD68-43F3-85D7-E9F10D41EA3E}"/>
    <cellStyle name="Normal 2 2 4 2 2 2 2 3 2" xfId="9061" xr:uid="{D55F9012-33D5-4D08-A084-FDFFB9E1BD7C}"/>
    <cellStyle name="Normal 2 2 4 2 2 2 2 3 2 2" xfId="29104" xr:uid="{0037F71B-AF57-417B-B0C1-9187E1724F27}"/>
    <cellStyle name="Normal 2 2 4 2 2 2 2 3 2 3" xfId="19441" xr:uid="{35B5BCF0-9220-4EAF-8043-00F118D02DCA}"/>
    <cellStyle name="Normal 2 2 4 2 2 2 2 3 3" xfId="11894" xr:uid="{15FFEA8F-AD61-42BA-B4DF-77F494056622}"/>
    <cellStyle name="Normal 2 2 4 2 2 2 2 3 3 2" xfId="22274" xr:uid="{DDAA0DAD-3748-447D-859F-158EAAB2B3D1}"/>
    <cellStyle name="Normal 2 2 4 2 2 2 2 3 4" xfId="25557" xr:uid="{88F7A1A7-A134-4BD9-BEF1-7FA3B8A59D87}"/>
    <cellStyle name="Normal 2 2 4 2 2 2 2 3 5" xfId="16608" xr:uid="{EB03052E-F658-45EF-B3DB-852A4C7BB8AE}"/>
    <cellStyle name="Normal 2 2 4 2 2 2 2 4" xfId="5940" xr:uid="{CB7445F3-EDE3-4EE8-B6F9-3A408AAD304B}"/>
    <cellStyle name="Normal 2 2 4 2 2 2 2 4 2" xfId="26545" xr:uid="{88071224-704B-408D-9737-7F52197591E3}"/>
    <cellStyle name="Normal 2 2 4 2 2 2 2 4 3" xfId="15393" xr:uid="{78E75524-9F07-495E-8BF3-3BAF4F5DD576}"/>
    <cellStyle name="Normal 2 2 4 2 2 2 2 5" xfId="7846" xr:uid="{5D107997-4F67-464D-A286-B2B2A0262103}"/>
    <cellStyle name="Normal 2 2 4 2 2 2 2 5 2" xfId="18226" xr:uid="{AA40D164-9E2D-4A13-910B-3D371DE141C5}"/>
    <cellStyle name="Normal 2 2 4 2 2 2 2 6" xfId="10679" xr:uid="{18926BE6-A7E2-4432-B7DE-3E917506226E}"/>
    <cellStyle name="Normal 2 2 4 2 2 2 2 6 2" xfId="21059" xr:uid="{5DB5DD18-242B-488B-BD94-C1C85C86F788}"/>
    <cellStyle name="Normal 2 2 4 2 2 2 2 7" xfId="23628" xr:uid="{83E0FFC2-481C-45AE-8A7D-75DA91E86A48}"/>
    <cellStyle name="Normal 2 2 4 2 2 2 2 8" xfId="13151" xr:uid="{C5B5A001-DC74-4D19-AFCD-13258C952985}"/>
    <cellStyle name="Normal 2 2 4 2 2 2 3" xfId="3154" xr:uid="{00000000-0005-0000-0000-0000B9030000}"/>
    <cellStyle name="Normal 2 2 4 2 2 2 3 2" xfId="4453" xr:uid="{4A97CEB2-5003-4355-8B57-CF23B36F416D}"/>
    <cellStyle name="Normal 2 2 4 2 2 2 3 2 2" xfId="9225" xr:uid="{F5720346-86C9-4C63-BA2E-BAE188667089}"/>
    <cellStyle name="Normal 2 2 4 2 2 2 3 2 2 2" xfId="19605" xr:uid="{9305AE05-2DFF-4B0F-A9D4-8809704FA2E9}"/>
    <cellStyle name="Normal 2 2 4 2 2 2 3 2 3" xfId="12058" xr:uid="{ECFF396C-25C3-49B8-AA48-4D7D1EBC0BDB}"/>
    <cellStyle name="Normal 2 2 4 2 2 2 3 2 3 2" xfId="22438" xr:uid="{2BC92043-679A-4766-9259-2405F2EA928F}"/>
    <cellStyle name="Normal 2 2 4 2 2 2 3 2 4" xfId="26058" xr:uid="{ED0E0944-5CEF-4C9C-AA0F-E258430D90A9}"/>
    <cellStyle name="Normal 2 2 4 2 2 2 3 2 5" xfId="16772" xr:uid="{55BE370F-B348-471C-8745-E120F97BE2A0}"/>
    <cellStyle name="Normal 2 2 4 2 2 2 3 3" xfId="6212" xr:uid="{CF2B2C7D-8D4A-4128-AE44-E970B94FCAE1}"/>
    <cellStyle name="Normal 2 2 4 2 2 2 3 3 2" xfId="15781" xr:uid="{B75D01FD-8740-465A-8152-A77BC1D4819D}"/>
    <cellStyle name="Normal 2 2 4 2 2 2 3 4" xfId="8234" xr:uid="{CEBD421D-9A20-422F-AC86-CA9DEA90F093}"/>
    <cellStyle name="Normal 2 2 4 2 2 2 3 4 2" xfId="18614" xr:uid="{1B2C86E2-3FE6-4F5C-BA72-F9B27B3FBC4B}"/>
    <cellStyle name="Normal 2 2 4 2 2 2 3 5" xfId="11067" xr:uid="{505C8031-27A6-4614-A3C4-177C0D99977D}"/>
    <cellStyle name="Normal 2 2 4 2 2 2 3 5 2" xfId="21447" xr:uid="{4C04D953-6EF7-4BBC-BA46-8EFDD1D1EA4D}"/>
    <cellStyle name="Normal 2 2 4 2 2 2 3 6" xfId="24288" xr:uid="{171037B2-2BB0-4C29-BBCE-68189D2748E9}"/>
    <cellStyle name="Normal 2 2 4 2 2 2 3 7" xfId="13689" xr:uid="{271CF764-F5C9-47CB-857B-A73B69E6962C}"/>
    <cellStyle name="Normal 2 2 4 2 2 2 4" xfId="3152" xr:uid="{00000000-0005-0000-0000-0000BA030000}"/>
    <cellStyle name="Normal 2 2 4 2 2 2 4 2" xfId="6210" xr:uid="{E91A0431-FCC1-463D-BD9C-F55AA905BE01}"/>
    <cellStyle name="Normal 2 2 4 2 2 2 4 2 2" xfId="27582" xr:uid="{7798AA59-ECF7-4EA6-AE66-36AF8239076A}"/>
    <cellStyle name="Normal 2 2 4 2 2 2 4 2 3" xfId="15779" xr:uid="{3D255CEF-B0D7-4594-8D79-B28B7B704CE7}"/>
    <cellStyle name="Normal 2 2 4 2 2 2 4 3" xfId="8232" xr:uid="{0CD3A607-C712-4534-B9B7-8F82DE39D3A1}"/>
    <cellStyle name="Normal 2 2 4 2 2 2 4 3 2" xfId="18612" xr:uid="{847B1C1E-5B45-4EA7-9A71-E2F0ED75139E}"/>
    <cellStyle name="Normal 2 2 4 2 2 2 4 4" xfId="11065" xr:uid="{314174BA-CE9E-4BBB-86B5-4BE1B74BFD55}"/>
    <cellStyle name="Normal 2 2 4 2 2 2 4 4 2" xfId="21445" xr:uid="{BF5AEE3C-78FF-46DD-B096-C3648047178D}"/>
    <cellStyle name="Normal 2 2 4 2 2 2 4 5" xfId="24463" xr:uid="{CE55173A-4A4F-4D6C-9EB6-0BBA474A68A0}"/>
    <cellStyle name="Normal 2 2 4 2 2 2 4 6" xfId="13687" xr:uid="{BBE612DB-E7AA-4BE9-B15F-44A38468F16D}"/>
    <cellStyle name="Normal 2 2 4 2 2 2 5" xfId="4246" xr:uid="{A5837D72-58FA-4ACE-83A8-4C32A870CADD}"/>
    <cellStyle name="Normal 2 2 4 2 2 2 5 2" xfId="9018" xr:uid="{3911FCCB-8233-454F-8863-A3272D932E7B}"/>
    <cellStyle name="Normal 2 2 4 2 2 2 5 2 2" xfId="29089" xr:uid="{559997CF-28FA-4C70-AEF7-995D956D328F}"/>
    <cellStyle name="Normal 2 2 4 2 2 2 5 2 3" xfId="19398" xr:uid="{6AA6EA60-8522-44FD-82C6-A119F68309F5}"/>
    <cellStyle name="Normal 2 2 4 2 2 2 5 3" xfId="11851" xr:uid="{E81DFAA3-3FDC-4207-982E-6BBCB881398F}"/>
    <cellStyle name="Normal 2 2 4 2 2 2 5 3 2" xfId="22231" xr:uid="{F4A4E475-A61A-492B-AD1A-F651E84955C9}"/>
    <cellStyle name="Normal 2 2 4 2 2 2 5 4" xfId="23356" xr:uid="{4A63525E-46BF-4176-BD63-81BE8045E9C6}"/>
    <cellStyle name="Normal 2 2 4 2 2 2 5 5" xfId="16565" xr:uid="{B6518A45-8C55-4D40-819C-2C376C91C8EE}"/>
    <cellStyle name="Normal 2 2 4 2 2 2 6" xfId="5081" xr:uid="{47FC8CF6-B486-4972-BA38-F5EDBBDDAC10}"/>
    <cellStyle name="Normal 2 2 4 2 2 2 6 2" xfId="28157" xr:uid="{9FFF3425-5AF2-4761-BE08-7EC4173D3F76}"/>
    <cellStyle name="Normal 2 2 4 2 2 2 6 3" xfId="14378" xr:uid="{335F4B5E-37F6-4AD8-9623-4B17805DE4A7}"/>
    <cellStyle name="Normal 2 2 4 2 2 2 7" xfId="6831" xr:uid="{EBF1790C-9A9E-4FDA-99F8-75F26B66D02D}"/>
    <cellStyle name="Normal 2 2 4 2 2 2 7 2" xfId="17211" xr:uid="{2C60DF07-AFD6-4899-B1D4-DE65F15B1770}"/>
    <cellStyle name="Normal 2 2 4 2 2 2 8" xfId="9664" xr:uid="{C51E09DB-C633-47B9-8D83-AA8B5E1C1EF6}"/>
    <cellStyle name="Normal 2 2 4 2 2 2 8 2" xfId="20044" xr:uid="{B55AE1A0-B807-4104-AD5F-DF983DAA81AF}"/>
    <cellStyle name="Normal 2 2 4 2 2 2 9" xfId="23563" xr:uid="{2519DEBA-4290-4708-B313-1F513235CCFB}"/>
    <cellStyle name="Normal 2 2 4 2 2 3" xfId="2721" xr:uid="{00000000-0005-0000-0000-0000BB030000}"/>
    <cellStyle name="Normal 2 2 4 2 2 3 2" xfId="3155" xr:uid="{00000000-0005-0000-0000-0000BC030000}"/>
    <cellStyle name="Normal 2 2 4 2 2 3 2 2" xfId="6213" xr:uid="{E71CCDBE-A511-45EC-9137-4294D00A3932}"/>
    <cellStyle name="Normal 2 2 4 2 2 3 2 2 2" xfId="25955" xr:uid="{622D5F88-FF21-4BA9-ADB2-3C2824DEFF04}"/>
    <cellStyle name="Normal 2 2 4 2 2 3 2 2 3" xfId="15782" xr:uid="{7866CC56-376B-4590-9306-7811498CB6B8}"/>
    <cellStyle name="Normal 2 2 4 2 2 3 2 3" xfId="8235" xr:uid="{07E27873-EAB3-4DFE-8C19-8F30AA3B3052}"/>
    <cellStyle name="Normal 2 2 4 2 2 3 2 3 2" xfId="18615" xr:uid="{AF9E421E-67EC-4F27-9E84-047FCB4FE572}"/>
    <cellStyle name="Normal 2 2 4 2 2 3 2 4" xfId="11068" xr:uid="{023DF42C-3068-40E6-BBA8-6E262468578C}"/>
    <cellStyle name="Normal 2 2 4 2 2 3 2 4 2" xfId="21448" xr:uid="{7174D068-6883-470E-A0A5-DA37122A2777}"/>
    <cellStyle name="Normal 2 2 4 2 2 3 2 5" xfId="23927" xr:uid="{2562E55E-8274-403D-B64C-DC58F9E1C9E8}"/>
    <cellStyle name="Normal 2 2 4 2 2 3 2 6" xfId="13690" xr:uid="{B836E300-9378-4951-82EB-4DDBB1393F70}"/>
    <cellStyle name="Normal 2 2 4 2 2 3 3" xfId="4288" xr:uid="{532B6416-E1AF-42E2-83CC-09B1192EA672}"/>
    <cellStyle name="Normal 2 2 4 2 2 3 3 2" xfId="9060" xr:uid="{EC143838-7391-4B15-9DD0-BA807430AB81}"/>
    <cellStyle name="Normal 2 2 4 2 2 3 3 2 2" xfId="29103" xr:uid="{7F65475A-E3E1-406B-890B-AEFDBE121E83}"/>
    <cellStyle name="Normal 2 2 4 2 2 3 3 2 3" xfId="19440" xr:uid="{0F5C69B9-7445-41F9-930F-53777E6EAC14}"/>
    <cellStyle name="Normal 2 2 4 2 2 3 3 3" xfId="11893" xr:uid="{468137D7-7E07-42F8-910E-692041FBE6F2}"/>
    <cellStyle name="Normal 2 2 4 2 2 3 3 3 2" xfId="22273" xr:uid="{33261F64-5DDC-4BB0-9A2A-BD3F4E05BDBB}"/>
    <cellStyle name="Normal 2 2 4 2 2 3 3 4" xfId="23532" xr:uid="{AC9474BA-6BE0-4E77-90A2-7F6257FC8D5C}"/>
    <cellStyle name="Normal 2 2 4 2 2 3 3 5" xfId="16607" xr:uid="{DE13A975-C627-4FF1-B28C-7DEB8A7E81CB}"/>
    <cellStyle name="Normal 2 2 4 2 2 3 4" xfId="5939" xr:uid="{F1175C17-8A92-44F1-B138-AC745586A597}"/>
    <cellStyle name="Normal 2 2 4 2 2 3 4 2" xfId="28185" xr:uid="{5AEBB01A-7D83-4CAE-99D5-D5C0545F0400}"/>
    <cellStyle name="Normal 2 2 4 2 2 3 4 3" xfId="15392" xr:uid="{F668E040-A025-46A1-8A8E-AA168A3620CF}"/>
    <cellStyle name="Normal 2 2 4 2 2 3 5" xfId="7845" xr:uid="{5A74DDD8-F7C1-4489-B7BF-C018EF908A51}"/>
    <cellStyle name="Normal 2 2 4 2 2 3 5 2" xfId="18225" xr:uid="{D5AE22DE-B013-4403-96C7-3EBF811005EA}"/>
    <cellStyle name="Normal 2 2 4 2 2 3 6" xfId="10678" xr:uid="{5F3C90A9-0021-45AF-A681-54A1EC48DD82}"/>
    <cellStyle name="Normal 2 2 4 2 2 3 6 2" xfId="21058" xr:uid="{1B7B70CA-7443-44A0-8740-97A89863AA0C}"/>
    <cellStyle name="Normal 2 2 4 2 2 3 7" xfId="23377" xr:uid="{254CF21A-F962-4C43-844D-B0F1B8A8A487}"/>
    <cellStyle name="Normal 2 2 4 2 2 3 8" xfId="13150" xr:uid="{90D1D134-855A-4F6D-BAE2-F2146545F8C0}"/>
    <cellStyle name="Normal 2 2 4 2 2 4" xfId="3156" xr:uid="{00000000-0005-0000-0000-0000BD030000}"/>
    <cellStyle name="Normal 2 2 4 2 2 4 2" xfId="4454" xr:uid="{D31ECB7F-F17E-42F8-B936-3BE6C6095BEC}"/>
    <cellStyle name="Normal 2 2 4 2 2 4 2 2" xfId="9226" xr:uid="{EB4AD320-1ECF-4D1E-9848-5956DEAE50ED}"/>
    <cellStyle name="Normal 2 2 4 2 2 4 2 2 2" xfId="19606" xr:uid="{57484C8E-A8FE-4895-934A-C9451297BB0C}"/>
    <cellStyle name="Normal 2 2 4 2 2 4 2 3" xfId="12059" xr:uid="{15235E2B-8571-4A74-A144-F9D9E0AA927E}"/>
    <cellStyle name="Normal 2 2 4 2 2 4 2 3 2" xfId="22439" xr:uid="{5C86E97E-7370-44AF-86BD-20021B9D7D69}"/>
    <cellStyle name="Normal 2 2 4 2 2 4 2 4" xfId="25897" xr:uid="{854538DB-A2EA-425F-AFD9-5652C6107723}"/>
    <cellStyle name="Normal 2 2 4 2 2 4 2 5" xfId="16773" xr:uid="{CF930C04-3313-4181-A114-8330FD14F551}"/>
    <cellStyle name="Normal 2 2 4 2 2 4 3" xfId="6214" xr:uid="{CD40CAC9-9E42-4AC8-85F3-B5103FCCDD0D}"/>
    <cellStyle name="Normal 2 2 4 2 2 4 3 2" xfId="15783" xr:uid="{8780E0F3-6CDD-4337-BAE4-EB9EB4BE57C6}"/>
    <cellStyle name="Normal 2 2 4 2 2 4 4" xfId="8236" xr:uid="{F075D409-C758-4478-B09B-E66243D7D14C}"/>
    <cellStyle name="Normal 2 2 4 2 2 4 4 2" xfId="18616" xr:uid="{12B53BBF-199C-4CAD-96D3-C0B66EAD64E8}"/>
    <cellStyle name="Normal 2 2 4 2 2 4 5" xfId="11069" xr:uid="{5A0534AB-A9DA-46E2-B0AE-4C734142AB01}"/>
    <cellStyle name="Normal 2 2 4 2 2 4 5 2" xfId="21449" xr:uid="{E11B5D29-5E1D-482A-80F9-DD81AAE2A100}"/>
    <cellStyle name="Normal 2 2 4 2 2 4 6" xfId="22836" xr:uid="{F355649C-0759-4C44-A8E7-F4F596869D20}"/>
    <cellStyle name="Normal 2 2 4 2 2 4 7" xfId="13691" xr:uid="{DBA412D2-DB80-4C7A-BC79-A8E74C2F9856}"/>
    <cellStyle name="Normal 2 2 4 2 2 5" xfId="3151" xr:uid="{00000000-0005-0000-0000-0000BE030000}"/>
    <cellStyle name="Normal 2 2 4 2 2 5 2" xfId="6209" xr:uid="{618D1D94-107E-44CF-AA1E-6A06B104CAE9}"/>
    <cellStyle name="Normal 2 2 4 2 2 5 2 2" xfId="26461" xr:uid="{A029499B-D5E3-44F3-8A69-9F2DCF13D404}"/>
    <cellStyle name="Normal 2 2 4 2 2 5 2 3" xfId="15778" xr:uid="{6F6DB294-D076-489F-BC5F-91BDF121C51B}"/>
    <cellStyle name="Normal 2 2 4 2 2 5 3" xfId="8231" xr:uid="{ACE1619D-C6AC-4A41-959F-78832DFE1FFD}"/>
    <cellStyle name="Normal 2 2 4 2 2 5 3 2" xfId="18611" xr:uid="{E47AD77C-F5DF-4D81-B6BE-C15CCB65D6D6}"/>
    <cellStyle name="Normal 2 2 4 2 2 5 4" xfId="11064" xr:uid="{0FA6119F-1A0C-487E-82A8-BDBD6597F767}"/>
    <cellStyle name="Normal 2 2 4 2 2 5 4 2" xfId="21444" xr:uid="{3E9CFA26-34F8-41EF-BF82-4D42604E8B93}"/>
    <cellStyle name="Normal 2 2 4 2 2 5 5" xfId="23451" xr:uid="{12EE21C7-E8D0-43FF-8A01-E77B1BB12DFE}"/>
    <cellStyle name="Normal 2 2 4 2 2 5 6" xfId="13686" xr:uid="{6EAC6775-9A55-4C60-A018-12D794A91A63}"/>
    <cellStyle name="Normal 2 2 4 2 2 6" xfId="2556" xr:uid="{00000000-0005-0000-0000-0000BF030000}"/>
    <cellStyle name="Normal 2 2 4 2 2 6 2" xfId="5826" xr:uid="{F2196EFF-4174-4140-908D-57A5DEF88B4E}"/>
    <cellStyle name="Normal 2 2 4 2 2 6 2 2" xfId="27747" xr:uid="{5FCDB675-1C76-42FB-920F-6D13460C5D38}"/>
    <cellStyle name="Normal 2 2 4 2 2 6 2 3" xfId="15228" xr:uid="{B4005584-B072-4CB9-84C6-79406B33ECF4}"/>
    <cellStyle name="Normal 2 2 4 2 2 6 3" xfId="7681" xr:uid="{BE402371-848C-4CE7-9765-6C156D82E772}"/>
    <cellStyle name="Normal 2 2 4 2 2 6 3 2" xfId="18061" xr:uid="{9F3895C7-4D6D-47E6-B687-46076222C947}"/>
    <cellStyle name="Normal 2 2 4 2 2 6 4" xfId="10514" xr:uid="{7AE1DE80-25B3-4C00-97DF-DBD27601E652}"/>
    <cellStyle name="Normal 2 2 4 2 2 6 4 2" xfId="20894" xr:uid="{8721C51B-DFE3-4D00-B8EC-56FC3E931C64}"/>
    <cellStyle name="Normal 2 2 4 2 2 6 5" xfId="25580" xr:uid="{FEE6F374-2430-40BD-B012-CC0B8883E86E}"/>
    <cellStyle name="Normal 2 2 4 2 2 6 6" xfId="12944" xr:uid="{B721A15B-6509-477A-A1E0-530863601813}"/>
    <cellStyle name="Normal 2 2 4 2 2 7" xfId="2250" xr:uid="{00000000-0005-0000-0000-0000B5030000}"/>
    <cellStyle name="Normal 2 2 4 2 2 7 2" xfId="7377" xr:uid="{7322D2C7-5B3C-4E9C-94C9-09023A49B850}"/>
    <cellStyle name="Normal 2 2 4 2 2 7 2 2" xfId="17757" xr:uid="{CEAE7E0A-B11D-4CA8-BE3C-D1FD62F72706}"/>
    <cellStyle name="Normal 2 2 4 2 2 7 3" xfId="10210" xr:uid="{4DC9D3FD-899D-439E-9756-E8909AD65FD1}"/>
    <cellStyle name="Normal 2 2 4 2 2 7 3 2" xfId="20590" xr:uid="{720FB1B8-01B7-4754-AD97-FAF561815584}"/>
    <cellStyle name="Normal 2 2 4 2 2 7 4" xfId="22961" xr:uid="{3D743B37-7539-46DD-89B6-0C47060567BC}"/>
    <cellStyle name="Normal 2 2 4 2 2 7 5" xfId="14924" xr:uid="{47E46C3A-2B1A-4572-BFD4-D629EC5B57FE}"/>
    <cellStyle name="Normal 2 2 4 2 2 8" xfId="3801" xr:uid="{6A30176C-DD0C-4612-B71D-4A3D00BA024F}"/>
    <cellStyle name="Normal 2 2 4 2 2 8 2" xfId="8637" xr:uid="{4056E821-8729-4119-BA4D-378C7358BEC6}"/>
    <cellStyle name="Normal 2 2 4 2 2 8 2 2" xfId="19017" xr:uid="{9637E5B6-D8FE-4263-B9A5-367EB34CF628}"/>
    <cellStyle name="Normal 2 2 4 2 2 8 3" xfId="11470" xr:uid="{5818410A-B52B-47AC-A336-512452EFCCB4}"/>
    <cellStyle name="Normal 2 2 4 2 2 8 3 2" xfId="21850" xr:uid="{D76487B1-A11A-4A1F-9C3C-E8DB63A10ED6}"/>
    <cellStyle name="Normal 2 2 4 2 2 8 4" xfId="16184" xr:uid="{9BE97DD1-8084-482A-BECD-99F93C470751}"/>
    <cellStyle name="Normal 2 2 4 2 2 9" xfId="5080" xr:uid="{1236D320-5B06-4478-AAF3-4B2E5BE0E489}"/>
    <cellStyle name="Normal 2 2 4 2 2 9 2" xfId="14377" xr:uid="{8DBF017B-9133-4929-8C04-9A8AA0829C93}"/>
    <cellStyle name="Normal 2 2 4 2 3" xfId="728" xr:uid="{00000000-0005-0000-0000-000084040000}"/>
    <cellStyle name="Normal 2 2 4 2 3 10" xfId="9665" xr:uid="{137A06F2-9AAE-40E7-AE22-97F5F1BE99E1}"/>
    <cellStyle name="Normal 2 2 4 2 3 10 2" xfId="20045" xr:uid="{025ED9FD-5072-439D-9430-47E4292AD7C9}"/>
    <cellStyle name="Normal 2 2 4 2 3 11" xfId="23041" xr:uid="{235C0F80-384A-419B-9486-8C753C5A3951}"/>
    <cellStyle name="Normal 2 2 4 2 3 12" xfId="12555" xr:uid="{28B82401-46F6-4C42-B730-CD28F76A03E8}"/>
    <cellStyle name="Normal 2 2 4 2 3 2" xfId="2723" xr:uid="{00000000-0005-0000-0000-0000C1030000}"/>
    <cellStyle name="Normal 2 2 4 2 3 2 2" xfId="3158" xr:uid="{00000000-0005-0000-0000-0000C2030000}"/>
    <cellStyle name="Normal 2 2 4 2 3 2 2 2" xfId="6216" xr:uid="{66D33B85-2A81-416A-AD46-3B9315192992}"/>
    <cellStyle name="Normal 2 2 4 2 3 2 2 2 2" xfId="27855" xr:uid="{5E967662-6A04-49F4-879A-7449CBCEE179}"/>
    <cellStyle name="Normal 2 2 4 2 3 2 2 2 3" xfId="15785" xr:uid="{C8D5E1CE-4F41-4562-A8EF-D042F4D4BC44}"/>
    <cellStyle name="Normal 2 2 4 2 3 2 2 3" xfId="8238" xr:uid="{AB7EDDB6-A68C-452D-9EB7-082C7E72F8C3}"/>
    <cellStyle name="Normal 2 2 4 2 3 2 2 3 2" xfId="18618" xr:uid="{C40C6339-F8E8-4409-8B71-362FA6BA542A}"/>
    <cellStyle name="Normal 2 2 4 2 3 2 2 4" xfId="11071" xr:uid="{D7010550-EAA3-458B-9CDD-2BE9418C860F}"/>
    <cellStyle name="Normal 2 2 4 2 3 2 2 4 2" xfId="21451" xr:uid="{C71421EA-067D-41C4-B02B-C20DD3DCA8A1}"/>
    <cellStyle name="Normal 2 2 4 2 3 2 2 5" xfId="23766" xr:uid="{ABC7261B-63A8-4DA9-9D02-BAAAA1BD8FFD}"/>
    <cellStyle name="Normal 2 2 4 2 3 2 2 6" xfId="13693" xr:uid="{A73CA4DE-74D7-4551-81AD-B5E01A232169}"/>
    <cellStyle name="Normal 2 2 4 2 3 2 3" xfId="4290" xr:uid="{BD3BFC28-8A02-4D45-BB9E-50A4D3B84292}"/>
    <cellStyle name="Normal 2 2 4 2 3 2 3 2" xfId="9062" xr:uid="{CD90A5CA-7C3C-4B16-9B47-4B8052078D1C}"/>
    <cellStyle name="Normal 2 2 4 2 3 2 3 2 2" xfId="29105" xr:uid="{30107FE3-C4A2-41B7-A790-77D344D282FC}"/>
    <cellStyle name="Normal 2 2 4 2 3 2 3 2 3" xfId="19442" xr:uid="{427E193C-89AF-4104-A9DD-86A5CE8C51A8}"/>
    <cellStyle name="Normal 2 2 4 2 3 2 3 3" xfId="11895" xr:uid="{0DDEC6CD-D410-4905-9F0A-2B8F9BFB81E3}"/>
    <cellStyle name="Normal 2 2 4 2 3 2 3 3 2" xfId="22275" xr:uid="{F678408C-20CD-4456-A14D-365F845CF170}"/>
    <cellStyle name="Normal 2 2 4 2 3 2 3 4" xfId="24573" xr:uid="{A6A98DBF-49BB-4916-8A98-E19DC87ABACC}"/>
    <cellStyle name="Normal 2 2 4 2 3 2 3 5" xfId="16609" xr:uid="{5917F770-B013-4C4C-A0FD-558297F36532}"/>
    <cellStyle name="Normal 2 2 4 2 3 2 4" xfId="5941" xr:uid="{1C5B2A3E-FF54-48BD-8D3B-9A7F4AACF0C8}"/>
    <cellStyle name="Normal 2 2 4 2 3 2 4 2" xfId="28136" xr:uid="{7131533B-38BF-4DFE-9DB1-42DCA1AC2C3E}"/>
    <cellStyle name="Normal 2 2 4 2 3 2 4 3" xfId="15394" xr:uid="{89A5315B-242A-4C32-8140-3E3AD5692490}"/>
    <cellStyle name="Normal 2 2 4 2 3 2 5" xfId="7847" xr:uid="{F0B5BE23-5203-4072-A38A-0F1423B4EA2D}"/>
    <cellStyle name="Normal 2 2 4 2 3 2 5 2" xfId="18227" xr:uid="{3FF81DB4-D6A0-44B5-8826-DCB93F432D0C}"/>
    <cellStyle name="Normal 2 2 4 2 3 2 6" xfId="10680" xr:uid="{7228B68C-7F2C-4A9A-988D-45760A04CA25}"/>
    <cellStyle name="Normal 2 2 4 2 3 2 6 2" xfId="21060" xr:uid="{D46540AE-7316-4109-942F-AA2BBDB038FA}"/>
    <cellStyle name="Normal 2 2 4 2 3 2 7" xfId="23137" xr:uid="{5E9C447A-02A9-4E08-BDA6-6FEA1E041AA6}"/>
    <cellStyle name="Normal 2 2 4 2 3 2 8" xfId="13152" xr:uid="{54E1DE7E-B85C-4CED-BFC6-3289733923E4}"/>
    <cellStyle name="Normal 2 2 4 2 3 3" xfId="3159" xr:uid="{00000000-0005-0000-0000-0000C3030000}"/>
    <cellStyle name="Normal 2 2 4 2 3 3 2" xfId="4455" xr:uid="{5248CC53-CC7A-4521-91BA-5DE56FF28C9D}"/>
    <cellStyle name="Normal 2 2 4 2 3 3 2 2" xfId="9227" xr:uid="{495C9C38-0F1A-46C6-8AE7-A932D2D2165C}"/>
    <cellStyle name="Normal 2 2 4 2 3 3 2 2 2" xfId="29218" xr:uid="{59CF6D59-8891-4798-9E6C-1166DE93EA9D}"/>
    <cellStyle name="Normal 2 2 4 2 3 3 2 2 3" xfId="19607" xr:uid="{E6BFEC40-DF17-4C6F-BC0E-C81B751B73AF}"/>
    <cellStyle name="Normal 2 2 4 2 3 3 2 3" xfId="12060" xr:uid="{D36FA740-A532-4B07-8BB1-EA8595F86055}"/>
    <cellStyle name="Normal 2 2 4 2 3 3 2 3 2" xfId="22440" xr:uid="{00C91EF7-A65D-407E-976E-DAFED77B341E}"/>
    <cellStyle name="Normal 2 2 4 2 3 3 2 4" xfId="23195" xr:uid="{57DED316-0EEB-4F17-B299-A1D8ED799983}"/>
    <cellStyle name="Normal 2 2 4 2 3 3 2 5" xfId="16774" xr:uid="{6E1C6F5C-2A6C-4229-A54C-806C33C3FCEA}"/>
    <cellStyle name="Normal 2 2 4 2 3 3 3" xfId="6217" xr:uid="{AFFD9ADB-3225-48AD-BBED-70A8BCBF3ADB}"/>
    <cellStyle name="Normal 2 2 4 2 3 3 3 2" xfId="27881" xr:uid="{238C539D-D95E-4BF8-ABE6-C387C7BC20C2}"/>
    <cellStyle name="Normal 2 2 4 2 3 3 3 3" xfId="15786" xr:uid="{76975D4A-7E3C-4564-AA51-F00EDB647832}"/>
    <cellStyle name="Normal 2 2 4 2 3 3 4" xfId="8239" xr:uid="{EA813DCE-C5A7-40A8-8D2E-4D8CC5A07749}"/>
    <cellStyle name="Normal 2 2 4 2 3 3 4 2" xfId="18619" xr:uid="{739FB499-24ED-426E-93BE-AEA94F51E9A4}"/>
    <cellStyle name="Normal 2 2 4 2 3 3 5" xfId="11072" xr:uid="{AC742C09-C1E1-4DE8-9459-618BD82FF5FD}"/>
    <cellStyle name="Normal 2 2 4 2 3 3 5 2" xfId="21452" xr:uid="{720EDA05-FA92-472F-8C79-AA2F3C789D28}"/>
    <cellStyle name="Normal 2 2 4 2 3 3 6" xfId="25552" xr:uid="{AFD675E3-2BBF-4944-A20C-869E3EC374A7}"/>
    <cellStyle name="Normal 2 2 4 2 3 3 7" xfId="13694" xr:uid="{B4F7B5C4-69E9-48FD-92CF-48DBC77932FF}"/>
    <cellStyle name="Normal 2 2 4 2 3 4" xfId="3157" xr:uid="{00000000-0005-0000-0000-0000C4030000}"/>
    <cellStyle name="Normal 2 2 4 2 3 4 2" xfId="6215" xr:uid="{68A4C56B-52D9-48AA-ACA8-17EE6BC59CDD}"/>
    <cellStyle name="Normal 2 2 4 2 3 4 2 2" xfId="28024" xr:uid="{381603AB-51F4-4558-BF47-113DE99AE6E9}"/>
    <cellStyle name="Normal 2 2 4 2 3 4 2 3" xfId="15784" xr:uid="{E1BDD14A-692C-4F04-BE73-518FE4FA805C}"/>
    <cellStyle name="Normal 2 2 4 2 3 4 3" xfId="8237" xr:uid="{3A17D46A-29E8-4E76-8E19-EF54ACD4B71C}"/>
    <cellStyle name="Normal 2 2 4 2 3 4 3 2" xfId="18617" xr:uid="{C05099B4-AEE6-4492-A998-3E509271EBC2}"/>
    <cellStyle name="Normal 2 2 4 2 3 4 4" xfId="11070" xr:uid="{2C6AF62C-0AFA-4C56-8B81-6CD5554000E7}"/>
    <cellStyle name="Normal 2 2 4 2 3 4 4 2" xfId="21450" xr:uid="{46ECBCB4-4140-48FB-B3BB-76BB4596D026}"/>
    <cellStyle name="Normal 2 2 4 2 3 4 5" xfId="25355" xr:uid="{41420271-C229-4F12-A8C3-C45E90D69C07}"/>
    <cellStyle name="Normal 2 2 4 2 3 4 6" xfId="13692" xr:uid="{5817FFAA-34D2-4D74-BC0B-898F7709E16F}"/>
    <cellStyle name="Normal 2 2 4 2 3 5" xfId="2599" xr:uid="{00000000-0005-0000-0000-0000C5030000}"/>
    <cellStyle name="Normal 2 2 4 2 3 5 2" xfId="5864" xr:uid="{8A4BEA37-8FD8-4397-8FA6-1776F135E90E}"/>
    <cellStyle name="Normal 2 2 4 2 3 5 2 2" xfId="26605" xr:uid="{2B0A737C-5946-46D8-86A1-CE639C6376D8}"/>
    <cellStyle name="Normal 2 2 4 2 3 5 2 3" xfId="15271" xr:uid="{7714C8BD-4C09-49E4-A675-4A2A3A7EBE2F}"/>
    <cellStyle name="Normal 2 2 4 2 3 5 3" xfId="7724" xr:uid="{83312644-C190-4DE2-A05A-D2CB02D84EED}"/>
    <cellStyle name="Normal 2 2 4 2 3 5 3 2" xfId="18104" xr:uid="{E3E3A4D0-5FC6-442F-8EF7-1801A6DD01FC}"/>
    <cellStyle name="Normal 2 2 4 2 3 5 4" xfId="10557" xr:uid="{85A274E6-AB1F-421D-855F-FF5BC5D9A45A}"/>
    <cellStyle name="Normal 2 2 4 2 3 5 4 2" xfId="20937" xr:uid="{0C36F9B6-1F8A-40FD-8CA3-3E459FA87A3E}"/>
    <cellStyle name="Normal 2 2 4 2 3 5 5" xfId="23387" xr:uid="{93DA55E4-4537-4916-907E-0392790EAEF6}"/>
    <cellStyle name="Normal 2 2 4 2 3 5 6" xfId="12987" xr:uid="{3F549D23-DCC2-4F1B-ABBC-AC856BB18B35}"/>
    <cellStyle name="Normal 2 2 4 2 3 6" xfId="2321" xr:uid="{00000000-0005-0000-0000-0000C0030000}"/>
    <cellStyle name="Normal 2 2 4 2 3 6 2" xfId="7448" xr:uid="{9976F5AD-B946-4435-AF60-3F82B981EB91}"/>
    <cellStyle name="Normal 2 2 4 2 3 6 2 2" xfId="17828" xr:uid="{4E4FFECD-97F5-470F-A1F7-7D7112862757}"/>
    <cellStyle name="Normal 2 2 4 2 3 6 3" xfId="10281" xr:uid="{1CDBB532-7859-4A0D-BE5C-33FAED3D78BC}"/>
    <cellStyle name="Normal 2 2 4 2 3 6 3 2" xfId="20661" xr:uid="{9C4A01FD-2C23-458A-9657-67354914F195}"/>
    <cellStyle name="Normal 2 2 4 2 3 6 4" xfId="23664" xr:uid="{EC7BBC41-7451-484B-907E-BC4354195EF3}"/>
    <cellStyle name="Normal 2 2 4 2 3 6 5" xfId="14995" xr:uid="{66E40264-68CC-4F11-9621-02ACE31AE67B}"/>
    <cellStyle name="Normal 2 2 4 2 3 7" xfId="3840" xr:uid="{23EA705F-20C4-43AA-891D-3014BAC31BE4}"/>
    <cellStyle name="Normal 2 2 4 2 3 7 2" xfId="8673" xr:uid="{CF216A4A-E3FC-4ECD-A076-6EC7214B2585}"/>
    <cellStyle name="Normal 2 2 4 2 3 7 2 2" xfId="19053" xr:uid="{361070C4-EC75-4E4E-A83D-2952936E361E}"/>
    <cellStyle name="Normal 2 2 4 2 3 7 3" xfId="11506" xr:uid="{D9D67743-BBE3-4E16-A716-8FD7CE5A3935}"/>
    <cellStyle name="Normal 2 2 4 2 3 7 3 2" xfId="21886" xr:uid="{5F7EE2D8-B053-409E-95A2-9E1F6D1C462B}"/>
    <cellStyle name="Normal 2 2 4 2 3 7 4" xfId="16220" xr:uid="{988D23EC-7AE1-4359-B886-63B78F6D9286}"/>
    <cellStyle name="Normal 2 2 4 2 3 8" xfId="5082" xr:uid="{0B217810-9819-4D72-9703-40033B207891}"/>
    <cellStyle name="Normal 2 2 4 2 3 8 2" xfId="14379" xr:uid="{F6CE234F-EEC7-4AC8-BDD8-8BCB9B71EFE2}"/>
    <cellStyle name="Normal 2 2 4 2 3 9" xfId="6832" xr:uid="{CF338C0A-9C5A-40B4-803E-7787754A9871}"/>
    <cellStyle name="Normal 2 2 4 2 3 9 2" xfId="17212" xr:uid="{F700A31A-79C3-457A-A22E-BAFCB9786A30}"/>
    <cellStyle name="Normal 2 2 4 2 4" xfId="729" xr:uid="{00000000-0005-0000-0000-000085040000}"/>
    <cellStyle name="Normal 2 2 4 2 4 2" xfId="3160" xr:uid="{00000000-0005-0000-0000-0000C7030000}"/>
    <cellStyle name="Normal 2 2 4 2 4 2 2" xfId="6218" xr:uid="{80E48B82-3C34-40D3-9788-1D0DC13EFE6C}"/>
    <cellStyle name="Normal 2 2 4 2 4 2 2 2" xfId="27684" xr:uid="{1ACFCBBA-A51F-4249-9BD9-04D756965607}"/>
    <cellStyle name="Normal 2 2 4 2 4 2 2 3" xfId="15787" xr:uid="{81BA7999-FD7D-4CBD-B441-EC403C2A8945}"/>
    <cellStyle name="Normal 2 2 4 2 4 2 3" xfId="8240" xr:uid="{1BCB77AB-A035-4619-912F-68B8A65D1029}"/>
    <cellStyle name="Normal 2 2 4 2 4 2 3 2" xfId="18620" xr:uid="{2382335A-E3B0-40B3-A2FD-A29A63008124}"/>
    <cellStyle name="Normal 2 2 4 2 4 2 4" xfId="11073" xr:uid="{5F1C3224-08D4-435B-854B-F040467BF595}"/>
    <cellStyle name="Normal 2 2 4 2 4 2 4 2" xfId="21453" xr:uid="{AD30834A-3033-43EA-9F97-1EBB7381F8AE}"/>
    <cellStyle name="Normal 2 2 4 2 4 2 5" xfId="23002" xr:uid="{BE504945-8FD7-4F3D-B0E7-ADE7D69CD6EE}"/>
    <cellStyle name="Normal 2 2 4 2 4 2 6" xfId="13695" xr:uid="{F97A643D-40DB-431D-9772-81B29E66EFDA}"/>
    <cellStyle name="Normal 2 2 4 2 4 3" xfId="2720" xr:uid="{00000000-0005-0000-0000-0000C8030000}"/>
    <cellStyle name="Normal 2 2 4 2 4 3 2" xfId="5938" xr:uid="{6A8F2C84-EAC0-4E94-8D03-05CD3BC2E25D}"/>
    <cellStyle name="Normal 2 2 4 2 4 3 2 2" xfId="28707" xr:uid="{773E2714-BAA3-46A3-A053-B0C03B71BF19}"/>
    <cellStyle name="Normal 2 2 4 2 4 3 2 3" xfId="15391" xr:uid="{92EFF602-C511-45B1-9C01-DFB5E725DB28}"/>
    <cellStyle name="Normal 2 2 4 2 4 3 3" xfId="7844" xr:uid="{5FDAFDE8-4BFF-4804-AC58-584CFB114ED7}"/>
    <cellStyle name="Normal 2 2 4 2 4 3 3 2" xfId="18224" xr:uid="{689C8253-79CB-448D-98D3-AF66C2344D49}"/>
    <cellStyle name="Normal 2 2 4 2 4 3 4" xfId="10677" xr:uid="{18CF8772-8474-4A17-9CC2-CC41FFF96740}"/>
    <cellStyle name="Normal 2 2 4 2 4 3 4 2" xfId="21057" xr:uid="{79C2AF01-6A9A-4064-916D-A4A44190100B}"/>
    <cellStyle name="Normal 2 2 4 2 4 3 5" xfId="23240" xr:uid="{5031D9C5-652F-405D-9401-4F4ABD2E7DED}"/>
    <cellStyle name="Normal 2 2 4 2 4 3 6" xfId="13149" xr:uid="{3DCC7B6D-7B4F-4493-AAF2-5426EBE62873}"/>
    <cellStyle name="Normal 2 2 4 2 4 4" xfId="4157" xr:uid="{F97839D7-2F29-47B5-9650-9F95C736EDCE}"/>
    <cellStyle name="Normal 2 2 4 2 4 4 2" xfId="8929" xr:uid="{AFC92C82-B247-40B9-B5C4-000C1625DEC4}"/>
    <cellStyle name="Normal 2 2 4 2 4 4 2 2" xfId="19309" xr:uid="{11AB5E93-4EC5-4318-BEA2-8C1CD6B827EE}"/>
    <cellStyle name="Normal 2 2 4 2 4 4 3" xfId="11762" xr:uid="{DE6D08B3-D675-4A4A-9318-0CB51C55BD64}"/>
    <cellStyle name="Normal 2 2 4 2 4 4 3 2" xfId="22142" xr:uid="{55B23CBF-F06B-400C-B16E-7405E0D79965}"/>
    <cellStyle name="Normal 2 2 4 2 4 4 4" xfId="23937" xr:uid="{C28303E9-FE5B-41B5-8155-14EE36B0189E}"/>
    <cellStyle name="Normal 2 2 4 2 4 4 5" xfId="16476" xr:uid="{F38E235E-14B3-4379-A37E-2EA5BF4A5665}"/>
    <cellStyle name="Normal 2 2 4 2 4 5" xfId="5083" xr:uid="{A3A9E2AA-4F4D-465A-B580-3F74DCCEDF9C}"/>
    <cellStyle name="Normal 2 2 4 2 4 5 2" xfId="14380" xr:uid="{35F31F88-1FDD-459C-8290-8E093FA91295}"/>
    <cellStyle name="Normal 2 2 4 2 4 6" xfId="6833" xr:uid="{A7E96CBD-4BE6-4DB3-8A5F-607C9832827D}"/>
    <cellStyle name="Normal 2 2 4 2 4 6 2" xfId="17213" xr:uid="{47CC1DFF-70A8-4A45-B4CD-64C88620F661}"/>
    <cellStyle name="Normal 2 2 4 2 4 7" xfId="9666" xr:uid="{8C2793AA-1772-4408-B90E-B93D6CE30AD9}"/>
    <cellStyle name="Normal 2 2 4 2 4 7 2" xfId="20046" xr:uid="{D8D64D40-46D3-455B-8DC8-0F62A5372256}"/>
    <cellStyle name="Normal 2 2 4 2 4 8" xfId="25418" xr:uid="{09A46CB1-6C09-4A09-B6F6-4AA5BB78A2F2}"/>
    <cellStyle name="Normal 2 2 4 2 4 9" xfId="12713" xr:uid="{B0B5D202-6FFA-450B-BFB2-710CF2322D3C}"/>
    <cellStyle name="Normal 2 2 4 2 5" xfId="3161" xr:uid="{00000000-0005-0000-0000-0000C9030000}"/>
    <cellStyle name="Normal 2 2 4 2 5 2" xfId="4456" xr:uid="{6B641034-A6D4-477C-91CE-CECB14E4E9B0}"/>
    <cellStyle name="Normal 2 2 4 2 5 2 2" xfId="9228" xr:uid="{C88BDFF1-AD84-40D9-A63B-ED38DE18688B}"/>
    <cellStyle name="Normal 2 2 4 2 5 2 2 2" xfId="29219" xr:uid="{EFD13CD5-DA52-4A0A-9C16-F47348A3E03C}"/>
    <cellStyle name="Normal 2 2 4 2 5 2 2 3" xfId="19608" xr:uid="{A011B15C-1D8B-4917-8231-B758BEDC2B86}"/>
    <cellStyle name="Normal 2 2 4 2 5 2 3" xfId="12061" xr:uid="{C4E6AA50-CE78-4A94-9EA7-BD5DCB6D4CA9}"/>
    <cellStyle name="Normal 2 2 4 2 5 2 3 2" xfId="22441" xr:uid="{0DDA0262-690B-4EDE-AB00-49E8CA5E6D27}"/>
    <cellStyle name="Normal 2 2 4 2 5 2 4" xfId="24973" xr:uid="{7E25945D-41CB-4E5A-820E-5BAA229DBC97}"/>
    <cellStyle name="Normal 2 2 4 2 5 2 5" xfId="16775" xr:uid="{9A0B81B3-A948-4C12-ADFB-C3421C8B185C}"/>
    <cellStyle name="Normal 2 2 4 2 5 3" xfId="6219" xr:uid="{2F6E5A96-78D7-44C5-8D92-FCCC456F2684}"/>
    <cellStyle name="Normal 2 2 4 2 5 3 2" xfId="27354" xr:uid="{2D6D48EF-4F10-496B-AACA-4573B8589BBF}"/>
    <cellStyle name="Normal 2 2 4 2 5 3 3" xfId="15788" xr:uid="{86AD331C-9AB0-47A8-9A7A-C7486D49AB31}"/>
    <cellStyle name="Normal 2 2 4 2 5 4" xfId="8241" xr:uid="{5FCE930C-43B9-4DD9-825D-6CC12983D69F}"/>
    <cellStyle name="Normal 2 2 4 2 5 4 2" xfId="18621" xr:uid="{EB21A1C8-EB3C-49AA-AEEF-D47868D4CBE2}"/>
    <cellStyle name="Normal 2 2 4 2 5 5" xfId="11074" xr:uid="{B9F1B30D-3D24-42D5-9386-700A96C32E84}"/>
    <cellStyle name="Normal 2 2 4 2 5 5 2" xfId="21454" xr:uid="{4A0EA96A-E493-482C-B1B6-29177EC8A5F8}"/>
    <cellStyle name="Normal 2 2 4 2 5 6" xfId="24407" xr:uid="{D7B92CD4-E5ED-4ECE-8101-81AC5355AB1B}"/>
    <cellStyle name="Normal 2 2 4 2 5 7" xfId="13696" xr:uid="{C1337A35-F0AE-4195-88CB-6C0A47B6366C}"/>
    <cellStyle name="Normal 2 2 4 2 6" xfId="2898" xr:uid="{00000000-0005-0000-0000-0000CA030000}"/>
    <cellStyle name="Normal 2 2 4 2 6 2" xfId="6084" xr:uid="{EBE5517C-7808-4345-9A38-9B97D2A6E130}"/>
    <cellStyle name="Normal 2 2 4 2 6 2 2" xfId="27218" xr:uid="{717C1686-189F-4691-8E58-D1CBE5560D47}"/>
    <cellStyle name="Normal 2 2 4 2 6 2 3" xfId="15562" xr:uid="{0116A452-050C-46B3-8C7C-E99748F1BBC9}"/>
    <cellStyle name="Normal 2 2 4 2 6 3" xfId="8015" xr:uid="{DE012C2A-BD69-42B9-9D9B-D2DB0780C457}"/>
    <cellStyle name="Normal 2 2 4 2 6 3 2" xfId="18395" xr:uid="{92588661-0624-4D50-9828-761A157D2C29}"/>
    <cellStyle name="Normal 2 2 4 2 6 4" xfId="10848" xr:uid="{B3F965D0-CCBC-4392-964E-DF1BA2897A48}"/>
    <cellStyle name="Normal 2 2 4 2 6 4 2" xfId="21228" xr:uid="{EB95EE1A-66C9-44EE-8B7C-5F37544274F5}"/>
    <cellStyle name="Normal 2 2 4 2 6 5" xfId="24441" xr:uid="{560D1163-7E8A-40FB-997E-B3319AA422B3}"/>
    <cellStyle name="Normal 2 2 4 2 6 6" xfId="13411" xr:uid="{FF272E99-C8F8-4F05-B531-C8983C3D0D16}"/>
    <cellStyle name="Normal 2 2 4 2 7" xfId="2496" xr:uid="{00000000-0005-0000-0000-0000CB030000}"/>
    <cellStyle name="Normal 2 2 4 2 7 2" xfId="5779" xr:uid="{31309030-C44A-4DF6-A717-986C7DE4CB36}"/>
    <cellStyle name="Normal 2 2 4 2 7 2 2" xfId="25948" xr:uid="{33378617-B315-4FCA-B3E9-D33061B3F3C3}"/>
    <cellStyle name="Normal 2 2 4 2 7 2 3" xfId="15168" xr:uid="{B3326B84-62F2-4589-89AE-E1C741FC3BA2}"/>
    <cellStyle name="Normal 2 2 4 2 7 3" xfId="7621" xr:uid="{1419194F-CCE5-4A12-98E7-D2CF81EE53EF}"/>
    <cellStyle name="Normal 2 2 4 2 7 3 2" xfId="18001" xr:uid="{9656D95C-BB17-4E84-BA1F-034D72243BE1}"/>
    <cellStyle name="Normal 2 2 4 2 7 4" xfId="10454" xr:uid="{30E631D4-416A-455F-8A36-835A7E61AA0A}"/>
    <cellStyle name="Normal 2 2 4 2 7 4 2" xfId="20834" xr:uid="{E5F4A594-FA20-459E-8207-87DD2B6963ED}"/>
    <cellStyle name="Normal 2 2 4 2 7 5" xfId="24471" xr:uid="{2D345C72-3362-4EE5-AD33-91830D3EE00C}"/>
    <cellStyle name="Normal 2 2 4 2 7 6" xfId="12884" xr:uid="{D2242D32-BCD5-49B5-BD4D-6B412D8A36D1}"/>
    <cellStyle name="Normal 2 2 4 2 8" xfId="2190" xr:uid="{00000000-0005-0000-0000-0000B4030000}"/>
    <cellStyle name="Normal 2 2 4 2 8 2" xfId="7317" xr:uid="{360FC0EA-CF34-4040-B06B-83B5FB05D733}"/>
    <cellStyle name="Normal 2 2 4 2 8 2 2" xfId="17697" xr:uid="{73699C6E-C478-4F6B-AC38-229215922BFB}"/>
    <cellStyle name="Normal 2 2 4 2 8 3" xfId="10150" xr:uid="{44C70DFB-C5E9-4553-9F0F-622C6C402CB7}"/>
    <cellStyle name="Normal 2 2 4 2 8 3 2" xfId="20530" xr:uid="{55398FB5-6050-4E90-997B-8A9B9EFCAA27}"/>
    <cellStyle name="Normal 2 2 4 2 8 4" xfId="23006" xr:uid="{B66B3ADA-BFAF-45E3-B609-DABEFAC8AE24}"/>
    <cellStyle name="Normal 2 2 4 2 8 5" xfId="14864" xr:uid="{7B5D2042-9F94-4749-83CE-20242B6C78AA}"/>
    <cellStyle name="Normal 2 2 4 2 9" xfId="3928" xr:uid="{77B8B384-9D18-403A-B06F-12A51804B35C}"/>
    <cellStyle name="Normal 2 2 4 2 9 2" xfId="8760" xr:uid="{7755C901-2831-4F5A-B0A4-12186FA7A94A}"/>
    <cellStyle name="Normal 2 2 4 2 9 2 2" xfId="19140" xr:uid="{0FC10658-EF09-4DDA-992A-E98D96F8C54B}"/>
    <cellStyle name="Normal 2 2 4 2 9 3" xfId="11593" xr:uid="{D51FF9B7-F4D6-460B-9746-17D7FB36CD54}"/>
    <cellStyle name="Normal 2 2 4 2 9 3 2" xfId="21973" xr:uid="{0EE2E39E-C03E-4DE9-A76D-BA6523F548F1}"/>
    <cellStyle name="Normal 2 2 4 2 9 4" xfId="16307" xr:uid="{65EC3690-704E-47BD-A65D-BDEBD001C6C1}"/>
    <cellStyle name="Normal 2 2 4 3" xfId="730" xr:uid="{00000000-0005-0000-0000-000086040000}"/>
    <cellStyle name="Normal 2 2 4 3 10" xfId="5084" xr:uid="{3059EF97-232C-42F5-8B53-D6134C3313AA}"/>
    <cellStyle name="Normal 2 2 4 3 10 2" xfId="14381" xr:uid="{0AA44285-8348-4AEA-B139-0B4B710CF248}"/>
    <cellStyle name="Normal 2 2 4 3 11" xfId="6834" xr:uid="{A5F7D9AC-56F7-4DE8-8E78-E478BFFA8DE0}"/>
    <cellStyle name="Normal 2 2 4 3 11 2" xfId="17214" xr:uid="{ED8F7ACA-68F6-4A91-8D3B-A144DEAE3E6C}"/>
    <cellStyle name="Normal 2 2 4 3 12" xfId="9667" xr:uid="{3E967C1F-FC5E-4FFA-9158-E0CE5F932165}"/>
    <cellStyle name="Normal 2 2 4 3 12 2" xfId="20047" xr:uid="{71C901C3-1818-438E-A876-F2F1AAA5B5D5}"/>
    <cellStyle name="Normal 2 2 4 3 13" xfId="23261" xr:uid="{0686F330-0275-48BC-8744-E0DB747F821D}"/>
    <cellStyle name="Normal 2 2 4 3 14" xfId="12459" xr:uid="{10887C6C-5FAB-40D5-82E6-32A4C52AAFD2}"/>
    <cellStyle name="Normal 2 2 4 3 2" xfId="731" xr:uid="{00000000-0005-0000-0000-000087040000}"/>
    <cellStyle name="Normal 2 2 4 3 2 10" xfId="9668" xr:uid="{21E94FA6-12AC-4D04-852F-FC1D262DD70B}"/>
    <cellStyle name="Normal 2 2 4 3 2 10 2" xfId="20048" xr:uid="{FB4673F3-C970-4EDA-9105-0CBDA575E2D7}"/>
    <cellStyle name="Normal 2 2 4 3 2 11" xfId="25102" xr:uid="{E8DEBEDF-D8F1-4968-9CE0-0C098C4223E3}"/>
    <cellStyle name="Normal 2 2 4 3 2 12" xfId="12556" xr:uid="{916C9A0D-AFD0-49AF-B15E-B62E35C99B0A}"/>
    <cellStyle name="Normal 2 2 4 3 2 2" xfId="732" xr:uid="{00000000-0005-0000-0000-000088040000}"/>
    <cellStyle name="Normal 2 2 4 3 2 2 2" xfId="3163" xr:uid="{00000000-0005-0000-0000-0000CF030000}"/>
    <cellStyle name="Normal 2 2 4 3 2 2 2 2" xfId="6221" xr:uid="{26C0A590-91FA-45F9-A1D0-B827B251085C}"/>
    <cellStyle name="Normal 2 2 4 3 2 2 2 2 2" xfId="27919" xr:uid="{71FF5FC3-1A8D-4D83-8D2D-16C36B6F2A51}"/>
    <cellStyle name="Normal 2 2 4 3 2 2 2 2 3" xfId="26133" xr:uid="{2EC56C41-CD9A-40C7-8937-ADB7A313DE94}"/>
    <cellStyle name="Normal 2 2 4 3 2 2 2 2 4" xfId="15790" xr:uid="{6AB1EC09-C0CB-4409-AFEE-D27033E15864}"/>
    <cellStyle name="Normal 2 2 4 3 2 2 2 3" xfId="8243" xr:uid="{5D4BDDD8-1A86-4178-9196-CFA33212C2B7}"/>
    <cellStyle name="Normal 2 2 4 3 2 2 2 3 2" xfId="28874" xr:uid="{2F29D525-AAE6-4F18-9BED-6F63C9836854}"/>
    <cellStyle name="Normal 2 2 4 3 2 2 2 3 3" xfId="18623" xr:uid="{CA78F776-1862-4665-9DBB-ECE0D2A7B947}"/>
    <cellStyle name="Normal 2 2 4 3 2 2 2 4" xfId="11076" xr:uid="{3A9C77D3-6F36-47E7-A8B7-BA68FE6F2D21}"/>
    <cellStyle name="Normal 2 2 4 3 2 2 2 4 2" xfId="21456" xr:uid="{C628A8E1-27CF-4C5A-A9DA-61E218083264}"/>
    <cellStyle name="Normal 2 2 4 3 2 2 2 5" xfId="24081" xr:uid="{FCB705DE-50A7-4201-ABC1-427567871AAC}"/>
    <cellStyle name="Normal 2 2 4 3 2 2 2 6" xfId="13698" xr:uid="{02A6371B-FBDA-487C-A6D8-975E10908147}"/>
    <cellStyle name="Normal 2 2 4 3 2 2 3" xfId="4292" xr:uid="{07B1601E-3DBF-46BB-A7DD-195EEEFD7FD4}"/>
    <cellStyle name="Normal 2 2 4 3 2 2 3 2" xfId="9064" xr:uid="{B4CD8E1A-C4F3-41B5-AC9E-993474979B09}"/>
    <cellStyle name="Normal 2 2 4 3 2 2 3 2 2" xfId="29107" xr:uid="{A3F9DD3E-5183-4DC5-81BE-2027DB9938ED}"/>
    <cellStyle name="Normal 2 2 4 3 2 2 3 2 3" xfId="19444" xr:uid="{70809F72-09CB-4299-B6CD-9816DE603F43}"/>
    <cellStyle name="Normal 2 2 4 3 2 2 3 3" xfId="11897" xr:uid="{6E20FC59-DBAC-4007-ADEC-AEFDF951EBC9}"/>
    <cellStyle name="Normal 2 2 4 3 2 2 3 3 2" xfId="22277" xr:uid="{5E705BC8-1D4A-42C8-A708-7B83689B7053}"/>
    <cellStyle name="Normal 2 2 4 3 2 2 3 4" xfId="24211" xr:uid="{078D9B0D-52F5-423F-9549-99DB14E66069}"/>
    <cellStyle name="Normal 2 2 4 3 2 2 3 5" xfId="16611" xr:uid="{E42C96D1-F37F-4BD6-A47D-C7EAF8855C14}"/>
    <cellStyle name="Normal 2 2 4 3 2 2 4" xfId="5086" xr:uid="{3A477A92-907E-4C46-A096-06F2EB0A805D}"/>
    <cellStyle name="Normal 2 2 4 3 2 2 4 2" xfId="26034" xr:uid="{B14913F4-850F-4665-B7F3-26E7E7B342A5}"/>
    <cellStyle name="Normal 2 2 4 3 2 2 4 3" xfId="14383" xr:uid="{C0F55250-55D9-4CCC-9FBC-E1E474279F8C}"/>
    <cellStyle name="Normal 2 2 4 3 2 2 5" xfId="6836" xr:uid="{7FD871C6-3A32-474F-B802-222A10471E41}"/>
    <cellStyle name="Normal 2 2 4 3 2 2 5 2" xfId="17216" xr:uid="{3F6631FC-741E-4F25-8958-635B0FBD3528}"/>
    <cellStyle name="Normal 2 2 4 3 2 2 6" xfId="9669" xr:uid="{2AE24CB6-BC9C-457B-845A-8D006269537F}"/>
    <cellStyle name="Normal 2 2 4 3 2 2 6 2" xfId="20049" xr:uid="{15CCDE29-825B-47FF-BC5E-09ACEDA7BD60}"/>
    <cellStyle name="Normal 2 2 4 3 2 2 7" xfId="23932" xr:uid="{30C65FB4-58DF-4101-9415-A1C3411180C9}"/>
    <cellStyle name="Normal 2 2 4 3 2 2 8" xfId="13154" xr:uid="{3BD4FE24-3675-48D9-8C8D-3DA74E8F242A}"/>
    <cellStyle name="Normal 2 2 4 3 2 3" xfId="3164" xr:uid="{00000000-0005-0000-0000-0000D0030000}"/>
    <cellStyle name="Normal 2 2 4 3 2 3 2" xfId="4457" xr:uid="{6ECB643E-2057-4553-BD8F-AD024F4885D9}"/>
    <cellStyle name="Normal 2 2 4 3 2 3 2 2" xfId="9229" xr:uid="{C6B779D1-C9C9-4636-9F77-87A507038BD4}"/>
    <cellStyle name="Normal 2 2 4 3 2 3 2 2 2" xfId="29220" xr:uid="{0A5239C5-AA28-4786-9D59-A31E79F75B9B}"/>
    <cellStyle name="Normal 2 2 4 3 2 3 2 2 3" xfId="19609" xr:uid="{60571E30-4C62-4014-95CE-71B2BFD014CF}"/>
    <cellStyle name="Normal 2 2 4 3 2 3 2 3" xfId="12062" xr:uid="{F18DABCF-FD8C-4ED6-953F-84B87DD582E5}"/>
    <cellStyle name="Normal 2 2 4 3 2 3 2 3 2" xfId="22442" xr:uid="{08847699-7074-47A9-9945-C533DCEE5CE8}"/>
    <cellStyle name="Normal 2 2 4 3 2 3 2 4" xfId="25230" xr:uid="{936D4E5A-43D0-4F27-97DE-9C79FE9E276F}"/>
    <cellStyle name="Normal 2 2 4 3 2 3 2 5" xfId="16776" xr:uid="{9B509FC5-8E86-487F-9EE2-EFDB4623DC6F}"/>
    <cellStyle name="Normal 2 2 4 3 2 3 3" xfId="6222" xr:uid="{E9024C08-908A-402F-BF49-66143836B8BE}"/>
    <cellStyle name="Normal 2 2 4 3 2 3 3 2" xfId="28666" xr:uid="{BAEA2FF9-2083-431A-B9C8-6DF3E29FB3EA}"/>
    <cellStyle name="Normal 2 2 4 3 2 3 3 3" xfId="15791" xr:uid="{36C048B4-878F-420D-93AA-2CBD17EAFC20}"/>
    <cellStyle name="Normal 2 2 4 3 2 3 4" xfId="8244" xr:uid="{05B8AE77-5A94-4141-9021-064B6755F9FA}"/>
    <cellStyle name="Normal 2 2 4 3 2 3 4 2" xfId="18624" xr:uid="{C9A2A75F-CEF3-4DA5-8DA3-C2DFDC1C974C}"/>
    <cellStyle name="Normal 2 2 4 3 2 3 5" xfId="11077" xr:uid="{473B2FDE-74B4-4F4D-8BC1-D967B6573F60}"/>
    <cellStyle name="Normal 2 2 4 3 2 3 5 2" xfId="21457" xr:uid="{1F7EAFA3-0ACB-40E8-BBDD-8F323DBAB262}"/>
    <cellStyle name="Normal 2 2 4 3 2 3 6" xfId="23445" xr:uid="{D763C4D2-87C6-46B4-B78A-F133E50DE6EB}"/>
    <cellStyle name="Normal 2 2 4 3 2 3 7" xfId="13699" xr:uid="{FCE565A6-FF94-4CFE-B2D9-64C5F9FDD6F7}"/>
    <cellStyle name="Normal 2 2 4 3 2 4" xfId="3162" xr:uid="{00000000-0005-0000-0000-0000D1030000}"/>
    <cellStyle name="Normal 2 2 4 3 2 4 2" xfId="6220" xr:uid="{DDD380AD-F8A6-4E82-ABDB-A89D39D39C8A}"/>
    <cellStyle name="Normal 2 2 4 3 2 4 2 2" xfId="28523" xr:uid="{7BCE47EA-961D-45CB-B9BB-D5D815E0D30C}"/>
    <cellStyle name="Normal 2 2 4 3 2 4 2 3" xfId="15789" xr:uid="{4DD44714-6D4E-4029-AB9C-DD35E6BB20E8}"/>
    <cellStyle name="Normal 2 2 4 3 2 4 3" xfId="8242" xr:uid="{A2823BCA-1871-45A0-8C28-B3B038F07FFC}"/>
    <cellStyle name="Normal 2 2 4 3 2 4 3 2" xfId="18622" xr:uid="{E72ED07E-6DE5-4280-B557-A205A74D5352}"/>
    <cellStyle name="Normal 2 2 4 3 2 4 4" xfId="11075" xr:uid="{5C806EF6-2EF1-4031-A31C-D976D50AEC63}"/>
    <cellStyle name="Normal 2 2 4 3 2 4 4 2" xfId="21455" xr:uid="{31F5F408-FA18-44E7-BE38-79B696F04B1E}"/>
    <cellStyle name="Normal 2 2 4 3 2 4 5" xfId="23170" xr:uid="{215FB270-2EB6-4081-84EF-9B9CB09BD67D}"/>
    <cellStyle name="Normal 2 2 4 3 2 4 6" xfId="13697" xr:uid="{D216EE99-5BF9-44A0-8CE3-DF3BDD6A932E}"/>
    <cellStyle name="Normal 2 2 4 3 2 5" xfId="2533" xr:uid="{00000000-0005-0000-0000-0000D2030000}"/>
    <cellStyle name="Normal 2 2 4 3 2 5 2" xfId="5807" xr:uid="{ABA7F4F9-1855-49AC-8957-1FEA0DC3DB39}"/>
    <cellStyle name="Normal 2 2 4 3 2 5 2 2" xfId="26055" xr:uid="{226B60CD-1EE2-4CC0-9990-7A820F86F183}"/>
    <cellStyle name="Normal 2 2 4 3 2 5 2 3" xfId="15205" xr:uid="{7DB3FF16-ACC1-4DD9-A040-1F9A32834FEB}"/>
    <cellStyle name="Normal 2 2 4 3 2 5 3" xfId="7658" xr:uid="{36F3AEF2-E753-4C43-9BA9-54DAC791480F}"/>
    <cellStyle name="Normal 2 2 4 3 2 5 3 2" xfId="18038" xr:uid="{EF43BF01-89A1-4F33-8776-E57D1EA73B9D}"/>
    <cellStyle name="Normal 2 2 4 3 2 5 4" xfId="10491" xr:uid="{6641D8B0-3129-44AC-AF93-12FF2A7D8237}"/>
    <cellStyle name="Normal 2 2 4 3 2 5 4 2" xfId="20871" xr:uid="{DF1F54C4-01C1-4352-B717-6C4D25DB9831}"/>
    <cellStyle name="Normal 2 2 4 3 2 5 5" xfId="24189" xr:uid="{1EDD6420-E7E5-4A43-BDEA-F70068981CA2}"/>
    <cellStyle name="Normal 2 2 4 3 2 5 6" xfId="12921" xr:uid="{4173A2E7-EB72-49EC-BEA0-01AEA58AE056}"/>
    <cellStyle name="Normal 2 2 4 3 2 6" xfId="2322" xr:uid="{00000000-0005-0000-0000-0000CD030000}"/>
    <cellStyle name="Normal 2 2 4 3 2 6 2" xfId="7449" xr:uid="{EBC63B61-750D-47DC-9110-0E2E94C4DDE8}"/>
    <cellStyle name="Normal 2 2 4 3 2 6 2 2" xfId="17829" xr:uid="{60A00CEB-4AA0-4D5F-80AA-A7BD95F2B89C}"/>
    <cellStyle name="Normal 2 2 4 3 2 6 3" xfId="10282" xr:uid="{85809369-768D-4E58-B75D-2168E11307D9}"/>
    <cellStyle name="Normal 2 2 4 3 2 6 3 2" xfId="20662" xr:uid="{7E852C4D-A675-4788-8064-88E8ECC07D92}"/>
    <cellStyle name="Normal 2 2 4 3 2 6 4" xfId="24216" xr:uid="{21A06A83-CF38-4707-A922-B96C499715B5}"/>
    <cellStyle name="Normal 2 2 4 3 2 6 5" xfId="14996" xr:uid="{F334D071-8667-43E8-8B44-C2FC25DB8516}"/>
    <cellStyle name="Normal 2 2 4 3 2 7" xfId="3841" xr:uid="{69D28288-5F70-4C1A-912E-84318F7A6C44}"/>
    <cellStyle name="Normal 2 2 4 3 2 7 2" xfId="8674" xr:uid="{F72F5C99-3A99-48D9-9A4B-CC2AEA1465DE}"/>
    <cellStyle name="Normal 2 2 4 3 2 7 2 2" xfId="19054" xr:uid="{86FE62B0-B63C-4434-8AB8-6DFE92940595}"/>
    <cellStyle name="Normal 2 2 4 3 2 7 3" xfId="11507" xr:uid="{6011C382-14FA-4577-95CC-BF29326EA706}"/>
    <cellStyle name="Normal 2 2 4 3 2 7 3 2" xfId="21887" xr:uid="{E5EB3F4E-A042-4209-AFBC-A3D59D5E05A5}"/>
    <cellStyle name="Normal 2 2 4 3 2 7 4" xfId="16221" xr:uid="{EC9B803B-DB72-4E56-ABCF-8BA68EF9B496}"/>
    <cellStyle name="Normal 2 2 4 3 2 8" xfId="5085" xr:uid="{1E76D4DE-19AD-44C1-8278-CC2A700AC1A1}"/>
    <cellStyle name="Normal 2 2 4 3 2 8 2" xfId="14382" xr:uid="{9DD4F671-417E-4F42-B947-374FF1773813}"/>
    <cellStyle name="Normal 2 2 4 3 2 9" xfId="6835" xr:uid="{5FDD0368-EF99-43F3-B5FE-42391F0DB1E2}"/>
    <cellStyle name="Normal 2 2 4 3 2 9 2" xfId="17215" xr:uid="{A514DBD5-8E02-4554-AA8F-41A4D07D35F6}"/>
    <cellStyle name="Normal 2 2 4 3 3" xfId="733" xr:uid="{00000000-0005-0000-0000-000089040000}"/>
    <cellStyle name="Normal 2 2 4 3 3 10" xfId="22850" xr:uid="{CEC1A341-924B-422F-8F57-0FC5F69460C1}"/>
    <cellStyle name="Normal 2 2 4 3 3 11" xfId="12714" xr:uid="{821D4DDC-A1CE-48F9-A986-7F81534829F1}"/>
    <cellStyle name="Normal 2 2 4 3 3 2" xfId="2724" xr:uid="{00000000-0005-0000-0000-0000D4030000}"/>
    <cellStyle name="Normal 2 2 4 3 3 2 2" xfId="3166" xr:uid="{00000000-0005-0000-0000-0000D5030000}"/>
    <cellStyle name="Normal 2 2 4 3 3 2 2 2" xfId="6224" xr:uid="{283A9E77-7630-4E85-B3E3-382FA161C6A3}"/>
    <cellStyle name="Normal 2 2 4 3 3 2 2 2 2" xfId="27992" xr:uid="{50DC885E-21A8-4DF1-BE95-A351E47FAAAE}"/>
    <cellStyle name="Normal 2 2 4 3 3 2 2 2 3" xfId="15793" xr:uid="{7D2BD9E7-1380-4EEF-B550-3E5D22FB4D1A}"/>
    <cellStyle name="Normal 2 2 4 3 3 2 2 3" xfId="8246" xr:uid="{ACFA4F86-5619-49E0-BE79-C658653E8ED8}"/>
    <cellStyle name="Normal 2 2 4 3 3 2 2 3 2" xfId="18626" xr:uid="{171EB711-32D2-4306-8780-2AAE1FAC0DF7}"/>
    <cellStyle name="Normal 2 2 4 3 3 2 2 4" xfId="11079" xr:uid="{270972CF-11F5-4D55-8A19-0A683006258D}"/>
    <cellStyle name="Normal 2 2 4 3 3 2 2 4 2" xfId="21459" xr:uid="{2F457793-A942-4A5E-80D2-59400D3A6DA1}"/>
    <cellStyle name="Normal 2 2 4 3 3 2 2 5" xfId="24772" xr:uid="{3079E039-2E5E-47E5-B7DB-68754BE3B129}"/>
    <cellStyle name="Normal 2 2 4 3 3 2 2 6" xfId="13701" xr:uid="{D2C1D659-440D-4D93-A0F9-F37D81F65679}"/>
    <cellStyle name="Normal 2 2 4 3 3 2 3" xfId="4293" xr:uid="{191A8EF1-D13D-4414-A376-D351141EE398}"/>
    <cellStyle name="Normal 2 2 4 3 3 2 3 2" xfId="9065" xr:uid="{6DB2C5DE-ED2A-425C-BF46-83DAAF4958F7}"/>
    <cellStyle name="Normal 2 2 4 3 3 2 3 2 2" xfId="29108" xr:uid="{14F8D509-7648-489D-A2C1-DB7949934A4C}"/>
    <cellStyle name="Normal 2 2 4 3 3 2 3 2 3" xfId="19445" xr:uid="{0DA404BA-7113-452E-8E1F-995F73F6052B}"/>
    <cellStyle name="Normal 2 2 4 3 3 2 3 3" xfId="11898" xr:uid="{3079DFBF-0BA1-4C9C-9B1C-E8940662EB4F}"/>
    <cellStyle name="Normal 2 2 4 3 3 2 3 3 2" xfId="22278" xr:uid="{05F3A403-F906-4885-B14E-FE3B95731D51}"/>
    <cellStyle name="Normal 2 2 4 3 3 2 3 4" xfId="23403" xr:uid="{A48E663D-0C61-47F3-938C-93FDD88C7C7F}"/>
    <cellStyle name="Normal 2 2 4 3 3 2 3 5" xfId="16612" xr:uid="{76D81495-0662-4D09-AC35-D3BE53AB8C7E}"/>
    <cellStyle name="Normal 2 2 4 3 3 2 4" xfId="5942" xr:uid="{DD9D754C-CD03-4D8D-99F5-3776484004E2}"/>
    <cellStyle name="Normal 2 2 4 3 3 2 4 2" xfId="28032" xr:uid="{FE2E8B85-9DB5-48A5-84A3-EDCC66B0F52C}"/>
    <cellStyle name="Normal 2 2 4 3 3 2 4 3" xfId="15395" xr:uid="{006CE858-8570-4565-AC38-80D34CDD1B77}"/>
    <cellStyle name="Normal 2 2 4 3 3 2 5" xfId="7848" xr:uid="{9CA07D88-C91C-4916-8575-D646B4667FCC}"/>
    <cellStyle name="Normal 2 2 4 3 3 2 5 2" xfId="18228" xr:uid="{21F92027-9D25-4378-9D33-35634CB8166B}"/>
    <cellStyle name="Normal 2 2 4 3 3 2 6" xfId="10681" xr:uid="{5C66D779-9D41-4548-BFEF-07C570BC3BA8}"/>
    <cellStyle name="Normal 2 2 4 3 3 2 6 2" xfId="21061" xr:uid="{E15CF1AE-71E8-4D9B-A044-EE6DD83F58CC}"/>
    <cellStyle name="Normal 2 2 4 3 3 2 7" xfId="22840" xr:uid="{72C6AD08-1003-4FE9-976D-CFB249A8A42C}"/>
    <cellStyle name="Normal 2 2 4 3 3 2 8" xfId="13155" xr:uid="{F75B8599-18D7-4F1D-AE74-0C7B4E013C69}"/>
    <cellStyle name="Normal 2 2 4 3 3 3" xfId="3167" xr:uid="{00000000-0005-0000-0000-0000D6030000}"/>
    <cellStyle name="Normal 2 2 4 3 3 3 2" xfId="4458" xr:uid="{A3B66D1A-ABAB-4E21-BEC4-DEE2A14EAF2C}"/>
    <cellStyle name="Normal 2 2 4 3 3 3 2 2" xfId="9230" xr:uid="{FE138AC9-67BB-417E-8BD0-B6614706E5F3}"/>
    <cellStyle name="Normal 2 2 4 3 3 3 2 2 2" xfId="29221" xr:uid="{8AF273BF-B452-4F75-A237-9E2096E8BFE2}"/>
    <cellStyle name="Normal 2 2 4 3 3 3 2 2 3" xfId="19610" xr:uid="{331115A6-9939-4BD6-A159-B320B65B8266}"/>
    <cellStyle name="Normal 2 2 4 3 3 3 2 3" xfId="12063" xr:uid="{6E2E4BDD-099B-4693-A400-2D4A93C14353}"/>
    <cellStyle name="Normal 2 2 4 3 3 3 2 3 2" xfId="22443" xr:uid="{0DAF4A85-5470-4DB3-BC38-503C5C360503}"/>
    <cellStyle name="Normal 2 2 4 3 3 3 2 4" xfId="25797" xr:uid="{2A946675-A47E-4F59-B65E-4319D4DA4E8C}"/>
    <cellStyle name="Normal 2 2 4 3 3 3 2 5" xfId="16777" xr:uid="{EAFD58DF-5A4C-44DD-A876-798163A7FC31}"/>
    <cellStyle name="Normal 2 2 4 3 3 3 3" xfId="6225" xr:uid="{DE7F496F-0F4D-41B7-9F34-CC358E61B5F6}"/>
    <cellStyle name="Normal 2 2 4 3 3 3 3 2" xfId="28728" xr:uid="{C5DFB8F9-E611-4B43-91C9-0CE06620CFAC}"/>
    <cellStyle name="Normal 2 2 4 3 3 3 3 3" xfId="15794" xr:uid="{B7C6DBD8-325B-48E4-B648-5FA4E1C65FB1}"/>
    <cellStyle name="Normal 2 2 4 3 3 3 4" xfId="8247" xr:uid="{0B9B40C3-93CA-40D3-9465-97B46D9B4F09}"/>
    <cellStyle name="Normal 2 2 4 3 3 3 4 2" xfId="18627" xr:uid="{98E2589F-7DF8-4E91-9ED6-8316ED8072AA}"/>
    <cellStyle name="Normal 2 2 4 3 3 3 5" xfId="11080" xr:uid="{E4D218ED-BE0A-467A-BD31-7FAB60C1D2D9}"/>
    <cellStyle name="Normal 2 2 4 3 3 3 5 2" xfId="21460" xr:uid="{A40EF03E-A29D-42C7-9CBB-E1C1D1AF4BCA}"/>
    <cellStyle name="Normal 2 2 4 3 3 3 6" xfId="25492" xr:uid="{C59BF053-2A90-4F10-83E3-74DA0261C7A4}"/>
    <cellStyle name="Normal 2 2 4 3 3 3 7" xfId="13702" xr:uid="{16435DC8-AC74-4B76-BF49-7459A28D3542}"/>
    <cellStyle name="Normal 2 2 4 3 3 4" xfId="3165" xr:uid="{00000000-0005-0000-0000-0000D7030000}"/>
    <cellStyle name="Normal 2 2 4 3 3 4 2" xfId="6223" xr:uid="{D1BB231E-944E-4CD7-9320-0D3458026B6E}"/>
    <cellStyle name="Normal 2 2 4 3 3 4 2 2" xfId="28588" xr:uid="{9A57680E-5D61-4F34-A2B4-F3338BCBFC38}"/>
    <cellStyle name="Normal 2 2 4 3 3 4 2 3" xfId="15792" xr:uid="{6D13F63D-7DAD-476A-8C9C-F3576C8D746C}"/>
    <cellStyle name="Normal 2 2 4 3 3 4 3" xfId="8245" xr:uid="{6D920A5E-3220-4E74-9932-CCACE8C593F1}"/>
    <cellStyle name="Normal 2 2 4 3 3 4 3 2" xfId="18625" xr:uid="{A6AE1770-21CF-43EE-870E-D28640A55474}"/>
    <cellStyle name="Normal 2 2 4 3 3 4 4" xfId="11078" xr:uid="{8E6CA02C-A105-4C6B-9239-667DDF682A05}"/>
    <cellStyle name="Normal 2 2 4 3 3 4 4 2" xfId="21458" xr:uid="{C4A6AC0A-A935-4842-89AA-29282D55441C}"/>
    <cellStyle name="Normal 2 2 4 3 3 4 5" xfId="24046" xr:uid="{CD5376F9-06E6-4DA5-A04A-7F331A2D8C16}"/>
    <cellStyle name="Normal 2 2 4 3 3 4 6" xfId="13700" xr:uid="{260C9978-BE48-4395-8152-B9EBF5CDF420}"/>
    <cellStyle name="Normal 2 2 4 3 3 5" xfId="2635" xr:uid="{00000000-0005-0000-0000-0000D8030000}"/>
    <cellStyle name="Normal 2 2 4 3 3 5 2" xfId="5897" xr:uid="{62BB0CE7-C56D-499D-8000-CF4A2E9AB2A8}"/>
    <cellStyle name="Normal 2 2 4 3 3 5 2 2" xfId="26640" xr:uid="{8016F2D5-18E9-42FC-B1B3-1F0EE505FE60}"/>
    <cellStyle name="Normal 2 2 4 3 3 5 2 3" xfId="15307" xr:uid="{91C83F88-50C8-4F96-8471-6B29CE261260}"/>
    <cellStyle name="Normal 2 2 4 3 3 5 3" xfId="7760" xr:uid="{956AF1D3-332F-4758-9A6A-C84F119C9CF1}"/>
    <cellStyle name="Normal 2 2 4 3 3 5 3 2" xfId="18140" xr:uid="{2203E712-C440-49BB-A583-8188FADBEACF}"/>
    <cellStyle name="Normal 2 2 4 3 3 5 4" xfId="10593" xr:uid="{0DED0F32-A4AF-4497-AA27-66ED0B92261A}"/>
    <cellStyle name="Normal 2 2 4 3 3 5 4 2" xfId="20973" xr:uid="{38DB6BB6-B8C3-4AED-B2C2-12D996747E28}"/>
    <cellStyle name="Normal 2 2 4 3 3 5 5" xfId="23456" xr:uid="{7F77F9B4-6556-4DF9-87F8-804E4AA5F2C7}"/>
    <cellStyle name="Normal 2 2 4 3 3 5 6" xfId="13024" xr:uid="{4C4C2593-02AF-44F4-AE3C-9D78009787D3}"/>
    <cellStyle name="Normal 2 2 4 3 3 6" xfId="4158" xr:uid="{EBDB3A89-EBAD-4B1E-8181-2FF9550A4D1D}"/>
    <cellStyle name="Normal 2 2 4 3 3 6 2" xfId="8930" xr:uid="{9F1ADC49-7665-460F-8E15-004CC432AD29}"/>
    <cellStyle name="Normal 2 2 4 3 3 6 2 2" xfId="19310" xr:uid="{918BD120-0F49-4AAE-BD85-BDF44CF56A20}"/>
    <cellStyle name="Normal 2 2 4 3 3 6 3" xfId="11763" xr:uid="{DAA9725E-3634-43D0-8915-9B847C77881D}"/>
    <cellStyle name="Normal 2 2 4 3 3 6 3 2" xfId="22143" xr:uid="{61EE808C-906E-44FF-AF90-16BEFB93B86B}"/>
    <cellStyle name="Normal 2 2 4 3 3 6 4" xfId="23581" xr:uid="{D4DB859A-A753-4FF2-855A-E2B4FD3C926C}"/>
    <cellStyle name="Normal 2 2 4 3 3 6 5" xfId="16477" xr:uid="{69E73FD2-9FCF-4424-A9F5-91CF56A87E55}"/>
    <cellStyle name="Normal 2 2 4 3 3 7" xfId="5087" xr:uid="{5B35F721-CC05-4F6C-9E95-39FAFC246746}"/>
    <cellStyle name="Normal 2 2 4 3 3 7 2" xfId="14384" xr:uid="{8A5093C6-FEA8-4D14-8BBC-0D67C682D0B7}"/>
    <cellStyle name="Normal 2 2 4 3 3 8" xfId="6837" xr:uid="{D426F11E-EFF8-43D8-9175-D5D65ABAE0C9}"/>
    <cellStyle name="Normal 2 2 4 3 3 8 2" xfId="17217" xr:uid="{3F6B70EE-BA74-4290-B633-7DA248AF6262}"/>
    <cellStyle name="Normal 2 2 4 3 3 9" xfId="9670" xr:uid="{229FE26D-1023-4A4D-A1C7-4055EDE62281}"/>
    <cellStyle name="Normal 2 2 4 3 3 9 2" xfId="20050" xr:uid="{504CD759-BF66-4E2B-81BB-E4A7ACAF66AE}"/>
    <cellStyle name="Normal 2 2 4 3 4" xfId="734" xr:uid="{00000000-0005-0000-0000-00008A040000}"/>
    <cellStyle name="Normal 2 2 4 3 4 2" xfId="3168" xr:uid="{00000000-0005-0000-0000-0000DA030000}"/>
    <cellStyle name="Normal 2 2 4 3 4 2 2" xfId="6226" xr:uid="{F765A875-AD5D-4C75-89E3-B8DA94E1753C}"/>
    <cellStyle name="Normal 2 2 4 3 4 2 2 2" xfId="27652" xr:uid="{252BA372-D21C-4DDE-845C-77AD841EC16F}"/>
    <cellStyle name="Normal 2 2 4 3 4 2 2 3" xfId="15795" xr:uid="{C271E321-8DC5-4A7F-A305-A8B025AB3CFA}"/>
    <cellStyle name="Normal 2 2 4 3 4 2 3" xfId="8248" xr:uid="{F9E7A9E0-7922-4E92-B3B1-BCBF9E3E4303}"/>
    <cellStyle name="Normal 2 2 4 3 4 2 3 2" xfId="18628" xr:uid="{14EFE4A3-625C-4E93-9608-332A8C3FB2D8}"/>
    <cellStyle name="Normal 2 2 4 3 4 2 4" xfId="11081" xr:uid="{1772275B-840F-4255-B9C0-A38062491EBD}"/>
    <cellStyle name="Normal 2 2 4 3 4 2 4 2" xfId="21461" xr:uid="{75EB25FD-3545-4591-BFCE-C128F8B5B590}"/>
    <cellStyle name="Normal 2 2 4 3 4 2 5" xfId="25442" xr:uid="{0FDC8DA2-1FDB-42FF-A72C-C284E265754E}"/>
    <cellStyle name="Normal 2 2 4 3 4 2 6" xfId="13703" xr:uid="{F6DEB117-66E8-499B-B0B1-CCEB661EEE63}"/>
    <cellStyle name="Normal 2 2 4 3 4 3" xfId="4291" xr:uid="{8FE3214D-0C93-4573-8449-E1F34DDE5BD5}"/>
    <cellStyle name="Normal 2 2 4 3 4 3 2" xfId="9063" xr:uid="{0BD680EC-C15A-44A0-B8A1-9EC9551196AE}"/>
    <cellStyle name="Normal 2 2 4 3 4 3 2 2" xfId="29106" xr:uid="{01535E38-C64E-4233-98FB-B5D4783F9A11}"/>
    <cellStyle name="Normal 2 2 4 3 4 3 2 3" xfId="19443" xr:uid="{C66CE573-D87F-454F-954C-3B2403130A23}"/>
    <cellStyle name="Normal 2 2 4 3 4 3 3" xfId="11896" xr:uid="{0B621841-4F60-43DF-AEA9-E96B25EAD65C}"/>
    <cellStyle name="Normal 2 2 4 3 4 3 3 2" xfId="22276" xr:uid="{F722B16E-420E-433B-A2F1-B35E3F8D8419}"/>
    <cellStyle name="Normal 2 2 4 3 4 3 4" xfId="24055" xr:uid="{B7A6E8F8-963B-4542-AE20-F86B07C14093}"/>
    <cellStyle name="Normal 2 2 4 3 4 3 5" xfId="16610" xr:uid="{72FC3F5F-D786-4274-B916-7A1DE5DB92F0}"/>
    <cellStyle name="Normal 2 2 4 3 4 4" xfId="5088" xr:uid="{32400931-A755-4571-8CFB-4E7888B43E28}"/>
    <cellStyle name="Normal 2 2 4 3 4 4 2" xfId="25992" xr:uid="{ACBC17BC-C7E8-4069-96E2-D4C9843552E4}"/>
    <cellStyle name="Normal 2 2 4 3 4 4 3" xfId="14385" xr:uid="{E71C67FA-F036-4B07-BE10-90BE2A0DC57B}"/>
    <cellStyle name="Normal 2 2 4 3 4 5" xfId="6838" xr:uid="{743F0839-4154-49FB-9931-1B978FDCB5B8}"/>
    <cellStyle name="Normal 2 2 4 3 4 5 2" xfId="17218" xr:uid="{CC654FD3-7F6F-4CE3-AB06-365691A9C31D}"/>
    <cellStyle name="Normal 2 2 4 3 4 6" xfId="9671" xr:uid="{23F114A4-73CC-46AA-B1BA-3A9024C67ADE}"/>
    <cellStyle name="Normal 2 2 4 3 4 6 2" xfId="20051" xr:uid="{995F1059-4563-486E-8E48-36CEC19249FA}"/>
    <cellStyle name="Normal 2 2 4 3 4 7" xfId="22636" xr:uid="{D76B0BC6-086A-49B4-AEE8-35486397A193}"/>
    <cellStyle name="Normal 2 2 4 3 4 8" xfId="13153" xr:uid="{A44FE865-5114-4C35-AA07-460B5DC8D787}"/>
    <cellStyle name="Normal 2 2 4 3 5" xfId="3169" xr:uid="{00000000-0005-0000-0000-0000DB030000}"/>
    <cellStyle name="Normal 2 2 4 3 5 2" xfId="4459" xr:uid="{A7E8F2A0-1A9E-4351-95CD-840EC1E9532B}"/>
    <cellStyle name="Normal 2 2 4 3 5 2 2" xfId="9231" xr:uid="{18D99DF7-3BD0-4B50-BD75-630CF73A79CC}"/>
    <cellStyle name="Normal 2 2 4 3 5 2 2 2" xfId="29222" xr:uid="{E22BA9C0-9FD8-419E-B824-741B3992A7A8}"/>
    <cellStyle name="Normal 2 2 4 3 5 2 2 3" xfId="19611" xr:uid="{14632DB7-C0D0-4E92-84C5-DD4D7D85F85E}"/>
    <cellStyle name="Normal 2 2 4 3 5 2 3" xfId="12064" xr:uid="{46BB92DB-6717-432F-ABD5-4E0498B9D351}"/>
    <cellStyle name="Normal 2 2 4 3 5 2 3 2" xfId="22444" xr:uid="{0A983757-ACA6-413B-9634-1998C8620852}"/>
    <cellStyle name="Normal 2 2 4 3 5 2 4" xfId="24500" xr:uid="{9874B245-46F0-47C8-877E-A0913D95DC47}"/>
    <cellStyle name="Normal 2 2 4 3 5 2 5" xfId="16778" xr:uid="{D9942624-64F7-417B-914D-73D09C077FEA}"/>
    <cellStyle name="Normal 2 2 4 3 5 3" xfId="6227" xr:uid="{786F0283-56BA-4908-B9F1-768636A77512}"/>
    <cellStyle name="Normal 2 2 4 3 5 3 2" xfId="28709" xr:uid="{1A9481AB-DA64-4F93-AD07-123AD50A6859}"/>
    <cellStyle name="Normal 2 2 4 3 5 3 3" xfId="15796" xr:uid="{D1E980AD-606F-4342-86C9-8FEE9A6FACDD}"/>
    <cellStyle name="Normal 2 2 4 3 5 4" xfId="8249" xr:uid="{C90F7A24-9FBA-487D-AF08-BD1BF8141DA6}"/>
    <cellStyle name="Normal 2 2 4 3 5 4 2" xfId="18629" xr:uid="{772EEA65-F09B-4057-AA8F-66787CA6DE2B}"/>
    <cellStyle name="Normal 2 2 4 3 5 5" xfId="11082" xr:uid="{7777D272-64CE-4AF5-ACCE-67D91FE724FC}"/>
    <cellStyle name="Normal 2 2 4 3 5 5 2" xfId="21462" xr:uid="{68DE7F88-1841-45E8-AE14-E8F4270E1C02}"/>
    <cellStyle name="Normal 2 2 4 3 5 6" xfId="23246" xr:uid="{1A8E6B69-D674-41BB-8D4F-1D37C186CCAE}"/>
    <cellStyle name="Normal 2 2 4 3 5 7" xfId="13704" xr:uid="{C70487F3-D881-498F-AEFF-3A3A2A4CC828}"/>
    <cellStyle name="Normal 2 2 4 3 6" xfId="2899" xr:uid="{00000000-0005-0000-0000-0000DC030000}"/>
    <cellStyle name="Normal 2 2 4 3 6 2" xfId="6085" xr:uid="{721C9F81-308C-4576-9F13-26A23769E380}"/>
    <cellStyle name="Normal 2 2 4 3 6 2 2" xfId="26677" xr:uid="{6C3AFA53-08E6-4398-8B42-461EB10A00D7}"/>
    <cellStyle name="Normal 2 2 4 3 6 2 3" xfId="15563" xr:uid="{6EB646C2-8E39-45A2-A1BE-1D02DF27C226}"/>
    <cellStyle name="Normal 2 2 4 3 6 3" xfId="8016" xr:uid="{E62F5643-2379-4F03-A954-5FF9A89A6BD8}"/>
    <cellStyle name="Normal 2 2 4 3 6 3 2" xfId="18396" xr:uid="{A4B6F157-D342-440E-B036-7B2EAC7F9A40}"/>
    <cellStyle name="Normal 2 2 4 3 6 4" xfId="10849" xr:uid="{7399136D-4BB7-453E-A24C-41AB2F2B9B22}"/>
    <cellStyle name="Normal 2 2 4 3 6 4 2" xfId="21229" xr:uid="{F56AD850-DA58-4CAD-8B2B-3BC657B32D3B}"/>
    <cellStyle name="Normal 2 2 4 3 6 5" xfId="23973" xr:uid="{BAA059BC-4F05-4B08-BCBD-4C43B9653F5C}"/>
    <cellStyle name="Normal 2 2 4 3 6 6" xfId="13412" xr:uid="{0282C8A2-5254-48F9-A77A-D9F531691BCF}"/>
    <cellStyle name="Normal 2 2 4 3 7" xfId="2473" xr:uid="{00000000-0005-0000-0000-0000DD030000}"/>
    <cellStyle name="Normal 2 2 4 3 7 2" xfId="5761" xr:uid="{E9BE1DA1-DBA2-4014-8E90-C38580891186}"/>
    <cellStyle name="Normal 2 2 4 3 7 2 2" xfId="26692" xr:uid="{2F085963-6914-4139-93C2-DA39799FBB75}"/>
    <cellStyle name="Normal 2 2 4 3 7 2 3" xfId="15145" xr:uid="{9D9274B6-6C14-4F48-90BA-E8B9130846BB}"/>
    <cellStyle name="Normal 2 2 4 3 7 3" xfId="7598" xr:uid="{97A10F47-C951-4780-B3AC-EEC53232A638}"/>
    <cellStyle name="Normal 2 2 4 3 7 3 2" xfId="17978" xr:uid="{2F4E08D7-AEDE-4897-910E-BE435BD2055E}"/>
    <cellStyle name="Normal 2 2 4 3 7 4" xfId="10431" xr:uid="{90229D57-D9CB-45C4-8AA0-C4C1BA53C2D0}"/>
    <cellStyle name="Normal 2 2 4 3 7 4 2" xfId="20811" xr:uid="{8C9E56C3-8CD4-42F2-A2EE-76EF8AE49452}"/>
    <cellStyle name="Normal 2 2 4 3 7 5" xfId="24639" xr:uid="{7006987F-CAD0-4C27-B8F6-1490B33C32DC}"/>
    <cellStyle name="Normal 2 2 4 3 7 6" xfId="12861" xr:uid="{4BB0C8D0-896F-4E30-AEED-A30F35DB3449}"/>
    <cellStyle name="Normal 2 2 4 3 8" xfId="2227" xr:uid="{00000000-0005-0000-0000-0000CC030000}"/>
    <cellStyle name="Normal 2 2 4 3 8 2" xfId="7354" xr:uid="{3703A4EB-E5A2-4E60-9790-DAA32FC67703}"/>
    <cellStyle name="Normal 2 2 4 3 8 2 2" xfId="17734" xr:uid="{AFD9C0FC-9699-4AA0-BFC7-96EE8C9102E1}"/>
    <cellStyle name="Normal 2 2 4 3 8 3" xfId="10187" xr:uid="{391BB5C4-3327-4B7B-9CC3-9E49E9F77817}"/>
    <cellStyle name="Normal 2 2 4 3 8 3 2" xfId="20567" xr:uid="{C66D681E-6CE6-4C34-A08C-E125C0AFF35A}"/>
    <cellStyle name="Normal 2 2 4 3 8 4" xfId="22687" xr:uid="{3E1D6A12-F790-4E46-9D60-D48E9354A353}"/>
    <cellStyle name="Normal 2 2 4 3 8 5" xfId="14901" xr:uid="{432BE09B-3005-4858-B500-D103BC86683B}"/>
    <cellStyle name="Normal 2 2 4 3 9" xfId="3929" xr:uid="{919A12B1-4137-4860-A862-349BD11EA352}"/>
    <cellStyle name="Normal 2 2 4 3 9 2" xfId="8761" xr:uid="{1BFF0860-7DAD-475B-B81C-9B65EDD2C12C}"/>
    <cellStyle name="Normal 2 2 4 3 9 2 2" xfId="19141" xr:uid="{6AF730A1-901B-4D46-9712-27810397D962}"/>
    <cellStyle name="Normal 2 2 4 3 9 3" xfId="11594" xr:uid="{30C9F86E-86E8-428B-9D69-7DBCB6D0302A}"/>
    <cellStyle name="Normal 2 2 4 3 9 3 2" xfId="21974" xr:uid="{B51407AE-2834-4D48-8935-E425B1104D1C}"/>
    <cellStyle name="Normal 2 2 4 3 9 4" xfId="16308" xr:uid="{F4E5DDAE-A54A-4B36-9712-699A36CED190}"/>
    <cellStyle name="Normal 2 2 4 4" xfId="735" xr:uid="{00000000-0005-0000-0000-00008B040000}"/>
    <cellStyle name="Normal 2 2 4 4 10" xfId="6839" xr:uid="{28E152B5-AE39-489A-B309-331A96C0A255}"/>
    <cellStyle name="Normal 2 2 4 4 10 2" xfId="17219" xr:uid="{545D8353-8C47-48D3-B99A-6799A551D911}"/>
    <cellStyle name="Normal 2 2 4 4 11" xfId="9672" xr:uid="{375B2FCE-377B-45C3-AA64-AB54FCC926ED}"/>
    <cellStyle name="Normal 2 2 4 4 11 2" xfId="20052" xr:uid="{2833EED9-B22B-4674-B971-DA744A19D722}"/>
    <cellStyle name="Normal 2 2 4 4 12" xfId="24561" xr:uid="{25EF1B4A-AE7B-4986-BFCC-578FB69DF156}"/>
    <cellStyle name="Normal 2 2 4 4 13" xfId="12439" xr:uid="{8FD132CF-49B9-4D59-B19E-4F98B9EEF700}"/>
    <cellStyle name="Normal 2 2 4 4 2" xfId="736" xr:uid="{00000000-0005-0000-0000-00008C040000}"/>
    <cellStyle name="Normal 2 2 4 4 2 10" xfId="9673" xr:uid="{3BFC7526-DD24-4E69-9046-08DF5964D0A5}"/>
    <cellStyle name="Normal 2 2 4 4 2 10 2" xfId="20053" xr:uid="{C659AD71-50E7-4B96-A55A-6EAFD912C79B}"/>
    <cellStyle name="Normal 2 2 4 4 2 11" xfId="22977" xr:uid="{E6A87204-66AD-471C-B620-94F1D2F34A2C}"/>
    <cellStyle name="Normal 2 2 4 4 2 12" xfId="12557" xr:uid="{C066DA0B-B2D7-417F-91E9-ED7F4213738E}"/>
    <cellStyle name="Normal 2 2 4 4 2 2" xfId="737" xr:uid="{00000000-0005-0000-0000-00008D040000}"/>
    <cellStyle name="Normal 2 2 4 4 2 2 2" xfId="3171" xr:uid="{00000000-0005-0000-0000-0000E1030000}"/>
    <cellStyle name="Normal 2 2 4 4 2 2 2 2" xfId="6229" xr:uid="{28483858-44C1-4E3F-8A77-72DA8029C5FF}"/>
    <cellStyle name="Normal 2 2 4 4 2 2 2 2 2" xfId="26629" xr:uid="{F68FBF4F-FD62-45F7-BEB2-2162511B2A4A}"/>
    <cellStyle name="Normal 2 2 4 4 2 2 2 2 3" xfId="26842" xr:uid="{29F33F5A-D940-43A5-B931-C0B501CA0DFB}"/>
    <cellStyle name="Normal 2 2 4 4 2 2 2 2 4" xfId="15798" xr:uid="{A5AD9C89-0101-4674-9F23-FAD9E24D6C49}"/>
    <cellStyle name="Normal 2 2 4 4 2 2 2 3" xfId="8251" xr:uid="{EA17EB81-A2CD-4CFC-9A22-7861201794A2}"/>
    <cellStyle name="Normal 2 2 4 4 2 2 2 3 2" xfId="28875" xr:uid="{6A9856E1-AF8C-46F2-BDC0-2C18C8A0E367}"/>
    <cellStyle name="Normal 2 2 4 4 2 2 2 3 3" xfId="18631" xr:uid="{CB26F624-9167-4FB8-8C0A-A16311834941}"/>
    <cellStyle name="Normal 2 2 4 4 2 2 2 4" xfId="11084" xr:uid="{D5A6ADFE-07E2-4619-9C63-BE5376FD203F}"/>
    <cellStyle name="Normal 2 2 4 4 2 2 2 4 2" xfId="21464" xr:uid="{970BFC75-E9CB-4FA0-9E55-2B4CBB770332}"/>
    <cellStyle name="Normal 2 2 4 4 2 2 2 5" xfId="24197" xr:uid="{C7F805C5-CD1D-4343-97B2-CB2904B30195}"/>
    <cellStyle name="Normal 2 2 4 4 2 2 2 6" xfId="13706" xr:uid="{A5BA1D42-DFBB-45CE-BE54-1C46C308C69F}"/>
    <cellStyle name="Normal 2 2 4 4 2 2 3" xfId="4294" xr:uid="{B78048BC-5451-4B7A-817E-666FB94357DB}"/>
    <cellStyle name="Normal 2 2 4 4 2 2 3 2" xfId="9066" xr:uid="{6D823A29-95CE-49AD-8A19-4E3316CFECDD}"/>
    <cellStyle name="Normal 2 2 4 4 2 2 3 2 2" xfId="29109" xr:uid="{80E5DA21-8A94-4D4F-97C7-ED19F16C6CFA}"/>
    <cellStyle name="Normal 2 2 4 4 2 2 3 2 3" xfId="19446" xr:uid="{7BDF0715-D175-494C-89C1-DFD8CC93A86B}"/>
    <cellStyle name="Normal 2 2 4 4 2 2 3 3" xfId="11899" xr:uid="{D5290866-D956-4FC8-A108-398E0DC7BF46}"/>
    <cellStyle name="Normal 2 2 4 4 2 2 3 3 2" xfId="22279" xr:uid="{07DD412E-235B-4C27-8074-60D13736BCAE}"/>
    <cellStyle name="Normal 2 2 4 4 2 2 3 4" xfId="23557" xr:uid="{31DD1FEC-DA3E-4CE7-92F5-5A971C3426DB}"/>
    <cellStyle name="Normal 2 2 4 4 2 2 3 5" xfId="16613" xr:uid="{B3538216-F715-4E68-92E2-D0880EF9D01A}"/>
    <cellStyle name="Normal 2 2 4 4 2 2 4" xfId="5091" xr:uid="{A7E355CD-0E3F-483B-8272-C414E2582F77}"/>
    <cellStyle name="Normal 2 2 4 4 2 2 4 2" xfId="28347" xr:uid="{1F9C6DE4-285B-433E-ABC7-AB854B8CE204}"/>
    <cellStyle name="Normal 2 2 4 4 2 2 4 3" xfId="14388" xr:uid="{8F3ACA04-E0A2-4A7C-9BAF-CB8955CED3E7}"/>
    <cellStyle name="Normal 2 2 4 4 2 2 5" xfId="6841" xr:uid="{27A434D6-B15F-479D-8681-5FD22A29BD41}"/>
    <cellStyle name="Normal 2 2 4 4 2 2 5 2" xfId="17221" xr:uid="{7DACB67C-6280-4D98-AE9B-103BD5B2E4C6}"/>
    <cellStyle name="Normal 2 2 4 4 2 2 6" xfId="9674" xr:uid="{A63E5426-E54D-43DB-A7BC-9F51459C7F64}"/>
    <cellStyle name="Normal 2 2 4 4 2 2 6 2" xfId="20054" xr:uid="{7E576224-A64A-4141-A23B-26DE3D63FC1E}"/>
    <cellStyle name="Normal 2 2 4 4 2 2 7" xfId="24606" xr:uid="{6502A045-E6C0-4438-BBD3-91DDBCE38B90}"/>
    <cellStyle name="Normal 2 2 4 4 2 2 8" xfId="13157" xr:uid="{7D679ACC-1F21-451F-ADC2-8A62E12A3398}"/>
    <cellStyle name="Normal 2 2 4 4 2 3" xfId="3172" xr:uid="{00000000-0005-0000-0000-0000E2030000}"/>
    <cellStyle name="Normal 2 2 4 4 2 3 2" xfId="4460" xr:uid="{206E568B-39CE-49B8-A61D-88EAA7919F7B}"/>
    <cellStyle name="Normal 2 2 4 4 2 3 2 2" xfId="9232" xr:uid="{1A3D5F21-CB49-4A3A-A819-33CD3F4A69BE}"/>
    <cellStyle name="Normal 2 2 4 4 2 3 2 2 2" xfId="29223" xr:uid="{C5C5F167-7233-41BA-87B4-0D2E75CFCF78}"/>
    <cellStyle name="Normal 2 2 4 4 2 3 2 2 3" xfId="19612" xr:uid="{45C39F80-5D95-41FF-B5DC-CEAC240300DA}"/>
    <cellStyle name="Normal 2 2 4 4 2 3 2 3" xfId="12065" xr:uid="{CAC07F2A-261C-4026-8C42-16192BB18E61}"/>
    <cellStyle name="Normal 2 2 4 4 2 3 2 3 2" xfId="22445" xr:uid="{0D19F29F-C64F-4AB4-A9FA-5F1CB9F70B30}"/>
    <cellStyle name="Normal 2 2 4 4 2 3 2 4" xfId="25708" xr:uid="{CDD8DDAB-9853-4B47-9D8E-6575E6953A69}"/>
    <cellStyle name="Normal 2 2 4 4 2 3 2 5" xfId="16779" xr:uid="{D8059488-2B45-405D-BE6E-2374BE30BFD3}"/>
    <cellStyle name="Normal 2 2 4 4 2 3 3" xfId="6230" xr:uid="{08C8D671-59C1-428E-8055-31CC7FE6F58E}"/>
    <cellStyle name="Normal 2 2 4 4 2 3 3 2" xfId="28544" xr:uid="{69B8F7CE-7389-4D99-BB44-AA1DB0CA353B}"/>
    <cellStyle name="Normal 2 2 4 4 2 3 3 3" xfId="15799" xr:uid="{31E4AAF4-9475-4707-9055-F536DB87E085}"/>
    <cellStyle name="Normal 2 2 4 4 2 3 4" xfId="8252" xr:uid="{E2929E5E-5C0D-4279-A283-F6F09470487D}"/>
    <cellStyle name="Normal 2 2 4 4 2 3 4 2" xfId="18632" xr:uid="{72CAC696-7E23-4B15-A05B-BFFCC84A86BF}"/>
    <cellStyle name="Normal 2 2 4 4 2 3 5" xfId="11085" xr:uid="{E6A5E95A-552F-40B6-ADF3-CA7A9476BEF6}"/>
    <cellStyle name="Normal 2 2 4 4 2 3 5 2" xfId="21465" xr:uid="{3CBB2F69-656D-4544-B4C3-B125B898FB5A}"/>
    <cellStyle name="Normal 2 2 4 4 2 3 6" xfId="23324" xr:uid="{9D4E033E-345B-42B5-B5CB-51D18B8300A9}"/>
    <cellStyle name="Normal 2 2 4 4 2 3 7" xfId="13707" xr:uid="{F5BDEA87-72D8-49AF-A594-3A3AAA66B1AB}"/>
    <cellStyle name="Normal 2 2 4 4 2 4" xfId="3170" xr:uid="{00000000-0005-0000-0000-0000E3030000}"/>
    <cellStyle name="Normal 2 2 4 4 2 4 2" xfId="6228" xr:uid="{7A8CD3BE-398A-42F4-A00C-D6C2D1FC6424}"/>
    <cellStyle name="Normal 2 2 4 4 2 4 2 2" xfId="25981" xr:uid="{D3AEFA4E-ED85-4369-801C-35C170119C43}"/>
    <cellStyle name="Normal 2 2 4 4 2 4 2 3" xfId="15797" xr:uid="{8B3D8C03-4B28-4701-9BC0-E0492329EE37}"/>
    <cellStyle name="Normal 2 2 4 4 2 4 3" xfId="8250" xr:uid="{AB654E16-B54B-4650-90D7-33C4D165A2E9}"/>
    <cellStyle name="Normal 2 2 4 4 2 4 3 2" xfId="18630" xr:uid="{FB553D22-0586-41D1-9388-C2CFE5E3579F}"/>
    <cellStyle name="Normal 2 2 4 4 2 4 4" xfId="11083" xr:uid="{EBC68E25-6416-4CAF-9284-4652454ED3F0}"/>
    <cellStyle name="Normal 2 2 4 4 2 4 4 2" xfId="21463" xr:uid="{D2FA66C1-030A-474F-9AA7-D466EA909659}"/>
    <cellStyle name="Normal 2 2 4 4 2 4 5" xfId="25314" xr:uid="{FBF2EB05-6896-4ABA-8B70-A39F5D34AFF2}"/>
    <cellStyle name="Normal 2 2 4 4 2 4 6" xfId="13705" xr:uid="{A141E574-1CE7-4677-80BB-24E6647DC336}"/>
    <cellStyle name="Normal 2 2 4 4 2 5" xfId="2616" xr:uid="{00000000-0005-0000-0000-0000E4030000}"/>
    <cellStyle name="Normal 2 2 4 4 2 5 2" xfId="5878" xr:uid="{D5067EBC-2A76-4582-98EF-85BF08AF765B}"/>
    <cellStyle name="Normal 2 2 4 4 2 5 2 2" xfId="28435" xr:uid="{78BEE00F-E4A4-4E20-A307-8FA1AF518F42}"/>
    <cellStyle name="Normal 2 2 4 4 2 5 2 3" xfId="15288" xr:uid="{E64DD205-EBA4-4437-B2D1-7E44E853D800}"/>
    <cellStyle name="Normal 2 2 4 4 2 5 3" xfId="7741" xr:uid="{3A682AFA-68B6-4AFA-9A6D-47E07CDE9E29}"/>
    <cellStyle name="Normal 2 2 4 4 2 5 3 2" xfId="18121" xr:uid="{DA12A73C-0C85-4C00-BF7D-3AC985E434BE}"/>
    <cellStyle name="Normal 2 2 4 4 2 5 4" xfId="10574" xr:uid="{EB98CB3D-7C11-4696-A1B8-69BB39AE169F}"/>
    <cellStyle name="Normal 2 2 4 4 2 5 4 2" xfId="20954" xr:uid="{B9F55497-735C-4CA6-AB2E-7F06AE06D658}"/>
    <cellStyle name="Normal 2 2 4 4 2 5 5" xfId="22925" xr:uid="{FBF42E42-30A9-4E67-99A3-8762FB36C74C}"/>
    <cellStyle name="Normal 2 2 4 4 2 5 6" xfId="13004" xr:uid="{0FFE5BC1-EEF7-4CA9-99AE-BA56E8A0DB3C}"/>
    <cellStyle name="Normal 2 2 4 4 2 6" xfId="2323" xr:uid="{00000000-0005-0000-0000-0000DF030000}"/>
    <cellStyle name="Normal 2 2 4 4 2 6 2" xfId="7450" xr:uid="{4B0A431F-81C3-424A-A1B9-5117ACAEBDC8}"/>
    <cellStyle name="Normal 2 2 4 4 2 6 2 2" xfId="17830" xr:uid="{EFDE1C88-A96F-4916-9785-960F88FC2CBC}"/>
    <cellStyle name="Normal 2 2 4 4 2 6 3" xfId="10283" xr:uid="{7D74A021-2C68-4F3D-A581-08CB0E0A0611}"/>
    <cellStyle name="Normal 2 2 4 4 2 6 3 2" xfId="20663" xr:uid="{F7A794A6-9A2D-435D-B820-48BFFCEB7CE0}"/>
    <cellStyle name="Normal 2 2 4 4 2 6 4" xfId="23255" xr:uid="{9A66368B-EDE4-4098-AAA0-B4C9A195FC3E}"/>
    <cellStyle name="Normal 2 2 4 4 2 6 5" xfId="14997" xr:uid="{F2C71A4D-B904-43C0-9BE3-6AB71E559423}"/>
    <cellStyle name="Normal 2 2 4 4 2 7" xfId="3842" xr:uid="{947E7DE4-2AAA-4678-93E2-AD134211222F}"/>
    <cellStyle name="Normal 2 2 4 4 2 7 2" xfId="8675" xr:uid="{921DFA96-96AF-4640-8753-FDF66440E028}"/>
    <cellStyle name="Normal 2 2 4 4 2 7 2 2" xfId="19055" xr:uid="{A60E6FFB-625D-48EC-84F9-98E7D2FBDBCE}"/>
    <cellStyle name="Normal 2 2 4 4 2 7 3" xfId="11508" xr:uid="{306D5514-044E-4B24-9269-02C4A23F0CA7}"/>
    <cellStyle name="Normal 2 2 4 4 2 7 3 2" xfId="21888" xr:uid="{D358F6F4-2044-41F4-8D7C-2D7523119D31}"/>
    <cellStyle name="Normal 2 2 4 4 2 7 4" xfId="16222" xr:uid="{048821DA-2C2B-425F-A0C8-D1A6C2D0C089}"/>
    <cellStyle name="Normal 2 2 4 4 2 8" xfId="5090" xr:uid="{D0EDA893-E636-4BBD-A856-E9E961EA5291}"/>
    <cellStyle name="Normal 2 2 4 4 2 8 2" xfId="14387" xr:uid="{C1DB47FF-B6D8-4A8D-9198-86547AE6E118}"/>
    <cellStyle name="Normal 2 2 4 4 2 9" xfId="6840" xr:uid="{685711C8-C591-421C-B3CA-6A7FEE7F9503}"/>
    <cellStyle name="Normal 2 2 4 4 2 9 2" xfId="17220" xr:uid="{0FC4E765-EF25-4FCB-9B58-82CAA5A6E735}"/>
    <cellStyle name="Normal 2 2 4 4 3" xfId="738" xr:uid="{00000000-0005-0000-0000-00008E040000}"/>
    <cellStyle name="Normal 2 2 4 4 3 2" xfId="3173" xr:uid="{00000000-0005-0000-0000-0000E6030000}"/>
    <cellStyle name="Normal 2 2 4 4 3 2 2" xfId="6231" xr:uid="{AEC9A15C-3897-45C6-A6F6-566F78D89093}"/>
    <cellStyle name="Normal 2 2 4 4 3 2 2 2" xfId="22741" xr:uid="{6081BA4B-B5AC-4CC6-86A4-23ADDB668E10}"/>
    <cellStyle name="Normal 2 2 4 4 3 2 2 3" xfId="28526" xr:uid="{6F0C2A27-5F8A-46A2-8A97-B32FBBF4D23E}"/>
    <cellStyle name="Normal 2 2 4 4 3 2 2 4" xfId="15800" xr:uid="{5DC77F8C-E6CC-42D2-AD15-C46239C9D594}"/>
    <cellStyle name="Normal 2 2 4 4 3 2 3" xfId="8253" xr:uid="{76509527-AEFC-4E16-9C04-BC9A58BF4955}"/>
    <cellStyle name="Normal 2 2 4 4 3 2 3 2" xfId="28876" xr:uid="{703DB7FC-9B0D-4086-90F4-6A8EB493AF8D}"/>
    <cellStyle name="Normal 2 2 4 4 3 2 3 3" xfId="18633" xr:uid="{4F120A83-0BE0-4DD3-8F4D-E57898805FD9}"/>
    <cellStyle name="Normal 2 2 4 4 3 2 4" xfId="11086" xr:uid="{25EEAC75-C747-4A62-B492-2FEC2383350C}"/>
    <cellStyle name="Normal 2 2 4 4 3 2 4 2" xfId="21466" xr:uid="{98B0BAF0-C3C1-4180-948A-1FE152978A3A}"/>
    <cellStyle name="Normal 2 2 4 4 3 2 5" xfId="25380" xr:uid="{EAAEC73E-2C23-4EAA-A9FA-4A9B618A51FE}"/>
    <cellStyle name="Normal 2 2 4 4 3 2 6" xfId="13708" xr:uid="{D6198460-BA57-4E25-AFE3-6D78E63DA367}"/>
    <cellStyle name="Normal 2 2 4 4 3 3" xfId="2725" xr:uid="{00000000-0005-0000-0000-0000E7030000}"/>
    <cellStyle name="Normal 2 2 4 4 3 3 2" xfId="5943" xr:uid="{1D18FA06-C285-4FCE-840F-7726D08ADCD2}"/>
    <cellStyle name="Normal 2 2 4 4 3 3 2 2" xfId="26395" xr:uid="{94948FCC-21DF-42DA-85D0-CEB2759B487D}"/>
    <cellStyle name="Normal 2 2 4 4 3 3 2 3" xfId="15396" xr:uid="{CB4508A2-3CF1-4781-8474-19DB3C944215}"/>
    <cellStyle name="Normal 2 2 4 4 3 3 3" xfId="7849" xr:uid="{6F51C793-BD92-48F4-A945-480DC939EE0B}"/>
    <cellStyle name="Normal 2 2 4 4 3 3 3 2" xfId="18229" xr:uid="{28ED8F68-5017-45AB-BBB2-6724396EAE2B}"/>
    <cellStyle name="Normal 2 2 4 4 3 3 4" xfId="10682" xr:uid="{C1DBEED9-84A2-4584-B432-2CEA05179ADD}"/>
    <cellStyle name="Normal 2 2 4 4 3 3 4 2" xfId="21062" xr:uid="{5755DDD9-E6B6-4AF8-B733-F8A0ABFA8A56}"/>
    <cellStyle name="Normal 2 2 4 4 3 3 5" xfId="22713" xr:uid="{5480C5DC-370B-4D68-9340-99542CB2E27A}"/>
    <cellStyle name="Normal 2 2 4 4 3 3 6" xfId="13156" xr:uid="{E550B2BD-17F8-4B9E-99E9-C720BDB97E52}"/>
    <cellStyle name="Normal 2 2 4 4 3 4" xfId="4159" xr:uid="{29B70EA5-493F-4A4C-9AAB-F0745EE8E9C7}"/>
    <cellStyle name="Normal 2 2 4 4 3 4 2" xfId="8931" xr:uid="{D286C9A1-A09B-41DF-BD14-9BE972AF9677}"/>
    <cellStyle name="Normal 2 2 4 4 3 4 2 2" xfId="29028" xr:uid="{15C43BBA-81D1-46D9-B219-8D124E42713E}"/>
    <cellStyle name="Normal 2 2 4 4 3 4 2 3" xfId="19311" xr:uid="{74B98875-B4D2-4C85-9BB9-F5B64AEA1AE7}"/>
    <cellStyle name="Normal 2 2 4 4 3 4 3" xfId="11764" xr:uid="{0740932C-0657-4FC7-B42C-4FD43BF391C4}"/>
    <cellStyle name="Normal 2 2 4 4 3 4 3 2" xfId="22144" xr:uid="{40862A5D-22C5-4F91-A67F-625D5BF41BAB}"/>
    <cellStyle name="Normal 2 2 4 4 3 4 4" xfId="25285" xr:uid="{28EB06E8-35D9-41B7-A6ED-F6C5216ED081}"/>
    <cellStyle name="Normal 2 2 4 4 3 4 5" xfId="16478" xr:uid="{E6F72420-9E7F-4453-884B-C72A8488B5AE}"/>
    <cellStyle name="Normal 2 2 4 4 3 5" xfId="5092" xr:uid="{99BB098F-49B2-4E54-9FAD-ED4856CBD1C3}"/>
    <cellStyle name="Normal 2 2 4 4 3 5 2" xfId="26628" xr:uid="{342A50DA-C48E-47AB-B5E9-871F17FA607B}"/>
    <cellStyle name="Normal 2 2 4 4 3 5 3" xfId="14389" xr:uid="{4060603D-95A6-41B6-8D68-D0F790E76ABE}"/>
    <cellStyle name="Normal 2 2 4 4 3 6" xfId="6842" xr:uid="{A608F365-6CB5-4AB0-A40B-A32EF0CB4174}"/>
    <cellStyle name="Normal 2 2 4 4 3 6 2" xfId="17222" xr:uid="{B9833EDB-AB48-4EAA-A136-B57BDA372475}"/>
    <cellStyle name="Normal 2 2 4 4 3 7" xfId="9675" xr:uid="{70768092-000C-4A45-887B-BF38241F6CC5}"/>
    <cellStyle name="Normal 2 2 4 4 3 7 2" xfId="20055" xr:uid="{E51A2E36-A471-40DE-AD4A-FD5DACC39447}"/>
    <cellStyle name="Normal 2 2 4 4 3 8" xfId="24222" xr:uid="{97AFD24C-F5A5-4F00-A96B-8C0B6F5D2221}"/>
    <cellStyle name="Normal 2 2 4 4 3 9" xfId="12715" xr:uid="{90A98170-6759-44D3-B540-5133EB0A3B85}"/>
    <cellStyle name="Normal 2 2 4 4 4" xfId="739" xr:uid="{00000000-0005-0000-0000-00008F040000}"/>
    <cellStyle name="Normal 2 2 4 4 4 2" xfId="4461" xr:uid="{6F61A1E0-1820-47C0-8C47-577AD9F9DAA3}"/>
    <cellStyle name="Normal 2 2 4 4 4 2 2" xfId="9233" xr:uid="{A475B121-84BE-42D6-8C27-FE2A6C61BCED}"/>
    <cellStyle name="Normal 2 2 4 4 4 2 2 2" xfId="29224" xr:uid="{59D8F497-75E7-40C8-AF91-B75815CA8E29}"/>
    <cellStyle name="Normal 2 2 4 4 4 2 2 3" xfId="19613" xr:uid="{93627C9A-A0A8-4554-A245-32AB4D560D98}"/>
    <cellStyle name="Normal 2 2 4 4 4 2 3" xfId="12066" xr:uid="{56BFEA34-C594-4E40-A4DD-2B246337596B}"/>
    <cellStyle name="Normal 2 2 4 4 4 2 3 2" xfId="22446" xr:uid="{D7AAE023-1B66-4B7F-81B1-4A58E6793B0E}"/>
    <cellStyle name="Normal 2 2 4 4 4 2 4" xfId="23549" xr:uid="{33069559-9E77-4F89-B51A-34DF942CEC6A}"/>
    <cellStyle name="Normal 2 2 4 4 4 2 5" xfId="16780" xr:uid="{8F563E49-31CF-455A-AC24-7F91AAF4F63D}"/>
    <cellStyle name="Normal 2 2 4 4 4 3" xfId="5093" xr:uid="{BC1CB8FF-8F1B-4BA9-89E8-303B964FCFE1}"/>
    <cellStyle name="Normal 2 2 4 4 4 3 2" xfId="27346" xr:uid="{8891E6CB-1C64-47CC-BF55-882F285C3294}"/>
    <cellStyle name="Normal 2 2 4 4 4 3 3" xfId="14390" xr:uid="{DBE931C6-EF20-4F7B-9979-8672A3D304C5}"/>
    <cellStyle name="Normal 2 2 4 4 4 4" xfId="6843" xr:uid="{8ED7317D-AE72-42E4-B033-B26F442A5557}"/>
    <cellStyle name="Normal 2 2 4 4 4 4 2" xfId="17223" xr:uid="{EC7E73AB-B357-411A-A1A2-1AA9324CFAF6}"/>
    <cellStyle name="Normal 2 2 4 4 4 5" xfId="9676" xr:uid="{8C46AFBD-24F4-42A2-87E9-FE63B2E36246}"/>
    <cellStyle name="Normal 2 2 4 4 4 5 2" xfId="20056" xr:uid="{579A9DD2-1D03-428F-9B67-C7794496F86F}"/>
    <cellStyle name="Normal 2 2 4 4 4 6" xfId="23777" xr:uid="{1B0A001D-86C2-4545-920E-AA84E3F3E29E}"/>
    <cellStyle name="Normal 2 2 4 4 4 7" xfId="13709" xr:uid="{1BC04112-A3D0-415F-BFA2-2A66E4C563F2}"/>
    <cellStyle name="Normal 2 2 4 4 5" xfId="2900" xr:uid="{00000000-0005-0000-0000-0000E9030000}"/>
    <cellStyle name="Normal 2 2 4 4 5 2" xfId="6086" xr:uid="{0DE3E1DB-7D7E-48D0-8C45-8CE4F344C2D7}"/>
    <cellStyle name="Normal 2 2 4 4 5 2 2" xfId="24192" xr:uid="{96DA388D-9760-4F77-B463-9718C34830DD}"/>
    <cellStyle name="Normal 2 2 4 4 5 2 3" xfId="26081" xr:uid="{CA8D3603-B7B2-424A-9666-F2140B681E26}"/>
    <cellStyle name="Normal 2 2 4 4 5 2 4" xfId="15564" xr:uid="{91910D66-2E8E-4E05-ABB7-E81FEB359B34}"/>
    <cellStyle name="Normal 2 2 4 4 5 3" xfId="8017" xr:uid="{A502F691-3D0E-4563-87E2-CC79587729B7}"/>
    <cellStyle name="Normal 2 2 4 4 5 3 2" xfId="28592" xr:uid="{31974CD5-239E-45A9-ABE3-300A149574EA}"/>
    <cellStyle name="Normal 2 2 4 4 5 3 3" xfId="18397" xr:uid="{D5D7E922-CF7E-4602-BF0D-8428E385B66F}"/>
    <cellStyle name="Normal 2 2 4 4 5 4" xfId="10850" xr:uid="{22AD69CC-79E4-474F-8BA8-6928D1F6475C}"/>
    <cellStyle name="Normal 2 2 4 4 5 4 2" xfId="21230" xr:uid="{1DE5C62F-DDBE-4826-86D7-DE5A8EB1D5F3}"/>
    <cellStyle name="Normal 2 2 4 4 5 5" xfId="23198" xr:uid="{8EF9A2B9-BA47-4481-A01F-091A99849719}"/>
    <cellStyle name="Normal 2 2 4 4 5 6" xfId="13413" xr:uid="{F71E976F-F2E4-4870-8EC4-0698440CD54D}"/>
    <cellStyle name="Normal 2 2 4 4 6" xfId="2453" xr:uid="{00000000-0005-0000-0000-0000EA030000}"/>
    <cellStyle name="Normal 2 2 4 4 6 2" xfId="5745" xr:uid="{503F4DAD-0739-4D22-B301-05F69B020E1D}"/>
    <cellStyle name="Normal 2 2 4 4 6 2 2" xfId="27114" xr:uid="{BFE77B4D-3671-486C-BE5C-A397C96854F0}"/>
    <cellStyle name="Normal 2 2 4 4 6 2 3" xfId="15125" xr:uid="{45328C7B-52DA-487E-AA36-56D91EE4B36C}"/>
    <cellStyle name="Normal 2 2 4 4 6 3" xfId="7578" xr:uid="{BC637505-56DC-4566-8575-6501DB897D14}"/>
    <cellStyle name="Normal 2 2 4 4 6 3 2" xfId="17958" xr:uid="{ADF89247-8533-412A-987F-7361408CF1DC}"/>
    <cellStyle name="Normal 2 2 4 4 6 4" xfId="10411" xr:uid="{0F209FF0-DB3D-4705-B36C-8B8EA8D305DD}"/>
    <cellStyle name="Normal 2 2 4 4 6 4 2" xfId="20791" xr:uid="{55AE9076-243B-47F8-9ABF-68A36C6388D7}"/>
    <cellStyle name="Normal 2 2 4 4 6 5" xfId="23700" xr:uid="{8742C3B2-0416-4933-B98B-59B351F99F24}"/>
    <cellStyle name="Normal 2 2 4 4 6 6" xfId="12841" xr:uid="{4A6421B6-61C8-4996-A67A-A4F3D90FA67B}"/>
    <cellStyle name="Normal 2 2 4 4 7" xfId="2207" xr:uid="{00000000-0005-0000-0000-0000DE030000}"/>
    <cellStyle name="Normal 2 2 4 4 7 2" xfId="7334" xr:uid="{1A31971A-39F5-4EEA-94AD-C4849A017D9D}"/>
    <cellStyle name="Normal 2 2 4 4 7 2 2" xfId="17714" xr:uid="{8C7E7CA6-E30D-4C36-8BF4-F0A980FDE0A3}"/>
    <cellStyle name="Normal 2 2 4 4 7 3" xfId="10167" xr:uid="{A1DCAF1F-9C89-4E06-8EF8-FD3DFCB86A49}"/>
    <cellStyle name="Normal 2 2 4 4 7 3 2" xfId="20547" xr:uid="{A74C7EDB-A006-4F72-9768-DFAC23401C5D}"/>
    <cellStyle name="Normal 2 2 4 4 7 4" xfId="24286" xr:uid="{9DF97B59-32B7-41EC-B282-0F0F5F95B48F}"/>
    <cellStyle name="Normal 2 2 4 4 7 5" xfId="14881" xr:uid="{3A5D5290-DD44-4C7C-A76B-F57BA77A82DD}"/>
    <cellStyle name="Normal 2 2 4 4 8" xfId="3930" xr:uid="{962AD314-BF12-439C-AB49-0651A687A10E}"/>
    <cellStyle name="Normal 2 2 4 4 8 2" xfId="8762" xr:uid="{1DDDB41C-94D2-4D16-B145-A71EDBC318ED}"/>
    <cellStyle name="Normal 2 2 4 4 8 2 2" xfId="19142" xr:uid="{B9DF84F6-C140-40B7-8AC4-2AFD6A35CE40}"/>
    <cellStyle name="Normal 2 2 4 4 8 3" xfId="11595" xr:uid="{346BA0A1-AE22-4C9D-BDCA-F68E6E6D2258}"/>
    <cellStyle name="Normal 2 2 4 4 8 3 2" xfId="21975" xr:uid="{1F59A14C-F2DF-4B34-BFEE-2FA3B6A69306}"/>
    <cellStyle name="Normal 2 2 4 4 8 4" xfId="16309" xr:uid="{C9490936-9543-4F9B-AF22-D5AD73F04C32}"/>
    <cellStyle name="Normal 2 2 4 4 9" xfId="5089" xr:uid="{492C6885-DC44-4B48-8499-F1090CC0D711}"/>
    <cellStyle name="Normal 2 2 4 4 9 2" xfId="14386" xr:uid="{BE6675D0-FABD-4AB3-B1BD-5D214A7BDEDB}"/>
    <cellStyle name="Normal 2 2 4 5" xfId="740" xr:uid="{00000000-0005-0000-0000-000090040000}"/>
    <cellStyle name="Normal 2 2 4 5 10" xfId="9677" xr:uid="{7B97F55A-82F5-48A1-B2B1-D2BF92C5B64F}"/>
    <cellStyle name="Normal 2 2 4 5 10 2" xfId="20057" xr:uid="{F8D046E5-C5AA-4AD2-B070-1DC81C413E00}"/>
    <cellStyle name="Normal 2 2 4 5 11" xfId="23717" xr:uid="{0951A431-4C8C-4F89-9420-DA73C96B3141}"/>
    <cellStyle name="Normal 2 2 4 5 12" xfId="12558" xr:uid="{A3E7AC24-E3A9-43E8-9E59-4A513FD1FF03}"/>
    <cellStyle name="Normal 2 2 4 5 2" xfId="741" xr:uid="{00000000-0005-0000-0000-000091040000}"/>
    <cellStyle name="Normal 2 2 4 5 2 2" xfId="742" xr:uid="{00000000-0005-0000-0000-000092040000}"/>
    <cellStyle name="Normal 2 2 4 5 2 2 2" xfId="5096" xr:uid="{28570D24-0A6D-4749-B208-79CEBAAD5853}"/>
    <cellStyle name="Normal 2 2 4 5 2 2 2 2" xfId="22828" xr:uid="{3F0B452C-4939-41CA-93D5-5DD1126CB3F3}"/>
    <cellStyle name="Normal 2 2 4 5 2 2 2 3" xfId="27049" xr:uid="{40ECDCAF-293A-4154-9A21-1B16E386C4EF}"/>
    <cellStyle name="Normal 2 2 4 5 2 2 2 4" xfId="14393" xr:uid="{044275AE-12C9-498C-A003-DE8E34E87906}"/>
    <cellStyle name="Normal 2 2 4 5 2 2 3" xfId="6846" xr:uid="{5C17A478-D5DD-465B-8874-B8ED2426D041}"/>
    <cellStyle name="Normal 2 2 4 5 2 2 3 2" xfId="27588" xr:uid="{0D63F2D4-6085-471C-84A3-B300ED17C07C}"/>
    <cellStyle name="Normal 2 2 4 5 2 2 3 3" xfId="27221" xr:uid="{B0C46705-ED62-4E14-84D2-519B282BDCEB}"/>
    <cellStyle name="Normal 2 2 4 5 2 2 3 4" xfId="17226" xr:uid="{5459CE37-F0C5-45CB-96A5-25B619B06C47}"/>
    <cellStyle name="Normal 2 2 4 5 2 2 4" xfId="9679" xr:uid="{F042A46C-D0F9-41D4-B2A4-92CD80D95D32}"/>
    <cellStyle name="Normal 2 2 4 5 2 2 4 2" xfId="29391" xr:uid="{03658FA6-7EE1-4353-BE74-76B87C1AADA6}"/>
    <cellStyle name="Normal 2 2 4 5 2 2 4 3" xfId="20059" xr:uid="{AA542A39-720A-4635-9083-45EE6A0A5CC6}"/>
    <cellStyle name="Normal 2 2 4 5 2 2 5" xfId="24815" xr:uid="{7B2739E9-5973-4F5C-B8B6-6B73C0D1F165}"/>
    <cellStyle name="Normal 2 2 4 5 2 2 6" xfId="13710" xr:uid="{BB7E1BB1-AB4F-42E9-8D62-F17FCEEBCD35}"/>
    <cellStyle name="Normal 2 2 4 5 2 2 7" xfId="30411" xr:uid="{1F7A9B1D-5649-4527-ADFD-576D7109BD12}"/>
    <cellStyle name="Normal 2 2 4 5 2 3" xfId="2726" xr:uid="{00000000-0005-0000-0000-0000EE030000}"/>
    <cellStyle name="Normal 2 2 4 5 2 3 2" xfId="5944" xr:uid="{F6D38D51-2623-49A2-8808-D5BB8AFFFF61}"/>
    <cellStyle name="Normal 2 2 4 5 2 3 2 2" xfId="27892" xr:uid="{C21BDB48-8823-42E7-92C5-9B8DB0D560C7}"/>
    <cellStyle name="Normal 2 2 4 5 2 3 2 3" xfId="15397" xr:uid="{D2D9347C-04B5-4346-BDEB-C692AA8CA9FE}"/>
    <cellStyle name="Normal 2 2 4 5 2 3 3" xfId="7850" xr:uid="{0E5FCDA9-E4F7-4688-9D9D-88255B9DD5EA}"/>
    <cellStyle name="Normal 2 2 4 5 2 3 3 2" xfId="18230" xr:uid="{592C8A09-FE5B-4460-B472-67C1E3085872}"/>
    <cellStyle name="Normal 2 2 4 5 2 3 4" xfId="10683" xr:uid="{0AD2B235-01AE-4C19-A4B6-DE626B8E454A}"/>
    <cellStyle name="Normal 2 2 4 5 2 3 4 2" xfId="21063" xr:uid="{C7884267-B29B-4974-A01D-909FDF74F5FF}"/>
    <cellStyle name="Normal 2 2 4 5 2 3 5" xfId="23435" xr:uid="{7FF78EF0-3EB3-4DE3-AF88-1356CDB6B359}"/>
    <cellStyle name="Normal 2 2 4 5 2 3 6" xfId="13158" xr:uid="{928D3D76-F08C-4966-BB9A-B6A8880D2C25}"/>
    <cellStyle name="Normal 2 2 4 5 2 4" xfId="4160" xr:uid="{B1CB9D71-BC6D-4295-8292-81C516C3D8E2}"/>
    <cellStyle name="Normal 2 2 4 5 2 4 2" xfId="8932" xr:uid="{24CA900A-4291-437F-8DED-6E64B2BD93DE}"/>
    <cellStyle name="Normal 2 2 4 5 2 4 2 2" xfId="29029" xr:uid="{8CBEBEA7-7A2E-4712-A5A6-92EFD5340060}"/>
    <cellStyle name="Normal 2 2 4 5 2 4 2 3" xfId="19312" xr:uid="{A48A11BB-1DD6-48D0-8C40-08BE5F1C595A}"/>
    <cellStyle name="Normal 2 2 4 5 2 4 3" xfId="11765" xr:uid="{11E6FCD9-830F-4F75-828E-70B88D2E995E}"/>
    <cellStyle name="Normal 2 2 4 5 2 4 3 2" xfId="22145" xr:uid="{18C0C716-41DF-4A62-A6BD-470B2DC2FC54}"/>
    <cellStyle name="Normal 2 2 4 5 2 4 4" xfId="23251" xr:uid="{A98E546F-C340-48AF-A43B-C807C1E05AE5}"/>
    <cellStyle name="Normal 2 2 4 5 2 4 5" xfId="16479" xr:uid="{831B71F9-BF95-4D3F-94C0-484719694836}"/>
    <cellStyle name="Normal 2 2 4 5 2 5" xfId="5095" xr:uid="{C3E2C19F-B5DD-4E01-9FC4-5993F6DA318B}"/>
    <cellStyle name="Normal 2 2 4 5 2 5 2" xfId="27951" xr:uid="{354E6BC2-73E2-4260-9F97-02018A60A75D}"/>
    <cellStyle name="Normal 2 2 4 5 2 5 3" xfId="14392" xr:uid="{3808A8A3-344F-438D-9BA1-44B18E74A88D}"/>
    <cellStyle name="Normal 2 2 4 5 2 5 4" xfId="30558" xr:uid="{BD783D68-AADF-49FC-8451-EDDA3544C312}"/>
    <cellStyle name="Normal 2 2 4 5 2 6" xfId="6845" xr:uid="{073BA752-4158-4AD7-89AD-6E1F88147547}"/>
    <cellStyle name="Normal 2 2 4 5 2 6 2" xfId="17225" xr:uid="{C01ACFD6-2AA5-47C1-8013-9A69BB6E227F}"/>
    <cellStyle name="Normal 2 2 4 5 2 6 3" xfId="30270" xr:uid="{0F1074B6-506E-41AE-9635-6E29A9497BB7}"/>
    <cellStyle name="Normal 2 2 4 5 2 6 4" xfId="30680" xr:uid="{0C8187B0-AA72-459E-A352-38BD7733262D}"/>
    <cellStyle name="Normal 2 2 4 5 2 7" xfId="9678" xr:uid="{9BFC9367-57A4-4BCF-A13E-1EAB9A6C3750}"/>
    <cellStyle name="Normal 2 2 4 5 2 7 2" xfId="20058" xr:uid="{B015A7D0-F84B-4715-B46E-0B42B8A584F1}"/>
    <cellStyle name="Normal 2 2 4 5 2 8" xfId="23516" xr:uid="{582BBEEB-E589-4F88-A671-E0E3D0B20B5B}"/>
    <cellStyle name="Normal 2 2 4 5 2 9" xfId="12716" xr:uid="{23A72284-53DE-4592-B12C-9935660E9B4E}"/>
    <cellStyle name="Normal 2 2 4 5 3" xfId="743" xr:uid="{00000000-0005-0000-0000-000093040000}"/>
    <cellStyle name="Normal 2 2 4 5 3 2" xfId="4462" xr:uid="{543D7010-EC11-4C5C-8823-CA07FA97EBB6}"/>
    <cellStyle name="Normal 2 2 4 5 3 2 2" xfId="9234" xr:uid="{7946EBE5-C8A6-4AFC-8C75-BE85067E2889}"/>
    <cellStyle name="Normal 2 2 4 5 3 2 2 2" xfId="29225" xr:uid="{F16FFD0B-9C8F-427B-A9D0-CB334C7BBE3E}"/>
    <cellStyle name="Normal 2 2 4 5 3 2 2 3" xfId="19614" xr:uid="{34AB9D2E-E36C-4407-B65D-071BC5B859E2}"/>
    <cellStyle name="Normal 2 2 4 5 3 2 3" xfId="12067" xr:uid="{F638B181-2765-4D51-AF81-82FD5E72D1B3}"/>
    <cellStyle name="Normal 2 2 4 5 3 2 3 2" xfId="22447" xr:uid="{985CFABC-40AE-4CB2-A002-79B451F3F5B4}"/>
    <cellStyle name="Normal 2 2 4 5 3 2 4" xfId="25423" xr:uid="{36EB2C9D-BC28-4930-9B0C-930F3B5E4937}"/>
    <cellStyle name="Normal 2 2 4 5 3 2 5" xfId="16781" xr:uid="{378EFF27-069C-46B2-B917-7EE7243E536F}"/>
    <cellStyle name="Normal 2 2 4 5 3 3" xfId="5097" xr:uid="{5B0E600D-0395-4FA7-A923-CC03DBD41799}"/>
    <cellStyle name="Normal 2 2 4 5 3 3 2" xfId="24760" xr:uid="{7AFC624E-A7DB-4CFC-A0E7-45DF82D9EB1C}"/>
    <cellStyle name="Normal 2 2 4 5 3 3 3" xfId="26846" xr:uid="{04416A7C-E78A-4D80-A1F5-694BE8817E89}"/>
    <cellStyle name="Normal 2 2 4 5 3 3 4" xfId="14394" xr:uid="{78695938-377C-4D3D-89A4-72AE6A0619ED}"/>
    <cellStyle name="Normal 2 2 4 5 3 4" xfId="6847" xr:uid="{DBAE9308-A02F-41C9-9F77-0D2FBCB348CD}"/>
    <cellStyle name="Normal 2 2 4 5 3 4 2" xfId="25704" xr:uid="{02CD26FC-D72B-46A9-8F6F-D52FC0B4806E}"/>
    <cellStyle name="Normal 2 2 4 5 3 4 3" xfId="27987" xr:uid="{1CFA8BB8-A730-464D-86F9-BF569D84CD9B}"/>
    <cellStyle name="Normal 2 2 4 5 3 4 4" xfId="17227" xr:uid="{A3C3C419-C14C-4BC4-AB63-49466C8B3622}"/>
    <cellStyle name="Normal 2 2 4 5 3 5" xfId="9680" xr:uid="{1751C3CC-0E75-4446-BCE1-1D486883D5E6}"/>
    <cellStyle name="Normal 2 2 4 5 3 5 2" xfId="29392" xr:uid="{49D9377F-5AA3-4BEE-A998-76104D0D30A7}"/>
    <cellStyle name="Normal 2 2 4 5 3 5 3" xfId="20060" xr:uid="{B0E31A0F-1173-4255-BCF9-CC90A97B1F69}"/>
    <cellStyle name="Normal 2 2 4 5 3 6" xfId="23277" xr:uid="{2799481D-DDCC-406B-BD0B-987BBCF4D72E}"/>
    <cellStyle name="Normal 2 2 4 5 3 7" xfId="13711" xr:uid="{857D0E4E-899C-4861-BC16-BDE19717E27D}"/>
    <cellStyle name="Normal 2 2 4 5 4" xfId="744" xr:uid="{00000000-0005-0000-0000-000094040000}"/>
    <cellStyle name="Normal 2 2 4 5 4 2" xfId="5098" xr:uid="{7EB87CF0-2C76-4CBC-B6CB-9049E5B4F660}"/>
    <cellStyle name="Normal 2 2 4 5 4 2 2" xfId="25170" xr:uid="{8D1AEB1C-7266-473D-A268-862F58BB468B}"/>
    <cellStyle name="Normal 2 2 4 5 4 2 3" xfId="28703" xr:uid="{09FC95F5-B032-4D86-9861-23E1B2AAB4FE}"/>
    <cellStyle name="Normal 2 2 4 5 4 2 4" xfId="14395" xr:uid="{B85F9BC3-E33B-4029-A728-5A5C01794323}"/>
    <cellStyle name="Normal 2 2 4 5 4 3" xfId="6848" xr:uid="{3DBE0692-25D7-47D1-84E5-78018D02E7FB}"/>
    <cellStyle name="Normal 2 2 4 5 4 3 2" xfId="26915" xr:uid="{CDD2B155-591B-40A3-A0FB-D2C641F48F48}"/>
    <cellStyle name="Normal 2 2 4 5 4 3 3" xfId="17228" xr:uid="{CF9DB049-2E4F-4FB7-8079-18014F18DA3D}"/>
    <cellStyle name="Normal 2 2 4 5 4 4" xfId="9681" xr:uid="{9FB6C89D-5A91-4333-B754-32C018CC61CB}"/>
    <cellStyle name="Normal 2 2 4 5 4 4 2" xfId="20061" xr:uid="{A49A9189-74E2-42E8-AB4E-E0A6EA5B4F59}"/>
    <cellStyle name="Normal 2 2 4 5 4 5" xfId="25298" xr:uid="{3BEF782F-789F-43ED-B5D0-E737472780A8}"/>
    <cellStyle name="Normal 2 2 4 5 4 6" xfId="13414" xr:uid="{D770B22A-6255-463E-A8D4-F5BD124F57B7}"/>
    <cellStyle name="Normal 2 2 4 5 5" xfId="2513" xr:uid="{00000000-0005-0000-0000-0000F1030000}"/>
    <cellStyle name="Normal 2 2 4 5 5 2" xfId="5791" xr:uid="{61229B4B-7D35-441F-9C05-74043052A51A}"/>
    <cellStyle name="Normal 2 2 4 5 5 2 2" xfId="26902" xr:uid="{AB113FE4-F214-4508-B776-1E5A01F008CF}"/>
    <cellStyle name="Normal 2 2 4 5 5 2 3" xfId="15185" xr:uid="{C63419A0-6CF0-45AE-B6CA-A8578A0CB174}"/>
    <cellStyle name="Normal 2 2 4 5 5 3" xfId="7638" xr:uid="{E39053B9-93D2-44E9-A498-C40D0CF96456}"/>
    <cellStyle name="Normal 2 2 4 5 5 3 2" xfId="18018" xr:uid="{1ED545CA-255A-4438-8465-B120DDBB1034}"/>
    <cellStyle name="Normal 2 2 4 5 5 4" xfId="10471" xr:uid="{A8E0CB94-435A-412C-AF33-2EC7A9517F51}"/>
    <cellStyle name="Normal 2 2 4 5 5 4 2" xfId="20851" xr:uid="{9F14E22E-44B6-4D2B-A0FC-A873ECC1D32D}"/>
    <cellStyle name="Normal 2 2 4 5 5 5" xfId="22736" xr:uid="{494A08E6-C05E-47AB-B77E-5A9E143FB3F9}"/>
    <cellStyle name="Normal 2 2 4 5 5 6" xfId="12901" xr:uid="{6812ADF2-3DA3-4AB6-B7CB-FB1116E3258B}"/>
    <cellStyle name="Normal 2 2 4 5 6" xfId="2324" xr:uid="{00000000-0005-0000-0000-0000EB030000}"/>
    <cellStyle name="Normal 2 2 4 5 6 2" xfId="7451" xr:uid="{F41C4F13-5347-4957-9A27-118AF936526E}"/>
    <cellStyle name="Normal 2 2 4 5 6 2 2" xfId="28374" xr:uid="{273C0756-2776-4BA1-959B-4C4F49D88BF9}"/>
    <cellStyle name="Normal 2 2 4 5 6 2 3" xfId="17831" xr:uid="{90CB542C-D474-473F-A9E1-74BA300B9FCB}"/>
    <cellStyle name="Normal 2 2 4 5 6 3" xfId="10284" xr:uid="{E33EA191-46E5-476C-8E41-FE5C7F3751EE}"/>
    <cellStyle name="Normal 2 2 4 5 6 3 2" xfId="20664" xr:uid="{809E6F6C-1E7F-42AB-9E97-32FCE6D8504F}"/>
    <cellStyle name="Normal 2 2 4 5 6 4" xfId="24176" xr:uid="{CA1C02D9-C18B-435F-9838-57D8C1FCB386}"/>
    <cellStyle name="Normal 2 2 4 5 6 5" xfId="14998" xr:uid="{15C86A47-CAD9-4DF2-894C-75F8E206E539}"/>
    <cellStyle name="Normal 2 2 4 5 7" xfId="3931" xr:uid="{92C6F550-D67D-4D22-B4F4-71D3B594C79A}"/>
    <cellStyle name="Normal 2 2 4 5 7 2" xfId="8763" xr:uid="{F5E22FFD-B196-431C-BB9C-3E3F3A5ED9C4}"/>
    <cellStyle name="Normal 2 2 4 5 7 2 2" xfId="19143" xr:uid="{1A0B5E1F-9C62-46C2-AC7E-A68903DE8D29}"/>
    <cellStyle name="Normal 2 2 4 5 7 3" xfId="11596" xr:uid="{C8932BFE-8894-4946-9B20-BA1522CD46DA}"/>
    <cellStyle name="Normal 2 2 4 5 7 3 2" xfId="21976" xr:uid="{37AA7A53-86F3-43A6-85AE-B014BFE186E5}"/>
    <cellStyle name="Normal 2 2 4 5 7 4" xfId="28525" xr:uid="{51A23BEE-B27A-4184-A621-0A37B2EBE4D2}"/>
    <cellStyle name="Normal 2 2 4 5 7 5" xfId="16310" xr:uid="{19324787-BDE0-43D5-A9BC-938202896513}"/>
    <cellStyle name="Normal 2 2 4 5 8" xfId="5094" xr:uid="{E495AB42-427E-401E-938A-EA0A6B689707}"/>
    <cellStyle name="Normal 2 2 4 5 8 2" xfId="14391" xr:uid="{E71EFFA8-FE06-4932-8A74-650685A0237C}"/>
    <cellStyle name="Normal 2 2 4 5 9" xfId="6844" xr:uid="{EF6F5DF1-233C-43E7-8B22-AE589CEA1C77}"/>
    <cellStyle name="Normal 2 2 4 5 9 2" xfId="17224" xr:uid="{9665B699-C701-4FD8-A7AF-CFE727F32265}"/>
    <cellStyle name="Normal 2 2 4 6" xfId="745" xr:uid="{00000000-0005-0000-0000-000095040000}"/>
    <cellStyle name="Normal 2 2 4 6 10" xfId="9682" xr:uid="{408595D7-41CC-42B1-A421-11E52BBA95A2}"/>
    <cellStyle name="Normal 2 2 4 6 10 2" xfId="20062" xr:uid="{1F6FFD65-21B2-4ACC-BD36-251E90851B36}"/>
    <cellStyle name="Normal 2 2 4 6 11" xfId="24516" xr:uid="{CB15B39F-AAF7-4C08-91FD-C1E8B4B1E228}"/>
    <cellStyle name="Normal 2 2 4 6 12" xfId="12559" xr:uid="{84174D08-5A5E-4135-99CB-28BAF4EDF7AB}"/>
    <cellStyle name="Normal 2 2 4 6 2" xfId="746" xr:uid="{00000000-0005-0000-0000-000096040000}"/>
    <cellStyle name="Normal 2 2 4 6 2 2" xfId="747" xr:uid="{00000000-0005-0000-0000-000097040000}"/>
    <cellStyle name="Normal 2 2 4 6 2 2 2" xfId="5101" xr:uid="{65E64113-2928-481F-BA28-D79E0828D443}"/>
    <cellStyle name="Normal 2 2 4 6 2 2 2 2" xfId="24768" xr:uid="{E979248C-F30D-44A0-A701-C30CB53BFF2E}"/>
    <cellStyle name="Normal 2 2 4 6 2 2 2 3" xfId="27789" xr:uid="{1D847D1A-DDC9-458B-A302-6CBC445D8C64}"/>
    <cellStyle name="Normal 2 2 4 6 2 2 2 4" xfId="14398" xr:uid="{0D728C46-3C6A-4464-9C82-F07151C98568}"/>
    <cellStyle name="Normal 2 2 4 6 2 2 3" xfId="6851" xr:uid="{0B664914-040C-4665-956D-86BF111E755C}"/>
    <cellStyle name="Normal 2 2 4 6 2 2 3 2" xfId="27590" xr:uid="{6A89B77E-4289-4DA1-944E-CB57D2DAA56D}"/>
    <cellStyle name="Normal 2 2 4 6 2 2 3 3" xfId="26266" xr:uid="{EC9512CA-C58B-4D06-99AC-3C5FD4248845}"/>
    <cellStyle name="Normal 2 2 4 6 2 2 3 4" xfId="17231" xr:uid="{B2A6C6E6-82B8-4283-9B95-5C54C6FF9011}"/>
    <cellStyle name="Normal 2 2 4 6 2 2 4" xfId="9684" xr:uid="{ECF8B02D-BFC9-4E55-948F-51C97DFF27FF}"/>
    <cellStyle name="Normal 2 2 4 6 2 2 4 2" xfId="29393" xr:uid="{88881E2F-0548-4190-8AF6-A4882BDCE985}"/>
    <cellStyle name="Normal 2 2 4 6 2 2 4 3" xfId="20064" xr:uid="{B31E253D-8024-4A47-AFDB-25E18C2B9E79}"/>
    <cellStyle name="Normal 2 2 4 6 2 2 5" xfId="24901" xr:uid="{3B3188CC-9711-4848-B304-6AC79D714848}"/>
    <cellStyle name="Normal 2 2 4 6 2 2 6" xfId="13712" xr:uid="{19CF3CF2-897B-40BC-9648-B06F6E9BB3B7}"/>
    <cellStyle name="Normal 2 2 4 6 2 2 7" xfId="30412" xr:uid="{8405058C-5D11-4EED-87BA-5ED9D02670D5}"/>
    <cellStyle name="Normal 2 2 4 6 2 3" xfId="2727" xr:uid="{00000000-0005-0000-0000-0000F5030000}"/>
    <cellStyle name="Normal 2 2 4 6 2 3 2" xfId="5945" xr:uid="{097181E5-E9EF-4068-A7B0-C2E9A0CE2964}"/>
    <cellStyle name="Normal 2 2 4 6 2 3 2 2" xfId="25922" xr:uid="{33E1FBD7-6340-4522-A1AA-5C3BA1F6A282}"/>
    <cellStyle name="Normal 2 2 4 6 2 3 2 3" xfId="15398" xr:uid="{DBB5A473-A32C-402B-B3B4-21588613500B}"/>
    <cellStyle name="Normal 2 2 4 6 2 3 3" xfId="7851" xr:uid="{9C6DD874-62BE-43DA-90E7-F209C302BF99}"/>
    <cellStyle name="Normal 2 2 4 6 2 3 3 2" xfId="18231" xr:uid="{639DEB33-012B-46D6-8F0F-91E06600082D}"/>
    <cellStyle name="Normal 2 2 4 6 2 3 4" xfId="10684" xr:uid="{E1C6315D-D5CA-4D48-B7FC-14D7D3071883}"/>
    <cellStyle name="Normal 2 2 4 6 2 3 4 2" xfId="21064" xr:uid="{D5C3D8F6-159B-4B67-8E32-3A911C78227A}"/>
    <cellStyle name="Normal 2 2 4 6 2 3 5" xfId="23800" xr:uid="{FA297568-3CB1-411A-AC70-981E9323BBE1}"/>
    <cellStyle name="Normal 2 2 4 6 2 3 6" xfId="13159" xr:uid="{24E3AC71-5FC0-4017-AF6F-8D84BF9CF3A7}"/>
    <cellStyle name="Normal 2 2 4 6 2 4" xfId="4161" xr:uid="{03476FED-558C-4760-B4EB-47358C077E06}"/>
    <cellStyle name="Normal 2 2 4 6 2 4 2" xfId="8933" xr:uid="{6A46078A-F71C-4CA8-8D27-B8BA2ACF1924}"/>
    <cellStyle name="Normal 2 2 4 6 2 4 2 2" xfId="29030" xr:uid="{970C6B59-BE74-4C8C-AE0B-C6EBFC61C049}"/>
    <cellStyle name="Normal 2 2 4 6 2 4 2 3" xfId="19313" xr:uid="{402AEF9B-3CED-4965-897A-F23E5F30F708}"/>
    <cellStyle name="Normal 2 2 4 6 2 4 3" xfId="11766" xr:uid="{DDF0B2F5-943A-4FA8-AAE5-0E74BDEE1E97}"/>
    <cellStyle name="Normal 2 2 4 6 2 4 3 2" xfId="22146" xr:uid="{7496990B-87AF-4E35-B2B5-7886D0C741E7}"/>
    <cellStyle name="Normal 2 2 4 6 2 4 4" xfId="24041" xr:uid="{11263EB5-1908-4096-94F6-39CED5DCE089}"/>
    <cellStyle name="Normal 2 2 4 6 2 4 5" xfId="16480" xr:uid="{763711D8-4B1F-48E5-8D67-CFB6C4EF2B1A}"/>
    <cellStyle name="Normal 2 2 4 6 2 5" xfId="5100" xr:uid="{5B0DE48B-48A5-4772-851F-D348BCBE3BC1}"/>
    <cellStyle name="Normal 2 2 4 6 2 5 2" xfId="27308" xr:uid="{C233E342-3D47-450D-A863-7E068B132F55}"/>
    <cellStyle name="Normal 2 2 4 6 2 5 3" xfId="14397" xr:uid="{DE79CD2B-93A7-4E8F-A966-F54B37EC6E8A}"/>
    <cellStyle name="Normal 2 2 4 6 2 5 4" xfId="30545" xr:uid="{227D70FF-760C-4357-9091-C8A236E666B0}"/>
    <cellStyle name="Normal 2 2 4 6 2 6" xfId="6850" xr:uid="{650B39C0-4DC4-488C-B526-156F8448FE1F}"/>
    <cellStyle name="Normal 2 2 4 6 2 6 2" xfId="17230" xr:uid="{9E3FA734-3C77-41FD-BC5E-8E9D32E8977C}"/>
    <cellStyle name="Normal 2 2 4 6 2 6 3" xfId="30271" xr:uid="{0668E68E-4E63-403D-B433-363CC13EBFD7}"/>
    <cellStyle name="Normal 2 2 4 6 2 6 4" xfId="30681" xr:uid="{BEEB9DFC-D2AE-4756-ACB9-E60434107141}"/>
    <cellStyle name="Normal 2 2 4 6 2 7" xfId="9683" xr:uid="{750A2031-CD1B-490F-8E57-185A083316C3}"/>
    <cellStyle name="Normal 2 2 4 6 2 7 2" xfId="20063" xr:uid="{5CA5386B-9504-433E-91B6-CD51CEFBCFA7}"/>
    <cellStyle name="Normal 2 2 4 6 2 8" xfId="25196" xr:uid="{D47530D6-7C98-4AEE-A645-55465B1523EE}"/>
    <cellStyle name="Normal 2 2 4 6 2 9" xfId="12717" xr:uid="{0C09109B-2439-474B-A7A8-61D74E5FE4F9}"/>
    <cellStyle name="Normal 2 2 4 6 3" xfId="748" xr:uid="{00000000-0005-0000-0000-000098040000}"/>
    <cellStyle name="Normal 2 2 4 6 3 2" xfId="4463" xr:uid="{7330F69A-9662-402D-84C8-CE37C86C70B6}"/>
    <cellStyle name="Normal 2 2 4 6 3 2 2" xfId="9235" xr:uid="{F66737E9-F7B4-415B-AAFF-680329B87C7D}"/>
    <cellStyle name="Normal 2 2 4 6 3 2 2 2" xfId="29226" xr:uid="{25CC22C7-AD63-407B-917E-350BC90BCFCC}"/>
    <cellStyle name="Normal 2 2 4 6 3 2 2 3" xfId="19615" xr:uid="{7D092387-7A31-4587-93AD-E53A488CE09F}"/>
    <cellStyle name="Normal 2 2 4 6 3 2 3" xfId="12068" xr:uid="{F25645DE-D19B-4823-A2C9-21182D451357}"/>
    <cellStyle name="Normal 2 2 4 6 3 2 3 2" xfId="22448" xr:uid="{DE7A291A-C6FA-49E4-A648-15B5868CA022}"/>
    <cellStyle name="Normal 2 2 4 6 3 2 4" xfId="25629" xr:uid="{961A35DF-A680-458F-BDFC-15EA7762F7C6}"/>
    <cellStyle name="Normal 2 2 4 6 3 2 5" xfId="16782" xr:uid="{45304DF5-304B-40CE-8DD6-527F6694A510}"/>
    <cellStyle name="Normal 2 2 4 6 3 3" xfId="5102" xr:uid="{E152507B-B35A-48CB-BE11-9449DAD2C94A}"/>
    <cellStyle name="Normal 2 2 4 6 3 3 2" xfId="26787" xr:uid="{6ACD856D-043C-4264-863E-20ED6A935079}"/>
    <cellStyle name="Normal 2 2 4 6 3 3 3" xfId="28606" xr:uid="{CA3D05CE-942F-439B-9CF4-61BD721E077E}"/>
    <cellStyle name="Normal 2 2 4 6 3 3 4" xfId="14399" xr:uid="{DA712E4B-0D62-4FAB-BC0F-DD6102EBE473}"/>
    <cellStyle name="Normal 2 2 4 6 3 4" xfId="6852" xr:uid="{96C93305-6539-4C43-96C2-490DD1F7C22A}"/>
    <cellStyle name="Normal 2 2 4 6 3 4 2" xfId="26750" xr:uid="{364AD7D8-C916-4CA7-AEF0-0AEA75DC43B4}"/>
    <cellStyle name="Normal 2 2 4 6 3 4 3" xfId="26456" xr:uid="{2092BBCB-E2F2-4FEF-9B78-6423CD5EF474}"/>
    <cellStyle name="Normal 2 2 4 6 3 4 4" xfId="17232" xr:uid="{CEB8FDED-9EE5-49A8-92B0-E51BA542DA1A}"/>
    <cellStyle name="Normal 2 2 4 6 3 5" xfId="9685" xr:uid="{B907490F-0F92-4428-AF5C-CC9B08CE2475}"/>
    <cellStyle name="Normal 2 2 4 6 3 5 2" xfId="29394" xr:uid="{467430A6-D7E5-446B-968E-BBF14BBD1DC5}"/>
    <cellStyle name="Normal 2 2 4 6 3 5 3" xfId="20065" xr:uid="{37F73F47-AB18-498A-819F-4C4909409898}"/>
    <cellStyle name="Normal 2 2 4 6 3 6" xfId="23948" xr:uid="{4ED4925B-2F87-4160-AB4C-8081076A4EFF}"/>
    <cellStyle name="Normal 2 2 4 6 3 7" xfId="13713" xr:uid="{5C44CE8F-0823-40A9-944C-F0638CEADC5A}"/>
    <cellStyle name="Normal 2 2 4 6 4" xfId="749" xr:uid="{00000000-0005-0000-0000-000099040000}"/>
    <cellStyle name="Normal 2 2 4 6 4 2" xfId="5103" xr:uid="{CB0DDAC2-3BDC-4EBC-826D-3D10D9F4216E}"/>
    <cellStyle name="Normal 2 2 4 6 4 2 2" xfId="23259" xr:uid="{A37EABCB-3C05-4388-B83B-6F7F0B1D503D}"/>
    <cellStyle name="Normal 2 2 4 6 4 2 3" xfId="27398" xr:uid="{706743A4-1EA8-4D2D-A03F-A7D92C4AF5D7}"/>
    <cellStyle name="Normal 2 2 4 6 4 2 4" xfId="14400" xr:uid="{0A8DEE1E-2232-4BB7-816A-E83C3A045AC9}"/>
    <cellStyle name="Normal 2 2 4 6 4 3" xfId="6853" xr:uid="{B5DFA1EF-242D-49FA-913E-D8FFA076E054}"/>
    <cellStyle name="Normal 2 2 4 6 4 3 2" xfId="27121" xr:uid="{A4D89A8C-4198-4AAB-9EEE-F4B4DE912F96}"/>
    <cellStyle name="Normal 2 2 4 6 4 3 3" xfId="17233" xr:uid="{0A98C1B7-B01A-4358-89A1-5B9E85B29CC6}"/>
    <cellStyle name="Normal 2 2 4 6 4 4" xfId="9686" xr:uid="{E5525FD3-D61F-4547-A6E1-6E33C8E543F0}"/>
    <cellStyle name="Normal 2 2 4 6 4 4 2" xfId="20066" xr:uid="{04AB415C-7312-4AD5-97CC-F7293E8F944B}"/>
    <cellStyle name="Normal 2 2 4 6 4 5" xfId="23322" xr:uid="{8246FBCD-0BAF-41D1-92FD-9938F93EC46A}"/>
    <cellStyle name="Normal 2 2 4 6 4 6" xfId="13415" xr:uid="{4CACB45E-42BB-480A-8E48-8F7400E53665}"/>
    <cellStyle name="Normal 2 2 4 6 5" xfId="2576" xr:uid="{00000000-0005-0000-0000-0000F8030000}"/>
    <cellStyle name="Normal 2 2 4 6 5 2" xfId="5841" xr:uid="{D55F8470-9350-4F88-81CE-34F8E67365BC}"/>
    <cellStyle name="Normal 2 2 4 6 5 2 2" xfId="27906" xr:uid="{CD0810B1-AF7E-4A50-89DB-B411BEB470A4}"/>
    <cellStyle name="Normal 2 2 4 6 5 2 3" xfId="15248" xr:uid="{6E0253C7-F98E-4082-8F5A-D233E96C0250}"/>
    <cellStyle name="Normal 2 2 4 6 5 3" xfId="7701" xr:uid="{A9121AD8-9572-486C-ABD9-3BE1DA4E1649}"/>
    <cellStyle name="Normal 2 2 4 6 5 3 2" xfId="18081" xr:uid="{171B1402-D0A5-4AE5-B492-E52ECE4AF0E1}"/>
    <cellStyle name="Normal 2 2 4 6 5 4" xfId="10534" xr:uid="{938E4951-2C90-4BBF-B998-927A9BEA4420}"/>
    <cellStyle name="Normal 2 2 4 6 5 4 2" xfId="20914" xr:uid="{AD8DB3CC-8555-4B5B-B0A9-45C6797B4CED}"/>
    <cellStyle name="Normal 2 2 4 6 5 5" xfId="25386" xr:uid="{AC43E61B-4C90-4F5B-82B0-896CBC252D0C}"/>
    <cellStyle name="Normal 2 2 4 6 5 6" xfId="12964" xr:uid="{CFBB2030-7CEA-4E30-8F61-C5FFD0B0D402}"/>
    <cellStyle name="Normal 2 2 4 6 6" xfId="2325" xr:uid="{00000000-0005-0000-0000-0000F2030000}"/>
    <cellStyle name="Normal 2 2 4 6 6 2" xfId="7452" xr:uid="{ABE5D2F9-96EB-45E4-A55C-169970B161FA}"/>
    <cellStyle name="Normal 2 2 4 6 6 2 2" xfId="28386" xr:uid="{9315E1BC-311A-4EF1-BCA4-B5609EB70199}"/>
    <cellStyle name="Normal 2 2 4 6 6 2 3" xfId="17832" xr:uid="{7B1AE74E-8CC0-4110-8D46-82545F55D897}"/>
    <cellStyle name="Normal 2 2 4 6 6 3" xfId="10285" xr:uid="{C18AD641-BFF8-49C0-91EB-9BD0A2E611B2}"/>
    <cellStyle name="Normal 2 2 4 6 6 3 2" xfId="20665" xr:uid="{9645759D-6B02-4C27-B4E3-7151ADFD3856}"/>
    <cellStyle name="Normal 2 2 4 6 6 4" xfId="23909" xr:uid="{726C56AC-C7AD-4BB8-94D0-7C28A14E31C1}"/>
    <cellStyle name="Normal 2 2 4 6 6 5" xfId="14999" xr:uid="{0576DE7E-BB35-4999-BF7F-F6F4FD5AD241}"/>
    <cellStyle name="Normal 2 2 4 6 7" xfId="3932" xr:uid="{0253A996-D2CD-4E24-B041-2E924C7EE5D0}"/>
    <cellStyle name="Normal 2 2 4 6 7 2" xfId="8764" xr:uid="{79901FCA-833D-4A54-A8C2-616BBA1A916D}"/>
    <cellStyle name="Normal 2 2 4 6 7 2 2" xfId="19144" xr:uid="{7A5BCC12-6465-4CF0-820E-1300D5C2642E}"/>
    <cellStyle name="Normal 2 2 4 6 7 3" xfId="11597" xr:uid="{B37C41D0-DA10-479B-896A-EAC3E6365F6A}"/>
    <cellStyle name="Normal 2 2 4 6 7 3 2" xfId="21977" xr:uid="{34BF8363-34E8-4710-919C-B5437A143794}"/>
    <cellStyle name="Normal 2 2 4 6 7 4" xfId="27569" xr:uid="{680FC575-4081-4D11-A822-875D2B12E9FE}"/>
    <cellStyle name="Normal 2 2 4 6 7 5" xfId="16311" xr:uid="{E949FF74-B171-4799-B296-50C791561D41}"/>
    <cellStyle name="Normal 2 2 4 6 8" xfId="5099" xr:uid="{936B60CE-480B-492E-B494-E803B02EA797}"/>
    <cellStyle name="Normal 2 2 4 6 8 2" xfId="14396" xr:uid="{9C8D84A7-D29E-4AF2-A394-686938E6A0F1}"/>
    <cellStyle name="Normal 2 2 4 6 9" xfId="6849" xr:uid="{BA243AF1-8DCD-4A81-B9F9-E559A354E78C}"/>
    <cellStyle name="Normal 2 2 4 6 9 2" xfId="17229" xr:uid="{8FB6BE78-4246-48EC-8844-40F41EE1961D}"/>
    <cellStyle name="Normal 2 2 4 7" xfId="750" xr:uid="{00000000-0005-0000-0000-00009A040000}"/>
    <cellStyle name="Normal 2 2 4 7 10" xfId="12560" xr:uid="{A84CC9C2-4F32-46FF-9BD2-C66250EB10AB}"/>
    <cellStyle name="Normal 2 2 4 7 2" xfId="751" xr:uid="{00000000-0005-0000-0000-00009B040000}"/>
    <cellStyle name="Normal 2 2 4 7 2 2" xfId="2901" xr:uid="{00000000-0005-0000-0000-0000FB030000}"/>
    <cellStyle name="Normal 2 2 4 7 2 2 2" xfId="6087" xr:uid="{D1672633-0CE3-4AB2-A8FB-213FF68619D0}"/>
    <cellStyle name="Normal 2 2 4 7 2 2 2 2" xfId="28557" xr:uid="{1C959889-FC8B-40DE-87FE-7ED0C4F8199F}"/>
    <cellStyle name="Normal 2 2 4 7 2 2 2 3" xfId="25908" xr:uid="{8F001275-F335-426A-9D11-0BBF99DBB86A}"/>
    <cellStyle name="Normal 2 2 4 7 2 2 2 4" xfId="15565" xr:uid="{11654B7D-CF22-487E-8E64-0975FA9828A7}"/>
    <cellStyle name="Normal 2 2 4 7 2 2 3" xfId="8018" xr:uid="{57DD36D5-239A-471A-9BDF-6CC9F7686FDD}"/>
    <cellStyle name="Normal 2 2 4 7 2 2 3 2" xfId="28022" xr:uid="{8BBA0471-8E5E-4401-9D22-993FEB5F0484}"/>
    <cellStyle name="Normal 2 2 4 7 2 2 3 3" xfId="18398" xr:uid="{3DD4EEF6-6F14-4ABE-A655-83DBE3966C3E}"/>
    <cellStyle name="Normal 2 2 4 7 2 2 4" xfId="10851" xr:uid="{99237510-E4FF-4E57-97D3-E22A69F1C28A}"/>
    <cellStyle name="Normal 2 2 4 7 2 2 4 2" xfId="21231" xr:uid="{A9BE7BEC-33A2-4079-9BCD-3155E9C924BF}"/>
    <cellStyle name="Normal 2 2 4 7 2 2 5" xfId="24190" xr:uid="{40880786-28E2-462C-9CA3-3461A9983DB4}"/>
    <cellStyle name="Normal 2 2 4 7 2 2 6" xfId="13416" xr:uid="{040DB001-46ED-4B9D-8CF8-263D3E06FB8D}"/>
    <cellStyle name="Normal 2 2 4 7 2 3" xfId="5105" xr:uid="{D98481B5-F162-4968-90DE-896C1D2C6025}"/>
    <cellStyle name="Normal 2 2 4 7 2 3 2" xfId="24034" xr:uid="{DF5802CA-525D-42F7-B9C3-76DCA748B93A}"/>
    <cellStyle name="Normal 2 2 4 7 2 3 3" xfId="27986" xr:uid="{5100A763-53F0-49D1-8206-EE3B8D33A67D}"/>
    <cellStyle name="Normal 2 2 4 7 2 3 4" xfId="14402" xr:uid="{3B12B2D5-3771-43FB-A972-AAB3FD3F98C8}"/>
    <cellStyle name="Normal 2 2 4 7 2 4" xfId="6855" xr:uid="{0549BF0E-63BE-483D-A9FB-AB3A68DEAA03}"/>
    <cellStyle name="Normal 2 2 4 7 2 4 2" xfId="27449" xr:uid="{AAD5E344-5403-489D-A80B-AF9E9410FA21}"/>
    <cellStyle name="Normal 2 2 4 7 2 4 3" xfId="27004" xr:uid="{EDE1D26F-F4E3-4F0A-BF3A-52D293CDBC9A}"/>
    <cellStyle name="Normal 2 2 4 7 2 4 4" xfId="17235" xr:uid="{FF016738-F27F-417C-9A78-EE27EFA00488}"/>
    <cellStyle name="Normal 2 2 4 7 2 5" xfId="9688" xr:uid="{32686D98-33B7-44AC-A821-CBA9D2EC8E01}"/>
    <cellStyle name="Normal 2 2 4 7 2 5 2" xfId="29395" xr:uid="{219DDE4D-DA0C-4DBC-9B95-FB5CABE03346}"/>
    <cellStyle name="Normal 2 2 4 7 2 5 3" xfId="20068" xr:uid="{8D6D179A-7B7C-4245-8DB9-466670454DA9}"/>
    <cellStyle name="Normal 2 2 4 7 2 5 4" xfId="30721" xr:uid="{F0C18FCF-8C3F-45BF-86D3-7E329259CA3F}"/>
    <cellStyle name="Normal 2 2 4 7 2 6" xfId="24970" xr:uid="{993EE3C4-9623-472B-9DED-747B919991F0}"/>
    <cellStyle name="Normal 2 2 4 7 2 7" xfId="12718" xr:uid="{0ACD6325-E9C2-4870-A3E4-0E7A76B61CA1}"/>
    <cellStyle name="Normal 2 2 4 7 2 8" xfId="30343" xr:uid="{E7919651-BA9F-476D-9DB1-525FE372F997}"/>
    <cellStyle name="Normal 2 2 4 7 3" xfId="752" xr:uid="{00000000-0005-0000-0000-00009C040000}"/>
    <cellStyle name="Normal 2 2 4 7 3 2" xfId="5106" xr:uid="{6DFF040E-53E1-4A1F-8A2D-959BB37C925D}"/>
    <cellStyle name="Normal 2 2 4 7 3 2 2" xfId="26352" xr:uid="{84FE70B8-6F80-491C-810F-162E111B6F84}"/>
    <cellStyle name="Normal 2 2 4 7 3 2 3" xfId="27428" xr:uid="{8D815429-2118-436E-97A4-6696CCB56EBD}"/>
    <cellStyle name="Normal 2 2 4 7 3 2 4" xfId="14403" xr:uid="{46FAE356-2463-45C2-9F99-83C39A793B2C}"/>
    <cellStyle name="Normal 2 2 4 7 3 3" xfId="6856" xr:uid="{0104E5D0-EAD1-494C-8920-B169FB26914C}"/>
    <cellStyle name="Normal 2 2 4 7 3 3 2" xfId="28193" xr:uid="{3B2F3915-BA7C-4299-9E7C-AD048CB937BF}"/>
    <cellStyle name="Normal 2 2 4 7 3 3 3" xfId="27547" xr:uid="{84180369-05F0-4732-BF96-E7CD61F19DBF}"/>
    <cellStyle name="Normal 2 2 4 7 3 3 4" xfId="17236" xr:uid="{8C3EA7D5-E4C3-4EDA-B41A-C9B21AC8D6C7}"/>
    <cellStyle name="Normal 2 2 4 7 3 4" xfId="9689" xr:uid="{E81C82B7-49CF-418D-B5C5-654A059558DA}"/>
    <cellStyle name="Normal 2 2 4 7 3 4 2" xfId="29396" xr:uid="{E8F08881-EDF5-4928-807A-49C24B182F27}"/>
    <cellStyle name="Normal 2 2 4 7 3 4 3" xfId="20069" xr:uid="{4F83EB01-C14C-4467-B242-A37FE080BB95}"/>
    <cellStyle name="Normal 2 2 4 7 3 5" xfId="22737" xr:uid="{BC95FB77-84E7-4FB9-A22D-855689978816}"/>
    <cellStyle name="Normal 2 2 4 7 3 6" xfId="13160" xr:uid="{EE48FD3A-1578-401E-AB50-98362CF46FCB}"/>
    <cellStyle name="Normal 2 2 4 7 4" xfId="2326" xr:uid="{00000000-0005-0000-0000-0000F9030000}"/>
    <cellStyle name="Normal 2 2 4 7 4 2" xfId="7453" xr:uid="{8E9AB872-5246-43FE-8812-B115D7DEFFA9}"/>
    <cellStyle name="Normal 2 2 4 7 4 2 2" xfId="26379" xr:uid="{F2632576-B911-4F69-AB59-34812F4BAA8C}"/>
    <cellStyle name="Normal 2 2 4 7 4 2 3" xfId="17833" xr:uid="{A38E2EDF-F0E9-4CBD-874D-0A76FC2AD407}"/>
    <cellStyle name="Normal 2 2 4 7 4 3" xfId="10286" xr:uid="{D29B55B2-216A-4C7A-AEE1-F71C550B6FB5}"/>
    <cellStyle name="Normal 2 2 4 7 4 3 2" xfId="20666" xr:uid="{D21C6EAF-4364-4EAB-909B-E7E99C6B2204}"/>
    <cellStyle name="Normal 2 2 4 7 4 4" xfId="24484" xr:uid="{E4B9A227-3D1F-4501-A43D-61031628010D}"/>
    <cellStyle name="Normal 2 2 4 7 4 5" xfId="15000" xr:uid="{7FCD3262-D20A-4297-8866-420DDA1C7A3D}"/>
    <cellStyle name="Normal 2 2 4 7 5" xfId="3933" xr:uid="{6EC19484-4BD6-4EB8-AE32-A39D25AD16FE}"/>
    <cellStyle name="Normal 2 2 4 7 5 2" xfId="8765" xr:uid="{73754C41-612A-41E8-901E-AB6FE2BAD6E8}"/>
    <cellStyle name="Normal 2 2 4 7 5 2 2" xfId="28979" xr:uid="{5E864213-EB0E-43D1-8F38-0874B8514DC9}"/>
    <cellStyle name="Normal 2 2 4 7 5 2 3" xfId="19145" xr:uid="{0803944F-164E-4F60-86C8-BC780592A3B2}"/>
    <cellStyle name="Normal 2 2 4 7 5 3" xfId="11598" xr:uid="{4BF4557A-146A-4BA6-A272-B8239517D366}"/>
    <cellStyle name="Normal 2 2 4 7 5 3 2" xfId="21978" xr:uid="{D6CE5784-B309-46E9-A25F-6CC6D18AF4D3}"/>
    <cellStyle name="Normal 2 2 4 7 5 4" xfId="24986" xr:uid="{5C974657-1934-4805-A930-68EAF4AC1099}"/>
    <cellStyle name="Normal 2 2 4 7 5 5" xfId="16312" xr:uid="{CFD910A6-E944-44FE-8E2F-5EA777801BBF}"/>
    <cellStyle name="Normal 2 2 4 7 6" xfId="5104" xr:uid="{1932CE5B-C50B-4EFF-B7CB-A9E5A022477B}"/>
    <cellStyle name="Normal 2 2 4 7 6 2" xfId="25953" xr:uid="{CFF717FA-05AD-46D8-850B-8D2E58D40A8C}"/>
    <cellStyle name="Normal 2 2 4 7 6 3" xfId="26675" xr:uid="{E111098F-AFA7-4CCE-962C-37AF717C404E}"/>
    <cellStyle name="Normal 2 2 4 7 6 4" xfId="14401" xr:uid="{4822C81E-E503-4DF6-BFA4-3B9CB28E8070}"/>
    <cellStyle name="Normal 2 2 4 7 7" xfId="6854" xr:uid="{32ECFB42-B472-461E-8E4D-3BD3B487A936}"/>
    <cellStyle name="Normal 2 2 4 7 7 2" xfId="28249" xr:uid="{5AA28F78-518E-4557-8FBE-A496E111D902}"/>
    <cellStyle name="Normal 2 2 4 7 7 3" xfId="17234" xr:uid="{C6000307-F52C-4BEB-8329-8F3EDA3EC909}"/>
    <cellStyle name="Normal 2 2 4 7 8" xfId="9687" xr:uid="{97413759-2B48-47AD-8755-4FCAB4A43997}"/>
    <cellStyle name="Normal 2 2 4 7 8 2" xfId="20067" xr:uid="{0B0C9FF6-EA2E-49C2-9A07-C6CE92A892D8}"/>
    <cellStyle name="Normal 2 2 4 7 9" xfId="23330" xr:uid="{7DDB72A9-D38E-4403-BED6-3B8168EA25EF}"/>
    <cellStyle name="Normal 2 2 4 8" xfId="753" xr:uid="{00000000-0005-0000-0000-00009D040000}"/>
    <cellStyle name="Normal 2 2 4 8 10" xfId="12561" xr:uid="{32CA0D4E-5782-4605-83FA-ACC72F4C4BB5}"/>
    <cellStyle name="Normal 2 2 4 8 2" xfId="754" xr:uid="{00000000-0005-0000-0000-00009E040000}"/>
    <cellStyle name="Normal 2 2 4 8 2 2" xfId="2902" xr:uid="{00000000-0005-0000-0000-0000FF030000}"/>
    <cellStyle name="Normal 2 2 4 8 2 2 2" xfId="6088" xr:uid="{81B93BA7-0481-43DF-A36F-5CE48CEFE222}"/>
    <cellStyle name="Normal 2 2 4 8 2 2 2 2" xfId="28698" xr:uid="{92825357-97A2-4968-B35F-509D1BC4CA4A}"/>
    <cellStyle name="Normal 2 2 4 8 2 2 2 3" xfId="26406" xr:uid="{532AA994-CE39-44C3-B884-43433BD34ECF}"/>
    <cellStyle name="Normal 2 2 4 8 2 2 2 4" xfId="15566" xr:uid="{F62F46BC-FB1C-4F80-9C66-FB1016B78BB6}"/>
    <cellStyle name="Normal 2 2 4 8 2 2 3" xfId="8019" xr:uid="{C4477A8C-5ABF-4DE9-8D04-8E42E0273B2E}"/>
    <cellStyle name="Normal 2 2 4 8 2 2 3 2" xfId="27318" xr:uid="{5A2A4D99-7821-4384-B91B-B843AC2D5F05}"/>
    <cellStyle name="Normal 2 2 4 8 2 2 3 3" xfId="18399" xr:uid="{1AC00D83-D570-4BD7-A53C-D34C9487E60D}"/>
    <cellStyle name="Normal 2 2 4 8 2 2 4" xfId="10852" xr:uid="{69F8C10D-76FA-4BF2-806D-375BB6610C29}"/>
    <cellStyle name="Normal 2 2 4 8 2 2 4 2" xfId="21232" xr:uid="{4812ECD6-E7A3-4616-96F3-94220565C236}"/>
    <cellStyle name="Normal 2 2 4 8 2 2 5" xfId="23890" xr:uid="{D0A8F8A3-A91C-43D7-BE81-33053183A953}"/>
    <cellStyle name="Normal 2 2 4 8 2 2 6" xfId="13417" xr:uid="{AE453CB6-F32A-46A0-AF95-91789D4EACC5}"/>
    <cellStyle name="Normal 2 2 4 8 2 3" xfId="5108" xr:uid="{DB813F9E-A43F-4C2F-87C4-F8B6A7E453A0}"/>
    <cellStyle name="Normal 2 2 4 8 2 3 2" xfId="25413" xr:uid="{D93FA058-6584-4C89-85BD-BA2574BF9E41}"/>
    <cellStyle name="Normal 2 2 4 8 2 3 3" xfId="28725" xr:uid="{85FE7ED1-616F-433E-9200-FABB160D4E56}"/>
    <cellStyle name="Normal 2 2 4 8 2 3 4" xfId="14405" xr:uid="{9583504A-261F-452C-B37E-3EC77A52BE3A}"/>
    <cellStyle name="Normal 2 2 4 8 2 4" xfId="6858" xr:uid="{94890C13-01D7-42A6-8830-61704C453C5F}"/>
    <cellStyle name="Normal 2 2 4 8 2 4 2" xfId="27561" xr:uid="{718D7577-4391-44FA-92D4-A012F591A01E}"/>
    <cellStyle name="Normal 2 2 4 8 2 4 3" xfId="27911" xr:uid="{33DDC1B7-9348-4346-B1B0-344D7FE5F0FB}"/>
    <cellStyle name="Normal 2 2 4 8 2 4 4" xfId="17238" xr:uid="{6A192F55-26CB-42A8-BB47-F8AB6CE2A948}"/>
    <cellStyle name="Normal 2 2 4 8 2 5" xfId="9691" xr:uid="{162645F1-BB41-405B-B2CF-FF2F251B15CD}"/>
    <cellStyle name="Normal 2 2 4 8 2 5 2" xfId="29397" xr:uid="{4A2FDDC8-5FE2-4D91-BB6F-DD067E5803D9}"/>
    <cellStyle name="Normal 2 2 4 8 2 5 3" xfId="20071" xr:uid="{CAEC0F4D-14FE-4FD2-BFAD-BCA0517ECD87}"/>
    <cellStyle name="Normal 2 2 4 8 2 5 4" xfId="30722" xr:uid="{2164A8E6-0B9E-4EAE-8427-4540AB73AF6A}"/>
    <cellStyle name="Normal 2 2 4 8 2 6" xfId="24470" xr:uid="{D161FA43-D894-4061-AB2A-055B1184F6CC}"/>
    <cellStyle name="Normal 2 2 4 8 2 7" xfId="12719" xr:uid="{FD9DC352-557C-433E-B437-1B8BFAAF289D}"/>
    <cellStyle name="Normal 2 2 4 8 2 8" xfId="30344" xr:uid="{C33D8352-9729-4C54-AFC6-34738EAEE0A9}"/>
    <cellStyle name="Normal 2 2 4 8 3" xfId="755" xr:uid="{00000000-0005-0000-0000-00009F040000}"/>
    <cellStyle name="Normal 2 2 4 8 3 2" xfId="5109" xr:uid="{377D69C9-5980-4DCB-B509-CAA57B5EF02B}"/>
    <cellStyle name="Normal 2 2 4 8 3 2 2" xfId="26077" xr:uid="{95AB3D3C-9692-44B1-AF1E-6003C00932B8}"/>
    <cellStyle name="Normal 2 2 4 8 3 2 3" xfId="28146" xr:uid="{AD91A6B3-3953-4D80-A3E5-56B33553AFE7}"/>
    <cellStyle name="Normal 2 2 4 8 3 2 4" xfId="14406" xr:uid="{A64939D6-7287-473F-83B0-154E8AA00CB4}"/>
    <cellStyle name="Normal 2 2 4 8 3 3" xfId="6859" xr:uid="{C5819798-7282-4495-AAAC-B34BD4D1EC1A}"/>
    <cellStyle name="Normal 2 2 4 8 3 3 2" xfId="26200" xr:uid="{F5C1E2EA-1320-42F9-A928-DFA42DC4D993}"/>
    <cellStyle name="Normal 2 2 4 8 3 3 3" xfId="27050" xr:uid="{4CBDBB3E-B16F-4122-95DB-FB0230654273}"/>
    <cellStyle name="Normal 2 2 4 8 3 3 4" xfId="17239" xr:uid="{A9986669-67E2-4138-90B3-6B303C2C7A93}"/>
    <cellStyle name="Normal 2 2 4 8 3 4" xfId="9692" xr:uid="{89BF3469-FD50-4158-B4DE-22359512A4C9}"/>
    <cellStyle name="Normal 2 2 4 8 3 4 2" xfId="29398" xr:uid="{BC80927C-0D6B-4EBF-9C1D-CAF9BC19A970}"/>
    <cellStyle name="Normal 2 2 4 8 3 4 3" xfId="20072" xr:uid="{9A90E804-665D-4ABF-BC26-00F32193523D}"/>
    <cellStyle name="Normal 2 2 4 8 3 5" xfId="22752" xr:uid="{8E5F7FD4-D4A3-4B56-BA6F-D16D7596C1D6}"/>
    <cellStyle name="Normal 2 2 4 8 3 6" xfId="13161" xr:uid="{C96E85DF-4609-4107-9437-3CE665E8D6FB}"/>
    <cellStyle name="Normal 2 2 4 8 4" xfId="2327" xr:uid="{00000000-0005-0000-0000-0000FD030000}"/>
    <cellStyle name="Normal 2 2 4 8 4 2" xfId="7454" xr:uid="{CC01D233-5639-4770-B1B2-D7BEA0CB8A60}"/>
    <cellStyle name="Normal 2 2 4 8 4 2 2" xfId="28659" xr:uid="{9C509E5B-75A2-410B-8ACF-64CE025ECF08}"/>
    <cellStyle name="Normal 2 2 4 8 4 2 3" xfId="17834" xr:uid="{E9D564C4-3480-4820-869A-E019842F16F6}"/>
    <cellStyle name="Normal 2 2 4 8 4 3" xfId="10287" xr:uid="{FFF21E9B-8D36-4EEB-9BA8-897C39CC07D9}"/>
    <cellStyle name="Normal 2 2 4 8 4 3 2" xfId="20667" xr:uid="{3E92D07A-643F-4BF0-B8C9-2F88F38F9764}"/>
    <cellStyle name="Normal 2 2 4 8 4 4" xfId="22847" xr:uid="{CD8555F5-3FF8-4616-ABB3-C682723A45B7}"/>
    <cellStyle name="Normal 2 2 4 8 4 5" xfId="15001" xr:uid="{C3274E2A-2A7D-4E42-AB32-C9AB31EABB58}"/>
    <cellStyle name="Normal 2 2 4 8 5" xfId="3934" xr:uid="{7361772D-B82B-4655-AEBF-51CF7CC244A8}"/>
    <cellStyle name="Normal 2 2 4 8 5 2" xfId="8766" xr:uid="{1B34E587-146B-4D91-9943-0CE61867449D}"/>
    <cellStyle name="Normal 2 2 4 8 5 2 2" xfId="28980" xr:uid="{F700DE6E-3B5A-47B5-946D-75009DB66DEE}"/>
    <cellStyle name="Normal 2 2 4 8 5 2 3" xfId="19146" xr:uid="{6660985C-A164-46AD-9112-35152CED6F8B}"/>
    <cellStyle name="Normal 2 2 4 8 5 3" xfId="11599" xr:uid="{33878D3A-3CD1-4E46-BB49-6C4AF87F9BFA}"/>
    <cellStyle name="Normal 2 2 4 8 5 3 2" xfId="21979" xr:uid="{9B7005BD-4C6A-41F0-922D-4033D90161AE}"/>
    <cellStyle name="Normal 2 2 4 8 5 4" xfId="25698" xr:uid="{6F10DFCA-DA95-48F8-8245-4C0B4D79A6CC}"/>
    <cellStyle name="Normal 2 2 4 8 5 5" xfId="16313" xr:uid="{0648896E-AFE5-4D58-A04A-4BCBF2A07429}"/>
    <cellStyle name="Normal 2 2 4 8 6" xfId="5107" xr:uid="{B3B202DA-A825-4586-87CB-57A17D06604F}"/>
    <cellStyle name="Normal 2 2 4 8 6 2" xfId="27905" xr:uid="{CB558D48-4D54-4F06-9868-10E5E13B013B}"/>
    <cellStyle name="Normal 2 2 4 8 6 3" xfId="26334" xr:uid="{B8ED6CF3-EB6D-405D-8C03-E2FC62683F3B}"/>
    <cellStyle name="Normal 2 2 4 8 6 4" xfId="14404" xr:uid="{B7CF0047-6FBB-45CC-B3F0-FF59C62A227E}"/>
    <cellStyle name="Normal 2 2 4 8 7" xfId="6857" xr:uid="{6365EC70-1142-428C-B033-0EBE2A2CDFDD}"/>
    <cellStyle name="Normal 2 2 4 8 7 2" xfId="28355" xr:uid="{DB6B6716-5184-43BD-BF54-E77FEFAD1D61}"/>
    <cellStyle name="Normal 2 2 4 8 7 3" xfId="17237" xr:uid="{18307660-AD9E-4E68-9AE1-CE1582228D00}"/>
    <cellStyle name="Normal 2 2 4 8 8" xfId="9690" xr:uid="{D35338E7-E3BF-488C-9B96-0E426D4BB067}"/>
    <cellStyle name="Normal 2 2 4 8 8 2" xfId="20070" xr:uid="{E238607D-A999-410C-9B1F-8E45C7B8AB45}"/>
    <cellStyle name="Normal 2 2 4 8 9" xfId="22971" xr:uid="{470A2003-D823-4710-917B-A3E7D9677BC3}"/>
    <cellStyle name="Normal 2 2 4 9" xfId="756" xr:uid="{00000000-0005-0000-0000-0000A0040000}"/>
    <cellStyle name="Normal 2 2 4 9 10" xfId="12554" xr:uid="{E518C3B1-334A-48C5-97B6-33F18364A5D7}"/>
    <cellStyle name="Normal 2 2 4 9 2" xfId="3174" xr:uid="{00000000-0005-0000-0000-000002040000}"/>
    <cellStyle name="Normal 2 2 4 9 2 2" xfId="6232" xr:uid="{F11B47A3-29BA-4007-84ED-4D04D29243FF}"/>
    <cellStyle name="Normal 2 2 4 9 2 2 2" xfId="25471" xr:uid="{66CE10FF-534B-4058-AD42-86FF0E5150F5}"/>
    <cellStyle name="Normal 2 2 4 9 2 2 3" xfId="28553" xr:uid="{DBB1BED7-6F71-4177-A931-711059B9E7E8}"/>
    <cellStyle name="Normal 2 2 4 9 2 2 4" xfId="15801" xr:uid="{D42B7806-2D3F-478B-86CE-37D54FD41BB0}"/>
    <cellStyle name="Normal 2 2 4 9 2 3" xfId="8254" xr:uid="{DC7CC9B1-D11B-4AB3-BA19-2099136C6ABE}"/>
    <cellStyle name="Normal 2 2 4 9 2 3 2" xfId="25896" xr:uid="{0E6D1423-5BA7-497A-8427-0234468C11A4}"/>
    <cellStyle name="Normal 2 2 4 9 2 3 3" xfId="28877" xr:uid="{25103BBB-BA6D-4BC5-BCA9-573FB85F1229}"/>
    <cellStyle name="Normal 2 2 4 9 2 3 4" xfId="18634" xr:uid="{01BB0F42-6E7C-4EA8-843A-4DDBDEBD024A}"/>
    <cellStyle name="Normal 2 2 4 9 2 4" xfId="11087" xr:uid="{F8267ABE-FEC8-4907-861C-0E80C19C9250}"/>
    <cellStyle name="Normal 2 2 4 9 2 4 2" xfId="29477" xr:uid="{BFCF8B5F-2897-4238-9AA0-E4349DC440F1}"/>
    <cellStyle name="Normal 2 2 4 9 2 4 3" xfId="21467" xr:uid="{02DCB4AC-7C5C-4862-B4C6-2137C1902CAA}"/>
    <cellStyle name="Normal 2 2 4 9 2 5" xfId="22657" xr:uid="{297B4BD9-F56E-4583-A2FD-50AFFB11EFA4}"/>
    <cellStyle name="Normal 2 2 4 9 2 6" xfId="13714" xr:uid="{B3BA8438-2044-4664-9A77-ACFEBD73A3F1}"/>
    <cellStyle name="Normal 2 2 4 9 3" xfId="2719" xr:uid="{00000000-0005-0000-0000-000003040000}"/>
    <cellStyle name="Normal 2 2 4 9 3 2" xfId="5937" xr:uid="{DCDB52EA-7D99-46B2-B6AE-5B437DAEB77B}"/>
    <cellStyle name="Normal 2 2 4 9 3 2 2" xfId="28106" xr:uid="{18B84544-6330-406A-9B39-C37BAFA32D7D}"/>
    <cellStyle name="Normal 2 2 4 9 3 2 3" xfId="15390" xr:uid="{CF49331E-440E-4490-90AB-A18BEE1A3F78}"/>
    <cellStyle name="Normal 2 2 4 9 3 3" xfId="7843" xr:uid="{89E2FCC4-2FE5-4D3E-BC74-3FFCADC4B390}"/>
    <cellStyle name="Normal 2 2 4 9 3 3 2" xfId="18223" xr:uid="{0F3B74CA-F6A3-4C5E-9CB6-891631FCF951}"/>
    <cellStyle name="Normal 2 2 4 9 3 4" xfId="10676" xr:uid="{2240138A-8FBC-407C-ACF6-161590020600}"/>
    <cellStyle name="Normal 2 2 4 9 3 4 2" xfId="21056" xr:uid="{8ADC96C3-7F78-4A33-9374-D7B3B595A145}"/>
    <cellStyle name="Normal 2 2 4 9 3 5" xfId="25043" xr:uid="{30CE1CF7-3C44-4686-BDEA-A21661A9C3B7}"/>
    <cellStyle name="Normal 2 2 4 9 3 6" xfId="13148" xr:uid="{D78EDF1A-DC7E-48C9-AD0D-51AF5DA0C825}"/>
    <cellStyle name="Normal 2 2 4 9 4" xfId="2320" xr:uid="{00000000-0005-0000-0000-000001040000}"/>
    <cellStyle name="Normal 2 2 4 9 4 2" xfId="7447" xr:uid="{DD4C7D60-C1DB-4967-8A65-349B90B70183}"/>
    <cellStyle name="Normal 2 2 4 9 4 2 2" xfId="27681" xr:uid="{BF95B59C-2FB6-46F3-A249-F7A7EA766CAD}"/>
    <cellStyle name="Normal 2 2 4 9 4 2 3" xfId="17827" xr:uid="{EA3B48B4-99CB-47C7-BCA9-8CBD23268FE3}"/>
    <cellStyle name="Normal 2 2 4 9 4 3" xfId="10280" xr:uid="{1E96EA61-B737-40BF-BB3A-0DAEBF1F2C4D}"/>
    <cellStyle name="Normal 2 2 4 9 4 3 2" xfId="20660" xr:uid="{A6CD76C1-9D07-48C6-82E7-648741BFD668}"/>
    <cellStyle name="Normal 2 2 4 9 4 4" xfId="24887" xr:uid="{098D1425-3CDB-455F-A7CF-0202B9002F5C}"/>
    <cellStyle name="Normal 2 2 4 9 4 5" xfId="14994" xr:uid="{3FEC1276-0941-4814-BF81-AFC85F833821}"/>
    <cellStyle name="Normal 2 2 4 9 5" xfId="3839" xr:uid="{FFAC9B94-1C5B-429C-930C-E2E585B1E0C7}"/>
    <cellStyle name="Normal 2 2 4 9 5 2" xfId="8672" xr:uid="{56E4464B-8F43-4B7D-8495-D607D67A37A2}"/>
    <cellStyle name="Normal 2 2 4 9 5 2 2" xfId="19052" xr:uid="{80297E9C-B5A8-4096-90AD-E8825B091F10}"/>
    <cellStyle name="Normal 2 2 4 9 5 3" xfId="11505" xr:uid="{0FFD07DC-23BD-4249-B430-4FB1819A4BA3}"/>
    <cellStyle name="Normal 2 2 4 9 5 3 2" xfId="21885" xr:uid="{AC30304B-BE7E-4073-8F56-A5C3B71E510B}"/>
    <cellStyle name="Normal 2 2 4 9 5 4" xfId="28312" xr:uid="{0D037300-E5B8-434B-ADD3-5F09B3B49EBD}"/>
    <cellStyle name="Normal 2 2 4 9 5 5" xfId="16219" xr:uid="{B9BF5F2A-5EBB-44AF-A014-E34A439D5D92}"/>
    <cellStyle name="Normal 2 2 4 9 6" xfId="5110" xr:uid="{CDDD6C3D-CFBD-4AA7-A2A2-9913B4CEFDCC}"/>
    <cellStyle name="Normal 2 2 4 9 6 2" xfId="14407" xr:uid="{DAFBCF16-D0E3-424B-91D9-29AC84747C6C}"/>
    <cellStyle name="Normal 2 2 4 9 7" xfId="6860" xr:uid="{DBB49B0A-FB5F-4C51-80E3-08D7AEFC86E0}"/>
    <cellStyle name="Normal 2 2 4 9 7 2" xfId="17240" xr:uid="{38E01FB3-314A-4711-878B-E8567CF9DD09}"/>
    <cellStyle name="Normal 2 2 4 9 8" xfId="9693" xr:uid="{8F138781-26C2-47FC-828D-1FE9F015B37B}"/>
    <cellStyle name="Normal 2 2 4 9 8 2" xfId="20073" xr:uid="{A056445A-F138-42C2-995F-D975FAEFB282}"/>
    <cellStyle name="Normal 2 2 4 9 9" xfId="24854" xr:uid="{2E7C2F10-E7A5-4885-9DB5-EAF1D3CF4268}"/>
    <cellStyle name="Normal 2 2 5" xfId="757" xr:uid="{00000000-0005-0000-0000-0000A1040000}"/>
    <cellStyle name="Normal 2 2 5 10" xfId="5111" xr:uid="{CCECF284-14D1-41BD-A4F2-B21FA652AD07}"/>
    <cellStyle name="Normal 2 2 5 10 2" xfId="14408" xr:uid="{0D9E3353-2026-42E8-8E37-37AB3D376827}"/>
    <cellStyle name="Normal 2 2 5 11" xfId="6861" xr:uid="{AF9CC1EF-81A4-4414-BD8B-98D593304241}"/>
    <cellStyle name="Normal 2 2 5 11 2" xfId="17241" xr:uid="{50A895FB-7C5C-42AC-A530-6CE0651CEF88}"/>
    <cellStyle name="Normal 2 2 5 12" xfId="9694" xr:uid="{4C9D5DC4-3632-44D9-B759-AD41F0A1DFF4}"/>
    <cellStyle name="Normal 2 2 5 12 2" xfId="20074" xr:uid="{802EA5F1-5903-49D8-A4F3-894B0E83EE8B}"/>
    <cellStyle name="Normal 2 2 5 13" xfId="24581" xr:uid="{3168C4C5-4703-4372-BCB8-F31F4D4EF815}"/>
    <cellStyle name="Normal 2 2 5 14" xfId="12408" xr:uid="{B4FBA886-21B4-43EA-AFA5-F43F1DC89EB6}"/>
    <cellStyle name="Normal 2 2 5 2" xfId="758" xr:uid="{00000000-0005-0000-0000-0000A2040000}"/>
    <cellStyle name="Normal 2 2 5 2 10" xfId="6862" xr:uid="{8733B662-EA52-4ED5-90DB-9D2D09607590}"/>
    <cellStyle name="Normal 2 2 5 2 10 2" xfId="17242" xr:uid="{5EB252E4-C8A2-430F-8E14-70FF295AB9E8}"/>
    <cellStyle name="Normal 2 2 5 2 11" xfId="9695" xr:uid="{D3D6C01F-0E27-4EA5-89EB-B9E46088A3A1}"/>
    <cellStyle name="Normal 2 2 5 2 11 2" xfId="20075" xr:uid="{9066755D-AE40-4F1D-8E8D-D54DC228B706}"/>
    <cellStyle name="Normal 2 2 5 2 12" xfId="23681" xr:uid="{F921DEE3-B3C4-42BD-AD2F-47E9E6C51284}"/>
    <cellStyle name="Normal 2 2 5 2 13" xfId="12468" xr:uid="{7D13A686-8244-45D0-9961-3AED61D5F178}"/>
    <cellStyle name="Normal 2 2 5 2 2" xfId="759" xr:uid="{00000000-0005-0000-0000-0000A3040000}"/>
    <cellStyle name="Normal 2 2 5 2 2 10" xfId="9696" xr:uid="{4FA6C0C9-382C-43F6-9E7D-1507D2860F3A}"/>
    <cellStyle name="Normal 2 2 5 2 2 10 2" xfId="20076" xr:uid="{57A9011A-7790-414D-B768-B14EDCD469F7}"/>
    <cellStyle name="Normal 2 2 5 2 2 11" xfId="25289" xr:uid="{B3D9838B-C878-4BB8-8620-A2485B1D3ADD}"/>
    <cellStyle name="Normal 2 2 5 2 2 12" xfId="12563" xr:uid="{E62547C6-F14F-4E3B-968D-CBDC3AD4582E}"/>
    <cellStyle name="Normal 2 2 5 2 2 2" xfId="2730" xr:uid="{00000000-0005-0000-0000-000007040000}"/>
    <cellStyle name="Normal 2 2 5 2 2 2 2" xfId="3176" xr:uid="{00000000-0005-0000-0000-000008040000}"/>
    <cellStyle name="Normal 2 2 5 2 2 2 2 2" xfId="6234" xr:uid="{6C7EA008-DE5E-4CE5-8503-228F9FA94F3B}"/>
    <cellStyle name="Normal 2 2 5 2 2 2 2 2 2" xfId="26821" xr:uid="{E5236E6A-9039-4FE6-A4C3-ACE9611C49A7}"/>
    <cellStyle name="Normal 2 2 5 2 2 2 2 2 3" xfId="28686" xr:uid="{03302CF9-F315-4B2F-8E5C-4E48AD813A6C}"/>
    <cellStyle name="Normal 2 2 5 2 2 2 2 2 4" xfId="15803" xr:uid="{416905B0-8C34-4EAF-B2EE-83FB9633C06C}"/>
    <cellStyle name="Normal 2 2 5 2 2 2 2 3" xfId="8256" xr:uid="{E73053D0-DAB2-4621-8B69-8DD246C60620}"/>
    <cellStyle name="Normal 2 2 5 2 2 2 2 3 2" xfId="28878" xr:uid="{1ED4BFE3-FE82-4BDE-ACD6-1011F9A362EE}"/>
    <cellStyle name="Normal 2 2 5 2 2 2 2 3 3" xfId="18636" xr:uid="{EAC47606-B6CF-468A-A0B3-0B86DB72B3A4}"/>
    <cellStyle name="Normal 2 2 5 2 2 2 2 4" xfId="11089" xr:uid="{1B5921B0-042E-4BDB-A622-B64673E90D06}"/>
    <cellStyle name="Normal 2 2 5 2 2 2 2 4 2" xfId="21469" xr:uid="{BE9D713F-9234-4834-B38E-9DA48C0B1DD5}"/>
    <cellStyle name="Normal 2 2 5 2 2 2 2 5" xfId="24952" xr:uid="{DE9DE425-78CF-4FC1-AAED-4D4D739717D4}"/>
    <cellStyle name="Normal 2 2 5 2 2 2 2 6" xfId="13716" xr:uid="{473BE161-38AF-432F-8D97-A2AA2458A135}"/>
    <cellStyle name="Normal 2 2 5 2 2 2 3" xfId="4295" xr:uid="{B540126C-CBF3-438D-A163-D41348C34181}"/>
    <cellStyle name="Normal 2 2 5 2 2 2 3 2" xfId="9067" xr:uid="{097A9ECB-B1E7-4CAA-B99E-24633FBBF15E}"/>
    <cellStyle name="Normal 2 2 5 2 2 2 3 2 2" xfId="29110" xr:uid="{0E6D8B8B-E350-4037-A369-8C87D3BF7257}"/>
    <cellStyle name="Normal 2 2 5 2 2 2 3 2 3" xfId="19447" xr:uid="{09BAB93A-CF6E-4525-B161-0966E8B021AD}"/>
    <cellStyle name="Normal 2 2 5 2 2 2 3 3" xfId="11900" xr:uid="{722736AD-AB6E-4426-895F-29E7FBD1BDE2}"/>
    <cellStyle name="Normal 2 2 5 2 2 2 3 3 2" xfId="22280" xr:uid="{FAE00ADA-14AF-4963-8C68-F41B80685E82}"/>
    <cellStyle name="Normal 2 2 5 2 2 2 3 4" xfId="25486" xr:uid="{5EE46B0A-EC95-4442-9320-B0A68B5E9303}"/>
    <cellStyle name="Normal 2 2 5 2 2 2 3 5" xfId="16614" xr:uid="{8B60813B-16E3-44F0-9CE2-C44668E98EF0}"/>
    <cellStyle name="Normal 2 2 5 2 2 2 4" xfId="5948" xr:uid="{C3820229-FF72-433D-A0F7-E522322D9E73}"/>
    <cellStyle name="Normal 2 2 5 2 2 2 4 2" xfId="28214" xr:uid="{5C474A1A-0888-4F3F-9585-5D2B42AC5D88}"/>
    <cellStyle name="Normal 2 2 5 2 2 2 4 3" xfId="15401" xr:uid="{B27D4E90-C4DE-4AD3-905D-D5E865380096}"/>
    <cellStyle name="Normal 2 2 5 2 2 2 5" xfId="7854" xr:uid="{C7407326-E5BA-4D95-A4A5-F6DEF9D6133F}"/>
    <cellStyle name="Normal 2 2 5 2 2 2 5 2" xfId="18234" xr:uid="{C5529907-18E8-41F3-A2C9-7638948473D8}"/>
    <cellStyle name="Normal 2 2 5 2 2 2 6" xfId="10687" xr:uid="{238BFC77-4777-4A6A-9924-44C3C272C76A}"/>
    <cellStyle name="Normal 2 2 5 2 2 2 6 2" xfId="21067" xr:uid="{50CA46B1-4DF1-4410-A5D1-5FB3B1C07921}"/>
    <cellStyle name="Normal 2 2 5 2 2 2 7" xfId="23325" xr:uid="{FF8025E8-9FFF-439A-A830-11468EAB3B7A}"/>
    <cellStyle name="Normal 2 2 5 2 2 2 8" xfId="13164" xr:uid="{07BEF1A2-CBC1-4DD8-9A8D-F344C2B7F648}"/>
    <cellStyle name="Normal 2 2 5 2 2 3" xfId="3177" xr:uid="{00000000-0005-0000-0000-000009040000}"/>
    <cellStyle name="Normal 2 2 5 2 2 3 2" xfId="4464" xr:uid="{4CEFD531-6DC8-4933-A08C-FCC744DA5A7D}"/>
    <cellStyle name="Normal 2 2 5 2 2 3 2 2" xfId="9236" xr:uid="{D26C2B8C-A4B5-4B88-9F76-EDAFB6399D4B}"/>
    <cellStyle name="Normal 2 2 5 2 2 3 2 2 2" xfId="29227" xr:uid="{1699C1AA-992C-41F0-94E6-8A2847D9090B}"/>
    <cellStyle name="Normal 2 2 5 2 2 3 2 2 3" xfId="19616" xr:uid="{7A872625-E9BC-4B6B-A66A-768F15486530}"/>
    <cellStyle name="Normal 2 2 5 2 2 3 2 3" xfId="12069" xr:uid="{5B92F177-2D5A-4909-89B3-1C73C0386018}"/>
    <cellStyle name="Normal 2 2 5 2 2 3 2 3 2" xfId="22449" xr:uid="{B8DD0900-B2FD-4D9F-9C96-16C4454F04D0}"/>
    <cellStyle name="Normal 2 2 5 2 2 3 2 4" xfId="27759" xr:uid="{617BC2D3-3736-402C-A14E-BD8CBD267028}"/>
    <cellStyle name="Normal 2 2 5 2 2 3 2 5" xfId="16783" xr:uid="{730C0D24-B54F-46CD-A538-34245F353A95}"/>
    <cellStyle name="Normal 2 2 5 2 2 3 3" xfId="6235" xr:uid="{4AB8D882-A60E-4EB6-8AB6-7631DB8C0179}"/>
    <cellStyle name="Normal 2 2 5 2 2 3 3 2" xfId="27411" xr:uid="{980A3846-D16D-49B0-9460-EEEF04713EB5}"/>
    <cellStyle name="Normal 2 2 5 2 2 3 3 3" xfId="15804" xr:uid="{53818701-DBE8-4EBA-9F51-9F10AAAA5B50}"/>
    <cellStyle name="Normal 2 2 5 2 2 3 4" xfId="8257" xr:uid="{9FE62E0B-3EB9-4966-B5FF-89E32C42A46D}"/>
    <cellStyle name="Normal 2 2 5 2 2 3 4 2" xfId="18637" xr:uid="{8D0FD7B3-3FF0-4ABC-A03E-32CB9E2E3B29}"/>
    <cellStyle name="Normal 2 2 5 2 2 3 5" xfId="11090" xr:uid="{F5CF5724-7237-41E2-8A18-2E5F0F7CC5A2}"/>
    <cellStyle name="Normal 2 2 5 2 2 3 5 2" xfId="21470" xr:uid="{A6498B79-8411-461D-BCA2-11E829EA01DB}"/>
    <cellStyle name="Normal 2 2 5 2 2 3 6" xfId="25511" xr:uid="{5CE8895A-DF4B-402B-AFFE-D89B3D3DAB51}"/>
    <cellStyle name="Normal 2 2 5 2 2 3 7" xfId="13717" xr:uid="{FD766A7C-592C-47E0-BB04-00C6FFDE6298}"/>
    <cellStyle name="Normal 2 2 5 2 2 4" xfId="3175" xr:uid="{00000000-0005-0000-0000-00000A040000}"/>
    <cellStyle name="Normal 2 2 5 2 2 4 2" xfId="6233" xr:uid="{A7711E8B-4397-4BDF-AD2A-074ECE53391E}"/>
    <cellStyle name="Normal 2 2 5 2 2 4 2 2" xfId="28369" xr:uid="{29D270F5-A310-4F02-BDC3-4B9E04FD2489}"/>
    <cellStyle name="Normal 2 2 5 2 2 4 2 3" xfId="15802" xr:uid="{6E468B09-BEE9-40FD-A309-ADB821F82D1E}"/>
    <cellStyle name="Normal 2 2 5 2 2 4 3" xfId="8255" xr:uid="{251BCB6C-9C74-41F5-9B6B-3F6CAFBD93CF}"/>
    <cellStyle name="Normal 2 2 5 2 2 4 3 2" xfId="18635" xr:uid="{EF5D7492-E9DB-416E-A9DB-13FBFE58DFD6}"/>
    <cellStyle name="Normal 2 2 5 2 2 4 4" xfId="11088" xr:uid="{90EA8961-543F-4FB0-86DB-C3E86DA6626D}"/>
    <cellStyle name="Normal 2 2 5 2 2 4 4 2" xfId="21468" xr:uid="{9C0A8CDF-9C8B-41ED-A24F-4B4944E816AD}"/>
    <cellStyle name="Normal 2 2 5 2 2 4 5" xfId="25022" xr:uid="{4366B986-B845-4B6F-B510-64348E684793}"/>
    <cellStyle name="Normal 2 2 5 2 2 4 6" xfId="13715" xr:uid="{D3A59B73-7E2C-41A9-9415-9871974961BE}"/>
    <cellStyle name="Normal 2 2 5 2 2 5" xfId="2644" xr:uid="{00000000-0005-0000-0000-00000B040000}"/>
    <cellStyle name="Normal 2 2 5 2 2 5 2" xfId="5906" xr:uid="{8CFF2044-928E-480E-AD2D-F6E9AAAC0731}"/>
    <cellStyle name="Normal 2 2 5 2 2 5 2 2" xfId="28421" xr:uid="{1FD9D166-1B25-4F69-A805-625EE389A4BE}"/>
    <cellStyle name="Normal 2 2 5 2 2 5 2 3" xfId="15316" xr:uid="{18A76B74-A7D1-40B9-A7B0-E65FCB9E6200}"/>
    <cellStyle name="Normal 2 2 5 2 2 5 3" xfId="7769" xr:uid="{561B5177-5DB6-4A3B-825E-85C2A34917B5}"/>
    <cellStyle name="Normal 2 2 5 2 2 5 3 2" xfId="18149" xr:uid="{E1FBEE2C-F155-4914-BF20-642C45CD70E3}"/>
    <cellStyle name="Normal 2 2 5 2 2 5 4" xfId="10602" xr:uid="{F233F524-3D64-40B5-8F41-A03DCDCE408F}"/>
    <cellStyle name="Normal 2 2 5 2 2 5 4 2" xfId="20982" xr:uid="{31ACCF3E-F9A7-4066-89C7-55F5DE1A6DB4}"/>
    <cellStyle name="Normal 2 2 5 2 2 5 5" xfId="22783" xr:uid="{33145012-9A5C-4EC4-9195-06EAD766F625}"/>
    <cellStyle name="Normal 2 2 5 2 2 5 6" xfId="13033" xr:uid="{E4C07432-1FF4-4055-8D47-7BD5967CA77A}"/>
    <cellStyle name="Normal 2 2 5 2 2 6" xfId="2329" xr:uid="{00000000-0005-0000-0000-000006040000}"/>
    <cellStyle name="Normal 2 2 5 2 2 6 2" xfId="7456" xr:uid="{1D69DBE1-204C-4ECF-84F8-39E0D5C657C3}"/>
    <cellStyle name="Normal 2 2 5 2 2 6 2 2" xfId="17836" xr:uid="{B10D6174-85EF-4414-BBAB-3803E0FD227F}"/>
    <cellStyle name="Normal 2 2 5 2 2 6 3" xfId="10289" xr:uid="{A108CD46-B7BB-4A78-B200-90B98197F584}"/>
    <cellStyle name="Normal 2 2 5 2 2 6 3 2" xfId="20669" xr:uid="{3F335AC8-F248-40E3-B2E6-D5C7CB22C033}"/>
    <cellStyle name="Normal 2 2 5 2 2 6 4" xfId="24774" xr:uid="{ECEC4359-259E-46B9-9A69-007C76C810F6}"/>
    <cellStyle name="Normal 2 2 5 2 2 6 5" xfId="15003" xr:uid="{D26EB9C9-A5A5-477D-8DE0-CA9F13FAE740}"/>
    <cellStyle name="Normal 2 2 5 2 2 7" xfId="3844" xr:uid="{48B02B64-95AB-4344-A2CD-3FB4916A7BE5}"/>
    <cellStyle name="Normal 2 2 5 2 2 7 2" xfId="8677" xr:uid="{94182FF3-87BC-4970-866E-CF8CF44C640C}"/>
    <cellStyle name="Normal 2 2 5 2 2 7 2 2" xfId="19057" xr:uid="{3447AB07-9FBF-4ACC-9111-10A4D5F70B07}"/>
    <cellStyle name="Normal 2 2 5 2 2 7 3" xfId="11510" xr:uid="{09255C7F-7217-4B9F-835A-88A43471D589}"/>
    <cellStyle name="Normal 2 2 5 2 2 7 3 2" xfId="21890" xr:uid="{86631AE6-C195-44A2-8A24-1D1C23EBD51B}"/>
    <cellStyle name="Normal 2 2 5 2 2 7 4" xfId="16224" xr:uid="{49214307-4659-45B4-9EC9-267B3CE81593}"/>
    <cellStyle name="Normal 2 2 5 2 2 8" xfId="5113" xr:uid="{F208FDEE-D072-4013-8D23-5A573C8E96F9}"/>
    <cellStyle name="Normal 2 2 5 2 2 8 2" xfId="14410" xr:uid="{CE95EE3B-CB93-4FA1-937B-6ADAF05098A8}"/>
    <cellStyle name="Normal 2 2 5 2 2 9" xfId="6863" xr:uid="{7C961A93-00CF-4A06-9F89-0EF6C6954FC2}"/>
    <cellStyle name="Normal 2 2 5 2 2 9 2" xfId="17243" xr:uid="{061F0C92-2E17-4F32-9B76-AEC8DE8D16F6}"/>
    <cellStyle name="Normal 2 2 5 2 3" xfId="760" xr:uid="{00000000-0005-0000-0000-0000A4040000}"/>
    <cellStyle name="Normal 2 2 5 2 3 2" xfId="3178" xr:uid="{00000000-0005-0000-0000-00000D040000}"/>
    <cellStyle name="Normal 2 2 5 2 3 2 2" xfId="6236" xr:uid="{7671342D-DC81-4A3A-9A80-C9C93765E2A0}"/>
    <cellStyle name="Normal 2 2 5 2 3 2 2 2" xfId="28011" xr:uid="{836D8BCC-1643-4830-907A-7862E2C668B2}"/>
    <cellStyle name="Normal 2 2 5 2 3 2 2 3" xfId="26479" xr:uid="{F100F1D5-5B19-4463-88C4-B74EA0143188}"/>
    <cellStyle name="Normal 2 2 5 2 3 2 2 4" xfId="15805" xr:uid="{9A7420C0-E4AA-44DA-ADF1-7DE9403863C6}"/>
    <cellStyle name="Normal 2 2 5 2 3 2 3" xfId="8258" xr:uid="{62D90871-03EE-4C54-BC46-D5729DAE5598}"/>
    <cellStyle name="Normal 2 2 5 2 3 2 3 2" xfId="28879" xr:uid="{4DED0B6B-9FA7-428E-96F0-9B44709F3832}"/>
    <cellStyle name="Normal 2 2 5 2 3 2 3 3" xfId="18638" xr:uid="{8C043991-1422-48FE-8C4B-2DCA36E78D10}"/>
    <cellStyle name="Normal 2 2 5 2 3 2 4" xfId="11091" xr:uid="{7D7E4BE2-BBAA-4F30-B227-2DDFF530C835}"/>
    <cellStyle name="Normal 2 2 5 2 3 2 4 2" xfId="21471" xr:uid="{23A50764-7713-42B7-AEC4-7FBE9A4435EF}"/>
    <cellStyle name="Normal 2 2 5 2 3 2 5" xfId="24220" xr:uid="{E0AD114A-9F8E-40D5-A71A-77D28069D632}"/>
    <cellStyle name="Normal 2 2 5 2 3 2 6" xfId="13718" xr:uid="{E40BF5E5-F5FD-45EC-8EB9-E0C8C8215B51}"/>
    <cellStyle name="Normal 2 2 5 2 3 3" xfId="2729" xr:uid="{00000000-0005-0000-0000-00000E040000}"/>
    <cellStyle name="Normal 2 2 5 2 3 3 2" xfId="5947" xr:uid="{15D59BA5-CC2A-4E70-AD10-18DA53AE4161}"/>
    <cellStyle name="Normal 2 2 5 2 3 3 2 2" xfId="27792" xr:uid="{6C2AB6CC-99C9-4393-8A7D-2EDFD118096E}"/>
    <cellStyle name="Normal 2 2 5 2 3 3 2 3" xfId="15400" xr:uid="{045343DE-B0AD-4CB1-BF9A-5B9964515EE2}"/>
    <cellStyle name="Normal 2 2 5 2 3 3 3" xfId="7853" xr:uid="{772F91EC-9462-49A4-B389-FC5D9799408F}"/>
    <cellStyle name="Normal 2 2 5 2 3 3 3 2" xfId="18233" xr:uid="{0A418F78-E7EF-4788-BE47-6DD79556DB4F}"/>
    <cellStyle name="Normal 2 2 5 2 3 3 4" xfId="10686" xr:uid="{8E7377C0-6698-4826-BE3B-764718F6B425}"/>
    <cellStyle name="Normal 2 2 5 2 3 3 4 2" xfId="21066" xr:uid="{25B5D6BC-7AB1-4973-AC78-A67966B40E4C}"/>
    <cellStyle name="Normal 2 2 5 2 3 3 5" xfId="24652" xr:uid="{B06FAF1E-9418-4804-B577-50DC3162DCA1}"/>
    <cellStyle name="Normal 2 2 5 2 3 3 6" xfId="13163" xr:uid="{83653CA8-1C2D-40A3-92EC-1414155DCA11}"/>
    <cellStyle name="Normal 2 2 5 2 3 4" xfId="4163" xr:uid="{37F35E24-F25E-40F3-842E-05A5F5C821FF}"/>
    <cellStyle name="Normal 2 2 5 2 3 4 2" xfId="8935" xr:uid="{EE852AE6-BD3A-4388-979F-311F52C1B4F2}"/>
    <cellStyle name="Normal 2 2 5 2 3 4 2 2" xfId="29032" xr:uid="{09CF3D11-8BF7-4B74-86F0-175816DB2EB9}"/>
    <cellStyle name="Normal 2 2 5 2 3 4 2 3" xfId="19315" xr:uid="{61E1501E-80F9-43E8-90FB-EA5769F2F1A4}"/>
    <cellStyle name="Normal 2 2 5 2 3 4 3" xfId="11768" xr:uid="{645FA318-7E0B-4F97-B2B1-32A0D8564636}"/>
    <cellStyle name="Normal 2 2 5 2 3 4 3 2" xfId="22148" xr:uid="{01D11F82-CED9-4AE0-B555-D8C20066FC17}"/>
    <cellStyle name="Normal 2 2 5 2 3 4 4" xfId="23468" xr:uid="{0868E0E5-911A-40EB-80C8-8DFA30F6D1FE}"/>
    <cellStyle name="Normal 2 2 5 2 3 4 5" xfId="16482" xr:uid="{F8318EE4-F355-4469-A883-5CB5947B91E9}"/>
    <cellStyle name="Normal 2 2 5 2 3 5" xfId="5114" xr:uid="{0C8D7411-411D-41FE-AAD0-B2ED35D09B1B}"/>
    <cellStyle name="Normal 2 2 5 2 3 5 2" xfId="26314" xr:uid="{96BE5A80-2062-4778-88EA-486BBD1F3EA1}"/>
    <cellStyle name="Normal 2 2 5 2 3 5 3" xfId="14411" xr:uid="{2955E46F-4E4A-4AC8-8F0C-475FE29DF94B}"/>
    <cellStyle name="Normal 2 2 5 2 3 6" xfId="6864" xr:uid="{6BED6A0B-5C0A-47D5-93B7-CD5500CA60D4}"/>
    <cellStyle name="Normal 2 2 5 2 3 6 2" xfId="17244" xr:uid="{7DFF01D4-2C2B-4392-B67C-994F7FA3BE53}"/>
    <cellStyle name="Normal 2 2 5 2 3 7" xfId="9697" xr:uid="{52B0BC81-04F4-4B33-9979-ACDD4B8EB1D7}"/>
    <cellStyle name="Normal 2 2 5 2 3 7 2" xfId="20077" xr:uid="{804EB2CB-F995-411C-A8F4-63A50BC1B1A7}"/>
    <cellStyle name="Normal 2 2 5 2 3 8" xfId="24650" xr:uid="{70536A9A-7AC4-45C8-A6EB-22FA6F4C27D7}"/>
    <cellStyle name="Normal 2 2 5 2 3 9" xfId="12721" xr:uid="{41AC3D4C-B08B-4878-83C5-E040CF37AAA5}"/>
    <cellStyle name="Normal 2 2 5 2 4" xfId="3179" xr:uid="{00000000-0005-0000-0000-00000F040000}"/>
    <cellStyle name="Normal 2 2 5 2 4 2" xfId="4465" xr:uid="{C9E20F56-6F54-4390-8DD2-BD82F443448C}"/>
    <cellStyle name="Normal 2 2 5 2 4 2 2" xfId="9237" xr:uid="{035F2F7C-A2D9-4621-981B-9ED88B058A01}"/>
    <cellStyle name="Normal 2 2 5 2 4 2 2 2" xfId="29228" xr:uid="{107E6348-4C31-4C67-816C-E500DEB082EB}"/>
    <cellStyle name="Normal 2 2 5 2 4 2 2 3" xfId="19617" xr:uid="{5B0EC37C-C6A7-4038-B3E1-16AFA0F7A6D1}"/>
    <cellStyle name="Normal 2 2 5 2 4 2 3" xfId="12070" xr:uid="{AD1B2371-1AA9-485E-A275-3F371D70EB60}"/>
    <cellStyle name="Normal 2 2 5 2 4 2 3 2" xfId="22450" xr:uid="{D7A3B5AF-C478-480D-A941-A413733C6753}"/>
    <cellStyle name="Normal 2 2 5 2 4 2 4" xfId="23710" xr:uid="{DCADD72E-4C18-4FE0-BAF5-2D39FBD7A790}"/>
    <cellStyle name="Normal 2 2 5 2 4 2 5" xfId="16784" xr:uid="{2A9033E2-A0E7-4539-806B-2994D8C6B181}"/>
    <cellStyle name="Normal 2 2 5 2 4 3" xfId="6237" xr:uid="{B330333B-27B6-4FAC-8385-CEABC3B157EE}"/>
    <cellStyle name="Normal 2 2 5 2 4 3 2" xfId="26264" xr:uid="{0A0059EA-94E6-4777-9D1E-1CACCCD0996F}"/>
    <cellStyle name="Normal 2 2 5 2 4 3 3" xfId="15806" xr:uid="{31EC71FE-4301-4F53-9405-74A63B9BAF02}"/>
    <cellStyle name="Normal 2 2 5 2 4 4" xfId="8259" xr:uid="{BBE116D6-323F-4AE9-8026-4AC193136700}"/>
    <cellStyle name="Normal 2 2 5 2 4 4 2" xfId="18639" xr:uid="{466EF179-8029-4E30-A575-2104EAFAAAC3}"/>
    <cellStyle name="Normal 2 2 5 2 4 5" xfId="11092" xr:uid="{7C8729C1-B9B4-4171-A2BC-F29947856249}"/>
    <cellStyle name="Normal 2 2 5 2 4 5 2" xfId="21472" xr:uid="{08C40333-5364-4DF0-A9EC-B7A5FCF83B50}"/>
    <cellStyle name="Normal 2 2 5 2 4 6" xfId="24180" xr:uid="{095A202C-2D37-4AD8-A263-3823CC9E4FDD}"/>
    <cellStyle name="Normal 2 2 5 2 4 7" xfId="13719" xr:uid="{7496F5B8-7BE8-4F30-9C2E-499BF2B6BBA6}"/>
    <cellStyle name="Normal 2 2 5 2 5" xfId="2904" xr:uid="{00000000-0005-0000-0000-000010040000}"/>
    <cellStyle name="Normal 2 2 5 2 5 2" xfId="6090" xr:uid="{B6894EBA-D4F9-4999-BA38-F8BC05D7F206}"/>
    <cellStyle name="Normal 2 2 5 2 5 2 2" xfId="27396" xr:uid="{3A1071B8-28F1-4251-B58F-A26EEB6B85D3}"/>
    <cellStyle name="Normal 2 2 5 2 5 2 3" xfId="28217" xr:uid="{34441506-560F-4171-BBE8-0AAA5D1ECF18}"/>
    <cellStyle name="Normal 2 2 5 2 5 2 4" xfId="15568" xr:uid="{62CA858A-BF27-4401-A068-5C1DD0D56A8C}"/>
    <cellStyle name="Normal 2 2 5 2 5 3" xfId="8021" xr:uid="{ABFF5A1F-AC8A-428A-81E7-F5100C25AC5E}"/>
    <cellStyle name="Normal 2 2 5 2 5 3 2" xfId="28418" xr:uid="{A9A0004C-1657-41FC-B526-0C144352775B}"/>
    <cellStyle name="Normal 2 2 5 2 5 3 3" xfId="18401" xr:uid="{B329EB4B-4CDD-4478-A140-93E6FC79ED9F}"/>
    <cellStyle name="Normal 2 2 5 2 5 4" xfId="10854" xr:uid="{EF41FF9B-619E-4262-9FAF-BFEC7836058A}"/>
    <cellStyle name="Normal 2 2 5 2 5 4 2" xfId="21234" xr:uid="{5C53EB13-881F-4012-AE40-2DA4F90E8A9B}"/>
    <cellStyle name="Normal 2 2 5 2 5 5" xfId="24756" xr:uid="{379ECBB2-C11B-4E05-BDE5-CDA1A61439A1}"/>
    <cellStyle name="Normal 2 2 5 2 5 6" xfId="13419" xr:uid="{985B20EB-C0C9-4665-9390-A6FB4B0DC8AD}"/>
    <cellStyle name="Normal 2 2 5 2 6" xfId="2542" xr:uid="{00000000-0005-0000-0000-000011040000}"/>
    <cellStyle name="Normal 2 2 5 2 6 2" xfId="5814" xr:uid="{699F9465-D080-4D69-B966-84E27401E56F}"/>
    <cellStyle name="Normal 2 2 5 2 6 2 2" xfId="26551" xr:uid="{A901BF6F-3A14-42C0-AAC1-638CB8F0D37D}"/>
    <cellStyle name="Normal 2 2 5 2 6 2 3" xfId="15214" xr:uid="{314BD354-BDB8-4B7F-8791-EBEA355B449C}"/>
    <cellStyle name="Normal 2 2 5 2 6 3" xfId="7667" xr:uid="{4EFCA50F-A57C-4BF0-AACF-DE8B26A93024}"/>
    <cellStyle name="Normal 2 2 5 2 6 3 2" xfId="18047" xr:uid="{5A17AA12-2EF9-4B2D-AEDE-9D23EA99FFFD}"/>
    <cellStyle name="Normal 2 2 5 2 6 4" xfId="10500" xr:uid="{7779AA36-E2BC-4556-BF52-9CC53B73E024}"/>
    <cellStyle name="Normal 2 2 5 2 6 4 2" xfId="20880" xr:uid="{E017C883-8967-459B-8370-4FD549B51FE3}"/>
    <cellStyle name="Normal 2 2 5 2 6 5" xfId="25187" xr:uid="{C016EE01-47B7-412F-983D-3432A44E850B}"/>
    <cellStyle name="Normal 2 2 5 2 6 6" xfId="12930" xr:uid="{0C927CA1-CCF6-4AD3-AA05-0017B7A9ACF8}"/>
    <cellStyle name="Normal 2 2 5 2 7" xfId="2236" xr:uid="{00000000-0005-0000-0000-000005040000}"/>
    <cellStyle name="Normal 2 2 5 2 7 2" xfId="7363" xr:uid="{38332203-CE39-491F-B705-EE061949E435}"/>
    <cellStyle name="Normal 2 2 5 2 7 2 2" xfId="17743" xr:uid="{1625E781-7A70-4D28-BC6A-CAD3F0C52332}"/>
    <cellStyle name="Normal 2 2 5 2 7 3" xfId="10196" xr:uid="{0936674F-D607-490D-81FE-F219362C21AA}"/>
    <cellStyle name="Normal 2 2 5 2 7 3 2" xfId="20576" xr:uid="{F7AA5EC4-439C-43F9-80B1-416D193F93D2}"/>
    <cellStyle name="Normal 2 2 5 2 7 4" xfId="25575" xr:uid="{38EB2627-4D0F-4F55-9A6B-CA08DCC73ED4}"/>
    <cellStyle name="Normal 2 2 5 2 7 5" xfId="14910" xr:uid="{B3842ADD-C684-411A-9B67-0279154E1BE5}"/>
    <cellStyle name="Normal 2 2 5 2 8" xfId="3936" xr:uid="{5A51DEF3-B876-43F1-9829-BEC3A0C9779E}"/>
    <cellStyle name="Normal 2 2 5 2 8 2" xfId="8768" xr:uid="{45BD9648-31E1-435B-988C-7BC0F8E084B5}"/>
    <cellStyle name="Normal 2 2 5 2 8 2 2" xfId="19148" xr:uid="{43117BD3-7E0C-4CD9-B8BC-DAC89571DBE1}"/>
    <cellStyle name="Normal 2 2 5 2 8 3" xfId="11601" xr:uid="{E6F14F03-593A-4EE2-906F-5BC7FCFA8EB3}"/>
    <cellStyle name="Normal 2 2 5 2 8 3 2" xfId="21981" xr:uid="{AB3D4F39-0181-4332-B8AA-C4C721A4CF63}"/>
    <cellStyle name="Normal 2 2 5 2 8 4" xfId="16315" xr:uid="{90F3F3A7-1C62-4CFA-8DCD-1D77B804D306}"/>
    <cellStyle name="Normal 2 2 5 2 9" xfId="5112" xr:uid="{AD536F58-F2F5-4216-976C-1862C83261E7}"/>
    <cellStyle name="Normal 2 2 5 2 9 2" xfId="14409" xr:uid="{B6C4BCC5-2CA8-472F-B677-E81C10B28A1F}"/>
    <cellStyle name="Normal 2 2 5 3" xfId="761" xr:uid="{00000000-0005-0000-0000-0000A5040000}"/>
    <cellStyle name="Normal 2 2 5 3 10" xfId="9698" xr:uid="{7364066B-39EB-4205-8D30-52E2A4F8F68A}"/>
    <cellStyle name="Normal 2 2 5 3 10 2" xfId="20078" xr:uid="{071C8EA1-DF30-4A73-B218-94EED7F49BF3}"/>
    <cellStyle name="Normal 2 2 5 3 11" xfId="23342" xr:uid="{ADC48A0A-5EAD-425A-8A31-6ADDEFD672D0}"/>
    <cellStyle name="Normal 2 2 5 3 12" xfId="12562" xr:uid="{967E07C1-269E-4F03-A799-B5DDA3A1E6FE}"/>
    <cellStyle name="Normal 2 2 5 3 2" xfId="2731" xr:uid="{00000000-0005-0000-0000-000013040000}"/>
    <cellStyle name="Normal 2 2 5 3 2 2" xfId="3181" xr:uid="{00000000-0005-0000-0000-000014040000}"/>
    <cellStyle name="Normal 2 2 5 3 2 2 2" xfId="6239" xr:uid="{DB8B03FE-930A-4F15-84FC-735F30984B5F}"/>
    <cellStyle name="Normal 2 2 5 3 2 2 2 2" xfId="25924" xr:uid="{D3BEF0C3-AD65-4847-AC71-7A84C123640C}"/>
    <cellStyle name="Normal 2 2 5 3 2 2 2 3" xfId="27209" xr:uid="{15CF10F0-03CF-434D-8F32-B2134E64E2A2}"/>
    <cellStyle name="Normal 2 2 5 3 2 2 2 4" xfId="15808" xr:uid="{1A18B310-3CF7-44E8-99CD-46036AB80A47}"/>
    <cellStyle name="Normal 2 2 5 3 2 2 3" xfId="8261" xr:uid="{CD516AE2-16B3-44E9-A956-813B74203E9D}"/>
    <cellStyle name="Normal 2 2 5 3 2 2 3 2" xfId="28880" xr:uid="{8FE66765-C894-4BB7-97AA-31AF476783DC}"/>
    <cellStyle name="Normal 2 2 5 3 2 2 3 3" xfId="18641" xr:uid="{DE88CF14-BADD-4144-8754-66F492327E62}"/>
    <cellStyle name="Normal 2 2 5 3 2 2 4" xfId="11094" xr:uid="{D464F0E7-6051-450A-AB71-818208813C24}"/>
    <cellStyle name="Normal 2 2 5 3 2 2 4 2" xfId="21474" xr:uid="{C1B261EA-B1CD-4C88-B775-A81B9A5510EA}"/>
    <cellStyle name="Normal 2 2 5 3 2 2 5" xfId="22852" xr:uid="{15A51E91-E3F0-4BD5-8969-9FF147681057}"/>
    <cellStyle name="Normal 2 2 5 3 2 2 6" xfId="13721" xr:uid="{18CE4E08-502F-4119-A32A-1ECFF10F038B}"/>
    <cellStyle name="Normal 2 2 5 3 2 3" xfId="4296" xr:uid="{30081D75-D036-4F84-B039-199494EB6D8B}"/>
    <cellStyle name="Normal 2 2 5 3 2 3 2" xfId="9068" xr:uid="{1FBBC496-A930-42B3-B32E-489E9E59193B}"/>
    <cellStyle name="Normal 2 2 5 3 2 3 2 2" xfId="29111" xr:uid="{C42E494C-BB98-46ED-AA07-A34B89EC5FF3}"/>
    <cellStyle name="Normal 2 2 5 3 2 3 2 3" xfId="19448" xr:uid="{CA31F7C8-4F7E-4C79-9C83-E7162B8A083A}"/>
    <cellStyle name="Normal 2 2 5 3 2 3 3" xfId="11901" xr:uid="{37E3D474-187A-4129-8F64-8667AD58FC1A}"/>
    <cellStyle name="Normal 2 2 5 3 2 3 3 2" xfId="22281" xr:uid="{F1B6D957-B0FB-48B1-9B05-3F9D1B3777FB}"/>
    <cellStyle name="Normal 2 2 5 3 2 3 4" xfId="23659" xr:uid="{8A391D46-349F-43B1-904A-35F13F278832}"/>
    <cellStyle name="Normal 2 2 5 3 2 3 5" xfId="16615" xr:uid="{A04AA1EA-07D4-4F15-9369-C5E371E72847}"/>
    <cellStyle name="Normal 2 2 5 3 2 4" xfId="5949" xr:uid="{7E671051-7CA9-4436-B501-677FA828FABA}"/>
    <cellStyle name="Normal 2 2 5 3 2 4 2" xfId="26737" xr:uid="{C8492F1F-2400-4772-9838-13D7264B6017}"/>
    <cellStyle name="Normal 2 2 5 3 2 4 3" xfId="15402" xr:uid="{D5CFDB2D-2905-41F1-94D5-6792A993CDA8}"/>
    <cellStyle name="Normal 2 2 5 3 2 5" xfId="7855" xr:uid="{B9528EED-444F-48CF-BC18-E898022C2355}"/>
    <cellStyle name="Normal 2 2 5 3 2 5 2" xfId="18235" xr:uid="{9F20B949-05E0-47E7-81D1-F51539E959E7}"/>
    <cellStyle name="Normal 2 2 5 3 2 6" xfId="10688" xr:uid="{20C5FB41-F9F2-459E-8B5B-C1772DFD6307}"/>
    <cellStyle name="Normal 2 2 5 3 2 6 2" xfId="21068" xr:uid="{9C5859D7-9238-4A3F-9AAC-FEE4E12811D1}"/>
    <cellStyle name="Normal 2 2 5 3 2 7" xfId="24994" xr:uid="{8804360D-1740-4126-BA92-E232EB43B6B3}"/>
    <cellStyle name="Normal 2 2 5 3 2 8" xfId="13165" xr:uid="{9A60082A-A36E-4BBF-AC03-54C96FDD41FC}"/>
    <cellStyle name="Normal 2 2 5 3 3" xfId="3182" xr:uid="{00000000-0005-0000-0000-000015040000}"/>
    <cellStyle name="Normal 2 2 5 3 3 2" xfId="4466" xr:uid="{48360EDB-E31A-4E4C-9125-017600EDB684}"/>
    <cellStyle name="Normal 2 2 5 3 3 2 2" xfId="9238" xr:uid="{9C0C4736-A865-4F40-88B2-84236B470E38}"/>
    <cellStyle name="Normal 2 2 5 3 3 2 2 2" xfId="29229" xr:uid="{00D117A8-9AB0-4313-8331-9C81385CE407}"/>
    <cellStyle name="Normal 2 2 5 3 3 2 2 3" xfId="19618" xr:uid="{910AD68C-77C9-4230-AF2B-6E7B524EACAF}"/>
    <cellStyle name="Normal 2 2 5 3 3 2 3" xfId="12071" xr:uid="{C4328F12-4599-410E-8A77-D36F4B619AB8}"/>
    <cellStyle name="Normal 2 2 5 3 3 2 3 2" xfId="22451" xr:uid="{5235CF13-B17C-4812-BE0D-878DB742EAEE}"/>
    <cellStyle name="Normal 2 2 5 3 3 2 4" xfId="25639" xr:uid="{E472F8F3-6451-4567-99E5-8E594F17347F}"/>
    <cellStyle name="Normal 2 2 5 3 3 2 5" xfId="16785" xr:uid="{50E1624C-D7AB-499D-8F02-19B458F092E0}"/>
    <cellStyle name="Normal 2 2 5 3 3 3" xfId="6240" xr:uid="{B1E78442-0E9C-48A1-AD39-4A87BFDDEB23}"/>
    <cellStyle name="Normal 2 2 5 3 3 3 2" xfId="26046" xr:uid="{9D62ACC6-3D89-4B37-A4D6-BCB14B26C743}"/>
    <cellStyle name="Normal 2 2 5 3 3 3 3" xfId="15809" xr:uid="{A75462E0-4BF7-40B1-B1EA-6ABB72912050}"/>
    <cellStyle name="Normal 2 2 5 3 3 4" xfId="8262" xr:uid="{D894F6F5-39DF-407E-A6FA-8A59032844B1}"/>
    <cellStyle name="Normal 2 2 5 3 3 4 2" xfId="18642" xr:uid="{E1574776-3B4A-4525-BDF2-D34701C8483C}"/>
    <cellStyle name="Normal 2 2 5 3 3 5" xfId="11095" xr:uid="{A5940AD3-DD33-4FCB-95F3-8114BB2A6E13}"/>
    <cellStyle name="Normal 2 2 5 3 3 5 2" xfId="21475" xr:uid="{71838B3F-DCFB-4A51-B536-617B63F5D4A6}"/>
    <cellStyle name="Normal 2 2 5 3 3 6" xfId="22680" xr:uid="{9FE6C028-320A-4758-9989-784CF0F7E6EE}"/>
    <cellStyle name="Normal 2 2 5 3 3 7" xfId="13722" xr:uid="{56555126-E6DA-43E6-8C14-699C3DF768D7}"/>
    <cellStyle name="Normal 2 2 5 3 4" xfId="3180" xr:uid="{00000000-0005-0000-0000-000016040000}"/>
    <cellStyle name="Normal 2 2 5 3 4 2" xfId="6238" xr:uid="{8B5ABF74-57FE-4540-AA36-409E8F3C9144}"/>
    <cellStyle name="Normal 2 2 5 3 4 2 2" xfId="27414" xr:uid="{6052559B-A1CD-461B-A294-F2CB39611FE1}"/>
    <cellStyle name="Normal 2 2 5 3 4 2 3" xfId="15807" xr:uid="{CC3804E1-D2A0-426F-94A6-CB82AD0BC555}"/>
    <cellStyle name="Normal 2 2 5 3 4 3" xfId="8260" xr:uid="{7842EA77-8563-4802-ABC0-662519A88A62}"/>
    <cellStyle name="Normal 2 2 5 3 4 3 2" xfId="18640" xr:uid="{6F1577AA-AA59-4970-9A36-A04A3D7A9682}"/>
    <cellStyle name="Normal 2 2 5 3 4 4" xfId="11093" xr:uid="{D0D32A41-2D50-46A3-AAB5-2582E55B6B1C}"/>
    <cellStyle name="Normal 2 2 5 3 4 4 2" xfId="21473" xr:uid="{8F4D5BCC-6BC0-46E3-BC18-5168F1C8DC9F}"/>
    <cellStyle name="Normal 2 2 5 3 4 5" xfId="23064" xr:uid="{324B6F1E-E111-4D26-A32C-7A93DD29F9D0}"/>
    <cellStyle name="Normal 2 2 5 3 4 6" xfId="13720" xr:uid="{5FCE5877-5A3E-4E51-9459-FD4AE3BDF133}"/>
    <cellStyle name="Normal 2 2 5 3 5" xfId="2585" xr:uid="{00000000-0005-0000-0000-000017040000}"/>
    <cellStyle name="Normal 2 2 5 3 5 2" xfId="5850" xr:uid="{D68FD721-F74C-48E2-88D7-F5695118B0F5}"/>
    <cellStyle name="Normal 2 2 5 3 5 2 2" xfId="25887" xr:uid="{9FC1A68A-E832-41FF-AA80-E4C7B7827E46}"/>
    <cellStyle name="Normal 2 2 5 3 5 2 3" xfId="15257" xr:uid="{637E43A1-21B7-4C71-9C1D-C3534A45FB3A}"/>
    <cellStyle name="Normal 2 2 5 3 5 3" xfId="7710" xr:uid="{0F5B11BE-E2EF-43C9-AA70-9A4C9F809519}"/>
    <cellStyle name="Normal 2 2 5 3 5 3 2" xfId="18090" xr:uid="{6156AA97-D391-4421-A893-BD8A70C4EAEB}"/>
    <cellStyle name="Normal 2 2 5 3 5 4" xfId="10543" xr:uid="{B8B5B2DE-A2D8-4990-9E77-1E27173B78AD}"/>
    <cellStyle name="Normal 2 2 5 3 5 4 2" xfId="20923" xr:uid="{F98BE8BC-826A-459C-97C2-9A46A0929D43}"/>
    <cellStyle name="Normal 2 2 5 3 5 5" xfId="25339" xr:uid="{0B085AAA-4493-420A-8209-AB304D7B5653}"/>
    <cellStyle name="Normal 2 2 5 3 5 6" xfId="12973" xr:uid="{1990347C-B4F0-405F-9412-D0ADB4536A11}"/>
    <cellStyle name="Normal 2 2 5 3 6" xfId="2328" xr:uid="{00000000-0005-0000-0000-000012040000}"/>
    <cellStyle name="Normal 2 2 5 3 6 2" xfId="7455" xr:uid="{355A4282-D669-44C1-88B9-47C0ABA07E59}"/>
    <cellStyle name="Normal 2 2 5 3 6 2 2" xfId="17835" xr:uid="{5730EDBC-00E3-4467-8ED7-7FE48586581A}"/>
    <cellStyle name="Normal 2 2 5 3 6 3" xfId="10288" xr:uid="{4B95A07D-90D6-49F9-A0DB-986EA1DD1001}"/>
    <cellStyle name="Normal 2 2 5 3 6 3 2" xfId="20668" xr:uid="{D368E7D5-52BA-49BF-B3EF-63151CDA95B8}"/>
    <cellStyle name="Normal 2 2 5 3 6 4" xfId="24179" xr:uid="{0A7E2AAE-7538-4048-AC32-7D9E71F9699C}"/>
    <cellStyle name="Normal 2 2 5 3 6 5" xfId="15002" xr:uid="{C196E802-6982-4FEE-A6DE-C08935646518}"/>
    <cellStyle name="Normal 2 2 5 3 7" xfId="3843" xr:uid="{768E63F6-D0FB-427E-8CB9-301DD97546F9}"/>
    <cellStyle name="Normal 2 2 5 3 7 2" xfId="8676" xr:uid="{167A86E3-850C-4FB7-B244-9DC88C162A53}"/>
    <cellStyle name="Normal 2 2 5 3 7 2 2" xfId="19056" xr:uid="{A67BD2E5-D873-4902-9428-AA80E9E8B7EC}"/>
    <cellStyle name="Normal 2 2 5 3 7 3" xfId="11509" xr:uid="{AEDB1F02-3940-466E-9B01-770FF4DEA4CB}"/>
    <cellStyle name="Normal 2 2 5 3 7 3 2" xfId="21889" xr:uid="{54D42C56-CAB3-4AB6-93D6-A2A2C01B576C}"/>
    <cellStyle name="Normal 2 2 5 3 7 4" xfId="16223" xr:uid="{E1E88A3A-BE1A-4FB9-9BF2-494092A3B254}"/>
    <cellStyle name="Normal 2 2 5 3 8" xfId="5115" xr:uid="{30AF1C54-D2CC-4BBB-8766-0A393ABB8F1E}"/>
    <cellStyle name="Normal 2 2 5 3 8 2" xfId="14412" xr:uid="{92177246-C24D-451E-B088-5CFB429D4F22}"/>
    <cellStyle name="Normal 2 2 5 3 9" xfId="6865" xr:uid="{36AD9A76-892B-4B2F-95EB-E6ED3902772F}"/>
    <cellStyle name="Normal 2 2 5 3 9 2" xfId="17245" xr:uid="{48B43599-86E4-4CC4-A5A6-23AB3A005D75}"/>
    <cellStyle name="Normal 2 2 5 4" xfId="762" xr:uid="{00000000-0005-0000-0000-0000A6040000}"/>
    <cellStyle name="Normal 2 2 5 4 2" xfId="3183" xr:uid="{00000000-0005-0000-0000-000019040000}"/>
    <cellStyle name="Normal 2 2 5 4 2 2" xfId="6241" xr:uid="{1951603C-8860-4B43-9F11-FA631F269DCB}"/>
    <cellStyle name="Normal 2 2 5 4 2 2 2" xfId="24823" xr:uid="{730ECCB9-507B-49DD-9658-F3160CBE68C3}"/>
    <cellStyle name="Normal 2 2 5 4 2 2 3" xfId="27804" xr:uid="{2A7317C0-643E-4B65-9A97-C61A8E4A2474}"/>
    <cellStyle name="Normal 2 2 5 4 2 2 4" xfId="15810" xr:uid="{8C99B084-32E9-4F72-BBAE-3EA79CC8675A}"/>
    <cellStyle name="Normal 2 2 5 4 2 3" xfId="8263" xr:uid="{40F4AC1B-381C-40DE-A5E8-9EB8A2D02592}"/>
    <cellStyle name="Normal 2 2 5 4 2 3 2" xfId="28881" xr:uid="{584F1855-DA4E-4BAA-A86E-1BA7CA7C6D36}"/>
    <cellStyle name="Normal 2 2 5 4 2 3 3" xfId="18643" xr:uid="{EBA367CA-932D-4C99-92B1-278D334A4118}"/>
    <cellStyle name="Normal 2 2 5 4 2 4" xfId="11096" xr:uid="{8E68B3E8-45EE-4C41-A096-EF05DFC2B3E7}"/>
    <cellStyle name="Normal 2 2 5 4 2 4 2" xfId="21476" xr:uid="{FE16556B-F3C3-4906-8FDB-D4F60EC5402C}"/>
    <cellStyle name="Normal 2 2 5 4 2 5" xfId="23818" xr:uid="{3D58558D-803C-48F1-BDF8-9829FCD01334}"/>
    <cellStyle name="Normal 2 2 5 4 2 6" xfId="13723" xr:uid="{8EF7EF2B-CED1-4007-921C-297E3E70F6A4}"/>
    <cellStyle name="Normal 2 2 5 4 3" xfId="2728" xr:uid="{00000000-0005-0000-0000-00001A040000}"/>
    <cellStyle name="Normal 2 2 5 4 3 2" xfId="5946" xr:uid="{194E08B5-DDC3-4709-A771-073277BF9EB7}"/>
    <cellStyle name="Normal 2 2 5 4 3 2 2" xfId="25850" xr:uid="{BFA93C3E-B576-4D4B-8F77-BA345C374600}"/>
    <cellStyle name="Normal 2 2 5 4 3 2 3" xfId="15399" xr:uid="{6419E0F1-5E07-422F-A27A-2F6D3E62703E}"/>
    <cellStyle name="Normal 2 2 5 4 3 3" xfId="7852" xr:uid="{B02F34D0-F82F-4006-BE55-77B22080AA39}"/>
    <cellStyle name="Normal 2 2 5 4 3 3 2" xfId="18232" xr:uid="{AE538EAD-83E0-4905-9C2F-9D9D0B4A8B1A}"/>
    <cellStyle name="Normal 2 2 5 4 3 4" xfId="10685" xr:uid="{151237DE-A10E-4667-B110-49113A11C1F7}"/>
    <cellStyle name="Normal 2 2 5 4 3 4 2" xfId="21065" xr:uid="{A6D2CB03-5FCD-4ED8-A370-172DFFE921C3}"/>
    <cellStyle name="Normal 2 2 5 4 3 5" xfId="24051" xr:uid="{7A09FDC2-7262-4111-8465-3F92D0BCCB11}"/>
    <cellStyle name="Normal 2 2 5 4 3 6" xfId="13162" xr:uid="{0C71C1B2-E423-4854-A243-169C4D025D96}"/>
    <cellStyle name="Normal 2 2 5 4 4" xfId="4162" xr:uid="{77133353-D78F-4905-AB0C-35331A391DAE}"/>
    <cellStyle name="Normal 2 2 5 4 4 2" xfId="8934" xr:uid="{700A96BE-64B7-46B2-B34F-A7D01E8A7D5B}"/>
    <cellStyle name="Normal 2 2 5 4 4 2 2" xfId="29031" xr:uid="{41102D16-4D18-4AA7-AFAE-8D8CD5422523}"/>
    <cellStyle name="Normal 2 2 5 4 4 2 3" xfId="19314" xr:uid="{410448E5-A392-466B-BC94-70B7C721290F}"/>
    <cellStyle name="Normal 2 2 5 4 4 3" xfId="11767" xr:uid="{1BCC2FB2-0DDF-4976-BEC7-654235EAADF4}"/>
    <cellStyle name="Normal 2 2 5 4 4 3 2" xfId="22147" xr:uid="{5E9C6438-4F90-47FB-9C1D-9C1AB1F57212}"/>
    <cellStyle name="Normal 2 2 5 4 4 4" xfId="24296" xr:uid="{40F6B065-C3AD-47BD-A6D9-B439B3223AE3}"/>
    <cellStyle name="Normal 2 2 5 4 4 5" xfId="16481" xr:uid="{E90B7D13-EAC6-403B-9F55-E502846BCB6F}"/>
    <cellStyle name="Normal 2 2 5 4 5" xfId="5116" xr:uid="{AEC81067-9A7A-4124-98E2-43D87D46AE9F}"/>
    <cellStyle name="Normal 2 2 5 4 5 2" xfId="26567" xr:uid="{F238678A-0463-4B49-A10A-95980D151155}"/>
    <cellStyle name="Normal 2 2 5 4 5 3" xfId="14413" xr:uid="{5D2AC5DD-A604-416C-BC6E-4E7C1A4EC5F6}"/>
    <cellStyle name="Normal 2 2 5 4 6" xfId="6866" xr:uid="{886AA42F-5700-42A5-BCEC-FFD1618DB977}"/>
    <cellStyle name="Normal 2 2 5 4 6 2" xfId="17246" xr:uid="{49C11A60-C1B1-49EA-A045-52DF8345965B}"/>
    <cellStyle name="Normal 2 2 5 4 7" xfId="9699" xr:uid="{F319566E-35AB-4788-8D03-EF4C36780B1C}"/>
    <cellStyle name="Normal 2 2 5 4 7 2" xfId="20079" xr:uid="{3C8B4D5D-2598-40AF-9298-2D95E104DC58}"/>
    <cellStyle name="Normal 2 2 5 4 8" xfId="22866" xr:uid="{4B2F798E-48E6-4376-A3B5-403E93C6E944}"/>
    <cellStyle name="Normal 2 2 5 4 9" xfId="12720" xr:uid="{20C2B9F8-FAA2-4D18-BA7C-7E931A4EA708}"/>
    <cellStyle name="Normal 2 2 5 5" xfId="763" xr:uid="{00000000-0005-0000-0000-0000A7040000}"/>
    <cellStyle name="Normal 2 2 5 5 2" xfId="4467" xr:uid="{6EF105C5-F98E-47DB-8906-F1ED9D61A476}"/>
    <cellStyle name="Normal 2 2 5 5 2 2" xfId="9239" xr:uid="{A33EEAB3-632D-4D41-97EE-2557CA7BAEEA}"/>
    <cellStyle name="Normal 2 2 5 5 2 2 2" xfId="29230" xr:uid="{FA08C50A-BDB3-4FD3-988D-B5459F856DE8}"/>
    <cellStyle name="Normal 2 2 5 5 2 2 3" xfId="19619" xr:uid="{8F9AB79D-D5A4-4FA3-B6DB-2A7DC7A269D1}"/>
    <cellStyle name="Normal 2 2 5 5 2 3" xfId="12072" xr:uid="{687B8F02-F39D-4E3D-BD9A-2BE9832D13B2}"/>
    <cellStyle name="Normal 2 2 5 5 2 3 2" xfId="22452" xr:uid="{0AA9CD85-3DD1-4BB8-93C5-465249CD6FE7}"/>
    <cellStyle name="Normal 2 2 5 5 2 4" xfId="25658" xr:uid="{34A26308-FF30-49D3-A190-491D65A62777}"/>
    <cellStyle name="Normal 2 2 5 5 2 5" xfId="16786" xr:uid="{1B7185B3-42A4-4084-B389-8624BE7E45D8}"/>
    <cellStyle name="Normal 2 2 5 5 3" xfId="5117" xr:uid="{5586B6F1-6EB7-4B54-B794-696523042EF4}"/>
    <cellStyle name="Normal 2 2 5 5 3 2" xfId="27007" xr:uid="{69CF3FCA-36C7-46CB-BE6F-FC7C88B21E84}"/>
    <cellStyle name="Normal 2 2 5 5 3 3" xfId="14414" xr:uid="{E15399E6-B3FA-4164-8340-785A6301940F}"/>
    <cellStyle name="Normal 2 2 5 5 4" xfId="6867" xr:uid="{BCBDC9C9-7B71-4675-BD67-499DCD957E6B}"/>
    <cellStyle name="Normal 2 2 5 5 4 2" xfId="17247" xr:uid="{5EB6FF69-AA65-4918-A829-595B3426E334}"/>
    <cellStyle name="Normal 2 2 5 5 5" xfId="9700" xr:uid="{E5DAA30A-0FD0-441C-AD84-E2333F9131EE}"/>
    <cellStyle name="Normal 2 2 5 5 5 2" xfId="20080" xr:uid="{A48991DE-F369-4251-93C9-87B4E86CD9E0}"/>
    <cellStyle name="Normal 2 2 5 5 6" xfId="22922" xr:uid="{69AA6929-94EE-4741-AD22-8466135E8D83}"/>
    <cellStyle name="Normal 2 2 5 5 7" xfId="13724" xr:uid="{33796E81-926B-4F0C-9B80-EEC6EC1A3FF2}"/>
    <cellStyle name="Normal 2 2 5 6" xfId="2903" xr:uid="{00000000-0005-0000-0000-00001C040000}"/>
    <cellStyle name="Normal 2 2 5 6 2" xfId="6089" xr:uid="{5EBF24F2-A5F7-415E-8EC7-4EF7815E1FF6}"/>
    <cellStyle name="Normal 2 2 5 6 2 2" xfId="23893" xr:uid="{47724E20-B1D8-4FF8-9A44-2977CC2ED5ED}"/>
    <cellStyle name="Normal 2 2 5 6 2 3" xfId="27546" xr:uid="{936ED42E-6F05-4888-ADC8-F1C177BD493A}"/>
    <cellStyle name="Normal 2 2 5 6 2 4" xfId="15567" xr:uid="{62DEA000-66AC-4EB3-B753-EA729D248FB4}"/>
    <cellStyle name="Normal 2 2 5 6 3" xfId="8020" xr:uid="{E7E24CD5-241B-43B1-9373-D1BEA0AD1624}"/>
    <cellStyle name="Normal 2 2 5 6 3 2" xfId="26164" xr:uid="{4039BB8E-FF83-4E7A-85E1-B650C0CDDBCB}"/>
    <cellStyle name="Normal 2 2 5 6 3 3" xfId="18400" xr:uid="{6B3710D7-32C9-4D74-8EFD-A1B74B09B9DC}"/>
    <cellStyle name="Normal 2 2 5 6 4" xfId="10853" xr:uid="{3C5902C3-3749-417F-A46F-5727D6DE332E}"/>
    <cellStyle name="Normal 2 2 5 6 4 2" xfId="21233" xr:uid="{14C21B63-49BB-49D3-BD82-B5814AAFD628}"/>
    <cellStyle name="Normal 2 2 5 6 5" xfId="23125" xr:uid="{34687A96-B813-4212-AD0D-48688AADA035}"/>
    <cellStyle name="Normal 2 2 5 6 6" xfId="13418" xr:uid="{2753E1A2-47B8-40BE-98AF-F0541F5C54CA}"/>
    <cellStyle name="Normal 2 2 5 7" xfId="2482" xr:uid="{00000000-0005-0000-0000-00001D040000}"/>
    <cellStyle name="Normal 2 2 5 7 2" xfId="5768" xr:uid="{4A390432-8884-423E-B9B8-DF3CF691D005}"/>
    <cellStyle name="Normal 2 2 5 7 2 2" xfId="28051" xr:uid="{17E6F790-6F59-4460-BF00-3CC8B8C84973}"/>
    <cellStyle name="Normal 2 2 5 7 2 3" xfId="15154" xr:uid="{745D3E67-3388-4477-A046-426F2E8DC4A5}"/>
    <cellStyle name="Normal 2 2 5 7 3" xfId="7607" xr:uid="{0DE4E01E-561D-41AE-8E2F-82443E2BA269}"/>
    <cellStyle name="Normal 2 2 5 7 3 2" xfId="17987" xr:uid="{CD67BFA3-8443-427E-A786-7416E437B4C1}"/>
    <cellStyle name="Normal 2 2 5 7 4" xfId="10440" xr:uid="{2A472E99-D46F-4FEF-BCB4-06BC1102DFB8}"/>
    <cellStyle name="Normal 2 2 5 7 4 2" xfId="20820" xr:uid="{84EF04DB-5612-47F1-8449-AB9707B7515D}"/>
    <cellStyle name="Normal 2 2 5 7 5" xfId="24298" xr:uid="{58332B38-93AE-40A3-800E-DF25E10ADFE2}"/>
    <cellStyle name="Normal 2 2 5 7 6" xfId="12870" xr:uid="{B252D23F-8BE9-4572-AC13-4923320155E8}"/>
    <cellStyle name="Normal 2 2 5 8" xfId="2176" xr:uid="{00000000-0005-0000-0000-000004040000}"/>
    <cellStyle name="Normal 2 2 5 8 2" xfId="7303" xr:uid="{E95D3F49-3715-4CC7-A760-1E140DD01628}"/>
    <cellStyle name="Normal 2 2 5 8 2 2" xfId="17683" xr:uid="{3DCD14CB-512D-4F5B-AB36-25B9A2B1A262}"/>
    <cellStyle name="Normal 2 2 5 8 3" xfId="10136" xr:uid="{34BE5327-55F5-41C8-A25C-E16241875A20}"/>
    <cellStyle name="Normal 2 2 5 8 3 2" xfId="20516" xr:uid="{D18D9AEB-696E-40E6-8BB4-B1F1C23B2141}"/>
    <cellStyle name="Normal 2 2 5 8 4" xfId="24766" xr:uid="{DA8323EF-60AF-49BB-88C6-1245D70DB90C}"/>
    <cellStyle name="Normal 2 2 5 8 5" xfId="14850" xr:uid="{C731C4D0-E9A2-419F-AD92-A0D07C4414C0}"/>
    <cellStyle name="Normal 2 2 5 9" xfId="3935" xr:uid="{0CB43D55-C908-4083-90A9-FF89559DAF34}"/>
    <cellStyle name="Normal 2 2 5 9 2" xfId="8767" xr:uid="{9F9FAC5D-37F6-40AA-9967-869F0D927DD2}"/>
    <cellStyle name="Normal 2 2 5 9 2 2" xfId="19147" xr:uid="{5514B669-E767-4499-AE3E-0C65A0D899B3}"/>
    <cellStyle name="Normal 2 2 5 9 3" xfId="11600" xr:uid="{011153CF-D809-4F59-B9C6-B301772D3432}"/>
    <cellStyle name="Normal 2 2 5 9 3 2" xfId="21980" xr:uid="{9D4DC90F-B09C-4CAA-B5EF-B0F3321B0EB2}"/>
    <cellStyle name="Normal 2 2 5 9 4" xfId="16314" xr:uid="{88DA3762-90A6-4CF1-B16D-09030B2DDF34}"/>
    <cellStyle name="Normal 2 2 6" xfId="764" xr:uid="{00000000-0005-0000-0000-0000A8040000}"/>
    <cellStyle name="Normal 2 2 6 10" xfId="5118" xr:uid="{963C3611-457B-4569-9F08-D8E8B6B58342}"/>
    <cellStyle name="Normal 2 2 6 10 2" xfId="14415" xr:uid="{A46C3E5A-5793-40F1-80F7-CEA82D001334}"/>
    <cellStyle name="Normal 2 2 6 11" xfId="6868" xr:uid="{5FEA02F8-0573-4DF3-B8C8-ECF91A657C05}"/>
    <cellStyle name="Normal 2 2 6 11 2" xfId="17248" xr:uid="{D37E6582-3CA9-4B8C-94C3-9E8894BC760E}"/>
    <cellStyle name="Normal 2 2 6 12" xfId="9701" xr:uid="{19674DD6-4C3E-4791-A002-9C3FE93F77E3}"/>
    <cellStyle name="Normal 2 2 6 12 2" xfId="20081" xr:uid="{6958F3CF-F388-4709-895B-4FB571CA5106}"/>
    <cellStyle name="Normal 2 2 6 13" xfId="25253" xr:uid="{D795BB32-094F-4C86-BC01-958FFB9C5DA9}"/>
    <cellStyle name="Normal 2 2 6 14" xfId="12414" xr:uid="{44E83FAC-7AE5-4706-93FB-4C37F2A24648}"/>
    <cellStyle name="Normal 2 2 6 2" xfId="765" xr:uid="{00000000-0005-0000-0000-0000A9040000}"/>
    <cellStyle name="Normal 2 2 6 2 10" xfId="6869" xr:uid="{3D25EB71-E123-4DA6-8867-E93C8C63A2E3}"/>
    <cellStyle name="Normal 2 2 6 2 10 2" xfId="17249" xr:uid="{E1E7A34D-89B4-4BAB-B149-E73C0ADA2435}"/>
    <cellStyle name="Normal 2 2 6 2 11" xfId="9702" xr:uid="{E4D72A88-F242-45A2-AF03-6E6DE242E170}"/>
    <cellStyle name="Normal 2 2 6 2 11 2" xfId="20082" xr:uid="{51D6941F-2BF5-47B5-BBA8-EE83DA7B171E}"/>
    <cellStyle name="Normal 2 2 6 2 12" xfId="23918" xr:uid="{A8E6C921-55CD-4646-A6F9-922F714D4063}"/>
    <cellStyle name="Normal 2 2 6 2 13" xfId="12474" xr:uid="{9151C67F-479C-4177-953B-C2BE45EDB23B}"/>
    <cellStyle name="Normal 2 2 6 2 2" xfId="766" xr:uid="{00000000-0005-0000-0000-0000AA040000}"/>
    <cellStyle name="Normal 2 2 6 2 2 10" xfId="13039" xr:uid="{C6C09AA8-2003-487A-87BA-B7B0FAA2F8B5}"/>
    <cellStyle name="Normal 2 2 6 2 2 2" xfId="2734" xr:uid="{00000000-0005-0000-0000-000021040000}"/>
    <cellStyle name="Normal 2 2 6 2 2 2 2" xfId="3186" xr:uid="{00000000-0005-0000-0000-000022040000}"/>
    <cellStyle name="Normal 2 2 6 2 2 2 2 2" xfId="6244" xr:uid="{AD0C4932-6D7D-45FF-85DF-AAE8C9EA23D8}"/>
    <cellStyle name="Normal 2 2 6 2 2 2 2 2 2" xfId="27150" xr:uid="{50074F00-B7A6-44B7-B7EE-7797041DF54E}"/>
    <cellStyle name="Normal 2 2 6 2 2 2 2 2 3" xfId="15813" xr:uid="{21D05B74-0F66-4913-B9C8-FE2ACC83066F}"/>
    <cellStyle name="Normal 2 2 6 2 2 2 2 3" xfId="8266" xr:uid="{EC5842AE-3220-4106-A5C5-E92115EC7152}"/>
    <cellStyle name="Normal 2 2 6 2 2 2 2 3 2" xfId="18646" xr:uid="{9B71C1FF-CEE3-46D2-9EC3-B4FC49711316}"/>
    <cellStyle name="Normal 2 2 6 2 2 2 2 4" xfId="11099" xr:uid="{FD0D516E-94FA-4926-BBCE-687265CCF63B}"/>
    <cellStyle name="Normal 2 2 6 2 2 2 2 4 2" xfId="21479" xr:uid="{58EA81BF-3C1A-4F49-A09F-A50F221FC2AA}"/>
    <cellStyle name="Normal 2 2 6 2 2 2 2 5" xfId="24992" xr:uid="{4D3465FE-A1E3-41C6-AF78-D9DD9050CBDE}"/>
    <cellStyle name="Normal 2 2 6 2 2 2 2 6" xfId="13727" xr:uid="{6054E1E5-3A1C-41B9-9D4F-531A4D34C959}"/>
    <cellStyle name="Normal 2 2 6 2 2 2 3" xfId="4298" xr:uid="{70482B53-70A1-4B5D-99B7-DD017FD52066}"/>
    <cellStyle name="Normal 2 2 6 2 2 2 3 2" xfId="9070" xr:uid="{E39B3821-DC4A-4CD8-BA22-FE8CF90F1E9B}"/>
    <cellStyle name="Normal 2 2 6 2 2 2 3 2 2" xfId="29113" xr:uid="{B630E78A-E8CD-4621-92F0-AFAA140F60BC}"/>
    <cellStyle name="Normal 2 2 6 2 2 2 3 2 3" xfId="19450" xr:uid="{49C90A69-C5F7-42DA-8D66-FC010CF0F29A}"/>
    <cellStyle name="Normal 2 2 6 2 2 2 3 3" xfId="11903" xr:uid="{FC8C8A4E-DEB0-47FC-A467-D5BB486E720F}"/>
    <cellStyle name="Normal 2 2 6 2 2 2 3 3 2" xfId="22283" xr:uid="{BF976083-E227-4568-B232-D920E2A986BA}"/>
    <cellStyle name="Normal 2 2 6 2 2 2 3 4" xfId="23770" xr:uid="{5E91C338-38B0-4726-BB70-68BE97A3DB18}"/>
    <cellStyle name="Normal 2 2 6 2 2 2 3 5" xfId="16617" xr:uid="{C6E80A27-4F98-4B01-92FF-ECD8A3A9D98D}"/>
    <cellStyle name="Normal 2 2 6 2 2 2 4" xfId="5952" xr:uid="{3052317B-4ACE-4D92-9E73-CC7F606D84E5}"/>
    <cellStyle name="Normal 2 2 6 2 2 2 4 2" xfId="27965" xr:uid="{D293BB91-55CD-455D-84B2-910305AD7982}"/>
    <cellStyle name="Normal 2 2 6 2 2 2 4 3" xfId="15405" xr:uid="{357E2879-E375-48F2-B18C-786A8BE0AC87}"/>
    <cellStyle name="Normal 2 2 6 2 2 2 5" xfId="7858" xr:uid="{75ADF92F-1C62-4755-B9F4-BA8CED2C6F9A}"/>
    <cellStyle name="Normal 2 2 6 2 2 2 5 2" xfId="18238" xr:uid="{560DB7D1-9160-404C-A82B-C71C75325B94}"/>
    <cellStyle name="Normal 2 2 6 2 2 2 6" xfId="10691" xr:uid="{3BF80FF2-EE14-4358-9740-D031390778AD}"/>
    <cellStyle name="Normal 2 2 6 2 2 2 6 2" xfId="21071" xr:uid="{CC051CC2-70E2-41D5-8D15-E09A1984C4CE}"/>
    <cellStyle name="Normal 2 2 6 2 2 2 7" xfId="23229" xr:uid="{A3F8BC61-0040-46E9-9D9A-71B8E0B6FC3E}"/>
    <cellStyle name="Normal 2 2 6 2 2 2 8" xfId="13168" xr:uid="{36D1DFF4-3C3E-45FF-A1FB-B26D221FADE5}"/>
    <cellStyle name="Normal 2 2 6 2 2 3" xfId="3187" xr:uid="{00000000-0005-0000-0000-000023040000}"/>
    <cellStyle name="Normal 2 2 6 2 2 3 2" xfId="4468" xr:uid="{9F706EB4-3E25-430F-B16D-860B5C446E2D}"/>
    <cellStyle name="Normal 2 2 6 2 2 3 2 2" xfId="9240" xr:uid="{626BCD8E-F62B-431A-92C2-B3036586811D}"/>
    <cellStyle name="Normal 2 2 6 2 2 3 2 2 2" xfId="19620" xr:uid="{4440CC75-0F12-4B17-A8B4-2E4262CF94A2}"/>
    <cellStyle name="Normal 2 2 6 2 2 3 2 3" xfId="12073" xr:uid="{6976AB79-28D1-4313-9D9D-EE3228E88690}"/>
    <cellStyle name="Normal 2 2 6 2 2 3 2 3 2" xfId="22453" xr:uid="{AFF673AF-9A91-475F-A847-FDD2B73391C5}"/>
    <cellStyle name="Normal 2 2 6 2 2 3 2 4" xfId="28388" xr:uid="{34CCB7B2-EF32-494A-A790-0975D246D964}"/>
    <cellStyle name="Normal 2 2 6 2 2 3 2 5" xfId="16787" xr:uid="{06D884E1-120A-4C5C-99F1-B742502A02A6}"/>
    <cellStyle name="Normal 2 2 6 2 2 3 3" xfId="6245" xr:uid="{588A55D6-FA85-40D2-BD6B-4D546EA36041}"/>
    <cellStyle name="Normal 2 2 6 2 2 3 3 2" xfId="15814" xr:uid="{DFA3218D-5260-4ABA-8FB3-9E54709A2A73}"/>
    <cellStyle name="Normal 2 2 6 2 2 3 4" xfId="8267" xr:uid="{7B04C46E-C949-4AAC-8114-16C9A0D5B1C2}"/>
    <cellStyle name="Normal 2 2 6 2 2 3 4 2" xfId="18647" xr:uid="{2BEABE8C-5B00-44AF-BC19-87A336C6C6F7}"/>
    <cellStyle name="Normal 2 2 6 2 2 3 5" xfId="11100" xr:uid="{634EC4EC-2AB5-4E9C-AFA6-557EAA7DB02E}"/>
    <cellStyle name="Normal 2 2 6 2 2 3 5 2" xfId="21480" xr:uid="{0F266ECA-43DD-4F95-BF92-0A9529C912E7}"/>
    <cellStyle name="Normal 2 2 6 2 2 3 6" xfId="24170" xr:uid="{F9F51225-FAF4-4573-9B50-F709384D7D8A}"/>
    <cellStyle name="Normal 2 2 6 2 2 3 7" xfId="13728" xr:uid="{77C1E2BD-82DE-453E-821D-CF20ABE192B7}"/>
    <cellStyle name="Normal 2 2 6 2 2 4" xfId="3185" xr:uid="{00000000-0005-0000-0000-000024040000}"/>
    <cellStyle name="Normal 2 2 6 2 2 4 2" xfId="6243" xr:uid="{2A8E5E90-9539-4B84-AD45-32A9701D3B66}"/>
    <cellStyle name="Normal 2 2 6 2 2 4 2 2" xfId="27301" xr:uid="{C9885A2D-4594-47B4-813F-010CB33AF84D}"/>
    <cellStyle name="Normal 2 2 6 2 2 4 2 3" xfId="15812" xr:uid="{CAFF16BF-785D-47CA-A25D-D4873D53C3D1}"/>
    <cellStyle name="Normal 2 2 6 2 2 4 3" xfId="8265" xr:uid="{CB5E47CD-F8C8-4093-B0AB-98AAE247F142}"/>
    <cellStyle name="Normal 2 2 6 2 2 4 3 2" xfId="18645" xr:uid="{D5E581C6-8383-438A-88CD-98AA4648A428}"/>
    <cellStyle name="Normal 2 2 6 2 2 4 4" xfId="11098" xr:uid="{04BE5186-75EA-4DD8-9595-CCB6BBA4325B}"/>
    <cellStyle name="Normal 2 2 6 2 2 4 4 2" xfId="21478" xr:uid="{1EDBFEEC-CF17-428D-A193-EEFD8FDBF989}"/>
    <cellStyle name="Normal 2 2 6 2 2 4 5" xfId="22656" xr:uid="{89EEE988-C7B4-44E2-B02C-0B26E4142BCE}"/>
    <cellStyle name="Normal 2 2 6 2 2 4 6" xfId="13726" xr:uid="{E33E1944-7C5B-43EA-A3F5-149F469C4A34}"/>
    <cellStyle name="Normal 2 2 6 2 2 5" xfId="4240" xr:uid="{C987F1B0-2E5B-42A7-A1CE-2CCB722445F0}"/>
    <cellStyle name="Normal 2 2 6 2 2 5 2" xfId="9012" xr:uid="{F1558F9D-14DE-4FD8-9F11-E719FFE7CEC9}"/>
    <cellStyle name="Normal 2 2 6 2 2 5 2 2" xfId="29083" xr:uid="{901F85F1-8FE2-4259-8CF1-6486B2548664}"/>
    <cellStyle name="Normal 2 2 6 2 2 5 2 3" xfId="19392" xr:uid="{1A6E6247-957C-4A52-9D3D-5ECE6DF29868}"/>
    <cellStyle name="Normal 2 2 6 2 2 5 3" xfId="11845" xr:uid="{24DB62B2-CCAF-42DD-A7C3-53BFACCEA2A6}"/>
    <cellStyle name="Normal 2 2 6 2 2 5 3 2" xfId="22225" xr:uid="{CFE1E20C-CAF7-4F2B-8993-86C72C759AE2}"/>
    <cellStyle name="Normal 2 2 6 2 2 5 4" xfId="22968" xr:uid="{F402148D-9F30-4898-9769-13A6AF983969}"/>
    <cellStyle name="Normal 2 2 6 2 2 5 5" xfId="16559" xr:uid="{9069D65B-E891-473A-93CF-206B85BD6F29}"/>
    <cellStyle name="Normal 2 2 6 2 2 6" xfId="5120" xr:uid="{2AB213AF-C036-44A2-AD92-ABE31F4DA537}"/>
    <cellStyle name="Normal 2 2 6 2 2 6 2" xfId="28674" xr:uid="{CA60F94B-B0F4-4238-BC1D-2BAB1101304D}"/>
    <cellStyle name="Normal 2 2 6 2 2 6 3" xfId="14417" xr:uid="{38FFA62B-DF00-4F78-B291-AF7FDEA7AFA5}"/>
    <cellStyle name="Normal 2 2 6 2 2 7" xfId="6870" xr:uid="{A845BEFA-03CC-4BB1-9EEF-DA2A2589E9AF}"/>
    <cellStyle name="Normal 2 2 6 2 2 7 2" xfId="17250" xr:uid="{82EB7736-7837-4160-8848-C257F564622C}"/>
    <cellStyle name="Normal 2 2 6 2 2 8" xfId="9703" xr:uid="{0139A402-3057-4F0C-A432-25E4414F7185}"/>
    <cellStyle name="Normal 2 2 6 2 2 8 2" xfId="20083" xr:uid="{499B1975-E5B7-4FFE-921C-B0F6B80AAF86}"/>
    <cellStyle name="Normal 2 2 6 2 2 9" xfId="23061" xr:uid="{00BA739F-A1B6-45AE-B77E-887C9215CE59}"/>
    <cellStyle name="Normal 2 2 6 2 3" xfId="2733" xr:uid="{00000000-0005-0000-0000-000025040000}"/>
    <cellStyle name="Normal 2 2 6 2 3 2" xfId="3188" xr:uid="{00000000-0005-0000-0000-000026040000}"/>
    <cellStyle name="Normal 2 2 6 2 3 2 2" xfId="6246" xr:uid="{6F054504-44BD-42C9-AA22-3BACA7580360}"/>
    <cellStyle name="Normal 2 2 6 2 3 2 2 2" xfId="27044" xr:uid="{B09CE0B7-9764-4C38-A97E-326DCABF4D55}"/>
    <cellStyle name="Normal 2 2 6 2 3 2 2 3" xfId="15815" xr:uid="{8E04F228-6530-4F9F-8C15-F0254E2E4C5B}"/>
    <cellStyle name="Normal 2 2 6 2 3 2 3" xfId="8268" xr:uid="{958EE414-6373-4CF0-BE5F-00C92EC1F8AE}"/>
    <cellStyle name="Normal 2 2 6 2 3 2 3 2" xfId="18648" xr:uid="{2197D954-3104-4564-940C-6D59F2A9951B}"/>
    <cellStyle name="Normal 2 2 6 2 3 2 4" xfId="11101" xr:uid="{2D6C8B97-62B4-4DA8-B626-48719476F097}"/>
    <cellStyle name="Normal 2 2 6 2 3 2 4 2" xfId="21481" xr:uid="{0F40F97C-771B-4BE9-B3DA-F94A78A64F4D}"/>
    <cellStyle name="Normal 2 2 6 2 3 2 5" xfId="24073" xr:uid="{2ADE2F64-E9FA-4AC1-A03B-726B30D3571D}"/>
    <cellStyle name="Normal 2 2 6 2 3 2 6" xfId="13729" xr:uid="{42E91BD0-98A8-4495-8410-CE6A9CCE515B}"/>
    <cellStyle name="Normal 2 2 6 2 3 3" xfId="4297" xr:uid="{971A6F7A-AFB2-436A-B1B4-F113D718A7CF}"/>
    <cellStyle name="Normal 2 2 6 2 3 3 2" xfId="9069" xr:uid="{664D73D2-B22A-4951-A932-61284E659329}"/>
    <cellStyle name="Normal 2 2 6 2 3 3 2 2" xfId="29112" xr:uid="{2EC97DC1-4E87-49EB-BA04-9DA8D87362C3}"/>
    <cellStyle name="Normal 2 2 6 2 3 3 2 3" xfId="19449" xr:uid="{F62BBE02-DD83-406E-8C47-EB15CFE84F51}"/>
    <cellStyle name="Normal 2 2 6 2 3 3 3" xfId="11902" xr:uid="{B4FD6724-96A8-4636-A3CF-3C2DB3575377}"/>
    <cellStyle name="Normal 2 2 6 2 3 3 3 2" xfId="22282" xr:uid="{C9F376C1-F2A5-4B82-B967-60AB0472EEBC}"/>
    <cellStyle name="Normal 2 2 6 2 3 3 4" xfId="25397" xr:uid="{C156F1EE-186D-4F4C-B11D-8B8C506CE98A}"/>
    <cellStyle name="Normal 2 2 6 2 3 3 5" xfId="16616" xr:uid="{0F5FF7D2-38FE-4AB6-A99B-644E84413363}"/>
    <cellStyle name="Normal 2 2 6 2 3 4" xfId="5951" xr:uid="{AC2A7418-B225-47BA-A828-664C24550EAE}"/>
    <cellStyle name="Normal 2 2 6 2 3 4 2" xfId="28502" xr:uid="{B7A50A0D-E2FE-433F-B8D8-BFA030882AE8}"/>
    <cellStyle name="Normal 2 2 6 2 3 4 3" xfId="15404" xr:uid="{715501F0-E530-4AC1-94F3-5862C988D81A}"/>
    <cellStyle name="Normal 2 2 6 2 3 5" xfId="7857" xr:uid="{B7136852-1C74-4FB9-9486-4B100A271B7C}"/>
    <cellStyle name="Normal 2 2 6 2 3 5 2" xfId="18237" xr:uid="{BCC193CB-6993-412F-8996-9DE28E9B55B3}"/>
    <cellStyle name="Normal 2 2 6 2 3 6" xfId="10690" xr:uid="{E319272E-D7B6-47E6-9583-74C368EB9E3C}"/>
    <cellStyle name="Normal 2 2 6 2 3 6 2" xfId="21070" xr:uid="{60857185-132A-4FC6-BB37-40FA88651047}"/>
    <cellStyle name="Normal 2 2 6 2 3 7" xfId="24194" xr:uid="{10413727-889B-4E73-82C4-8EF0C680A434}"/>
    <cellStyle name="Normal 2 2 6 2 3 8" xfId="13167" xr:uid="{AD3103CD-2764-44EF-A605-330EB883A61C}"/>
    <cellStyle name="Normal 2 2 6 2 4" xfId="3189" xr:uid="{00000000-0005-0000-0000-000027040000}"/>
    <cellStyle name="Normal 2 2 6 2 4 2" xfId="4469" xr:uid="{0FE318DA-088C-485A-9A1B-148B7C2FE78A}"/>
    <cellStyle name="Normal 2 2 6 2 4 2 2" xfId="9241" xr:uid="{1048AA4A-927C-4161-B8BB-3B6E9A954A52}"/>
    <cellStyle name="Normal 2 2 6 2 4 2 2 2" xfId="19621" xr:uid="{B32F671F-47F0-485A-AD34-1D9C1F20B811}"/>
    <cellStyle name="Normal 2 2 6 2 4 2 3" xfId="12074" xr:uid="{3D4A563A-E48D-426B-B3CF-A2C49C71920E}"/>
    <cellStyle name="Normal 2 2 6 2 4 2 3 2" xfId="22454" xr:uid="{FACF2DD8-440B-42CC-8206-6CB96D9402EF}"/>
    <cellStyle name="Normal 2 2 6 2 4 2 4" xfId="26099" xr:uid="{12BA8A78-EF3A-4DDE-A8F1-C8052A647E4C}"/>
    <cellStyle name="Normal 2 2 6 2 4 2 5" xfId="16788" xr:uid="{0D39DC32-5A39-4618-97E4-409303F50F70}"/>
    <cellStyle name="Normal 2 2 6 2 4 3" xfId="6247" xr:uid="{711A1386-EB02-4D5C-A20F-D17AE5B53DD3}"/>
    <cellStyle name="Normal 2 2 6 2 4 3 2" xfId="15816" xr:uid="{1C57A535-5B59-4BC1-BD8C-FB0C0791E824}"/>
    <cellStyle name="Normal 2 2 6 2 4 4" xfId="8269" xr:uid="{C032CA74-9A89-4596-905A-E92BDA9AA145}"/>
    <cellStyle name="Normal 2 2 6 2 4 4 2" xfId="18649" xr:uid="{6A0B5E13-E75A-4ABD-A2F5-0CF3D9E12D20}"/>
    <cellStyle name="Normal 2 2 6 2 4 5" xfId="11102" xr:uid="{AE521645-6376-4B68-9A18-6D97632553A1}"/>
    <cellStyle name="Normal 2 2 6 2 4 5 2" xfId="21482" xr:uid="{69CC3F87-EA81-43EF-A06E-E7DDC96303E6}"/>
    <cellStyle name="Normal 2 2 6 2 4 6" xfId="24587" xr:uid="{FF1DE5FA-250B-4680-A117-DD1976C4FB09}"/>
    <cellStyle name="Normal 2 2 6 2 4 7" xfId="13730" xr:uid="{6EDAE71B-7F2C-473D-8893-EC43F0AADD36}"/>
    <cellStyle name="Normal 2 2 6 2 5" xfId="3184" xr:uid="{00000000-0005-0000-0000-000028040000}"/>
    <cellStyle name="Normal 2 2 6 2 5 2" xfId="6242" xr:uid="{0A6AF36F-1FBE-4672-9497-A7A631B308EF}"/>
    <cellStyle name="Normal 2 2 6 2 5 2 2" xfId="28740" xr:uid="{5B69F3EA-6B7C-4570-96D6-F27E5C980BFA}"/>
    <cellStyle name="Normal 2 2 6 2 5 2 3" xfId="15811" xr:uid="{76BEACCF-5F5B-43F0-A5B2-36DD6C9A2D9E}"/>
    <cellStyle name="Normal 2 2 6 2 5 3" xfId="8264" xr:uid="{4773665C-A056-459D-95BA-07D0BBFBC73C}"/>
    <cellStyle name="Normal 2 2 6 2 5 3 2" xfId="18644" xr:uid="{62DA566B-022B-451E-8489-F37EF95BA9A5}"/>
    <cellStyle name="Normal 2 2 6 2 5 4" xfId="11097" xr:uid="{B74255FD-0D92-4281-B1B5-831CF4D94442}"/>
    <cellStyle name="Normal 2 2 6 2 5 4 2" xfId="21477" xr:uid="{A43FA36F-DA4D-490C-8866-7682DC51D2EF}"/>
    <cellStyle name="Normal 2 2 6 2 5 5" xfId="23157" xr:uid="{B356D2F5-AA29-4BBE-B9FC-DF53537515CA}"/>
    <cellStyle name="Normal 2 2 6 2 5 6" xfId="13725" xr:uid="{5F8A1828-3379-4FFE-B5D9-A6997C5EE36D}"/>
    <cellStyle name="Normal 2 2 6 2 6" xfId="2548" xr:uid="{00000000-0005-0000-0000-000029040000}"/>
    <cellStyle name="Normal 2 2 6 2 6 2" xfId="5820" xr:uid="{DD46955B-644F-4075-A62A-01E728825C72}"/>
    <cellStyle name="Normal 2 2 6 2 6 2 2" xfId="25836" xr:uid="{5E225070-8700-47AE-BB40-F61DFAA2BB7A}"/>
    <cellStyle name="Normal 2 2 6 2 6 2 3" xfId="15220" xr:uid="{8A69E008-98E6-4611-A97E-CA5A9C690D18}"/>
    <cellStyle name="Normal 2 2 6 2 6 3" xfId="7673" xr:uid="{B7E0288A-09BC-41C8-AB8F-012493240ADF}"/>
    <cellStyle name="Normal 2 2 6 2 6 3 2" xfId="18053" xr:uid="{95348DC5-EF32-4E6B-8E46-E8DE78003BA3}"/>
    <cellStyle name="Normal 2 2 6 2 6 4" xfId="10506" xr:uid="{FCB519E4-A7D2-4946-B317-76A86C0422BC}"/>
    <cellStyle name="Normal 2 2 6 2 6 4 2" xfId="20886" xr:uid="{5A289437-DBA2-47F5-9B82-C36081E33F26}"/>
    <cellStyle name="Normal 2 2 6 2 6 5" xfId="23899" xr:uid="{E133F193-E3D0-4080-B01F-FB88A4225A0F}"/>
    <cellStyle name="Normal 2 2 6 2 6 6" xfId="12936" xr:uid="{E970EBAC-FD52-4F8B-B9ED-263F3F3A9451}"/>
    <cellStyle name="Normal 2 2 6 2 7" xfId="2242" xr:uid="{00000000-0005-0000-0000-00001F040000}"/>
    <cellStyle name="Normal 2 2 6 2 7 2" xfId="7369" xr:uid="{E3315053-3F06-4B6B-8A15-8F56FD09B6D3}"/>
    <cellStyle name="Normal 2 2 6 2 7 2 2" xfId="17749" xr:uid="{59CE3CB4-48FF-436F-AB9F-5BDBA10A3A4A}"/>
    <cellStyle name="Normal 2 2 6 2 7 3" xfId="10202" xr:uid="{E237DC12-6969-46B9-BEB8-59BF47688AC7}"/>
    <cellStyle name="Normal 2 2 6 2 7 3 2" xfId="20582" xr:uid="{2AC17149-8D77-4C66-9B64-E74F2D180A93}"/>
    <cellStyle name="Normal 2 2 6 2 7 4" xfId="22832" xr:uid="{2180F4CE-54F4-4334-B8BC-350373340C0E}"/>
    <cellStyle name="Normal 2 2 6 2 7 5" xfId="14916" xr:uid="{6C7199FC-4A5B-4644-B73C-9FD92807338A}"/>
    <cellStyle name="Normal 2 2 6 2 8" xfId="3795" xr:uid="{3DC452E1-1CA4-495A-BBE7-BA28DD8D8CA8}"/>
    <cellStyle name="Normal 2 2 6 2 8 2" xfId="8631" xr:uid="{2359EFA7-1177-40B1-A540-89631581AC54}"/>
    <cellStyle name="Normal 2 2 6 2 8 2 2" xfId="19011" xr:uid="{97C046AA-3D85-4DA4-95CF-1E9F0374DAB0}"/>
    <cellStyle name="Normal 2 2 6 2 8 3" xfId="11464" xr:uid="{8D1E2DDE-0A46-49A1-97D1-BE99B96D3287}"/>
    <cellStyle name="Normal 2 2 6 2 8 3 2" xfId="21844" xr:uid="{87787337-F20C-4DAF-989E-CB84C0CCECAE}"/>
    <cellStyle name="Normal 2 2 6 2 8 4" xfId="16178" xr:uid="{956371C3-846B-4513-8438-90381C4675D2}"/>
    <cellStyle name="Normal 2 2 6 2 9" xfId="5119" xr:uid="{5C4ACD4B-02FD-4CEF-A3D2-4E04A9F0C611}"/>
    <cellStyle name="Normal 2 2 6 2 9 2" xfId="14416" xr:uid="{260E15F7-FF2D-46CF-8555-BA8822FC5CA2}"/>
    <cellStyle name="Normal 2 2 6 3" xfId="767" xr:uid="{00000000-0005-0000-0000-0000AB040000}"/>
    <cellStyle name="Normal 2 2 6 3 10" xfId="9704" xr:uid="{4C3E2F2B-56B2-4CF4-96E5-96EDB012DA49}"/>
    <cellStyle name="Normal 2 2 6 3 10 2" xfId="20084" xr:uid="{DC4C3F4A-9533-46A9-9E89-A4555E3086C2}"/>
    <cellStyle name="Normal 2 2 6 3 11" xfId="24856" xr:uid="{E3A76C8A-2F6D-4F8D-A4BA-E63D7B8AF419}"/>
    <cellStyle name="Normal 2 2 6 3 12" xfId="12564" xr:uid="{5FB5965A-D485-4ACE-BAD5-9CC525EDB1AF}"/>
    <cellStyle name="Normal 2 2 6 3 2" xfId="2735" xr:uid="{00000000-0005-0000-0000-00002B040000}"/>
    <cellStyle name="Normal 2 2 6 3 2 2" xfId="3191" xr:uid="{00000000-0005-0000-0000-00002C040000}"/>
    <cellStyle name="Normal 2 2 6 3 2 2 2" xfId="6249" xr:uid="{E44AA17E-05A2-47E2-8395-59B103ABE9B4}"/>
    <cellStyle name="Normal 2 2 6 3 2 2 2 2" xfId="27123" xr:uid="{B3EE830C-9737-40AC-B774-DC1C1CDA2AC3}"/>
    <cellStyle name="Normal 2 2 6 3 2 2 2 3" xfId="15818" xr:uid="{D41E5751-026D-427F-8873-2102B9A0E2DA}"/>
    <cellStyle name="Normal 2 2 6 3 2 2 3" xfId="8271" xr:uid="{4F15D839-68EC-4AFB-B95C-AD303D81C0F5}"/>
    <cellStyle name="Normal 2 2 6 3 2 2 3 2" xfId="18651" xr:uid="{0941D33B-37E7-4FB9-8BDD-31ECB15DD03C}"/>
    <cellStyle name="Normal 2 2 6 3 2 2 4" xfId="11104" xr:uid="{AA5D45D2-B615-4681-905D-0A0D4F4CF0A8}"/>
    <cellStyle name="Normal 2 2 6 3 2 2 4 2" xfId="21484" xr:uid="{45B34AA5-B78E-46EE-8B6C-B69CC14AE78D}"/>
    <cellStyle name="Normal 2 2 6 3 2 2 5" xfId="25435" xr:uid="{DB672273-560C-4F9C-A8CF-761B73D83566}"/>
    <cellStyle name="Normal 2 2 6 3 2 2 6" xfId="13732" xr:uid="{668FCC29-7C50-4312-9C41-BAC872544AC2}"/>
    <cellStyle name="Normal 2 2 6 3 2 3" xfId="4299" xr:uid="{AF36B563-FC36-4796-A3A6-E1993E821E9D}"/>
    <cellStyle name="Normal 2 2 6 3 2 3 2" xfId="9071" xr:uid="{F175B39D-0BCE-4077-B094-FBA606ACB714}"/>
    <cellStyle name="Normal 2 2 6 3 2 3 2 2" xfId="29114" xr:uid="{7ACC3B77-734A-4C91-A47F-8FFBABF3EF56}"/>
    <cellStyle name="Normal 2 2 6 3 2 3 2 3" xfId="19451" xr:uid="{90426A97-6901-4D73-ACFF-6E4D5F24FB00}"/>
    <cellStyle name="Normal 2 2 6 3 2 3 3" xfId="11904" xr:uid="{E90BF0AC-1250-4A66-9DE8-9F93A865D89A}"/>
    <cellStyle name="Normal 2 2 6 3 2 3 3 2" xfId="22284" xr:uid="{A409580F-2461-4D9C-BA00-8347009ECB9C}"/>
    <cellStyle name="Normal 2 2 6 3 2 3 4" xfId="23063" xr:uid="{2FD785B8-6281-4902-A97E-AF9F93D90BCC}"/>
    <cellStyle name="Normal 2 2 6 3 2 3 5" xfId="16618" xr:uid="{94FE5296-6D54-4088-A379-492CD391DFE4}"/>
    <cellStyle name="Normal 2 2 6 3 2 4" xfId="5953" xr:uid="{E3D1BA83-E110-4070-ABE3-31455F14EECF}"/>
    <cellStyle name="Normal 2 2 6 3 2 4 2" xfId="28715" xr:uid="{C9B51B7B-BA27-4989-9B77-BFB6FEEC3C11}"/>
    <cellStyle name="Normal 2 2 6 3 2 4 3" xfId="15406" xr:uid="{20CA3628-CCFE-4F2B-844E-8FBCEFF9B7DA}"/>
    <cellStyle name="Normal 2 2 6 3 2 5" xfId="7859" xr:uid="{8509A51E-F4D4-43AF-8124-F96AF6EAB54C}"/>
    <cellStyle name="Normal 2 2 6 3 2 5 2" xfId="18239" xr:uid="{58C2555D-2438-45B4-9B64-3CAF8320319B}"/>
    <cellStyle name="Normal 2 2 6 3 2 6" xfId="10692" xr:uid="{35248E13-1CF6-4D3F-A839-08077937F647}"/>
    <cellStyle name="Normal 2 2 6 3 2 6 2" xfId="21072" xr:uid="{83687619-3CB4-42C4-9E00-6EC79E49A7BF}"/>
    <cellStyle name="Normal 2 2 6 3 2 7" xfId="23506" xr:uid="{A01A4261-FC07-442C-8D9A-17FE25863308}"/>
    <cellStyle name="Normal 2 2 6 3 2 8" xfId="13169" xr:uid="{1EA23027-6384-4BE0-89B2-3EA296E8FFEE}"/>
    <cellStyle name="Normal 2 2 6 3 3" xfId="3192" xr:uid="{00000000-0005-0000-0000-00002D040000}"/>
    <cellStyle name="Normal 2 2 6 3 3 2" xfId="4470" xr:uid="{D03A52A9-8653-4C41-9A28-8E98E897D3ED}"/>
    <cellStyle name="Normal 2 2 6 3 3 2 2" xfId="9242" xr:uid="{20DDAF65-0E91-4C94-8A20-E9554F74EB6D}"/>
    <cellStyle name="Normal 2 2 6 3 3 2 2 2" xfId="29231" xr:uid="{6827C6F6-99D4-44ED-A2FB-5741B27C3E44}"/>
    <cellStyle name="Normal 2 2 6 3 3 2 2 3" xfId="19622" xr:uid="{044F6EE3-1478-4DF6-805A-DAC9A06E9FD7}"/>
    <cellStyle name="Normal 2 2 6 3 3 2 3" xfId="12075" xr:uid="{A80DECAF-5FF3-4A7E-97AD-DD68C5184EDE}"/>
    <cellStyle name="Normal 2 2 6 3 3 2 3 2" xfId="22455" xr:uid="{77B21F3D-69BA-4E03-BFD5-FF6767435652}"/>
    <cellStyle name="Normal 2 2 6 3 3 2 4" xfId="24360" xr:uid="{A627CFC4-18FF-4911-B5E0-F00CA2CA1BE1}"/>
    <cellStyle name="Normal 2 2 6 3 3 2 5" xfId="16789" xr:uid="{41E8D57E-0898-4600-8B45-5C361F73F80D}"/>
    <cellStyle name="Normal 2 2 6 3 3 3" xfId="6250" xr:uid="{D55A819E-7CBD-4C4C-87F6-1352BB2121FA}"/>
    <cellStyle name="Normal 2 2 6 3 3 3 2" xfId="28260" xr:uid="{F55449F2-2BBE-4515-BF06-BC399FBB39BE}"/>
    <cellStyle name="Normal 2 2 6 3 3 3 3" xfId="15819" xr:uid="{AB63E61B-DF1C-41AA-A088-D991A00C7282}"/>
    <cellStyle name="Normal 2 2 6 3 3 4" xfId="8272" xr:uid="{490ABBA9-728D-4597-A084-EF8D5F57061F}"/>
    <cellStyle name="Normal 2 2 6 3 3 4 2" xfId="18652" xr:uid="{9D3C7B97-38B1-4510-9996-047A2F781E5F}"/>
    <cellStyle name="Normal 2 2 6 3 3 5" xfId="11105" xr:uid="{9E3BF72C-580C-4D36-B16E-04B1671D9201}"/>
    <cellStyle name="Normal 2 2 6 3 3 5 2" xfId="21485" xr:uid="{48F4F805-4B92-4084-AFEF-8783EEF5369B}"/>
    <cellStyle name="Normal 2 2 6 3 3 6" xfId="23802" xr:uid="{279D83EF-BFFF-4CA7-B6C2-FA5BB1B9598E}"/>
    <cellStyle name="Normal 2 2 6 3 3 7" xfId="13733" xr:uid="{E82538C7-D5CF-4C2C-B896-96B5B1D6732F}"/>
    <cellStyle name="Normal 2 2 6 3 4" xfId="3190" xr:uid="{00000000-0005-0000-0000-00002E040000}"/>
    <cellStyle name="Normal 2 2 6 3 4 2" xfId="6248" xr:uid="{AB61BC95-E1D2-4C7F-9E27-637375B52DE8}"/>
    <cellStyle name="Normal 2 2 6 3 4 2 2" xfId="28729" xr:uid="{37F78F17-D5CE-43E3-80C0-38223208C2D4}"/>
    <cellStyle name="Normal 2 2 6 3 4 2 3" xfId="15817" xr:uid="{D3DFF2FF-54D9-4183-BB09-9EE6CDDCB508}"/>
    <cellStyle name="Normal 2 2 6 3 4 3" xfId="8270" xr:uid="{21262C5E-45DD-408B-AAE8-F32E1D09324A}"/>
    <cellStyle name="Normal 2 2 6 3 4 3 2" xfId="18650" xr:uid="{67090179-1D90-4D36-BA32-A0967397BC40}"/>
    <cellStyle name="Normal 2 2 6 3 4 4" xfId="11103" xr:uid="{CA746757-EAF7-45AB-9E4D-50A54017AE93}"/>
    <cellStyle name="Normal 2 2 6 3 4 4 2" xfId="21483" xr:uid="{49E2FBDE-AD09-44C4-B9E9-07E28E6BC8FD}"/>
    <cellStyle name="Normal 2 2 6 3 4 5" xfId="24355" xr:uid="{16052B0A-7BE2-4385-8D41-C9A5844DC355}"/>
    <cellStyle name="Normal 2 2 6 3 4 6" xfId="13731" xr:uid="{7DB53946-566B-4CAD-BF90-3B847D9555DD}"/>
    <cellStyle name="Normal 2 2 6 3 5" xfId="2591" xr:uid="{00000000-0005-0000-0000-00002F040000}"/>
    <cellStyle name="Normal 2 2 6 3 5 2" xfId="5856" xr:uid="{C883B5AF-18F5-4388-ABB4-D72C87122743}"/>
    <cellStyle name="Normal 2 2 6 3 5 2 2" xfId="26935" xr:uid="{5A40FB34-956B-4526-BCE3-9614D21C9E93}"/>
    <cellStyle name="Normal 2 2 6 3 5 2 3" xfId="15263" xr:uid="{E94B3B5B-1644-4E26-928B-15FF78687728}"/>
    <cellStyle name="Normal 2 2 6 3 5 3" xfId="7716" xr:uid="{E1C381A5-BA63-4B96-8942-177F60E6A9C6}"/>
    <cellStyle name="Normal 2 2 6 3 5 3 2" xfId="18096" xr:uid="{ABCB03D5-EC80-40AD-B995-D7EDB6E2CA7F}"/>
    <cellStyle name="Normal 2 2 6 3 5 4" xfId="10549" xr:uid="{C5BB12D6-85EA-467C-A043-96B8CCF861A7}"/>
    <cellStyle name="Normal 2 2 6 3 5 4 2" xfId="20929" xr:uid="{F794C766-F5A4-4669-BF82-894589530290}"/>
    <cellStyle name="Normal 2 2 6 3 5 5" xfId="23620" xr:uid="{42A9F908-E0A3-4303-88B6-2D24B095DFFE}"/>
    <cellStyle name="Normal 2 2 6 3 5 6" xfId="12979" xr:uid="{2880477B-ED04-43B6-A0F4-A0DD907F21D8}"/>
    <cellStyle name="Normal 2 2 6 3 6" xfId="2330" xr:uid="{00000000-0005-0000-0000-00002A040000}"/>
    <cellStyle name="Normal 2 2 6 3 6 2" xfId="7457" xr:uid="{B959A3A8-48A6-4881-A410-74E64567F69E}"/>
    <cellStyle name="Normal 2 2 6 3 6 2 2" xfId="17837" xr:uid="{D409532D-8BBE-435F-BEBD-A89EDF2C4362}"/>
    <cellStyle name="Normal 2 2 6 3 6 3" xfId="10290" xr:uid="{B3C768DC-DF0A-4FF1-8D0F-D49D5A9E1F17}"/>
    <cellStyle name="Normal 2 2 6 3 6 3 2" xfId="20670" xr:uid="{20424838-F57D-4E3F-934D-E62956DB1E35}"/>
    <cellStyle name="Normal 2 2 6 3 6 4" xfId="23148" xr:uid="{6C7DB46A-CB8E-4767-A221-43C87A93B7DF}"/>
    <cellStyle name="Normal 2 2 6 3 6 5" xfId="15004" xr:uid="{58137D8A-5F2E-412F-A65D-DD4557451A70}"/>
    <cellStyle name="Normal 2 2 6 3 7" xfId="3845" xr:uid="{712F6ECE-2FCF-40FF-BC3A-B8E57455C658}"/>
    <cellStyle name="Normal 2 2 6 3 7 2" xfId="8678" xr:uid="{8801AC38-17ED-48C4-B15A-5EC496CB1189}"/>
    <cellStyle name="Normal 2 2 6 3 7 2 2" xfId="19058" xr:uid="{01EAAE53-7179-4F99-8C05-CDBA10542186}"/>
    <cellStyle name="Normal 2 2 6 3 7 3" xfId="11511" xr:uid="{B40DA53C-3E90-4116-9976-35490BC4F598}"/>
    <cellStyle name="Normal 2 2 6 3 7 3 2" xfId="21891" xr:uid="{2F776532-C363-4EA1-BE90-F85AFF70E5B9}"/>
    <cellStyle name="Normal 2 2 6 3 7 4" xfId="16225" xr:uid="{7D736926-DE92-4BAD-BB26-D0719308E154}"/>
    <cellStyle name="Normal 2 2 6 3 8" xfId="5121" xr:uid="{0D41CC50-3C09-47D8-9D04-FF0749EBE539}"/>
    <cellStyle name="Normal 2 2 6 3 8 2" xfId="14418" xr:uid="{4C44EB3C-92B7-4DF4-94B3-CBB25821F1A6}"/>
    <cellStyle name="Normal 2 2 6 3 9" xfId="6871" xr:uid="{67EEB3CB-5943-4F2C-A717-EB1EB3467721}"/>
    <cellStyle name="Normal 2 2 6 3 9 2" xfId="17251" xr:uid="{B3C0259A-3C51-4FD8-AD74-DF0716C38BAD}"/>
    <cellStyle name="Normal 2 2 6 4" xfId="768" xr:uid="{00000000-0005-0000-0000-0000AC040000}"/>
    <cellStyle name="Normal 2 2 6 4 2" xfId="3193" xr:uid="{00000000-0005-0000-0000-000031040000}"/>
    <cellStyle name="Normal 2 2 6 4 2 2" xfId="6251" xr:uid="{CB439588-1D5F-4005-8532-AF188C452CFA}"/>
    <cellStyle name="Normal 2 2 6 4 2 2 2" xfId="26732" xr:uid="{A61F4418-B64B-495C-8A31-614827CC5054}"/>
    <cellStyle name="Normal 2 2 6 4 2 2 3" xfId="15820" xr:uid="{B27AE241-0DD4-43AF-8FE3-F64AA791483B}"/>
    <cellStyle name="Normal 2 2 6 4 2 3" xfId="8273" xr:uid="{38EFA85C-082D-4ECE-A0AC-E6CBB8D45E4E}"/>
    <cellStyle name="Normal 2 2 6 4 2 3 2" xfId="18653" xr:uid="{17081F4A-10E4-4BEB-A3DD-8714A69DC71B}"/>
    <cellStyle name="Normal 2 2 6 4 2 4" xfId="11106" xr:uid="{AB647E7E-1D38-436E-B315-9751ECB1C453}"/>
    <cellStyle name="Normal 2 2 6 4 2 4 2" xfId="21486" xr:uid="{96F0541B-B4A5-4A30-AA34-B3D1F76A4527}"/>
    <cellStyle name="Normal 2 2 6 4 2 5" xfId="22998" xr:uid="{19A55A42-EF4F-4980-94B4-D4D545CBB56D}"/>
    <cellStyle name="Normal 2 2 6 4 2 6" xfId="13734" xr:uid="{D9031275-8D50-4DD1-9158-5A6601AD56D2}"/>
    <cellStyle name="Normal 2 2 6 4 3" xfId="2732" xr:uid="{00000000-0005-0000-0000-000032040000}"/>
    <cellStyle name="Normal 2 2 6 4 3 2" xfId="5950" xr:uid="{11B2852D-EDF7-4948-8623-C6242D2A565C}"/>
    <cellStyle name="Normal 2 2 6 4 3 2 2" xfId="28521" xr:uid="{B8A26FFE-FD78-420C-9DA2-1CE49CD93A72}"/>
    <cellStyle name="Normal 2 2 6 4 3 2 3" xfId="15403" xr:uid="{C30637F1-3D60-4C29-B383-B0542E07093A}"/>
    <cellStyle name="Normal 2 2 6 4 3 3" xfId="7856" xr:uid="{F1F9433B-0784-4153-9E12-4A4B4BF106CD}"/>
    <cellStyle name="Normal 2 2 6 4 3 3 2" xfId="18236" xr:uid="{4173CB35-3A2E-47F1-AA16-7B0E91E0B47E}"/>
    <cellStyle name="Normal 2 2 6 4 3 4" xfId="10689" xr:uid="{DCB347E5-4172-4DB5-B7FF-960D1BEC6F5A}"/>
    <cellStyle name="Normal 2 2 6 4 3 4 2" xfId="21069" xr:uid="{7D6A8905-8AC6-472E-93F1-89521DC82887}"/>
    <cellStyle name="Normal 2 2 6 4 3 5" xfId="25427" xr:uid="{A3D8D863-91FE-4A5A-B3FF-AEAB0AD23AC7}"/>
    <cellStyle name="Normal 2 2 6 4 3 6" xfId="13166" xr:uid="{8F0C0AEF-395A-44BD-A2DE-C4B39BBA0447}"/>
    <cellStyle name="Normal 2 2 6 4 4" xfId="4164" xr:uid="{0955D02B-ABE6-43BB-A2F0-E7BD877C50A1}"/>
    <cellStyle name="Normal 2 2 6 4 4 2" xfId="8936" xr:uid="{0F7D7877-6C21-48D3-9F5B-B4BC947A6719}"/>
    <cellStyle name="Normal 2 2 6 4 4 2 2" xfId="19316" xr:uid="{90F97ABE-9CA5-4539-94EF-79C5B2370B11}"/>
    <cellStyle name="Normal 2 2 6 4 4 3" xfId="11769" xr:uid="{C6512C9C-1DCE-4B4F-8549-4756852FD341}"/>
    <cellStyle name="Normal 2 2 6 4 4 3 2" xfId="22149" xr:uid="{25AFC8E6-F1E4-4611-B59B-A4D8AD2EC480}"/>
    <cellStyle name="Normal 2 2 6 4 4 4" xfId="24134" xr:uid="{A11D0DC3-5B44-4E74-BA89-53B7C535938D}"/>
    <cellStyle name="Normal 2 2 6 4 4 5" xfId="16483" xr:uid="{67E362AA-8D03-493D-957E-C45DFBA2D8E0}"/>
    <cellStyle name="Normal 2 2 6 4 5" xfId="5122" xr:uid="{F054F7C7-62F7-4116-B376-3EC374D865E7}"/>
    <cellStyle name="Normal 2 2 6 4 5 2" xfId="14419" xr:uid="{1B9BB4CB-0A06-49DF-ABF3-0EDFCF0F66D2}"/>
    <cellStyle name="Normal 2 2 6 4 6" xfId="6872" xr:uid="{9D58F73D-007B-4442-B32E-FCA7DC647B7E}"/>
    <cellStyle name="Normal 2 2 6 4 6 2" xfId="17252" xr:uid="{2C27107F-B77C-49B4-9A60-9E75B92D05E4}"/>
    <cellStyle name="Normal 2 2 6 4 7" xfId="9705" xr:uid="{118CD2BE-CE2D-4E3F-9EC0-A270E7B58A2D}"/>
    <cellStyle name="Normal 2 2 6 4 7 2" xfId="20085" xr:uid="{515A166A-0811-46E5-BD81-5274C64ACC04}"/>
    <cellStyle name="Normal 2 2 6 4 8" xfId="25107" xr:uid="{662F58D9-B0B3-404D-B0BA-5EF31AF847BF}"/>
    <cellStyle name="Normal 2 2 6 4 9" xfId="12722" xr:uid="{579D2275-C61E-415B-8BC5-51251ECF05D9}"/>
    <cellStyle name="Normal 2 2 6 5" xfId="3194" xr:uid="{00000000-0005-0000-0000-000033040000}"/>
    <cellStyle name="Normal 2 2 6 5 2" xfId="4471" xr:uid="{CBD07B7A-1544-404E-99B7-7AD42747BAF4}"/>
    <cellStyle name="Normal 2 2 6 5 2 2" xfId="9243" xr:uid="{CA8839B8-562D-4FEB-B1E5-229693210434}"/>
    <cellStyle name="Normal 2 2 6 5 2 2 2" xfId="29232" xr:uid="{7008ECDD-72A8-4384-9DE2-80A96C4C0FE1}"/>
    <cellStyle name="Normal 2 2 6 5 2 2 3" xfId="19623" xr:uid="{E250A443-58A5-4F1E-8887-54B5054E386F}"/>
    <cellStyle name="Normal 2 2 6 5 2 3" xfId="12076" xr:uid="{A7439361-3315-47F8-8836-473F23E19C0C}"/>
    <cellStyle name="Normal 2 2 6 5 2 3 2" xfId="22456" xr:uid="{8DA188E4-7D8C-4664-B87F-A2AC6C5358B8}"/>
    <cellStyle name="Normal 2 2 6 5 2 4" xfId="24070" xr:uid="{646BF25D-7858-4818-8FFB-C90EE6BB55BE}"/>
    <cellStyle name="Normal 2 2 6 5 2 5" xfId="16790" xr:uid="{85F5C205-8DAA-44DB-87A6-464B58944ED8}"/>
    <cellStyle name="Normal 2 2 6 5 3" xfId="6252" xr:uid="{895B147F-601B-4065-8645-5AD015666B32}"/>
    <cellStyle name="Normal 2 2 6 5 3 2" xfId="27914" xr:uid="{C45325C8-0CFF-4DC3-A87E-160F529C2D2B}"/>
    <cellStyle name="Normal 2 2 6 5 3 3" xfId="15821" xr:uid="{E7C8CA88-9C26-485E-B413-3C25F41487E1}"/>
    <cellStyle name="Normal 2 2 6 5 4" xfId="8274" xr:uid="{63A4AD72-30FC-40F9-8FB2-C73EA5B302F1}"/>
    <cellStyle name="Normal 2 2 6 5 4 2" xfId="18654" xr:uid="{66B849C8-0EA1-4C13-AF88-FE7571754B86}"/>
    <cellStyle name="Normal 2 2 6 5 5" xfId="11107" xr:uid="{5986780A-0B59-44F2-8E1F-FECB6B30AD7D}"/>
    <cellStyle name="Normal 2 2 6 5 5 2" xfId="21487" xr:uid="{BA19BD5D-A4AF-42F1-B58E-71A2A59A390D}"/>
    <cellStyle name="Normal 2 2 6 5 6" xfId="25224" xr:uid="{CEC419A5-CA5A-4DBB-B3B6-4C8BF7921A29}"/>
    <cellStyle name="Normal 2 2 6 5 7" xfId="13735" xr:uid="{8447C74C-ED2E-40B8-B030-E3008A10DE80}"/>
    <cellStyle name="Normal 2 2 6 6" xfId="2905" xr:uid="{00000000-0005-0000-0000-000034040000}"/>
    <cellStyle name="Normal 2 2 6 6 2" xfId="6091" xr:uid="{16CCF25F-2BD3-4135-9602-703A2BCB5A3C}"/>
    <cellStyle name="Normal 2 2 6 6 2 2" xfId="27703" xr:uid="{E10C9B2E-92BC-4CE7-926E-3F7744D6AE09}"/>
    <cellStyle name="Normal 2 2 6 6 2 3" xfId="15569" xr:uid="{426A488E-3F6F-4736-ABBE-26DF1BF33C1D}"/>
    <cellStyle name="Normal 2 2 6 6 3" xfId="8022" xr:uid="{78D8298A-1551-45ED-92A9-35D92C38DAC8}"/>
    <cellStyle name="Normal 2 2 6 6 3 2" xfId="18402" xr:uid="{11096A96-338B-4C74-9D7E-5DD9EEFC39F6}"/>
    <cellStyle name="Normal 2 2 6 6 4" xfId="10855" xr:uid="{A64EA007-8B20-4236-A1E1-D7AD8F2E0402}"/>
    <cellStyle name="Normal 2 2 6 6 4 2" xfId="21235" xr:uid="{A568604F-B051-45B5-B2AE-184A6C336636}"/>
    <cellStyle name="Normal 2 2 6 6 5" xfId="25279" xr:uid="{43C848A0-2D16-45DD-9695-5240E1C8FA92}"/>
    <cellStyle name="Normal 2 2 6 6 6" xfId="13420" xr:uid="{A33F8664-23C1-415E-AF6C-867349EDD5A7}"/>
    <cellStyle name="Normal 2 2 6 7" xfId="2488" xr:uid="{00000000-0005-0000-0000-000035040000}"/>
    <cellStyle name="Normal 2 2 6 7 2" xfId="5773" xr:uid="{76CAC20D-489B-4B80-AD7E-D302E50A89E9}"/>
    <cellStyle name="Normal 2 2 6 7 2 2" xfId="26468" xr:uid="{D18F8181-AC54-42E7-B8E9-3673541D1599}"/>
    <cellStyle name="Normal 2 2 6 7 2 3" xfId="15160" xr:uid="{30643F72-C803-4F70-A78F-77234816673F}"/>
    <cellStyle name="Normal 2 2 6 7 3" xfId="7613" xr:uid="{EB608BF7-F122-4D70-BD0D-248C68CE590A}"/>
    <cellStyle name="Normal 2 2 6 7 3 2" xfId="17993" xr:uid="{9BC7CEE9-1CB8-4489-93FE-B18739EEFB5A}"/>
    <cellStyle name="Normal 2 2 6 7 4" xfId="10446" xr:uid="{F98CD522-C74E-4D1E-9884-1EBA819EBE4C}"/>
    <cellStyle name="Normal 2 2 6 7 4 2" xfId="20826" xr:uid="{1B78D906-7CBB-4C14-8AEE-11AAE0094DCB}"/>
    <cellStyle name="Normal 2 2 6 7 5" xfId="24943" xr:uid="{0BDC3D58-65E9-4A77-A03E-5C78897CB417}"/>
    <cellStyle name="Normal 2 2 6 7 6" xfId="12876" xr:uid="{A61C95EC-B2BA-4019-8830-F0EC110B5898}"/>
    <cellStyle name="Normal 2 2 6 8" xfId="2182" xr:uid="{00000000-0005-0000-0000-00001E040000}"/>
    <cellStyle name="Normal 2 2 6 8 2" xfId="7309" xr:uid="{6FC49187-1498-4000-B451-C8FB2596069A}"/>
    <cellStyle name="Normal 2 2 6 8 2 2" xfId="17689" xr:uid="{79745B4B-26CA-4AC5-AE20-0B3FB148D3D9}"/>
    <cellStyle name="Normal 2 2 6 8 3" xfId="10142" xr:uid="{C57AE7CB-C828-480E-A737-28460381E7A3}"/>
    <cellStyle name="Normal 2 2 6 8 3 2" xfId="20522" xr:uid="{E3DE3E9B-B822-4C8F-AD42-AEE9F96751B6}"/>
    <cellStyle name="Normal 2 2 6 8 4" xfId="24880" xr:uid="{C13717B4-B448-4C7A-AC0F-334D441DECE9}"/>
    <cellStyle name="Normal 2 2 6 8 5" xfId="14856" xr:uid="{B26FC4E8-4B10-4E19-A201-225B353C08D8}"/>
    <cellStyle name="Normal 2 2 6 9" xfId="3937" xr:uid="{4F71D83A-959D-475E-9D25-7D6B36415D87}"/>
    <cellStyle name="Normal 2 2 6 9 2" xfId="8769" xr:uid="{96233D5B-8A89-48F1-9A57-B9BB5A2D37F7}"/>
    <cellStyle name="Normal 2 2 6 9 2 2" xfId="19149" xr:uid="{C662E802-04A3-4507-9901-49DF157CDFAB}"/>
    <cellStyle name="Normal 2 2 6 9 3" xfId="11602" xr:uid="{37797751-1450-47F8-9DE4-6D15B02F0F8C}"/>
    <cellStyle name="Normal 2 2 6 9 3 2" xfId="21982" xr:uid="{A0CF1402-2736-4402-90DC-2EE07E6D4E1F}"/>
    <cellStyle name="Normal 2 2 6 9 4" xfId="16316" xr:uid="{D1D6B85D-8E12-4532-AB67-4098610E0955}"/>
    <cellStyle name="Normal 2 2 7" xfId="769" xr:uid="{00000000-0005-0000-0000-0000AD040000}"/>
    <cellStyle name="Normal 2 2 7 10" xfId="5123" xr:uid="{97DE0FAD-FD61-428C-B324-15458C6A0DE0}"/>
    <cellStyle name="Normal 2 2 7 10 2" xfId="14420" xr:uid="{5A552025-BB63-47C8-A716-65B49A2A9EB2}"/>
    <cellStyle name="Normal 2 2 7 11" xfId="6873" xr:uid="{1FBE5570-8EB9-4FA4-89F2-2A70BF75E24B}"/>
    <cellStyle name="Normal 2 2 7 11 2" xfId="17253" xr:uid="{8F1A0535-AADD-49A8-B8C7-E616384AD067}"/>
    <cellStyle name="Normal 2 2 7 12" xfId="9706" xr:uid="{32224345-8BBA-42D9-98F0-CE4FAE9AE546}"/>
    <cellStyle name="Normal 2 2 7 12 2" xfId="20086" xr:uid="{CD5807E9-F3EE-4241-B288-F1ADAD15438D}"/>
    <cellStyle name="Normal 2 2 7 13" xfId="23476" xr:uid="{415A84E5-3159-4712-8FD1-985112B084C9}"/>
    <cellStyle name="Normal 2 2 7 14" xfId="12448" xr:uid="{CCF5E73B-3EDA-4F88-A85B-AD221AFC95BD}"/>
    <cellStyle name="Normal 2 2 7 2" xfId="770" xr:uid="{00000000-0005-0000-0000-0000AE040000}"/>
    <cellStyle name="Normal 2 2 7 2 10" xfId="9707" xr:uid="{96B7BC76-69A9-41C1-9071-99C298FB4CFB}"/>
    <cellStyle name="Normal 2 2 7 2 10 2" xfId="20087" xr:uid="{94D6349B-CF0D-4CAC-BB03-F05F5F955F3C}"/>
    <cellStyle name="Normal 2 2 7 2 11" xfId="25197" xr:uid="{970A88EF-7558-4745-BAD3-842CFCCC2476}"/>
    <cellStyle name="Normal 2 2 7 2 12" xfId="12565" xr:uid="{14A48E73-5367-44A3-A89F-BE47A5943D14}"/>
    <cellStyle name="Normal 2 2 7 2 2" xfId="771" xr:uid="{00000000-0005-0000-0000-0000AF040000}"/>
    <cellStyle name="Normal 2 2 7 2 2 2" xfId="3196" xr:uid="{00000000-0005-0000-0000-000039040000}"/>
    <cellStyle name="Normal 2 2 7 2 2 2 2" xfId="6254" xr:uid="{8B11C461-0E06-45AB-BD28-47EC1E74397F}"/>
    <cellStyle name="Normal 2 2 7 2 2 2 2 2" xfId="27098" xr:uid="{A2CCF78B-5DD6-47A7-84C9-8DA8F0D392B4}"/>
    <cellStyle name="Normal 2 2 7 2 2 2 2 3" xfId="27665" xr:uid="{5120584F-076D-44DE-8E1C-FDF7DE413BEE}"/>
    <cellStyle name="Normal 2 2 7 2 2 2 2 4" xfId="15823" xr:uid="{88F2C3A9-307E-4134-B781-3A57D5248454}"/>
    <cellStyle name="Normal 2 2 7 2 2 2 3" xfId="8276" xr:uid="{7BE2E20E-F2EA-49A6-9ACC-66CECE11E9F9}"/>
    <cellStyle name="Normal 2 2 7 2 2 2 3 2" xfId="28882" xr:uid="{AEB2A2CB-9366-4AE7-8001-9CBCA404FA79}"/>
    <cellStyle name="Normal 2 2 7 2 2 2 3 3" xfId="18656" xr:uid="{73B34709-9830-4084-8A92-2F31CF5ACFC4}"/>
    <cellStyle name="Normal 2 2 7 2 2 2 4" xfId="11109" xr:uid="{F4CFA1E6-1823-474B-A36C-6B8D54B5BE31}"/>
    <cellStyle name="Normal 2 2 7 2 2 2 4 2" xfId="21489" xr:uid="{6046E642-0BB4-46AC-9CF4-488A10B6EBD7}"/>
    <cellStyle name="Normal 2 2 7 2 2 2 5" xfId="25173" xr:uid="{0C8150D5-790E-4464-88E3-73F177477228}"/>
    <cellStyle name="Normal 2 2 7 2 2 2 6" xfId="13737" xr:uid="{02216744-12C4-4C6E-A890-ECFFA8F6FE2F}"/>
    <cellStyle name="Normal 2 2 7 2 2 3" xfId="4301" xr:uid="{5BF1446D-7DBC-47F3-8E2E-3AC34E7B0E6E}"/>
    <cellStyle name="Normal 2 2 7 2 2 3 2" xfId="9073" xr:uid="{BE47E111-92AC-4C0C-8529-002B140A12F9}"/>
    <cellStyle name="Normal 2 2 7 2 2 3 2 2" xfId="29116" xr:uid="{43363453-912B-4F5E-851B-25802F134C88}"/>
    <cellStyle name="Normal 2 2 7 2 2 3 2 3" xfId="19453" xr:uid="{4D73426A-9A7A-4ACD-A503-0CEFB7FC3F61}"/>
    <cellStyle name="Normal 2 2 7 2 2 3 3" xfId="11906" xr:uid="{88B15B4F-B2C9-43F1-8EF5-28198862C72D}"/>
    <cellStyle name="Normal 2 2 7 2 2 3 3 2" xfId="22286" xr:uid="{6755AD40-28FB-4E7D-A94B-D136868330C0}"/>
    <cellStyle name="Normal 2 2 7 2 2 3 4" xfId="23312" xr:uid="{0D01CC80-EC2F-491C-8FB7-AC748902593B}"/>
    <cellStyle name="Normal 2 2 7 2 2 3 5" xfId="16620" xr:uid="{DAF76C26-DB75-47F7-8EBA-DF102241B8B3}"/>
    <cellStyle name="Normal 2 2 7 2 2 4" xfId="5125" xr:uid="{829582CC-8806-4FA3-A337-62363E98AB53}"/>
    <cellStyle name="Normal 2 2 7 2 2 4 2" xfId="25883" xr:uid="{A51740CD-DFD9-4F10-A675-5809E6580706}"/>
    <cellStyle name="Normal 2 2 7 2 2 4 3" xfId="14422" xr:uid="{22F09D4F-0AD0-4215-AD98-2BDBBCF02486}"/>
    <cellStyle name="Normal 2 2 7 2 2 5" xfId="6875" xr:uid="{29BDE919-A952-42B7-9861-EEE06193E0CD}"/>
    <cellStyle name="Normal 2 2 7 2 2 5 2" xfId="17255" xr:uid="{C8AB0511-E919-4E33-9EA1-139219EE4BA6}"/>
    <cellStyle name="Normal 2 2 7 2 2 6" xfId="9708" xr:uid="{4EA87817-1414-45A3-8CDC-010B98153A50}"/>
    <cellStyle name="Normal 2 2 7 2 2 6 2" xfId="20088" xr:uid="{140904F0-1D4A-4C7A-94F9-38C6FCBB4593}"/>
    <cellStyle name="Normal 2 2 7 2 2 7" xfId="23576" xr:uid="{75409168-E756-4EE6-92D5-D0BEB4372556}"/>
    <cellStyle name="Normal 2 2 7 2 2 8" xfId="13171" xr:uid="{8E17ED30-0202-45B1-AF39-E9ECBB348417}"/>
    <cellStyle name="Normal 2 2 7 2 3" xfId="3197" xr:uid="{00000000-0005-0000-0000-00003A040000}"/>
    <cellStyle name="Normal 2 2 7 2 3 2" xfId="4472" xr:uid="{D6D0C682-5969-4AC5-9296-5C9390C11DD7}"/>
    <cellStyle name="Normal 2 2 7 2 3 2 2" xfId="9244" xr:uid="{ED2845A6-9518-4346-9FDE-1F0839C90A5B}"/>
    <cellStyle name="Normal 2 2 7 2 3 2 2 2" xfId="29233" xr:uid="{045A4F97-EE36-42E4-AD16-B94B3C10FB01}"/>
    <cellStyle name="Normal 2 2 7 2 3 2 2 3" xfId="19624" xr:uid="{9FB96ECF-A0C4-42EF-8303-C99252B9D45F}"/>
    <cellStyle name="Normal 2 2 7 2 3 2 3" xfId="12077" xr:uid="{B344CE8A-4F10-4CDB-9883-E7ED2F225F10}"/>
    <cellStyle name="Normal 2 2 7 2 3 2 3 2" xfId="22457" xr:uid="{D9F654AB-3DCA-43C0-9942-68D3398C16E2}"/>
    <cellStyle name="Normal 2 2 7 2 3 2 4" xfId="23184" xr:uid="{9277E302-6DAB-407E-9C1D-A5D8F6A355C6}"/>
    <cellStyle name="Normal 2 2 7 2 3 2 5" xfId="16791" xr:uid="{71B25BC7-30E6-4D6A-AB81-F9522879AEA8}"/>
    <cellStyle name="Normal 2 2 7 2 3 3" xfId="6255" xr:uid="{CEDDA396-6283-461F-9196-E75D991EE142}"/>
    <cellStyle name="Normal 2 2 7 2 3 3 2" xfId="27033" xr:uid="{FAF40926-BBA6-40FB-A9B8-993BF85ACA13}"/>
    <cellStyle name="Normal 2 2 7 2 3 3 3" xfId="15824" xr:uid="{41B0010C-AC18-47D0-ABF8-05B957E3ACEA}"/>
    <cellStyle name="Normal 2 2 7 2 3 4" xfId="8277" xr:uid="{3A501C5D-B598-42DE-AA9C-2D0B185BE320}"/>
    <cellStyle name="Normal 2 2 7 2 3 4 2" xfId="18657" xr:uid="{98154A14-30EF-498C-BD93-16585A4C902D}"/>
    <cellStyle name="Normal 2 2 7 2 3 5" xfId="11110" xr:uid="{07C0A32C-C2F8-4C30-BA14-3A2352C2684B}"/>
    <cellStyle name="Normal 2 2 7 2 3 5 2" xfId="21490" xr:uid="{27D4A009-BAD5-4E39-9EB7-8502857800DF}"/>
    <cellStyle name="Normal 2 2 7 2 3 6" xfId="25136" xr:uid="{6DFABF6E-1F9B-4625-BDF1-C54002BA0E42}"/>
    <cellStyle name="Normal 2 2 7 2 3 7" xfId="13738" xr:uid="{44024F55-7CC3-4707-8DC4-26D77126A2E3}"/>
    <cellStyle name="Normal 2 2 7 2 4" xfId="3195" xr:uid="{00000000-0005-0000-0000-00003B040000}"/>
    <cellStyle name="Normal 2 2 7 2 4 2" xfId="6253" xr:uid="{A7A1CCB2-E3D0-43EA-8197-34A7C09AEF96}"/>
    <cellStyle name="Normal 2 2 7 2 4 2 2" xfId="27156" xr:uid="{3E2FF402-3FDD-43AC-8ABB-5AAA0B77C2CE}"/>
    <cellStyle name="Normal 2 2 7 2 4 2 3" xfId="15822" xr:uid="{1D5EA078-8212-4425-8345-5A255D9DAD6E}"/>
    <cellStyle name="Normal 2 2 7 2 4 3" xfId="8275" xr:uid="{C74BA113-14D3-4CB9-B20E-273E7EB6FD33}"/>
    <cellStyle name="Normal 2 2 7 2 4 3 2" xfId="18655" xr:uid="{E6C0D189-9183-442D-9D68-7E282810D9F1}"/>
    <cellStyle name="Normal 2 2 7 2 4 4" xfId="11108" xr:uid="{BA254123-1B17-4C76-85E0-9AB7220FD05C}"/>
    <cellStyle name="Normal 2 2 7 2 4 4 2" xfId="21488" xr:uid="{D47D7829-4F01-405F-9CD6-6DE623E2F170}"/>
    <cellStyle name="Normal 2 2 7 2 4 5" xfId="23442" xr:uid="{CF19129B-7CF2-4FAA-8889-965D44A5F84E}"/>
    <cellStyle name="Normal 2 2 7 2 4 6" xfId="13736" xr:uid="{A2FEC267-718D-44B3-A1DD-EB431AD8109B}"/>
    <cellStyle name="Normal 2 2 7 2 5" xfId="2522" xr:uid="{00000000-0005-0000-0000-00003C040000}"/>
    <cellStyle name="Normal 2 2 7 2 5 2" xfId="5799" xr:uid="{23A0BEF1-34F6-404A-814A-EEB3AB3D6CC9}"/>
    <cellStyle name="Normal 2 2 7 2 5 2 2" xfId="28746" xr:uid="{383549BB-5F0D-44D9-A695-FB8092A97676}"/>
    <cellStyle name="Normal 2 2 7 2 5 2 3" xfId="15194" xr:uid="{C9121AAE-BCE2-4E47-A76D-C5EFDF2C471C}"/>
    <cellStyle name="Normal 2 2 7 2 5 3" xfId="7647" xr:uid="{ADEA8325-5E94-48BA-B7EE-99860C3CA05E}"/>
    <cellStyle name="Normal 2 2 7 2 5 3 2" xfId="18027" xr:uid="{97FAF7B9-8F45-4792-B0F2-58B344511F34}"/>
    <cellStyle name="Normal 2 2 7 2 5 4" xfId="10480" xr:uid="{B1F3EEF4-88D2-4FD9-BBC4-8072DF524313}"/>
    <cellStyle name="Normal 2 2 7 2 5 4 2" xfId="20860" xr:uid="{F439DE09-43CA-43ED-A509-79F09AF9D346}"/>
    <cellStyle name="Normal 2 2 7 2 5 5" xfId="24866" xr:uid="{DFC9CDCE-CD34-4F68-AC8B-3E978F5E142E}"/>
    <cellStyle name="Normal 2 2 7 2 5 6" xfId="12910" xr:uid="{F0FAC557-219A-4CC5-87C5-59F8BD421481}"/>
    <cellStyle name="Normal 2 2 7 2 6" xfId="2331" xr:uid="{00000000-0005-0000-0000-000037040000}"/>
    <cellStyle name="Normal 2 2 7 2 6 2" xfId="7458" xr:uid="{AA518F21-B686-48E8-B898-EC04D5D2B410}"/>
    <cellStyle name="Normal 2 2 7 2 6 2 2" xfId="17838" xr:uid="{4F3935D6-4461-4126-B862-3FF94E3FD125}"/>
    <cellStyle name="Normal 2 2 7 2 6 3" xfId="10291" xr:uid="{11BC9346-AD29-4F36-90D3-7C872D157AFB}"/>
    <cellStyle name="Normal 2 2 7 2 6 3 2" xfId="20671" xr:uid="{9B00FE18-2CDF-413E-A2B7-1C59FA4D06DA}"/>
    <cellStyle name="Normal 2 2 7 2 6 4" xfId="23210" xr:uid="{A3C83875-F8A8-4E4D-9003-627B13C89284}"/>
    <cellStyle name="Normal 2 2 7 2 6 5" xfId="15005" xr:uid="{CA5708F2-7C54-4703-8E71-37C3A0A7BB5E}"/>
    <cellStyle name="Normal 2 2 7 2 7" xfId="3846" xr:uid="{D771F0E0-C0AC-4977-97D7-6CCA4D9AA339}"/>
    <cellStyle name="Normal 2 2 7 2 7 2" xfId="8679" xr:uid="{0C570D39-C3EB-435E-96B0-04A4C5B12501}"/>
    <cellStyle name="Normal 2 2 7 2 7 2 2" xfId="19059" xr:uid="{48824E7D-FEE0-4B8B-AE88-C8DEE2217EA4}"/>
    <cellStyle name="Normal 2 2 7 2 7 3" xfId="11512" xr:uid="{1299A268-0595-4B2F-A6DE-39BA0E2E8536}"/>
    <cellStyle name="Normal 2 2 7 2 7 3 2" xfId="21892" xr:uid="{887E6F02-517A-43A6-8954-2FC1E9DA644D}"/>
    <cellStyle name="Normal 2 2 7 2 7 4" xfId="16226" xr:uid="{94FED017-C12D-47E2-A831-420BF6B109B2}"/>
    <cellStyle name="Normal 2 2 7 2 8" xfId="5124" xr:uid="{ADAE79B2-4B97-4577-89B0-127316D79130}"/>
    <cellStyle name="Normal 2 2 7 2 8 2" xfId="14421" xr:uid="{CE00637D-9DCD-4172-9738-12F69E7ACD9A}"/>
    <cellStyle name="Normal 2 2 7 2 9" xfId="6874" xr:uid="{4FACCF4B-8810-4D34-B90E-8A139B2A6C5C}"/>
    <cellStyle name="Normal 2 2 7 2 9 2" xfId="17254" xr:uid="{FD74E31E-4DE3-469F-9005-4292C928A904}"/>
    <cellStyle name="Normal 2 2 7 3" xfId="772" xr:uid="{00000000-0005-0000-0000-0000B0040000}"/>
    <cellStyle name="Normal 2 2 7 3 10" xfId="23007" xr:uid="{F17254B3-5808-4371-AB5E-AFEDFD4B5483}"/>
    <cellStyle name="Normal 2 2 7 3 11" xfId="12723" xr:uid="{178C3338-824D-4C4A-8A4E-D25A680F0A44}"/>
    <cellStyle name="Normal 2 2 7 3 2" xfId="2736" xr:uid="{00000000-0005-0000-0000-00003E040000}"/>
    <cellStyle name="Normal 2 2 7 3 2 2" xfId="3199" xr:uid="{00000000-0005-0000-0000-00003F040000}"/>
    <cellStyle name="Normal 2 2 7 3 2 2 2" xfId="6257" xr:uid="{1A212D7B-5846-4C44-AAAC-EBFBC95895B4}"/>
    <cellStyle name="Normal 2 2 7 3 2 2 2 2" xfId="27549" xr:uid="{F3E218AA-116F-45C5-86B0-CAD0C1827EF6}"/>
    <cellStyle name="Normal 2 2 7 3 2 2 2 3" xfId="15826" xr:uid="{3C4B6901-F247-4586-BE1B-C5C9D4C80ACA}"/>
    <cellStyle name="Normal 2 2 7 3 2 2 3" xfId="8279" xr:uid="{CA3C5097-3312-4E1C-A313-E9DC851AE2C4}"/>
    <cellStyle name="Normal 2 2 7 3 2 2 3 2" xfId="18659" xr:uid="{4F701770-DC31-413F-9135-9FE178093DCF}"/>
    <cellStyle name="Normal 2 2 7 3 2 2 4" xfId="11112" xr:uid="{789F14F5-2087-4FE2-9F62-717D858521BC}"/>
    <cellStyle name="Normal 2 2 7 3 2 2 4 2" xfId="21492" xr:uid="{4904FFD4-0B5B-499F-A0DA-8C684E0A2E6D}"/>
    <cellStyle name="Normal 2 2 7 3 2 2 5" xfId="24139" xr:uid="{0E5E244E-A51D-4D1E-8426-6A6B11BCF3E7}"/>
    <cellStyle name="Normal 2 2 7 3 2 2 6" xfId="13740" xr:uid="{E87C28D9-8A87-48F5-93CB-BCB19802B7CE}"/>
    <cellStyle name="Normal 2 2 7 3 2 3" xfId="4302" xr:uid="{EAF366F8-D447-4075-81DF-515D051DD7C2}"/>
    <cellStyle name="Normal 2 2 7 3 2 3 2" xfId="9074" xr:uid="{556CF877-2043-4BA3-B28F-234F15C1AEEA}"/>
    <cellStyle name="Normal 2 2 7 3 2 3 2 2" xfId="29117" xr:uid="{021A0685-800E-4150-8DAD-FE739C4E024A}"/>
    <cellStyle name="Normal 2 2 7 3 2 3 2 3" xfId="19454" xr:uid="{DD452560-2B8B-49DC-826C-6448540E28C2}"/>
    <cellStyle name="Normal 2 2 7 3 2 3 3" xfId="11907" xr:uid="{E7745375-D0FA-4318-B53C-3CDB4467A48B}"/>
    <cellStyle name="Normal 2 2 7 3 2 3 3 2" xfId="22287" xr:uid="{9EA5C9C2-28B6-4309-AF57-177710D515A7}"/>
    <cellStyle name="Normal 2 2 7 3 2 3 4" xfId="23550" xr:uid="{6897237D-6A89-4CCD-9989-063E5488F7C7}"/>
    <cellStyle name="Normal 2 2 7 3 2 3 5" xfId="16621" xr:uid="{A0E2F83C-CEF0-46C9-B482-21FDD2B95E65}"/>
    <cellStyle name="Normal 2 2 7 3 2 4" xfId="5954" xr:uid="{DE040285-1C97-4EC5-981F-0884DD59A246}"/>
    <cellStyle name="Normal 2 2 7 3 2 4 2" xfId="27343" xr:uid="{C304F024-8373-44EF-8702-1365F2D427CD}"/>
    <cellStyle name="Normal 2 2 7 3 2 4 3" xfId="15407" xr:uid="{83F001C6-1E3E-4BEF-A578-6A98F78A5346}"/>
    <cellStyle name="Normal 2 2 7 3 2 5" xfId="7860" xr:uid="{2339EDD1-F2C1-42F8-A2DB-FAD34473DCFC}"/>
    <cellStyle name="Normal 2 2 7 3 2 5 2" xfId="18240" xr:uid="{C8AD0386-3040-46F1-B645-6655476B4E1C}"/>
    <cellStyle name="Normal 2 2 7 3 2 6" xfId="10693" xr:uid="{4E2A75C5-D6E1-4366-B646-1EA5470A1E7B}"/>
    <cellStyle name="Normal 2 2 7 3 2 6 2" xfId="21073" xr:uid="{9B0F25AF-5BD6-4B90-A454-D00D5EA39529}"/>
    <cellStyle name="Normal 2 2 7 3 2 7" xfId="25134" xr:uid="{E830B5F4-CEBC-4DFD-B7C5-8C2032ABC27D}"/>
    <cellStyle name="Normal 2 2 7 3 2 8" xfId="13172" xr:uid="{DAF114F1-DD70-4554-94B8-AEA3F3E71683}"/>
    <cellStyle name="Normal 2 2 7 3 3" xfId="3200" xr:uid="{00000000-0005-0000-0000-000040040000}"/>
    <cellStyle name="Normal 2 2 7 3 3 2" xfId="4473" xr:uid="{0428E46A-93CA-416A-8A3D-64F2AF294697}"/>
    <cellStyle name="Normal 2 2 7 3 3 2 2" xfId="9245" xr:uid="{7F6CBD5B-9D8F-4693-97C1-702733C70EEF}"/>
    <cellStyle name="Normal 2 2 7 3 3 2 2 2" xfId="29234" xr:uid="{4E15FF19-501D-4EF1-9C91-2E64E0E8506B}"/>
    <cellStyle name="Normal 2 2 7 3 3 2 2 3" xfId="19625" xr:uid="{73AA55D1-3CF8-4142-979A-740880D272DD}"/>
    <cellStyle name="Normal 2 2 7 3 3 2 3" xfId="12078" xr:uid="{DE2C7111-8310-472C-9C0D-BDF10E297E82}"/>
    <cellStyle name="Normal 2 2 7 3 3 2 3 2" xfId="22458" xr:uid="{27BD705E-F3E4-4F7C-996B-87B1BC251D6C}"/>
    <cellStyle name="Normal 2 2 7 3 3 2 4" xfId="24393" xr:uid="{58A0A0B9-BE64-483A-ABB4-854BC81CB446}"/>
    <cellStyle name="Normal 2 2 7 3 3 2 5" xfId="16792" xr:uid="{6C66086D-972D-42D1-8497-F58F520E4481}"/>
    <cellStyle name="Normal 2 2 7 3 3 3" xfId="6258" xr:uid="{D940372C-13D7-4285-9FDE-3B180C7240FF}"/>
    <cellStyle name="Normal 2 2 7 3 3 3 2" xfId="27757" xr:uid="{F28E13FF-310C-4A09-BC29-966A74D8A060}"/>
    <cellStyle name="Normal 2 2 7 3 3 3 3" xfId="15827" xr:uid="{7BCAF169-B59A-4731-AF05-776ADEDAE458}"/>
    <cellStyle name="Normal 2 2 7 3 3 4" xfId="8280" xr:uid="{C8B16FE4-4C61-4173-A19E-762D85240BFE}"/>
    <cellStyle name="Normal 2 2 7 3 3 4 2" xfId="18660" xr:uid="{347D0C6D-BD62-4E72-8C14-0AA1A467D708}"/>
    <cellStyle name="Normal 2 2 7 3 3 5" xfId="11113" xr:uid="{73022351-1C26-4939-AA38-289D77681BAD}"/>
    <cellStyle name="Normal 2 2 7 3 3 5 2" xfId="21493" xr:uid="{D838C5FD-0A15-4C6C-A084-82D9C901D236}"/>
    <cellStyle name="Normal 2 2 7 3 3 6" xfId="24001" xr:uid="{EDDCD52D-04C6-4A80-B038-2BF9C8415521}"/>
    <cellStyle name="Normal 2 2 7 3 3 7" xfId="13741" xr:uid="{7A73E4B7-EDEC-4FA0-8605-ADE538C01436}"/>
    <cellStyle name="Normal 2 2 7 3 4" xfId="3198" xr:uid="{00000000-0005-0000-0000-000041040000}"/>
    <cellStyle name="Normal 2 2 7 3 4 2" xfId="6256" xr:uid="{CF60C740-2E1F-4CDA-B4B6-BF87756449D4}"/>
    <cellStyle name="Normal 2 2 7 3 4 2 2" xfId="28393" xr:uid="{E8B8B9A0-5C61-4A77-A708-D915FD490F3B}"/>
    <cellStyle name="Normal 2 2 7 3 4 2 3" xfId="15825" xr:uid="{B7F0F487-D0C5-4F3F-9339-B478FB99E6AA}"/>
    <cellStyle name="Normal 2 2 7 3 4 3" xfId="8278" xr:uid="{2DBAAF1C-E8D3-4763-8820-5C030BFC6E29}"/>
    <cellStyle name="Normal 2 2 7 3 4 3 2" xfId="18658" xr:uid="{5AA4104F-80A6-4B4D-9D4D-25CF2EBC49CE}"/>
    <cellStyle name="Normal 2 2 7 3 4 4" xfId="11111" xr:uid="{A5022C64-CA5C-4256-9DC0-7C397D74943E}"/>
    <cellStyle name="Normal 2 2 7 3 4 4 2" xfId="21491" xr:uid="{6BDC3A3E-EE03-40BD-B52A-5ADF54128D69}"/>
    <cellStyle name="Normal 2 2 7 3 4 5" xfId="25563" xr:uid="{7B928967-CE5D-43D5-BB33-45736C0C119C}"/>
    <cellStyle name="Normal 2 2 7 3 4 6" xfId="13739" xr:uid="{394C640A-B5E2-4187-B7A5-490C8C461537}"/>
    <cellStyle name="Normal 2 2 7 3 5" xfId="2625" xr:uid="{00000000-0005-0000-0000-000042040000}"/>
    <cellStyle name="Normal 2 2 7 3 5 2" xfId="5887" xr:uid="{92CD74B9-44AB-49EB-BBE1-72D7E5630C7A}"/>
    <cellStyle name="Normal 2 2 7 3 5 2 2" xfId="26778" xr:uid="{0E0DCD71-F50E-424A-9F99-47DD45A2B674}"/>
    <cellStyle name="Normal 2 2 7 3 5 2 3" xfId="15297" xr:uid="{3F30FFEF-1A10-4243-A3EC-617D5088BDDA}"/>
    <cellStyle name="Normal 2 2 7 3 5 3" xfId="7750" xr:uid="{635E3C12-C886-44F6-9770-79ED6BFD1FC8}"/>
    <cellStyle name="Normal 2 2 7 3 5 3 2" xfId="18130" xr:uid="{F0ABDD48-8ABA-4593-94C5-CDB5D41E58DC}"/>
    <cellStyle name="Normal 2 2 7 3 5 4" xfId="10583" xr:uid="{17F5AA6E-126A-4164-9FEF-F05FAF4848F8}"/>
    <cellStyle name="Normal 2 2 7 3 5 4 2" xfId="20963" xr:uid="{199B1EF3-438D-427A-93F2-7478C7AA5889}"/>
    <cellStyle name="Normal 2 2 7 3 5 5" xfId="23745" xr:uid="{CC56BE07-5218-4782-8B3F-5BFD9E3B6494}"/>
    <cellStyle name="Normal 2 2 7 3 5 6" xfId="13013" xr:uid="{B4923DA2-90D7-4352-9E97-CED1C3F86706}"/>
    <cellStyle name="Normal 2 2 7 3 6" xfId="4165" xr:uid="{0EECCB69-E2A2-4D79-984C-AEA068311F16}"/>
    <cellStyle name="Normal 2 2 7 3 6 2" xfId="8937" xr:uid="{9C2642DB-2BEA-40C7-A32B-E7BCFF1109E9}"/>
    <cellStyle name="Normal 2 2 7 3 6 2 2" xfId="19317" xr:uid="{43F78813-33B4-4BF0-862C-D45B3E52C6CD}"/>
    <cellStyle name="Normal 2 2 7 3 6 3" xfId="11770" xr:uid="{7FB2A010-4F86-413B-A29B-80AFBA0C83FD}"/>
    <cellStyle name="Normal 2 2 7 3 6 3 2" xfId="22150" xr:uid="{33525C46-7CBE-4205-927F-564236BD8343}"/>
    <cellStyle name="Normal 2 2 7 3 6 4" xfId="23722" xr:uid="{9BC8BB49-D765-48C9-BE92-08F2EA7A9DBF}"/>
    <cellStyle name="Normal 2 2 7 3 6 5" xfId="16484" xr:uid="{82F6FC75-C16C-413E-B767-482378F3B21B}"/>
    <cellStyle name="Normal 2 2 7 3 7" xfId="5126" xr:uid="{5C452FFA-7910-4D62-A8A7-22BC1867080B}"/>
    <cellStyle name="Normal 2 2 7 3 7 2" xfId="14423" xr:uid="{71F07B88-DD81-4D19-B3F5-6CF54BC1094D}"/>
    <cellStyle name="Normal 2 2 7 3 8" xfId="6876" xr:uid="{90182203-014D-4FA0-B89A-F4D27942B154}"/>
    <cellStyle name="Normal 2 2 7 3 8 2" xfId="17256" xr:uid="{8238B354-BF9F-4916-9974-7AC3933B06CD}"/>
    <cellStyle name="Normal 2 2 7 3 9" xfId="9709" xr:uid="{B4C3058F-A649-4C9E-9CF8-5063027BD2D8}"/>
    <cellStyle name="Normal 2 2 7 3 9 2" xfId="20089" xr:uid="{4AFB8945-510C-491C-A8E1-1C9D343D4C3A}"/>
    <cellStyle name="Normal 2 2 7 4" xfId="773" xr:uid="{00000000-0005-0000-0000-0000B1040000}"/>
    <cellStyle name="Normal 2 2 7 4 2" xfId="3201" xr:uid="{00000000-0005-0000-0000-000044040000}"/>
    <cellStyle name="Normal 2 2 7 4 2 2" xfId="6259" xr:uid="{EA86242F-DE84-41B2-B4E2-49C3A6806F4C}"/>
    <cellStyle name="Normal 2 2 7 4 2 2 2" xfId="27955" xr:uid="{F130E72C-EF2A-4AE3-96A3-4BDBF9584015}"/>
    <cellStyle name="Normal 2 2 7 4 2 2 3" xfId="15828" xr:uid="{AB8DBCB1-FF55-4422-AE4F-23C7720312AB}"/>
    <cellStyle name="Normal 2 2 7 4 2 3" xfId="8281" xr:uid="{28C10E84-05C2-498D-82BA-F63707491383}"/>
    <cellStyle name="Normal 2 2 7 4 2 3 2" xfId="18661" xr:uid="{84627645-3648-4EA7-BD72-457DC4FED9D8}"/>
    <cellStyle name="Normal 2 2 7 4 2 4" xfId="11114" xr:uid="{D759EDC8-144E-4FCC-B7B5-6256B36E7E60}"/>
    <cellStyle name="Normal 2 2 7 4 2 4 2" xfId="21494" xr:uid="{F311C016-71CF-4462-93B6-AD713B647808}"/>
    <cellStyle name="Normal 2 2 7 4 2 5" xfId="24435" xr:uid="{16B3E47E-68E3-4CA5-A25D-F24AB1561C53}"/>
    <cellStyle name="Normal 2 2 7 4 2 6" xfId="13742" xr:uid="{F1B21C19-0682-443F-8D4E-BDB1C80126DC}"/>
    <cellStyle name="Normal 2 2 7 4 3" xfId="4300" xr:uid="{FB89EF37-5642-4DB4-9B87-78B865309E32}"/>
    <cellStyle name="Normal 2 2 7 4 3 2" xfId="9072" xr:uid="{58972D54-2C46-400B-B3FA-FDD33077E2A0}"/>
    <cellStyle name="Normal 2 2 7 4 3 2 2" xfId="29115" xr:uid="{3E47BE21-2C75-410C-A6C9-DD3FD87C6916}"/>
    <cellStyle name="Normal 2 2 7 4 3 2 3" xfId="19452" xr:uid="{8463DD5D-1757-4EA0-9D14-3534ED11B601}"/>
    <cellStyle name="Normal 2 2 7 4 3 3" xfId="11905" xr:uid="{099E216B-CFB5-4885-9F6B-81FA1976C52D}"/>
    <cellStyle name="Normal 2 2 7 4 3 3 2" xfId="22285" xr:uid="{FF8EC160-F987-4D10-98D0-422BEE8B6B95}"/>
    <cellStyle name="Normal 2 2 7 4 3 4" xfId="23425" xr:uid="{3AD3C7EB-4743-4B29-A5D0-0C459C1321C6}"/>
    <cellStyle name="Normal 2 2 7 4 3 5" xfId="16619" xr:uid="{4E8744E9-845E-436B-834F-356D56F91803}"/>
    <cellStyle name="Normal 2 2 7 4 4" xfId="5127" xr:uid="{BB82BBF1-892E-428D-B121-BE1B6A0F0770}"/>
    <cellStyle name="Normal 2 2 7 4 4 2" xfId="27315" xr:uid="{B6384FC8-584C-475B-A86A-E8E7D2A74AEB}"/>
    <cellStyle name="Normal 2 2 7 4 4 3" xfId="14424" xr:uid="{FA69E3F2-B838-4302-AE0D-B6EA475877A7}"/>
    <cellStyle name="Normal 2 2 7 4 5" xfId="6877" xr:uid="{DED2211D-BFE6-48E6-8FF2-55930132D76B}"/>
    <cellStyle name="Normal 2 2 7 4 5 2" xfId="17257" xr:uid="{470C8BE6-A3EE-4F87-A755-C79CAC7DCB94}"/>
    <cellStyle name="Normal 2 2 7 4 6" xfId="9710" xr:uid="{BCD325BF-24A9-435B-9AC8-82BF9A84298E}"/>
    <cellStyle name="Normal 2 2 7 4 6 2" xfId="20090" xr:uid="{5486DF0B-2ECE-43B1-AF13-431C9E6D04D1}"/>
    <cellStyle name="Normal 2 2 7 4 7" xfId="24458" xr:uid="{5D16B951-AF92-490D-9C68-F6E635E7BD61}"/>
    <cellStyle name="Normal 2 2 7 4 8" xfId="13170" xr:uid="{17041A68-1022-49C2-98E9-55807456AA15}"/>
    <cellStyle name="Normal 2 2 7 5" xfId="3202" xr:uid="{00000000-0005-0000-0000-000045040000}"/>
    <cellStyle name="Normal 2 2 7 5 2" xfId="4474" xr:uid="{F43CF885-6B3E-4233-B3EB-8EC307816EE0}"/>
    <cellStyle name="Normal 2 2 7 5 2 2" xfId="9246" xr:uid="{99C5D73E-8D59-42E6-9224-95D350907AA5}"/>
    <cellStyle name="Normal 2 2 7 5 2 2 2" xfId="29235" xr:uid="{D28169DF-F682-4D57-8E50-2BEBF72ADB7C}"/>
    <cellStyle name="Normal 2 2 7 5 2 2 3" xfId="19626" xr:uid="{911EB7F1-662E-467B-9B34-9D1B8475D22B}"/>
    <cellStyle name="Normal 2 2 7 5 2 3" xfId="12079" xr:uid="{36E12D49-82BF-46AF-871C-11FB898BFBEE}"/>
    <cellStyle name="Normal 2 2 7 5 2 3 2" xfId="22459" xr:uid="{C04B2735-E0AA-497B-8422-E367EF58C9F7}"/>
    <cellStyle name="Normal 2 2 7 5 2 4" xfId="25693" xr:uid="{2265BF51-5BC9-4777-B8E6-0889D80AE015}"/>
    <cellStyle name="Normal 2 2 7 5 2 5" xfId="16793" xr:uid="{36544D78-34B7-4DC8-990C-2DBB08710D08}"/>
    <cellStyle name="Normal 2 2 7 5 3" xfId="6260" xr:uid="{4D851889-4635-4508-8F66-E2721015AA19}"/>
    <cellStyle name="Normal 2 2 7 5 3 2" xfId="26239" xr:uid="{22637B2F-5841-439F-8B42-DC03C4B1CBE8}"/>
    <cellStyle name="Normal 2 2 7 5 3 3" xfId="15829" xr:uid="{6C442F8F-709D-41AD-83FC-99633E491AB7}"/>
    <cellStyle name="Normal 2 2 7 5 4" xfId="8282" xr:uid="{831A3850-70D5-4E84-A343-C00368EDD689}"/>
    <cellStyle name="Normal 2 2 7 5 4 2" xfId="18662" xr:uid="{C16F9157-9B3C-443E-9BDB-6FF37823E7B9}"/>
    <cellStyle name="Normal 2 2 7 5 5" xfId="11115" xr:uid="{5323322D-1828-4872-A0D0-B1C1DE137956}"/>
    <cellStyle name="Normal 2 2 7 5 5 2" xfId="21495" xr:uid="{7AFD68E4-4698-4CEB-AAD0-46CE8C566DB4}"/>
    <cellStyle name="Normal 2 2 7 5 6" xfId="24777" xr:uid="{19595CDC-3621-469D-8973-B52DF0990318}"/>
    <cellStyle name="Normal 2 2 7 5 7" xfId="13743" xr:uid="{8596851C-82E7-4787-9116-C2C662107F93}"/>
    <cellStyle name="Normal 2 2 7 6" xfId="2906" xr:uid="{00000000-0005-0000-0000-000046040000}"/>
    <cellStyle name="Normal 2 2 7 6 2" xfId="6092" xr:uid="{DA57989B-564A-4C1A-9D05-AE50DD18F86E}"/>
    <cellStyle name="Normal 2 2 7 6 2 2" xfId="27701" xr:uid="{F418126B-C980-4ECC-BE7C-18A8E2FADF60}"/>
    <cellStyle name="Normal 2 2 7 6 2 3" xfId="15570" xr:uid="{22B65360-BC90-4835-B939-315CDBC5A152}"/>
    <cellStyle name="Normal 2 2 7 6 3" xfId="8023" xr:uid="{CB3E4E3C-6CDC-4F35-9634-4C0B1E25404F}"/>
    <cellStyle name="Normal 2 2 7 6 3 2" xfId="18403" xr:uid="{2D552C60-2259-4C2D-A185-267CAB265DF4}"/>
    <cellStyle name="Normal 2 2 7 6 4" xfId="10856" xr:uid="{CF9A6020-EF53-46F0-9D9B-EC6F1A1DA70A}"/>
    <cellStyle name="Normal 2 2 7 6 4 2" xfId="21236" xr:uid="{FCBF4E9B-F8D3-4C41-B78E-2150FF51224B}"/>
    <cellStyle name="Normal 2 2 7 6 5" xfId="25340" xr:uid="{0441A294-413D-4AAF-BD16-AC300834E672}"/>
    <cellStyle name="Normal 2 2 7 6 6" xfId="13421" xr:uid="{F450886F-2E7C-48CC-A33D-E6A3B3C2BC1E}"/>
    <cellStyle name="Normal 2 2 7 7" xfId="2462" xr:uid="{00000000-0005-0000-0000-000047040000}"/>
    <cellStyle name="Normal 2 2 7 7 2" xfId="5753" xr:uid="{2E6284A3-7195-4AB7-A4FB-C092FA1EAF45}"/>
    <cellStyle name="Normal 2 2 7 7 2 2" xfId="26668" xr:uid="{15808563-0C2E-477A-AA67-BC75561D798B}"/>
    <cellStyle name="Normal 2 2 7 7 2 3" xfId="15134" xr:uid="{A4BAD895-AF33-4EF9-BD97-047C99E8F55E}"/>
    <cellStyle name="Normal 2 2 7 7 3" xfId="7587" xr:uid="{645F3ECB-47CB-43FD-93B1-D80F647453B9}"/>
    <cellStyle name="Normal 2 2 7 7 3 2" xfId="17967" xr:uid="{5276B6E8-F14B-47DA-9795-8A1D24063B5E}"/>
    <cellStyle name="Normal 2 2 7 7 4" xfId="10420" xr:uid="{32FB7C96-3693-4BBB-87D3-F468EA2058C6}"/>
    <cellStyle name="Normal 2 2 7 7 4 2" xfId="20800" xr:uid="{00B40404-8E65-48CD-AB16-729DDAF8B967}"/>
    <cellStyle name="Normal 2 2 7 7 5" xfId="22820" xr:uid="{F5302D9A-7717-43A3-9991-538FB9F931D8}"/>
    <cellStyle name="Normal 2 2 7 7 6" xfId="12850" xr:uid="{F4F92005-4B46-4882-86F0-AA33BE952BAB}"/>
    <cellStyle name="Normal 2 2 7 8" xfId="2216" xr:uid="{00000000-0005-0000-0000-000036040000}"/>
    <cellStyle name="Normal 2 2 7 8 2" xfId="7343" xr:uid="{119F46DF-C067-41EC-8126-38A40487FA8C}"/>
    <cellStyle name="Normal 2 2 7 8 2 2" xfId="17723" xr:uid="{ED305A55-2D9A-46DD-BA47-AF220451757E}"/>
    <cellStyle name="Normal 2 2 7 8 3" xfId="10176" xr:uid="{9D697A6F-542C-4ED6-AF67-5B61BA0FD18E}"/>
    <cellStyle name="Normal 2 2 7 8 3 2" xfId="20556" xr:uid="{9890D317-D2F7-49F4-9663-26A6115E9037}"/>
    <cellStyle name="Normal 2 2 7 8 4" xfId="23832" xr:uid="{DA775B2D-7C2D-4E4F-A457-253B653B3263}"/>
    <cellStyle name="Normal 2 2 7 8 5" xfId="14890" xr:uid="{6016B299-4532-427C-8DBF-F49EBF94FEEE}"/>
    <cellStyle name="Normal 2 2 7 9" xfId="3938" xr:uid="{730B2415-7D0E-4777-BD3F-FD5EA860EFA8}"/>
    <cellStyle name="Normal 2 2 7 9 2" xfId="8770" xr:uid="{DE422D28-9071-46E0-8C78-715B420E7E8C}"/>
    <cellStyle name="Normal 2 2 7 9 2 2" xfId="19150" xr:uid="{69C561B9-5447-412B-8367-27A315462274}"/>
    <cellStyle name="Normal 2 2 7 9 3" xfId="11603" xr:uid="{2B1B7C93-75A1-4EFE-A9FD-2E389EEAE17E}"/>
    <cellStyle name="Normal 2 2 7 9 3 2" xfId="21983" xr:uid="{647ECAF7-2087-4270-B0FC-26A8F245DCBA}"/>
    <cellStyle name="Normal 2 2 7 9 4" xfId="16317" xr:uid="{56E29E40-D477-49BB-A1DB-B1585FB89744}"/>
    <cellStyle name="Normal 2 2 8" xfId="774" xr:uid="{00000000-0005-0000-0000-0000B2040000}"/>
    <cellStyle name="Normal 2 2 8 10" xfId="6878" xr:uid="{628BD07A-D930-4CD2-A940-69AD564921B7}"/>
    <cellStyle name="Normal 2 2 8 10 2" xfId="17258" xr:uid="{D8B97DC8-7635-465A-856A-2FA87A0AFF44}"/>
    <cellStyle name="Normal 2 2 8 11" xfId="9711" xr:uid="{F14EE70F-160D-4DA3-A3D4-9BC7D49B5D6B}"/>
    <cellStyle name="Normal 2 2 8 11 2" xfId="20091" xr:uid="{67B869A9-2EAC-4101-B81E-0B6A04DB9C7A}"/>
    <cellStyle name="Normal 2 2 8 12" xfId="25320" xr:uid="{8BBC2563-7EB3-4F0B-B448-C24827850FBF}"/>
    <cellStyle name="Normal 2 2 8 13" xfId="12431" xr:uid="{F2398DB6-92A6-4E09-8CEA-7C4D685124A0}"/>
    <cellStyle name="Normal 2 2 8 2" xfId="775" xr:uid="{00000000-0005-0000-0000-0000B3040000}"/>
    <cellStyle name="Normal 2 2 8 2 10" xfId="9712" xr:uid="{2E8E1B31-05C3-4FE9-9EA3-A11E18571BCB}"/>
    <cellStyle name="Normal 2 2 8 2 10 2" xfId="20092" xr:uid="{65A4362D-0852-4578-B5E2-C59DB0DE1260}"/>
    <cellStyle name="Normal 2 2 8 2 11" xfId="22651" xr:uid="{EE2F466C-BF6B-4568-ACBB-F9CA7F522928}"/>
    <cellStyle name="Normal 2 2 8 2 12" xfId="12566" xr:uid="{32E0DBA3-74D1-4471-9210-559060BCEC89}"/>
    <cellStyle name="Normal 2 2 8 2 2" xfId="776" xr:uid="{00000000-0005-0000-0000-0000B4040000}"/>
    <cellStyle name="Normal 2 2 8 2 2 2" xfId="3204" xr:uid="{00000000-0005-0000-0000-00004B040000}"/>
    <cellStyle name="Normal 2 2 8 2 2 2 2" xfId="6262" xr:uid="{AD7F9C5A-5E3B-40DC-9854-FDA24E5AF8DB}"/>
    <cellStyle name="Normal 2 2 8 2 2 2 2 2" xfId="25878" xr:uid="{E730DD8D-3F10-49FC-A895-5577D56DF90B}"/>
    <cellStyle name="Normal 2 2 8 2 2 2 2 3" xfId="27616" xr:uid="{939AE3EF-EE41-49B2-BBEB-DDE8EBBE629B}"/>
    <cellStyle name="Normal 2 2 8 2 2 2 2 4" xfId="15831" xr:uid="{466C9F48-8078-4AB5-B0A3-09B931C02DB0}"/>
    <cellStyle name="Normal 2 2 8 2 2 2 3" xfId="8284" xr:uid="{01B25D7D-B9CB-4313-9A55-D93C96704B92}"/>
    <cellStyle name="Normal 2 2 8 2 2 2 3 2" xfId="28883" xr:uid="{ADA3744A-7B68-4CE9-B787-2C2419DFDC4A}"/>
    <cellStyle name="Normal 2 2 8 2 2 2 3 3" xfId="18664" xr:uid="{A25F16EE-717B-475B-A5B5-2AA233EEB4AE}"/>
    <cellStyle name="Normal 2 2 8 2 2 2 4" xfId="11117" xr:uid="{E96C8554-8CF2-4170-AA1D-C245115615EC}"/>
    <cellStyle name="Normal 2 2 8 2 2 2 4 2" xfId="21497" xr:uid="{563CFB1D-1936-44BB-BD04-BBB7C4F5B7B6}"/>
    <cellStyle name="Normal 2 2 8 2 2 2 5" xfId="24177" xr:uid="{C0032DE9-A102-4F49-B63C-0CC0E1C338C0}"/>
    <cellStyle name="Normal 2 2 8 2 2 2 6" xfId="13745" xr:uid="{53A835B4-D170-4264-B454-1536B8D45EE1}"/>
    <cellStyle name="Normal 2 2 8 2 2 3" xfId="4303" xr:uid="{1FFE8655-55F3-4269-83C8-334A040FEC77}"/>
    <cellStyle name="Normal 2 2 8 2 2 3 2" xfId="9075" xr:uid="{6AE2C6FE-F53C-447D-AC47-C1657D57F2A1}"/>
    <cellStyle name="Normal 2 2 8 2 2 3 2 2" xfId="29118" xr:uid="{E7C3450E-2F33-4EAF-BE7B-432C4B18638F}"/>
    <cellStyle name="Normal 2 2 8 2 2 3 2 3" xfId="19455" xr:uid="{AFF2C6CB-6ED1-4C43-B328-DCF262F4C661}"/>
    <cellStyle name="Normal 2 2 8 2 2 3 3" xfId="11908" xr:uid="{44D4E787-4053-4D74-9147-70403D1E4BE0}"/>
    <cellStyle name="Normal 2 2 8 2 2 3 3 2" xfId="22288" xr:uid="{71633322-84F1-43F9-A310-AA1C9C15F19D}"/>
    <cellStyle name="Normal 2 2 8 2 2 3 4" xfId="24902" xr:uid="{A33F61B1-B2E4-49D0-A3BA-19C1F03A202B}"/>
    <cellStyle name="Normal 2 2 8 2 2 3 5" xfId="16622" xr:uid="{53B62D12-7ADC-4437-99D4-4D8ADE7D2990}"/>
    <cellStyle name="Normal 2 2 8 2 2 4" xfId="5130" xr:uid="{EF44E616-FCEF-4B61-B126-F41F814B1672}"/>
    <cellStyle name="Normal 2 2 8 2 2 4 2" xfId="26241" xr:uid="{C764AC65-430F-4028-AAB3-796B0F36B950}"/>
    <cellStyle name="Normal 2 2 8 2 2 4 3" xfId="14427" xr:uid="{098E2349-6E86-4C89-BCF2-9C6B794781F3}"/>
    <cellStyle name="Normal 2 2 8 2 2 5" xfId="6880" xr:uid="{09AEA82C-8297-4AE8-829C-747CBFFFB293}"/>
    <cellStyle name="Normal 2 2 8 2 2 5 2" xfId="17260" xr:uid="{637648A9-C576-444E-B4B3-A55EBC3FB424}"/>
    <cellStyle name="Normal 2 2 8 2 2 6" xfId="9713" xr:uid="{D6A3D852-B06A-4D55-AEF5-09C7BBE20F04}"/>
    <cellStyle name="Normal 2 2 8 2 2 6 2" xfId="20093" xr:uid="{126B0F5F-33D7-4CFA-B3CB-3F540B22047E}"/>
    <cellStyle name="Normal 2 2 8 2 2 7" xfId="23535" xr:uid="{AC6CAC62-C341-4C3D-A142-6E1FA8DC2778}"/>
    <cellStyle name="Normal 2 2 8 2 2 8" xfId="13174" xr:uid="{89A8D227-72D1-4F88-9AB5-0EBC5A5B2745}"/>
    <cellStyle name="Normal 2 2 8 2 3" xfId="3205" xr:uid="{00000000-0005-0000-0000-00004C040000}"/>
    <cellStyle name="Normal 2 2 8 2 3 2" xfId="4475" xr:uid="{B79F63A2-A715-4B21-A3BE-9628464F7014}"/>
    <cellStyle name="Normal 2 2 8 2 3 2 2" xfId="9247" xr:uid="{6F952480-3FDB-414C-B6CA-44F4ED28A849}"/>
    <cellStyle name="Normal 2 2 8 2 3 2 2 2" xfId="29236" xr:uid="{B837C5AA-2511-403E-BF9C-3C00737E91DD}"/>
    <cellStyle name="Normal 2 2 8 2 3 2 2 3" xfId="19627" xr:uid="{4B56D94F-7580-45FB-AC07-B28A6D1E6754}"/>
    <cellStyle name="Normal 2 2 8 2 3 2 3" xfId="12080" xr:uid="{7EBB8DCB-5068-4C64-936B-792200931A9C}"/>
    <cellStyle name="Normal 2 2 8 2 3 2 3 2" xfId="22460" xr:uid="{3D3BD81C-C557-4D5D-A9A7-90DEC679FD60}"/>
    <cellStyle name="Normal 2 2 8 2 3 2 4" xfId="23837" xr:uid="{C1692201-4612-4F99-B5D7-7B62E1BBF460}"/>
    <cellStyle name="Normal 2 2 8 2 3 2 5" xfId="16794" xr:uid="{9E6B0EF0-1544-4F38-8798-56F7FADF95B7}"/>
    <cellStyle name="Normal 2 2 8 2 3 3" xfId="6263" xr:uid="{F103B7AA-0002-4F7D-B285-E2D5C6FB343A}"/>
    <cellStyle name="Normal 2 2 8 2 3 3 2" xfId="25939" xr:uid="{F2D9A890-7170-4A20-B246-CAF9D59A5391}"/>
    <cellStyle name="Normal 2 2 8 2 3 3 3" xfId="15832" xr:uid="{BF862549-28D1-4806-8608-B1D17D8BDCC7}"/>
    <cellStyle name="Normal 2 2 8 2 3 4" xfId="8285" xr:uid="{E5ACE763-E8C4-4486-B72A-9E4EA89C7A8D}"/>
    <cellStyle name="Normal 2 2 8 2 3 4 2" xfId="18665" xr:uid="{F07F7485-9F1A-47BA-B018-765D152C6523}"/>
    <cellStyle name="Normal 2 2 8 2 3 5" xfId="11118" xr:uid="{E8D85AC4-EA72-4E3C-BA1A-C7ADC1E0DD3C}"/>
    <cellStyle name="Normal 2 2 8 2 3 5 2" xfId="21498" xr:uid="{09C0A0EA-6124-4D58-945C-EBB99BB5FAC7}"/>
    <cellStyle name="Normal 2 2 8 2 3 6" xfId="24808" xr:uid="{C89F7E85-6CAF-4A73-B1CB-D0E28020C5ED}"/>
    <cellStyle name="Normal 2 2 8 2 3 7" xfId="13746" xr:uid="{E2CABDA1-9B3F-41E5-BED0-604309B159DF}"/>
    <cellStyle name="Normal 2 2 8 2 4" xfId="3203" xr:uid="{00000000-0005-0000-0000-00004D040000}"/>
    <cellStyle name="Normal 2 2 8 2 4 2" xfId="6261" xr:uid="{00BDF592-F8ED-4918-8803-E44F81D1262F}"/>
    <cellStyle name="Normal 2 2 8 2 4 2 2" xfId="25845" xr:uid="{DAE43E84-2D15-410B-AAC9-BEFD8622CCD5}"/>
    <cellStyle name="Normal 2 2 8 2 4 2 3" xfId="15830" xr:uid="{A867CFCC-A18F-4100-8B17-18C1AF35D78F}"/>
    <cellStyle name="Normal 2 2 8 2 4 3" xfId="8283" xr:uid="{B9C08851-865A-4B86-A777-1121A9A65835}"/>
    <cellStyle name="Normal 2 2 8 2 4 3 2" xfId="18663" xr:uid="{96E36747-C293-4AED-A379-63C7E2ED0EB0}"/>
    <cellStyle name="Normal 2 2 8 2 4 4" xfId="11116" xr:uid="{C12C189B-1E98-4A23-B57A-DBAEE45CEB38}"/>
    <cellStyle name="Normal 2 2 8 2 4 4 2" xfId="21496" xr:uid="{D35EE70B-DE62-448F-BC2A-483C0629E5A9}"/>
    <cellStyle name="Normal 2 2 8 2 4 5" xfId="23812" xr:uid="{BC432C4B-B5D4-45F1-A098-40E096DB7C08}"/>
    <cellStyle name="Normal 2 2 8 2 4 6" xfId="13744" xr:uid="{DCA3EA7E-3623-4E6F-9B7D-414E8CFE2DEB}"/>
    <cellStyle name="Normal 2 2 8 2 5" xfId="2608" xr:uid="{00000000-0005-0000-0000-00004E040000}"/>
    <cellStyle name="Normal 2 2 8 2 5 2" xfId="5872" xr:uid="{2158CB03-382E-4154-84CF-297635431937}"/>
    <cellStyle name="Normal 2 2 8 2 5 2 2" xfId="26864" xr:uid="{8D95AE1F-7280-46BC-910E-DCA5B1645248}"/>
    <cellStyle name="Normal 2 2 8 2 5 2 3" xfId="15280" xr:uid="{3939FE5E-D725-4F1D-9D71-725A3C5C4C3B}"/>
    <cellStyle name="Normal 2 2 8 2 5 3" xfId="7733" xr:uid="{F4FC430F-0F3A-4A14-9461-867A83D045E9}"/>
    <cellStyle name="Normal 2 2 8 2 5 3 2" xfId="18113" xr:uid="{94929340-B51F-48CD-AD23-3E649F9F02D2}"/>
    <cellStyle name="Normal 2 2 8 2 5 4" xfId="10566" xr:uid="{2D5F3208-AE2B-49D3-BBF3-28D50CE40CF4}"/>
    <cellStyle name="Normal 2 2 8 2 5 4 2" xfId="20946" xr:uid="{8E647BA0-58F9-44E3-8560-D7245A82E6F3}"/>
    <cellStyle name="Normal 2 2 8 2 5 5" xfId="22797" xr:uid="{AC31583B-A675-4131-AD03-A29CA722448A}"/>
    <cellStyle name="Normal 2 2 8 2 5 6" xfId="12996" xr:uid="{4C44059D-138B-42F6-A4E1-87AAD4C2938A}"/>
    <cellStyle name="Normal 2 2 8 2 6" xfId="2332" xr:uid="{00000000-0005-0000-0000-000049040000}"/>
    <cellStyle name="Normal 2 2 8 2 6 2" xfId="7459" xr:uid="{3AA901C1-0822-4B28-A516-503B037C2030}"/>
    <cellStyle name="Normal 2 2 8 2 6 2 2" xfId="17839" xr:uid="{F2220739-898B-4866-A055-C32C8E328486}"/>
    <cellStyle name="Normal 2 2 8 2 6 3" xfId="10292" xr:uid="{9D4856D8-5F64-40B9-A821-52A1A4F7F348}"/>
    <cellStyle name="Normal 2 2 8 2 6 3 2" xfId="20672" xr:uid="{3CD42492-4DA1-4141-8AC7-40E799C5F97D}"/>
    <cellStyle name="Normal 2 2 8 2 6 4" xfId="24021" xr:uid="{088F61CA-E37A-4075-BA0A-E940FF2C1253}"/>
    <cellStyle name="Normal 2 2 8 2 6 5" xfId="15006" xr:uid="{3F02CA74-B058-44D3-9E13-ECAE3FFA3E36}"/>
    <cellStyle name="Normal 2 2 8 2 7" xfId="3847" xr:uid="{6A49327A-3862-4542-9177-0AF47BCAA334}"/>
    <cellStyle name="Normal 2 2 8 2 7 2" xfId="8680" xr:uid="{BB11D339-3294-4E5E-93BC-363044C6AD61}"/>
    <cellStyle name="Normal 2 2 8 2 7 2 2" xfId="19060" xr:uid="{672ACB02-E131-4912-A65A-C985E34D56FB}"/>
    <cellStyle name="Normal 2 2 8 2 7 3" xfId="11513" xr:uid="{3433FEE8-69AE-4718-B7A5-DE65C3900C01}"/>
    <cellStyle name="Normal 2 2 8 2 7 3 2" xfId="21893" xr:uid="{688BBCCB-3380-47C5-B0BC-470EC18C4240}"/>
    <cellStyle name="Normal 2 2 8 2 7 4" xfId="16227" xr:uid="{AB074805-6BDA-41A1-B685-E4E896C027AC}"/>
    <cellStyle name="Normal 2 2 8 2 8" xfId="5129" xr:uid="{2EF62492-BFF2-4C41-ADBB-8135D3993D9D}"/>
    <cellStyle name="Normal 2 2 8 2 8 2" xfId="14426" xr:uid="{3544151C-8FE4-4BC6-A82E-019C0F7B9799}"/>
    <cellStyle name="Normal 2 2 8 2 9" xfId="6879" xr:uid="{5748C84E-41B0-4273-98C8-35E79BD84EF0}"/>
    <cellStyle name="Normal 2 2 8 2 9 2" xfId="17259" xr:uid="{14684CC9-A457-441B-B6A9-3F9C63964AC6}"/>
    <cellStyle name="Normal 2 2 8 3" xfId="777" xr:uid="{00000000-0005-0000-0000-0000B5040000}"/>
    <cellStyle name="Normal 2 2 8 3 2" xfId="3206" xr:uid="{00000000-0005-0000-0000-000050040000}"/>
    <cellStyle name="Normal 2 2 8 3 2 2" xfId="6264" xr:uid="{484994DE-EA3F-48CE-8C82-D9A34BD5D050}"/>
    <cellStyle name="Normal 2 2 8 3 2 2 2" xfId="25498" xr:uid="{9976E747-9C6D-4AA6-B81C-9C316A07E5F6}"/>
    <cellStyle name="Normal 2 2 8 3 2 2 3" xfId="26970" xr:uid="{F603F650-3DB7-4DA7-93A3-8D9FE2123AFF}"/>
    <cellStyle name="Normal 2 2 8 3 2 2 4" xfId="15833" xr:uid="{BFE0CFD8-BEAB-47DA-9195-84B09ED06AAE}"/>
    <cellStyle name="Normal 2 2 8 3 2 3" xfId="8286" xr:uid="{51A4D7D6-C0D2-43D5-85D4-EA446260D201}"/>
    <cellStyle name="Normal 2 2 8 3 2 3 2" xfId="28884" xr:uid="{4215C2A4-6596-45F2-BD61-68A9C65B0F2D}"/>
    <cellStyle name="Normal 2 2 8 3 2 3 3" xfId="18666" xr:uid="{A3A2E13C-311D-4FE2-A204-3EAFFDBE5612}"/>
    <cellStyle name="Normal 2 2 8 3 2 4" xfId="11119" xr:uid="{FFA795C0-AD39-4FE5-B0D8-5A19308E89B3}"/>
    <cellStyle name="Normal 2 2 8 3 2 4 2" xfId="21499" xr:uid="{F4A5942B-C24E-41C1-90FC-536AA55614DF}"/>
    <cellStyle name="Normal 2 2 8 3 2 5" xfId="24117" xr:uid="{E0E67E6E-E546-40B5-96DB-A817EB89A89D}"/>
    <cellStyle name="Normal 2 2 8 3 2 6" xfId="13747" xr:uid="{9D2CA8CC-2B5E-413C-ACCD-4099D1B875B7}"/>
    <cellStyle name="Normal 2 2 8 3 3" xfId="2737" xr:uid="{00000000-0005-0000-0000-000051040000}"/>
    <cellStyle name="Normal 2 2 8 3 3 2" xfId="5955" xr:uid="{630E4BC0-EF5B-4545-9D87-3B4644C75384}"/>
    <cellStyle name="Normal 2 2 8 3 3 2 2" xfId="28087" xr:uid="{3ED1D39F-0F11-4148-A98E-A4210E6D00B2}"/>
    <cellStyle name="Normal 2 2 8 3 3 2 3" xfId="15408" xr:uid="{3119C0F1-0AA0-4FE4-9F46-261DFD366530}"/>
    <cellStyle name="Normal 2 2 8 3 3 3" xfId="7861" xr:uid="{A467FD2F-47A1-4B7C-8683-284542929F18}"/>
    <cellStyle name="Normal 2 2 8 3 3 3 2" xfId="18241" xr:uid="{E44A229C-2533-411A-B532-D794FAC320EF}"/>
    <cellStyle name="Normal 2 2 8 3 3 4" xfId="10694" xr:uid="{63E92958-F63F-4843-AEE9-D7553DC9EA1E}"/>
    <cellStyle name="Normal 2 2 8 3 3 4 2" xfId="21074" xr:uid="{7F2A1A78-DFE7-441B-BBCE-B8B4C2514206}"/>
    <cellStyle name="Normal 2 2 8 3 3 5" xfId="22902" xr:uid="{2BEF5312-252E-4369-A6B3-169E222B0AFC}"/>
    <cellStyle name="Normal 2 2 8 3 3 6" xfId="13173" xr:uid="{2B192A59-C2D0-420D-A594-224E758F4C75}"/>
    <cellStyle name="Normal 2 2 8 3 4" xfId="4166" xr:uid="{5BEFE4C8-65F9-485E-B282-F87ACA3FCC55}"/>
    <cellStyle name="Normal 2 2 8 3 4 2" xfId="8938" xr:uid="{88DADD39-5568-426E-8F44-EA1914AAAE4C}"/>
    <cellStyle name="Normal 2 2 8 3 4 2 2" xfId="29033" xr:uid="{931954E9-0975-4F47-819C-F66340C1D0B8}"/>
    <cellStyle name="Normal 2 2 8 3 4 2 3" xfId="19318" xr:uid="{450B9D57-B6DD-4AE9-9E87-F372C2B4131E}"/>
    <cellStyle name="Normal 2 2 8 3 4 3" xfId="11771" xr:uid="{ACA7C7BB-0011-479E-9B26-D5F22ED0AB35}"/>
    <cellStyle name="Normal 2 2 8 3 4 3 2" xfId="22151" xr:uid="{E6618A83-CE86-4EB8-8D89-E3E1E39BD214}"/>
    <cellStyle name="Normal 2 2 8 3 4 4" xfId="25101" xr:uid="{97A2201C-2CB2-44A7-8D68-B368E0DE0280}"/>
    <cellStyle name="Normal 2 2 8 3 4 5" xfId="16485" xr:uid="{7A385FD1-0DF7-400E-B11A-8C7175A257A8}"/>
    <cellStyle name="Normal 2 2 8 3 5" xfId="5131" xr:uid="{DF114792-7895-4047-A09B-5C89DDFA98E8}"/>
    <cellStyle name="Normal 2 2 8 3 5 2" xfId="27900" xr:uid="{B9481CD4-049F-44F9-8FAD-4606DF390BA1}"/>
    <cellStyle name="Normal 2 2 8 3 5 3" xfId="14428" xr:uid="{4A0890B8-7A3F-4CBD-9460-A2FA5E09DC94}"/>
    <cellStyle name="Normal 2 2 8 3 6" xfId="6881" xr:uid="{006F0DA1-1F6A-4EB7-976E-B973796EA551}"/>
    <cellStyle name="Normal 2 2 8 3 6 2" xfId="17261" xr:uid="{B29809A2-92CE-42F6-AFC4-1DAEDBBB71C8}"/>
    <cellStyle name="Normal 2 2 8 3 7" xfId="9714" xr:uid="{523ADCC1-833D-4334-B19D-A371030594A8}"/>
    <cellStyle name="Normal 2 2 8 3 7 2" xfId="20094" xr:uid="{739A1ED2-858E-4703-9DBA-85B29C923FE6}"/>
    <cellStyle name="Normal 2 2 8 3 8" xfId="25341" xr:uid="{6817A934-B529-48A1-90A1-7FD175FC2BE1}"/>
    <cellStyle name="Normal 2 2 8 3 9" xfId="12724" xr:uid="{8FEAC656-B6C6-4CE5-9B2C-A216EF72EB2B}"/>
    <cellStyle name="Normal 2 2 8 4" xfId="778" xr:uid="{00000000-0005-0000-0000-0000B6040000}"/>
    <cellStyle name="Normal 2 2 8 4 2" xfId="4476" xr:uid="{23BDA9D2-ED53-4349-B69E-777DC5DF5162}"/>
    <cellStyle name="Normal 2 2 8 4 2 2" xfId="9248" xr:uid="{A430A709-9030-4D73-931E-6F1256FBFA5F}"/>
    <cellStyle name="Normal 2 2 8 4 2 2 2" xfId="29237" xr:uid="{FE0170C3-C567-4A19-90EC-BC3BF21B4053}"/>
    <cellStyle name="Normal 2 2 8 4 2 2 3" xfId="19628" xr:uid="{8A65A7C9-A81D-4D59-8579-1E0BE15BDC7F}"/>
    <cellStyle name="Normal 2 2 8 4 2 3" xfId="12081" xr:uid="{2C09DC46-EBCE-4EAD-9D05-A84B236A22BC}"/>
    <cellStyle name="Normal 2 2 8 4 2 3 2" xfId="22461" xr:uid="{BC6D3A13-4A3C-4C92-AD0E-D9041AFABFFD}"/>
    <cellStyle name="Normal 2 2 8 4 2 4" xfId="24009" xr:uid="{5BDC0F6B-7EC9-4C60-8E23-4C4B54326329}"/>
    <cellStyle name="Normal 2 2 8 4 2 5" xfId="16795" xr:uid="{DFCF66E1-A4F1-4112-81A5-CDB9EDB5CF76}"/>
    <cellStyle name="Normal 2 2 8 4 3" xfId="5132" xr:uid="{F3526898-48F3-4DF9-8404-73791E45C928}"/>
    <cellStyle name="Normal 2 2 8 4 3 2" xfId="27671" xr:uid="{EF851C49-3683-4A11-B429-91D97E1FFACD}"/>
    <cellStyle name="Normal 2 2 8 4 3 3" xfId="14429" xr:uid="{E4474A2B-0F25-46BF-A33D-99CF2CD4B427}"/>
    <cellStyle name="Normal 2 2 8 4 4" xfId="6882" xr:uid="{75BE2C8F-B81B-47B1-BDB3-D934D63BF284}"/>
    <cellStyle name="Normal 2 2 8 4 4 2" xfId="17262" xr:uid="{3FBF1AF6-C024-4907-9467-995093BCB152}"/>
    <cellStyle name="Normal 2 2 8 4 5" xfId="9715" xr:uid="{9CA60E50-95F0-457D-B2B2-90F19A50F42C}"/>
    <cellStyle name="Normal 2 2 8 4 5 2" xfId="20095" xr:uid="{B48ECCE5-EABA-47C4-9D81-1577B95F8B10}"/>
    <cellStyle name="Normal 2 2 8 4 6" xfId="25572" xr:uid="{C3C4FC47-04A1-486C-A819-560E0366EFFB}"/>
    <cellStyle name="Normal 2 2 8 4 7" xfId="13748" xr:uid="{214523F0-F79D-4E0E-AB98-B5BD239E6C92}"/>
    <cellStyle name="Normal 2 2 8 5" xfId="2907" xr:uid="{00000000-0005-0000-0000-000053040000}"/>
    <cellStyle name="Normal 2 2 8 5 2" xfId="6093" xr:uid="{952333CD-1997-451D-B5B4-0329D188E463}"/>
    <cellStyle name="Normal 2 2 8 5 2 2" xfId="25578" xr:uid="{9BCEEE65-749B-4CC7-B67C-E8F68C6566ED}"/>
    <cellStyle name="Normal 2 2 8 5 2 3" xfId="26449" xr:uid="{0798626E-CF20-4BC8-9D44-05437B812187}"/>
    <cellStyle name="Normal 2 2 8 5 2 4" xfId="15571" xr:uid="{18D8CE0C-EE8E-4AB8-9BCA-D61138A49C27}"/>
    <cellStyle name="Normal 2 2 8 5 3" xfId="8024" xr:uid="{4203C75B-DE85-46BC-86BC-235759C26623}"/>
    <cellStyle name="Normal 2 2 8 5 3 2" xfId="28286" xr:uid="{E662AAA6-F64B-4AC7-ABDC-FD3D8E15A290}"/>
    <cellStyle name="Normal 2 2 8 5 3 3" xfId="18404" xr:uid="{2FB01AE0-AB01-4030-A7AE-3E2E87BE285A}"/>
    <cellStyle name="Normal 2 2 8 5 4" xfId="10857" xr:uid="{5BB1F46D-F728-4577-802D-CD54DA757535}"/>
    <cellStyle name="Normal 2 2 8 5 4 2" xfId="21237" xr:uid="{384F825B-9BAD-4D46-95F0-B1EF9954096F}"/>
    <cellStyle name="Normal 2 2 8 5 5" xfId="24803" xr:uid="{F3F1FDEC-803E-48B4-B1BA-8CEF00F46516}"/>
    <cellStyle name="Normal 2 2 8 5 6" xfId="13422" xr:uid="{3BA5AAFB-C29D-4A8D-A6E7-757B717E2996}"/>
    <cellStyle name="Normal 2 2 8 6" xfId="2445" xr:uid="{00000000-0005-0000-0000-000054040000}"/>
    <cellStyle name="Normal 2 2 8 6 2" xfId="5739" xr:uid="{E9BCFC5C-B62C-4AF1-BF11-ABED759D9FD3}"/>
    <cellStyle name="Normal 2 2 8 6 2 2" xfId="27913" xr:uid="{0F7401AA-714A-4AD5-8BCE-9097A8986672}"/>
    <cellStyle name="Normal 2 2 8 6 2 3" xfId="15117" xr:uid="{F3005ED3-45F8-42C1-BA77-602BD6E137DB}"/>
    <cellStyle name="Normal 2 2 8 6 3" xfId="7570" xr:uid="{D5C48443-90AD-454C-B59E-E5B65C07939A}"/>
    <cellStyle name="Normal 2 2 8 6 3 2" xfId="17950" xr:uid="{BD90E231-7C68-4E37-843E-66F5CAB6AE18}"/>
    <cellStyle name="Normal 2 2 8 6 4" xfId="10403" xr:uid="{6EA69504-F204-479D-A39A-E6F34DF9241D}"/>
    <cellStyle name="Normal 2 2 8 6 4 2" xfId="20783" xr:uid="{A7F8F2AA-D002-4607-95BA-5E8299AA55D2}"/>
    <cellStyle name="Normal 2 2 8 6 5" xfId="25203" xr:uid="{D9E389A6-396A-4E3F-9DEA-7897E5272595}"/>
    <cellStyle name="Normal 2 2 8 6 6" xfId="12833" xr:uid="{FF9A46F1-35C8-42ED-A497-DE2EF276B3E4}"/>
    <cellStyle name="Normal 2 2 8 7" xfId="2199" xr:uid="{00000000-0005-0000-0000-000048040000}"/>
    <cellStyle name="Normal 2 2 8 7 2" xfId="7326" xr:uid="{D85EF949-3C70-47EF-B65A-4C5DBC4DD7B5}"/>
    <cellStyle name="Normal 2 2 8 7 2 2" xfId="17706" xr:uid="{75D37252-83E1-4A0D-A79C-E95D2B69B793}"/>
    <cellStyle name="Normal 2 2 8 7 3" xfId="10159" xr:uid="{F1735CAE-42FF-41C1-B3C3-126962AC2A07}"/>
    <cellStyle name="Normal 2 2 8 7 3 2" xfId="20539" xr:uid="{22960B3F-28FD-4363-971A-875522B02B42}"/>
    <cellStyle name="Normal 2 2 8 7 4" xfId="24599" xr:uid="{7B1E0F3F-CD25-4957-9A3B-FDE8916C9ABD}"/>
    <cellStyle name="Normal 2 2 8 7 5" xfId="14873" xr:uid="{A4A7B8B0-6650-46BF-B2CD-174DE0FD4DF1}"/>
    <cellStyle name="Normal 2 2 8 8" xfId="3939" xr:uid="{F0D2F1BA-6686-4BD2-8B00-9C5B4152FFF3}"/>
    <cellStyle name="Normal 2 2 8 8 2" xfId="8771" xr:uid="{E86560AA-205E-4CB0-83FA-BC5AE68807E1}"/>
    <cellStyle name="Normal 2 2 8 8 2 2" xfId="19151" xr:uid="{1BE94ADB-47AE-488A-963C-DC2CFC9A2D22}"/>
    <cellStyle name="Normal 2 2 8 8 3" xfId="11604" xr:uid="{0EE6E029-C429-4F97-9A60-6EA0B1E233F9}"/>
    <cellStyle name="Normal 2 2 8 8 3 2" xfId="21984" xr:uid="{3A61CA5C-FBEA-4117-8B05-A2BCEA84654F}"/>
    <cellStyle name="Normal 2 2 8 8 4" xfId="16318" xr:uid="{9B61399F-58E1-476A-8D09-F6DF2C240B97}"/>
    <cellStyle name="Normal 2 2 8 9" xfId="5128" xr:uid="{AFB99C95-C598-4EA2-9FB4-024508388830}"/>
    <cellStyle name="Normal 2 2 8 9 2" xfId="14425" xr:uid="{49926844-9CD6-4BD1-B4F1-0E389511F9FA}"/>
    <cellStyle name="Normal 2 2 9" xfId="779" xr:uid="{00000000-0005-0000-0000-0000B7040000}"/>
    <cellStyle name="Normal 2 2 9 10" xfId="6883" xr:uid="{9470EB72-2386-4B86-91E6-E05808CABDF5}"/>
    <cellStyle name="Normal 2 2 9 10 2" xfId="17263" xr:uid="{0406A4A9-3F21-4A6D-B4C2-EACED8BB6547}"/>
    <cellStyle name="Normal 2 2 9 11" xfId="9716" xr:uid="{061A5E10-5555-4F28-9AC9-94E834304F13}"/>
    <cellStyle name="Normal 2 2 9 11 2" xfId="20096" xr:uid="{A73D8FA9-A391-4E0A-9219-4562B915C3A6}"/>
    <cellStyle name="Normal 2 2 9 12" xfId="24269" xr:uid="{576E34F2-41CA-4EC4-9637-C7972AE06340}"/>
    <cellStyle name="Normal 2 2 9 13" xfId="12493" xr:uid="{BE251780-240B-47C4-856F-C93BB4A507BB}"/>
    <cellStyle name="Normal 2 2 9 2" xfId="780" xr:uid="{00000000-0005-0000-0000-0000B8040000}"/>
    <cellStyle name="Normal 2 2 9 2 10" xfId="9717" xr:uid="{9E681807-C68B-4FBE-99F0-064EE2656431}"/>
    <cellStyle name="Normal 2 2 9 2 10 2" xfId="20097" xr:uid="{95F5432A-DAC5-4D6B-8FC3-4F0600FFE167}"/>
    <cellStyle name="Normal 2 2 9 2 11" xfId="23806" xr:uid="{1D4A964E-C193-439C-B645-B41327DCAC5C}"/>
    <cellStyle name="Normal 2 2 9 2 12" xfId="12567" xr:uid="{5103DF43-BA24-449F-821F-DEA8A2E961E7}"/>
    <cellStyle name="Normal 2 2 9 2 2" xfId="781" xr:uid="{00000000-0005-0000-0000-0000B9040000}"/>
    <cellStyle name="Normal 2 2 9 2 2 2" xfId="3208" xr:uid="{00000000-0005-0000-0000-000058040000}"/>
    <cellStyle name="Normal 2 2 9 2 2 2 2" xfId="6266" xr:uid="{CF3152DB-770F-43EC-913C-9EB2F0E41063}"/>
    <cellStyle name="Normal 2 2 9 2 2 2 2 2" xfId="26404" xr:uid="{DF5D3DBE-5DE8-4296-A978-1DD56F3E6130}"/>
    <cellStyle name="Normal 2 2 9 2 2 2 2 3" xfId="27983" xr:uid="{82082B94-4B03-46CB-8C29-9DF3679ECD89}"/>
    <cellStyle name="Normal 2 2 9 2 2 2 2 4" xfId="15835" xr:uid="{C84AE5A3-2FF2-45BD-8FA8-B81035ADD3C3}"/>
    <cellStyle name="Normal 2 2 9 2 2 2 3" xfId="8288" xr:uid="{4E1BFC36-4777-4CFA-9000-5F493A9B9C32}"/>
    <cellStyle name="Normal 2 2 9 2 2 2 3 2" xfId="28885" xr:uid="{78D73DCD-3430-4D21-9750-4D4249182F9C}"/>
    <cellStyle name="Normal 2 2 9 2 2 2 3 3" xfId="18668" xr:uid="{AA1AC361-BE25-4307-81F7-8CFE1A04DE6D}"/>
    <cellStyle name="Normal 2 2 9 2 2 2 4" xfId="11121" xr:uid="{AEF4FE3B-C95F-42B9-8AD5-B6CBA088BC6C}"/>
    <cellStyle name="Normal 2 2 9 2 2 2 4 2" xfId="21501" xr:uid="{CDB27520-57CF-49F2-B491-C3AE991B0A83}"/>
    <cellStyle name="Normal 2 2 9 2 2 2 5" xfId="23839" xr:uid="{492BC03A-330C-4840-9954-8DC957DA99DF}"/>
    <cellStyle name="Normal 2 2 9 2 2 2 6" xfId="13750" xr:uid="{F8472CF7-1736-4327-BE85-EA0E191F5730}"/>
    <cellStyle name="Normal 2 2 9 2 2 3" xfId="4304" xr:uid="{9401B11B-BB1E-4CF5-AE56-1E44FA58A16C}"/>
    <cellStyle name="Normal 2 2 9 2 2 3 2" xfId="9076" xr:uid="{5C8F50C3-A43D-4C93-B8AF-61CEBCF4DB99}"/>
    <cellStyle name="Normal 2 2 9 2 2 3 2 2" xfId="29119" xr:uid="{C2DD29F2-66A8-4EC5-AB8A-16B99FA9B9ED}"/>
    <cellStyle name="Normal 2 2 9 2 2 3 2 3" xfId="19456" xr:uid="{79B7CCD1-7278-4A7A-8179-A8A045ADCAAB}"/>
    <cellStyle name="Normal 2 2 9 2 2 3 3" xfId="11909" xr:uid="{D0DF9D12-E17B-4F5A-BF29-D40A46057F9C}"/>
    <cellStyle name="Normal 2 2 9 2 2 3 3 2" xfId="22289" xr:uid="{CAA96B49-6C44-4F06-A5FE-8A23ADE9C980}"/>
    <cellStyle name="Normal 2 2 9 2 2 3 4" xfId="23634" xr:uid="{F3ABB695-C29C-4D78-A2D6-2DB57854EF8E}"/>
    <cellStyle name="Normal 2 2 9 2 2 3 5" xfId="16623" xr:uid="{E8E63A6F-3BAC-4660-B702-4D531F68A43E}"/>
    <cellStyle name="Normal 2 2 9 2 2 4" xfId="5135" xr:uid="{245F6AA6-DEC7-4A7D-84D7-8ABF8C2349C1}"/>
    <cellStyle name="Normal 2 2 9 2 2 4 2" xfId="27626" xr:uid="{FA3F526F-2E22-4801-B38D-2ED231AE2E20}"/>
    <cellStyle name="Normal 2 2 9 2 2 4 3" xfId="14432" xr:uid="{2F23C46D-A3CA-4D0F-800A-1226486D3253}"/>
    <cellStyle name="Normal 2 2 9 2 2 5" xfId="6885" xr:uid="{FD726A48-6A26-4D62-9404-44B64235AA13}"/>
    <cellStyle name="Normal 2 2 9 2 2 5 2" xfId="17265" xr:uid="{5368F018-9882-4B32-AE60-CE0BBB909D46}"/>
    <cellStyle name="Normal 2 2 9 2 2 6" xfId="9718" xr:uid="{076D8BDE-5640-4795-B9E1-DFFA6C399710}"/>
    <cellStyle name="Normal 2 2 9 2 2 6 2" xfId="20098" xr:uid="{1898430F-ED98-427B-A436-7A1B3FE55DCB}"/>
    <cellStyle name="Normal 2 2 9 2 2 7" xfId="24877" xr:uid="{ABAD304C-203D-480C-930A-2F320F0AE843}"/>
    <cellStyle name="Normal 2 2 9 2 2 8" xfId="13176" xr:uid="{47594634-4882-45D2-9BD7-3099E5F1DBEF}"/>
    <cellStyle name="Normal 2 2 9 2 3" xfId="3209" xr:uid="{00000000-0005-0000-0000-000059040000}"/>
    <cellStyle name="Normal 2 2 9 2 3 2" xfId="4477" xr:uid="{8313F3DA-C79F-47A8-BB2A-50CF42D7C8C4}"/>
    <cellStyle name="Normal 2 2 9 2 3 2 2" xfId="9249" xr:uid="{E80E53B4-F3BC-4E22-8BFF-E897CF71AE85}"/>
    <cellStyle name="Normal 2 2 9 2 3 2 2 2" xfId="29238" xr:uid="{A2775098-798B-4AF1-A49C-4B092072D779}"/>
    <cellStyle name="Normal 2 2 9 2 3 2 2 3" xfId="19629" xr:uid="{6284DB13-70E0-403F-91AB-03B380222EBE}"/>
    <cellStyle name="Normal 2 2 9 2 3 2 3" xfId="12082" xr:uid="{FBFDF926-98EA-4AB2-A005-7C70A517C4ED}"/>
    <cellStyle name="Normal 2 2 9 2 3 2 3 2" xfId="22462" xr:uid="{AA14FF73-9E8D-4075-8026-A6A75AC2FF57}"/>
    <cellStyle name="Normal 2 2 9 2 3 2 4" xfId="25608" xr:uid="{93448F87-B803-4E54-A303-8B16EC582DD4}"/>
    <cellStyle name="Normal 2 2 9 2 3 2 5" xfId="16796" xr:uid="{81148CBE-F74A-42AB-A8A2-C2F527673A7B}"/>
    <cellStyle name="Normal 2 2 9 2 3 3" xfId="6267" xr:uid="{CCF43E88-38B9-4FCB-8157-32E2C015215D}"/>
    <cellStyle name="Normal 2 2 9 2 3 3 2" xfId="28287" xr:uid="{AC69E698-AD42-41CF-A493-E1563D085FB5}"/>
    <cellStyle name="Normal 2 2 9 2 3 3 3" xfId="15836" xr:uid="{1E12F699-81BA-43F6-9706-99F09B5E50A5}"/>
    <cellStyle name="Normal 2 2 9 2 3 4" xfId="8289" xr:uid="{3FBBF1CE-6BB3-4F39-AA5A-E5404AB6B76F}"/>
    <cellStyle name="Normal 2 2 9 2 3 4 2" xfId="18669" xr:uid="{EDBE740C-B9E0-4BF7-9035-3A660E1C688E}"/>
    <cellStyle name="Normal 2 2 9 2 3 5" xfId="11122" xr:uid="{D763E040-5FB4-4BA3-B799-6E0881D4CF59}"/>
    <cellStyle name="Normal 2 2 9 2 3 5 2" xfId="21502" xr:uid="{F3FFCCF0-518B-4E63-AB60-2F210EB17F47}"/>
    <cellStyle name="Normal 2 2 9 2 3 6" xfId="25384" xr:uid="{D9145492-127B-4B29-9909-8A59F19CF7CC}"/>
    <cellStyle name="Normal 2 2 9 2 3 7" xfId="13751" xr:uid="{35DC49CF-F7A0-4AD2-8F17-4913E8F088D1}"/>
    <cellStyle name="Normal 2 2 9 2 4" xfId="3207" xr:uid="{00000000-0005-0000-0000-00005A040000}"/>
    <cellStyle name="Normal 2 2 9 2 4 2" xfId="6265" xr:uid="{B7B4F429-72CC-4B01-A5F8-0C529335D655}"/>
    <cellStyle name="Normal 2 2 9 2 4 2 2" xfId="26784" xr:uid="{93E16350-F3BF-4D34-89D7-B9D07719EDD8}"/>
    <cellStyle name="Normal 2 2 9 2 4 2 3" xfId="15834" xr:uid="{D9C9F4E9-2D24-44EB-8BF5-15AD6CFAD07C}"/>
    <cellStyle name="Normal 2 2 9 2 4 3" xfId="8287" xr:uid="{73AFDC4F-E0AB-47D1-B20B-42EEACB2E07F}"/>
    <cellStyle name="Normal 2 2 9 2 4 3 2" xfId="18667" xr:uid="{0C532E37-1A5A-4B9A-B1DB-D07EB8FE32FC}"/>
    <cellStyle name="Normal 2 2 9 2 4 4" xfId="11120" xr:uid="{0875B57E-E03B-40DF-BD59-83999B593E62}"/>
    <cellStyle name="Normal 2 2 9 2 4 4 2" xfId="21500" xr:uid="{D0B66FE5-F5AC-4D88-8ABE-A01FDD7357CE}"/>
    <cellStyle name="Normal 2 2 9 2 4 5" xfId="23670" xr:uid="{52BF81DB-1EBD-4F0A-8845-443421D17A5E}"/>
    <cellStyle name="Normal 2 2 9 2 4 6" xfId="13749" xr:uid="{C218FCF3-95CC-4C06-9930-9B7704114871}"/>
    <cellStyle name="Normal 2 2 9 2 5" xfId="2656" xr:uid="{00000000-0005-0000-0000-00005B040000}"/>
    <cellStyle name="Normal 2 2 9 2 5 2" xfId="5916" xr:uid="{066E98A4-22C7-47F3-8C73-5BDE60E6F5CC}"/>
    <cellStyle name="Normal 2 2 9 2 5 2 2" xfId="28737" xr:uid="{2E3A3116-6CEA-4E37-8B3C-9372A85B73FE}"/>
    <cellStyle name="Normal 2 2 9 2 5 2 3" xfId="15328" xr:uid="{41F1E94F-584B-401E-B971-FE84B3C2D3E5}"/>
    <cellStyle name="Normal 2 2 9 2 5 3" xfId="7781" xr:uid="{931D7A9D-DA69-409F-8D14-CCDF93E8054F}"/>
    <cellStyle name="Normal 2 2 9 2 5 3 2" xfId="18161" xr:uid="{B380321C-8933-4980-9F6A-632936970452}"/>
    <cellStyle name="Normal 2 2 9 2 5 4" xfId="10614" xr:uid="{1B722676-E96F-4773-9FA7-78CE58CC446D}"/>
    <cellStyle name="Normal 2 2 9 2 5 4 2" xfId="20994" xr:uid="{15F1E175-287D-4154-B9DD-670FCF6D7170}"/>
    <cellStyle name="Normal 2 2 9 2 5 5" xfId="25109" xr:uid="{8B2AB8DF-A85E-42E0-8C01-CFAA26ABAD33}"/>
    <cellStyle name="Normal 2 2 9 2 5 6" xfId="13058" xr:uid="{DECB8372-EBEB-47DE-B3E9-29BACCC4346E}"/>
    <cellStyle name="Normal 2 2 9 2 6" xfId="2333" xr:uid="{00000000-0005-0000-0000-000056040000}"/>
    <cellStyle name="Normal 2 2 9 2 6 2" xfId="7460" xr:uid="{095F9ACA-1967-40DC-B76C-2E3068C34CEB}"/>
    <cellStyle name="Normal 2 2 9 2 6 2 2" xfId="17840" xr:uid="{E3132ED5-29A5-48BD-B9B1-3AF52FF49E93}"/>
    <cellStyle name="Normal 2 2 9 2 6 3" xfId="10293" xr:uid="{87F02579-74E7-4385-9A4A-08874974ACC2}"/>
    <cellStyle name="Normal 2 2 9 2 6 3 2" xfId="20673" xr:uid="{CDC89989-730D-42AB-93F0-D15E3FC232FB}"/>
    <cellStyle name="Normal 2 2 9 2 6 4" xfId="25507" xr:uid="{5ACC0668-A923-448C-A5F6-663164FD47CA}"/>
    <cellStyle name="Normal 2 2 9 2 6 5" xfId="15007" xr:uid="{2180B468-4F25-4079-806A-377A4FC24D79}"/>
    <cellStyle name="Normal 2 2 9 2 7" xfId="3848" xr:uid="{0F918769-EAD0-4AAC-89D1-AFD5A0859225}"/>
    <cellStyle name="Normal 2 2 9 2 7 2" xfId="8681" xr:uid="{17702334-6F58-4D1D-8F76-392FB67189FE}"/>
    <cellStyle name="Normal 2 2 9 2 7 2 2" xfId="19061" xr:uid="{E83FBBA5-B865-4F29-AED3-4279815F43B1}"/>
    <cellStyle name="Normal 2 2 9 2 7 3" xfId="11514" xr:uid="{A06F4A4B-CFB1-4587-BC27-6B7C366A5C70}"/>
    <cellStyle name="Normal 2 2 9 2 7 3 2" xfId="21894" xr:uid="{4F8D077A-8920-4403-A492-65E04ABDEB8B}"/>
    <cellStyle name="Normal 2 2 9 2 7 4" xfId="16228" xr:uid="{915258C8-FFAE-4D71-A04E-FA609227AEAA}"/>
    <cellStyle name="Normal 2 2 9 2 8" xfId="5134" xr:uid="{CB51AE57-2149-4880-9609-D38187E012F9}"/>
    <cellStyle name="Normal 2 2 9 2 8 2" xfId="14431" xr:uid="{8A864F12-A3AA-4C15-83D8-8C9A59A52F33}"/>
    <cellStyle name="Normal 2 2 9 2 9" xfId="6884" xr:uid="{C467FDC2-4DB3-4A1D-9E21-AA019FB5FE93}"/>
    <cellStyle name="Normal 2 2 9 2 9 2" xfId="17264" xr:uid="{683B7DA7-1DCE-443A-B5D9-67FAD3561361}"/>
    <cellStyle name="Normal 2 2 9 3" xfId="782" xr:uid="{00000000-0005-0000-0000-0000BA040000}"/>
    <cellStyle name="Normal 2 2 9 3 2" xfId="3210" xr:uid="{00000000-0005-0000-0000-00005D040000}"/>
    <cellStyle name="Normal 2 2 9 3 2 2" xfId="6268" xr:uid="{2D39B0E6-DA01-474A-9F40-B5BCFAC53C15}"/>
    <cellStyle name="Normal 2 2 9 3 2 2 2" xfId="25385" xr:uid="{C4656239-B8BC-443D-853E-F056987458DC}"/>
    <cellStyle name="Normal 2 2 9 3 2 2 3" xfId="25860" xr:uid="{66097556-E49B-4F4C-8635-B96452D3A406}"/>
    <cellStyle name="Normal 2 2 9 3 2 2 4" xfId="15837" xr:uid="{5D12FDC6-4F4B-4742-80B9-35B01350A1F5}"/>
    <cellStyle name="Normal 2 2 9 3 2 3" xfId="8290" xr:uid="{C04C5994-F831-42BD-90BC-7748B06BE714}"/>
    <cellStyle name="Normal 2 2 9 3 2 3 2" xfId="28886" xr:uid="{B9B8D372-0877-44FD-830D-3BF7BDF9DD7F}"/>
    <cellStyle name="Normal 2 2 9 3 2 3 3" xfId="18670" xr:uid="{3DF00537-A76D-447F-855A-ED35DC09FE27}"/>
    <cellStyle name="Normal 2 2 9 3 2 4" xfId="11123" xr:uid="{71FCBC8A-BA68-40C6-AB05-C08B6BB06E3D}"/>
    <cellStyle name="Normal 2 2 9 3 2 4 2" xfId="21503" xr:uid="{07FAC4F6-9AA7-44B9-B5BC-E1D15A92E555}"/>
    <cellStyle name="Normal 2 2 9 3 2 5" xfId="24334" xr:uid="{D30AE943-4C2B-4A0A-B6D6-D40C34E2C1FC}"/>
    <cellStyle name="Normal 2 2 9 3 2 6" xfId="13752" xr:uid="{7F3501BC-CFB5-4D54-8025-838897D480A6}"/>
    <cellStyle name="Normal 2 2 9 3 3" xfId="2738" xr:uid="{00000000-0005-0000-0000-00005E040000}"/>
    <cellStyle name="Normal 2 2 9 3 3 2" xfId="5956" xr:uid="{CA157C0C-9946-47FB-8046-B4118CED5502}"/>
    <cellStyle name="Normal 2 2 9 3 3 2 2" xfId="27632" xr:uid="{0832856C-A4A1-46D5-A04B-C16C014805C7}"/>
    <cellStyle name="Normal 2 2 9 3 3 2 3" xfId="15409" xr:uid="{87F9BCF7-26E8-4CFE-AAE2-2AE359D46526}"/>
    <cellStyle name="Normal 2 2 9 3 3 3" xfId="7862" xr:uid="{6C8BC6E1-66F6-4088-9D06-12D6397B34CE}"/>
    <cellStyle name="Normal 2 2 9 3 3 3 2" xfId="18242" xr:uid="{C1AEDF79-5688-48D9-BB5F-4443F978B2D7}"/>
    <cellStyle name="Normal 2 2 9 3 3 4" xfId="10695" xr:uid="{1E554B85-7C58-4404-B8DA-DDFB13DA88CA}"/>
    <cellStyle name="Normal 2 2 9 3 3 4 2" xfId="21075" xr:uid="{398ED5F8-6BA0-4FA3-B54A-3D345AA9D874}"/>
    <cellStyle name="Normal 2 2 9 3 3 5" xfId="23533" xr:uid="{66FA9E7D-DB2A-42CB-9CC1-8544D5CCF801}"/>
    <cellStyle name="Normal 2 2 9 3 3 6" xfId="13175" xr:uid="{2F8F91B4-B11E-421A-A325-03EAD955C403}"/>
    <cellStyle name="Normal 2 2 9 3 4" xfId="4167" xr:uid="{FEB2FCC6-654F-434C-915F-516E367874F6}"/>
    <cellStyle name="Normal 2 2 9 3 4 2" xfId="8939" xr:uid="{A9821F10-8F72-4E8A-BDA2-3A2376E9360F}"/>
    <cellStyle name="Normal 2 2 9 3 4 2 2" xfId="29034" xr:uid="{1CB40375-5086-42D8-8885-66B42A40EFCF}"/>
    <cellStyle name="Normal 2 2 9 3 4 2 3" xfId="19319" xr:uid="{6D20E4E7-A0F4-465C-A2D5-52BB620504B2}"/>
    <cellStyle name="Normal 2 2 9 3 4 3" xfId="11772" xr:uid="{D87D4F8C-C2DF-4B10-BE47-9078CC604945}"/>
    <cellStyle name="Normal 2 2 9 3 4 3 2" xfId="22152" xr:uid="{11C94CFB-BF39-4075-9EA9-95DC12699D91}"/>
    <cellStyle name="Normal 2 2 9 3 4 4" xfId="24722" xr:uid="{0CAC1D0B-164D-4449-98BB-B0A088896CF1}"/>
    <cellStyle name="Normal 2 2 9 3 4 5" xfId="16486" xr:uid="{5EE6D20E-DD12-42B4-9D95-F43D84C6E645}"/>
    <cellStyle name="Normal 2 2 9 3 5" xfId="5136" xr:uid="{8F6503DE-4DD2-4276-8C13-F64470D91849}"/>
    <cellStyle name="Normal 2 2 9 3 5 2" xfId="27229" xr:uid="{1DB8C7D0-5465-403D-AA5E-C8B10D5727A7}"/>
    <cellStyle name="Normal 2 2 9 3 5 3" xfId="14433" xr:uid="{A5BEBA1A-0BAC-4895-BF49-67CD6C7D4BCE}"/>
    <cellStyle name="Normal 2 2 9 3 6" xfId="6886" xr:uid="{D51A0510-A5CA-4ACB-BD8C-0F4B9BC12523}"/>
    <cellStyle name="Normal 2 2 9 3 6 2" xfId="17266" xr:uid="{479A240C-41B7-436D-949C-CE5F0F19A676}"/>
    <cellStyle name="Normal 2 2 9 3 7" xfId="9719" xr:uid="{89CE7C24-6BF3-4902-ABB6-96B10B2FBB84}"/>
    <cellStyle name="Normal 2 2 9 3 7 2" xfId="20099" xr:uid="{11556F6B-9D61-475C-BEF8-37F48BB4F626}"/>
    <cellStyle name="Normal 2 2 9 3 8" xfId="22787" xr:uid="{9C66E7C5-1CD0-4DCF-A016-59965DFC2551}"/>
    <cellStyle name="Normal 2 2 9 3 9" xfId="12725" xr:uid="{FF18E998-1704-41C2-BBEA-6237A32D147E}"/>
    <cellStyle name="Normal 2 2 9 4" xfId="783" xr:uid="{00000000-0005-0000-0000-0000BB040000}"/>
    <cellStyle name="Normal 2 2 9 4 2" xfId="4478" xr:uid="{2362C482-E221-495B-A354-A7272537504C}"/>
    <cellStyle name="Normal 2 2 9 4 2 2" xfId="9250" xr:uid="{82B3185A-4D0E-48D1-B44F-6BC0DD3BAA10}"/>
    <cellStyle name="Normal 2 2 9 4 2 2 2" xfId="29239" xr:uid="{054C77C3-338F-4438-9C03-0948B3A815A7}"/>
    <cellStyle name="Normal 2 2 9 4 2 2 3" xfId="19630" xr:uid="{D973F2FA-31B8-4A99-9C9E-0B85E23657FB}"/>
    <cellStyle name="Normal 2 2 9 4 2 3" xfId="12083" xr:uid="{88842306-2D0F-47F7-A6B7-38FA18A8BE23}"/>
    <cellStyle name="Normal 2 2 9 4 2 3 2" xfId="22463" xr:uid="{617208F0-696B-428C-8DE5-F78444531BA4}"/>
    <cellStyle name="Normal 2 2 9 4 2 4" xfId="24534" xr:uid="{D0D79DD2-3E3D-4A7F-B862-6DF0B1F4B4DD}"/>
    <cellStyle name="Normal 2 2 9 4 2 5" xfId="16797" xr:uid="{DB8D4652-4D6D-4810-8B3D-5210F22E6A1C}"/>
    <cellStyle name="Normal 2 2 9 4 3" xfId="5137" xr:uid="{E9254D01-BFB0-402E-8D52-577A6300D105}"/>
    <cellStyle name="Normal 2 2 9 4 3 2" xfId="27866" xr:uid="{C90B883F-4BE4-4F2F-BC2A-CE93656741F3}"/>
    <cellStyle name="Normal 2 2 9 4 3 3" xfId="14434" xr:uid="{212F0685-2D21-4A1A-BFF9-C490BE9112DB}"/>
    <cellStyle name="Normal 2 2 9 4 4" xfId="6887" xr:uid="{D2E6984A-27CB-4F5F-926F-84B2AD048FF4}"/>
    <cellStyle name="Normal 2 2 9 4 4 2" xfId="17267" xr:uid="{9162E991-4889-41FF-BA25-F3773EA10E60}"/>
    <cellStyle name="Normal 2 2 9 4 5" xfId="9720" xr:uid="{7ADA9F6F-75BB-4559-B04B-0B2186D06BA4}"/>
    <cellStyle name="Normal 2 2 9 4 5 2" xfId="20100" xr:uid="{C6F61D03-9224-494C-9E9F-EA2D76108A8F}"/>
    <cellStyle name="Normal 2 2 9 4 6" xfId="23898" xr:uid="{6B65C735-A254-4FFA-81E7-3E81A6CB83CF}"/>
    <cellStyle name="Normal 2 2 9 4 7" xfId="13753" xr:uid="{CF41414D-EF66-49D0-89CA-717D1B7EFB5E}"/>
    <cellStyle name="Normal 2 2 9 5" xfId="2908" xr:uid="{00000000-0005-0000-0000-000060040000}"/>
    <cellStyle name="Normal 2 2 9 5 2" xfId="6094" xr:uid="{37308E7F-B354-4837-8AB8-6A00B87C44A8}"/>
    <cellStyle name="Normal 2 2 9 5 2 2" xfId="25632" xr:uid="{274D68A6-4AC9-4AE4-A5B5-F8EF1F0D5761}"/>
    <cellStyle name="Normal 2 2 9 5 2 3" xfId="26810" xr:uid="{0EF4F193-EFA2-4A8C-BE91-8711529663F0}"/>
    <cellStyle name="Normal 2 2 9 5 2 4" xfId="15572" xr:uid="{76171DE7-4B64-4499-B37F-8A00D8588858}"/>
    <cellStyle name="Normal 2 2 9 5 3" xfId="8025" xr:uid="{E5ABCE4A-2750-4DE7-8801-3C1797140E86}"/>
    <cellStyle name="Normal 2 2 9 5 3 2" xfId="26453" xr:uid="{B0CBD696-8FF6-45FA-BBB1-A52347B32FE1}"/>
    <cellStyle name="Normal 2 2 9 5 3 3" xfId="18405" xr:uid="{0B10E619-CD0B-4530-8AF2-0CFEF6F96613}"/>
    <cellStyle name="Normal 2 2 9 5 4" xfId="10858" xr:uid="{C4A97003-54B9-485F-9DC3-3A90E0E98911}"/>
    <cellStyle name="Normal 2 2 9 5 4 2" xfId="21238" xr:uid="{B2BD5171-07AB-4494-95AD-84D624E33E80}"/>
    <cellStyle name="Normal 2 2 9 5 5" xfId="24818" xr:uid="{351993E5-0C93-4305-A53D-BD7DF217C1D9}"/>
    <cellStyle name="Normal 2 2 9 5 6" xfId="13423" xr:uid="{90038945-AB67-4587-BCA3-8445C4049B75}"/>
    <cellStyle name="Normal 2 2 9 6" xfId="2505" xr:uid="{00000000-0005-0000-0000-000061040000}"/>
    <cellStyle name="Normal 2 2 9 6 2" xfId="5785" xr:uid="{99F00FA8-1C72-462C-986D-098929DDBBCD}"/>
    <cellStyle name="Normal 2 2 9 6 2 2" xfId="26276" xr:uid="{754D8D62-5814-4C0C-A531-1E296D13A397}"/>
    <cellStyle name="Normal 2 2 9 6 2 3" xfId="15177" xr:uid="{58736A76-0640-4F58-A9CC-0974276567D3}"/>
    <cellStyle name="Normal 2 2 9 6 3" xfId="7630" xr:uid="{66D056DA-CA68-4D77-A082-6CF8276E79B6}"/>
    <cellStyle name="Normal 2 2 9 6 3 2" xfId="18010" xr:uid="{C20690F7-80B9-4ED5-96CA-C224C49DD706}"/>
    <cellStyle name="Normal 2 2 9 6 4" xfId="10463" xr:uid="{5FA20005-EFBC-4345-AB55-D6B0B1C08945}"/>
    <cellStyle name="Normal 2 2 9 6 4 2" xfId="20843" xr:uid="{878CD430-7F17-4A9F-8EAB-2DBCEBCDB694}"/>
    <cellStyle name="Normal 2 2 9 6 5" xfId="23144" xr:uid="{23FE7488-E8F4-40A5-9259-94282E8DA33D}"/>
    <cellStyle name="Normal 2 2 9 6 6" xfId="12893" xr:uid="{FC830CD8-3471-4BDF-8C41-641F6B16E563}"/>
    <cellStyle name="Normal 2 2 9 7" xfId="2261" xr:uid="{00000000-0005-0000-0000-000055040000}"/>
    <cellStyle name="Normal 2 2 9 7 2" xfId="7388" xr:uid="{EE74E906-B95A-4AB1-9CE9-DBC558707711}"/>
    <cellStyle name="Normal 2 2 9 7 2 2" xfId="17768" xr:uid="{8269C437-07F7-4931-A0BD-24CABA577458}"/>
    <cellStyle name="Normal 2 2 9 7 3" xfId="10221" xr:uid="{BB514019-6FF5-4114-B8C4-6676DD5F8790}"/>
    <cellStyle name="Normal 2 2 9 7 3 2" xfId="20601" xr:uid="{A8F49CE9-37D1-4F8A-89E3-8039BE91ECDC}"/>
    <cellStyle name="Normal 2 2 9 7 4" xfId="22872" xr:uid="{D303FCCE-F40D-463A-A780-4CE811BD7827}"/>
    <cellStyle name="Normal 2 2 9 7 5" xfId="14935" xr:uid="{F86A18D8-C7DF-48AB-8EDA-F9A1BAF34F45}"/>
    <cellStyle name="Normal 2 2 9 8" xfId="3940" xr:uid="{96E0C2AE-9DCB-4C66-8281-C0A9CC7202B4}"/>
    <cellStyle name="Normal 2 2 9 8 2" xfId="8772" xr:uid="{6D375651-796F-482E-BEDF-D8B7B596C8E2}"/>
    <cellStyle name="Normal 2 2 9 8 2 2" xfId="19152" xr:uid="{256C7DC4-4D46-4D28-99C4-BD1827B0AC3E}"/>
    <cellStyle name="Normal 2 2 9 8 3" xfId="11605" xr:uid="{52340EEA-7A47-46AE-BFEA-789AAC2A9B97}"/>
    <cellStyle name="Normal 2 2 9 8 3 2" xfId="21985" xr:uid="{4ED2DC6C-96A3-4FDB-B281-60419CF414B7}"/>
    <cellStyle name="Normal 2 2 9 8 4" xfId="16319" xr:uid="{C4A7D629-C3DD-4EE4-8EEA-12322EF71CB7}"/>
    <cellStyle name="Normal 2 2 9 9" xfId="5133" xr:uid="{A06390DB-BBFA-486C-ADF2-9350D719BB3F}"/>
    <cellStyle name="Normal 2 2 9 9 2" xfId="14430" xr:uid="{2BA6E952-82D0-4EF4-B62B-56E2C51F8061}"/>
    <cellStyle name="Normal 2 20" xfId="25548" xr:uid="{8C07E1A6-A1CC-4080-84CB-6FD0AE66A6D9}"/>
    <cellStyle name="Normal 2 20 2" xfId="25746" xr:uid="{307D95C4-C3D3-4858-8958-4CE880C31BF9}"/>
    <cellStyle name="Normal 2 21" xfId="22712" xr:uid="{946996B7-D821-4E03-9730-38F8FCB07445}"/>
    <cellStyle name="Normal 2 22" xfId="23637" xr:uid="{A4E39459-462C-454A-A30C-B043BE56C80C}"/>
    <cellStyle name="Normal 2 23" xfId="12387" xr:uid="{E65DE861-3430-4CC0-B8E2-F1AE8E21C22C}"/>
    <cellStyle name="Normal 2 24" xfId="29564" xr:uid="{8B3042BB-E780-4116-ACB4-69BF5D526462}"/>
    <cellStyle name="Normal 2 3" xfId="784" xr:uid="{00000000-0005-0000-0000-0000BC040000}"/>
    <cellStyle name="Normal 2 3 2" xfId="29566" xr:uid="{F18019D2-0B1A-48F3-A5C5-3D5F4CA2DF1A}"/>
    <cellStyle name="Normal 2 3 2 2" xfId="29629" xr:uid="{656E65D2-23FD-4E43-B6BE-DB53AC61741A}"/>
    <cellStyle name="Normal 2 3 2 3" xfId="29595" xr:uid="{82C16487-6617-4685-AEC1-6C7043E9D731}"/>
    <cellStyle name="Normal 2 4" xfId="785" xr:uid="{00000000-0005-0000-0000-0000BD040000}"/>
    <cellStyle name="Normal 2 4 2" xfId="29568" xr:uid="{8285FB9B-A599-4592-A61F-F7A876DCE316}"/>
    <cellStyle name="Normal 2 4 3" xfId="29567" xr:uid="{11DD0961-B7F5-48F1-BEE3-E9918CE52AA0}"/>
    <cellStyle name="Normal 2 5" xfId="786" xr:uid="{00000000-0005-0000-0000-0000BE040000}"/>
    <cellStyle name="Normal 2 5 10" xfId="787" xr:uid="{00000000-0005-0000-0000-0000BF040000}"/>
    <cellStyle name="Normal 2 5 10 2" xfId="3211" xr:uid="{00000000-0005-0000-0000-000066040000}"/>
    <cellStyle name="Normal 2 5 10 2 2" xfId="6269" xr:uid="{BB570923-EB98-4E0A-A52E-B4A7D9FAB640}"/>
    <cellStyle name="Normal 2 5 10 2 2 2" xfId="28719" xr:uid="{5F5F8159-8F49-4161-AE72-F6F10E85D3B5}"/>
    <cellStyle name="Normal 2 5 10 2 2 3" xfId="15838" xr:uid="{4324C264-E210-4C34-B4F6-2998CC94C58C}"/>
    <cellStyle name="Normal 2 5 10 2 3" xfId="8291" xr:uid="{D24D90A7-DC6C-4EDA-9592-6191A6C11F6A}"/>
    <cellStyle name="Normal 2 5 10 2 3 2" xfId="18671" xr:uid="{EAC5383B-5809-41BD-8073-95280C01FF36}"/>
    <cellStyle name="Normal 2 5 10 2 4" xfId="11124" xr:uid="{C8439742-051E-4ABE-9CB3-AA49C50B305A}"/>
    <cellStyle name="Normal 2 5 10 2 4 2" xfId="21504" xr:uid="{C20AE42A-BAD0-41E5-B8AB-06260DFE89CD}"/>
    <cellStyle name="Normal 2 5 10 2 5" xfId="23831" xr:uid="{80B8D4F9-2934-4D7A-BC9A-BF723751EF12}"/>
    <cellStyle name="Normal 2 5 10 2 6" xfId="13754" xr:uid="{55EE152E-587A-4ED0-91D8-A91793FF282A}"/>
    <cellStyle name="Normal 2 5 10 3" xfId="4119" xr:uid="{DDB8ACD5-94B4-4458-86EE-644F5AE09792}"/>
    <cellStyle name="Normal 2 5 10 3 2" xfId="8891" xr:uid="{EF530358-A2BC-41AF-895D-3DE813854A26}"/>
    <cellStyle name="Normal 2 5 10 3 2 2" xfId="29005" xr:uid="{BAA8C525-3BA7-44D3-AFCB-1185746F267E}"/>
    <cellStyle name="Normal 2 5 10 3 2 3" xfId="19271" xr:uid="{04ACBD67-1562-4A9A-BCEC-7BA8F903CE24}"/>
    <cellStyle name="Normal 2 5 10 3 3" xfId="11724" xr:uid="{AFB8A9D2-2B05-4E6F-BF1B-033DE40C0E1D}"/>
    <cellStyle name="Normal 2 5 10 3 3 2" xfId="22104" xr:uid="{A5BA9508-4759-408B-A6BF-B9D8634B3BAD}"/>
    <cellStyle name="Normal 2 5 10 3 4" xfId="24191" xr:uid="{A9E07380-D1BA-4535-9303-56888FAC8040}"/>
    <cellStyle name="Normal 2 5 10 3 5" xfId="16438" xr:uid="{C1FDBDBD-D88E-44A0-87B5-4724356DA33F}"/>
    <cellStyle name="Normal 2 5 10 4" xfId="5139" xr:uid="{496D32EC-DDFF-4EDD-A308-A2AE93E9F8B1}"/>
    <cellStyle name="Normal 2 5 10 4 2" xfId="24079" xr:uid="{7ECB6E9A-F36D-494A-AB71-30687663ED72}"/>
    <cellStyle name="Normal 2 5 10 4 3" xfId="28014" xr:uid="{91CED4CF-F180-4B9C-83CD-484CBD483A1E}"/>
    <cellStyle name="Normal 2 5 10 4 4" xfId="14436" xr:uid="{37C093D4-CD1C-4EA5-92F8-E433DAF86FDD}"/>
    <cellStyle name="Normal 2 5 10 5" xfId="6889" xr:uid="{C63BBBE3-D939-40B3-9EF4-C31A308605D9}"/>
    <cellStyle name="Normal 2 5 10 5 2" xfId="26601" xr:uid="{93F8A69A-2E39-499E-BB48-B66C048A9AC1}"/>
    <cellStyle name="Normal 2 5 10 5 3" xfId="17269" xr:uid="{0AF9C638-D7BF-4047-AAB7-143EFC618AB0}"/>
    <cellStyle name="Normal 2 5 10 5 4" xfId="30764" xr:uid="{BF3217DF-4863-40DD-9992-F42197A6C65A}"/>
    <cellStyle name="Normal 2 5 10 6" xfId="9722" xr:uid="{937EB46E-F31B-420F-AD2A-16F82EBE2377}"/>
    <cellStyle name="Normal 2 5 10 6 2" xfId="20102" xr:uid="{10C10AB9-61A9-4274-9022-41E9537602AB}"/>
    <cellStyle name="Normal 2 5 10 7" xfId="24247" xr:uid="{02D79B2E-D591-4F79-889B-EEEFA7048349}"/>
    <cellStyle name="Normal 2 5 10 8" xfId="12662" xr:uid="{C7BC99CF-0783-4E1F-BB67-EDD91842DE03}"/>
    <cellStyle name="Normal 2 5 11" xfId="788" xr:uid="{00000000-0005-0000-0000-0000C0040000}"/>
    <cellStyle name="Normal 2 5 11 2" xfId="5140" xr:uid="{F005D30F-FF67-45E9-A450-26698085BABC}"/>
    <cellStyle name="Normal 2 5 11 2 2" xfId="24819" xr:uid="{008FDD4D-49A9-4BAF-BBA3-0E6B47ABC6DA}"/>
    <cellStyle name="Normal 2 5 11 2 3" xfId="26798" xr:uid="{B705362F-4C68-48B1-8997-9814484B93F3}"/>
    <cellStyle name="Normal 2 5 11 2 4" xfId="14437" xr:uid="{7EE87423-A796-4F51-8DFD-52589EF113D6}"/>
    <cellStyle name="Normal 2 5 11 3" xfId="6890" xr:uid="{9342098C-48F1-4F2B-9DD6-F182EDB8FE95}"/>
    <cellStyle name="Normal 2 5 11 3 2" xfId="27000" xr:uid="{B3C9FD38-4A6F-4077-8BAB-0AD1D9A12233}"/>
    <cellStyle name="Normal 2 5 11 3 3" xfId="17270" xr:uid="{3279319A-C6BB-4F64-BC8B-351BF97426E6}"/>
    <cellStyle name="Normal 2 5 11 4" xfId="9723" xr:uid="{E53A3328-A7EF-467F-B730-4075A2473213}"/>
    <cellStyle name="Normal 2 5 11 4 2" xfId="20103" xr:uid="{FD5C7BF8-B5BD-4C7D-9F3B-7D99FCDC4075}"/>
    <cellStyle name="Normal 2 5 11 5" xfId="24245" xr:uid="{3788D9FA-66EB-47C5-9AEC-7332395FD6AF}"/>
    <cellStyle name="Normal 2 5 11 6" xfId="13360" xr:uid="{B01AB50D-938E-4718-A14C-7D42ECB88508}"/>
    <cellStyle name="Normal 2 5 12" xfId="2436" xr:uid="{00000000-0005-0000-0000-000068040000}"/>
    <cellStyle name="Normal 2 5 12 2" xfId="5731" xr:uid="{096EF621-B617-4627-98A1-6862B4F3B620}"/>
    <cellStyle name="Normal 2 5 12 2 2" xfId="26625" xr:uid="{DD4E1CB5-4B42-4295-A8A0-3B7AE1DAE113}"/>
    <cellStyle name="Normal 2 5 12 2 3" xfId="15108" xr:uid="{2C8232ED-F690-4082-926E-DB18085C5A02}"/>
    <cellStyle name="Normal 2 5 12 3" xfId="7561" xr:uid="{36C148BE-855D-4899-98EC-529E064364D5}"/>
    <cellStyle name="Normal 2 5 12 3 2" xfId="17941" xr:uid="{CEC03613-AB80-4C38-9B21-BDC899AC009A}"/>
    <cellStyle name="Normal 2 5 12 4" xfId="10394" xr:uid="{F0C15155-4B9D-4A0F-9507-2F92A24BFE07}"/>
    <cellStyle name="Normal 2 5 12 4 2" xfId="20774" xr:uid="{A49E76F3-A2AD-4C67-8430-BB24CD8F3F8C}"/>
    <cellStyle name="Normal 2 5 12 5" xfId="23767" xr:uid="{A1CE3D32-0046-48AD-B09B-D4083067B680}"/>
    <cellStyle name="Normal 2 5 12 6" xfId="12823" xr:uid="{86ACC9CC-F44C-4117-9AB4-6A9559F76DDC}"/>
    <cellStyle name="Normal 2 5 13" xfId="2163" xr:uid="{00000000-0005-0000-0000-000064040000}"/>
    <cellStyle name="Normal 2 5 13 2" xfId="7290" xr:uid="{ABEA086E-CEFA-489D-BD20-6B107CD1870B}"/>
    <cellStyle name="Normal 2 5 13 2 2" xfId="26579" xr:uid="{D260554D-4353-4EC1-B66F-311507496991}"/>
    <cellStyle name="Normal 2 5 13 2 3" xfId="17670" xr:uid="{8EBF220B-282E-41A7-AF41-C534F17701C9}"/>
    <cellStyle name="Normal 2 5 13 3" xfId="10123" xr:uid="{6A476768-D707-4ED5-BCB1-303E7DA4C769}"/>
    <cellStyle name="Normal 2 5 13 3 2" xfId="20503" xr:uid="{B3A61B77-C986-48B7-9343-6A8688595B2C}"/>
    <cellStyle name="Normal 2 5 13 4" xfId="22806" xr:uid="{6B0BA96D-35B7-49F7-830B-F9BFD253AA3E}"/>
    <cellStyle name="Normal 2 5 13 5" xfId="14837" xr:uid="{33123260-80D1-46FD-B871-43C333B6E120}"/>
    <cellStyle name="Normal 2 5 14" xfId="3943" xr:uid="{4DF58CCA-A726-4F51-8773-D10E59D234F1}"/>
    <cellStyle name="Normal 2 5 14 2" xfId="8775" xr:uid="{93949D46-D187-4026-9884-5EC9985C6C90}"/>
    <cellStyle name="Normal 2 5 14 2 2" xfId="19155" xr:uid="{AADD6B47-A051-4A52-B750-D6214780511B}"/>
    <cellStyle name="Normal 2 5 14 3" xfId="11608" xr:uid="{3030196D-AC29-4CC1-A4E3-429340782493}"/>
    <cellStyle name="Normal 2 5 14 3 2" xfId="21988" xr:uid="{B844FA76-9644-4BA7-AE11-FDA85DD4D7AB}"/>
    <cellStyle name="Normal 2 5 14 4" xfId="28133" xr:uid="{37A0DECA-5050-4AE6-BB44-4BBEC15BCA14}"/>
    <cellStyle name="Normal 2 5 14 5" xfId="16322" xr:uid="{9CBA3C09-DDE3-4A3A-B6FE-98AABDE829D0}"/>
    <cellStyle name="Normal 2 5 15" xfId="5138" xr:uid="{1552226D-8AD7-45BC-AC77-D1272FF83047}"/>
    <cellStyle name="Normal 2 5 15 2" xfId="14435" xr:uid="{8ABFF19D-954D-4F51-83EE-1B64AB4EC3AA}"/>
    <cellStyle name="Normal 2 5 16" xfId="6888" xr:uid="{E34B52DD-0D95-4E57-BBDB-84BDBA808D26}"/>
    <cellStyle name="Normal 2 5 16 2" xfId="17268" xr:uid="{FE68BB87-5ED9-416F-8B0B-1BBFB56CE6A4}"/>
    <cellStyle name="Normal 2 5 17" xfId="9721" xr:uid="{71B0E6CE-EC01-41D8-A4CF-0F31019EB11C}"/>
    <cellStyle name="Normal 2 5 17 2" xfId="20101" xr:uid="{A2897E3B-E47D-46A7-84AE-5CD93504EFEE}"/>
    <cellStyle name="Normal 2 5 18" xfId="24437" xr:uid="{282C5376-98C7-49DE-A520-F11DB1848102}"/>
    <cellStyle name="Normal 2 5 19" xfId="12395" xr:uid="{A5866C7D-4474-4E5B-A25F-02BFD262B28F}"/>
    <cellStyle name="Normal 2 5 2" xfId="789" xr:uid="{00000000-0005-0000-0000-0000C1040000}"/>
    <cellStyle name="Normal 2 5 2 10" xfId="5141" xr:uid="{5E4C7B78-933D-4945-8AEB-9937483272E2}"/>
    <cellStyle name="Normal 2 5 2 10 2" xfId="14438" xr:uid="{DFD9B2B3-2BCF-4C25-B678-8DFD6BBF2B8E}"/>
    <cellStyle name="Normal 2 5 2 11" xfId="6891" xr:uid="{D9368D94-A4FA-4857-9E07-D8B06B15D57E}"/>
    <cellStyle name="Normal 2 5 2 11 2" xfId="17271" xr:uid="{467655A8-F471-42A9-962E-68A05B36F8F6}"/>
    <cellStyle name="Normal 2 5 2 12" xfId="9724" xr:uid="{84496DC4-5C98-4F69-8436-A24D80912824}"/>
    <cellStyle name="Normal 2 5 2 12 2" xfId="20104" xr:uid="{D0C5DC80-66E8-42C1-AD5B-5C6E8F8A713F}"/>
    <cellStyle name="Normal 2 5 2 13" xfId="25179" xr:uid="{EC0F43C9-DBE0-4237-89D9-7AD8DC19F42E}"/>
    <cellStyle name="Normal 2 5 2 14" xfId="12421" xr:uid="{153135D3-00A7-45C2-8D52-0FCBDF0AC3C4}"/>
    <cellStyle name="Normal 2 5 2 2" xfId="790" xr:uid="{00000000-0005-0000-0000-0000C2040000}"/>
    <cellStyle name="Normal 2 5 2 2 10" xfId="6892" xr:uid="{E69D7650-486A-4491-800D-8F6D2504A896}"/>
    <cellStyle name="Normal 2 5 2 2 10 2" xfId="17272" xr:uid="{35F78DB7-03B7-43A3-895E-E46CB3E61D12}"/>
    <cellStyle name="Normal 2 5 2 2 11" xfId="9725" xr:uid="{A2374A83-C013-4CC2-A2DA-A768BC6DD1AF}"/>
    <cellStyle name="Normal 2 5 2 2 11 2" xfId="20105" xr:uid="{9CF102B4-BB9D-4FBF-A167-95DF46575A40}"/>
    <cellStyle name="Normal 2 5 2 2 12" xfId="23419" xr:uid="{AAF76358-571E-44F1-BBA4-5EEF5DABC461}"/>
    <cellStyle name="Normal 2 5 2 2 13" xfId="12481" xr:uid="{956D1D4A-D7F9-4B2D-BFE3-178543F91DF7}"/>
    <cellStyle name="Normal 2 5 2 2 2" xfId="791" xr:uid="{00000000-0005-0000-0000-0000C3040000}"/>
    <cellStyle name="Normal 2 5 2 2 2 10" xfId="13046" xr:uid="{C1BC4533-3E99-4779-BD5A-8281B4F68D49}"/>
    <cellStyle name="Normal 2 5 2 2 2 2" xfId="2742" xr:uid="{00000000-0005-0000-0000-00006C040000}"/>
    <cellStyle name="Normal 2 5 2 2 2 2 2" xfId="3214" xr:uid="{00000000-0005-0000-0000-00006D040000}"/>
    <cellStyle name="Normal 2 5 2 2 2 2 2 2" xfId="6272" xr:uid="{1F60F743-6634-4AA0-956C-50EA423C2DBB}"/>
    <cellStyle name="Normal 2 5 2 2 2 2 2 2 2" xfId="26708" xr:uid="{8E9EC44E-3D2B-402F-8E0F-730780C68AD0}"/>
    <cellStyle name="Normal 2 5 2 2 2 2 2 2 3" xfId="15841" xr:uid="{C7CCCB08-9E97-4003-A666-90BA8338079A}"/>
    <cellStyle name="Normal 2 5 2 2 2 2 2 3" xfId="8294" xr:uid="{746ED92A-4C36-47EA-B1E1-5D85EF50B979}"/>
    <cellStyle name="Normal 2 5 2 2 2 2 2 3 2" xfId="18674" xr:uid="{4F8F5E0A-42CF-4B14-8FC0-C80052C09717}"/>
    <cellStyle name="Normal 2 5 2 2 2 2 2 4" xfId="11127" xr:uid="{AB268A94-0A26-4D5B-9C10-AFABD460EAE7}"/>
    <cellStyle name="Normal 2 5 2 2 2 2 2 4 2" xfId="21507" xr:uid="{DD2C4C44-961D-43D9-96DD-698D8876E680}"/>
    <cellStyle name="Normal 2 5 2 2 2 2 2 5" xfId="24503" xr:uid="{B12373CE-A6D4-4B8B-8D2B-AE7DC049519C}"/>
    <cellStyle name="Normal 2 5 2 2 2 2 2 6" xfId="13757" xr:uid="{252D745E-372A-4110-9AA9-270F2D31A616}"/>
    <cellStyle name="Normal 2 5 2 2 2 2 3" xfId="4306" xr:uid="{8AEEB3DE-61B6-4FE7-AAE0-3DAE26A51726}"/>
    <cellStyle name="Normal 2 5 2 2 2 2 3 2" xfId="9078" xr:uid="{371B2CD9-BE12-46CB-B681-68BBCED36EC2}"/>
    <cellStyle name="Normal 2 5 2 2 2 2 3 2 2" xfId="29121" xr:uid="{B54BA6AD-664A-44A1-8BE5-620E3C67CD29}"/>
    <cellStyle name="Normal 2 5 2 2 2 2 3 2 3" xfId="19458" xr:uid="{08EA89A7-045C-4B3A-B081-E913B141AC40}"/>
    <cellStyle name="Normal 2 5 2 2 2 2 3 3" xfId="11911" xr:uid="{168DAC8F-2DA8-4EC2-B395-1396EA01EC77}"/>
    <cellStyle name="Normal 2 5 2 2 2 2 3 3 2" xfId="22291" xr:uid="{E1B7EF95-0888-4BAD-9712-ECB0A335DC93}"/>
    <cellStyle name="Normal 2 5 2 2 2 2 3 4" xfId="24851" xr:uid="{4D32A168-7AA7-4D6B-9397-C30D355B2B6A}"/>
    <cellStyle name="Normal 2 5 2 2 2 2 3 5" xfId="16625" xr:uid="{802E9D0C-24CF-4285-A4D4-FDCD9177C3AD}"/>
    <cellStyle name="Normal 2 5 2 2 2 2 4" xfId="5960" xr:uid="{3ED9C625-B21E-47E8-A34C-ADCFCCE51054}"/>
    <cellStyle name="Normal 2 5 2 2 2 2 4 2" xfId="26306" xr:uid="{39CA9F07-3D37-409F-9500-8112C39F74EA}"/>
    <cellStyle name="Normal 2 5 2 2 2 2 4 3" xfId="15413" xr:uid="{61405212-7891-41EA-896E-2CEFC2B3C91D}"/>
    <cellStyle name="Normal 2 5 2 2 2 2 5" xfId="7866" xr:uid="{6157CD86-5524-4E68-815E-14A2EDC57752}"/>
    <cellStyle name="Normal 2 5 2 2 2 2 5 2" xfId="18246" xr:uid="{5CF63585-ACE5-47AC-9BD4-224C128A839C}"/>
    <cellStyle name="Normal 2 5 2 2 2 2 6" xfId="10699" xr:uid="{83845B6A-E84F-4953-8868-036BFE90B244}"/>
    <cellStyle name="Normal 2 5 2 2 2 2 6 2" xfId="21079" xr:uid="{913A8362-ED8F-4942-9A55-8F5F9AF07E7C}"/>
    <cellStyle name="Normal 2 5 2 2 2 2 7" xfId="23020" xr:uid="{C96626A7-8A30-4A18-B351-B60F31361BBD}"/>
    <cellStyle name="Normal 2 5 2 2 2 2 8" xfId="13180" xr:uid="{891D6BE0-84F5-4991-A767-D7C48F75C934}"/>
    <cellStyle name="Normal 2 5 2 2 2 3" xfId="3215" xr:uid="{00000000-0005-0000-0000-00006E040000}"/>
    <cellStyle name="Normal 2 5 2 2 2 3 2" xfId="4479" xr:uid="{36BCBF59-3A2F-455A-91E4-3790C01DA354}"/>
    <cellStyle name="Normal 2 5 2 2 2 3 2 2" xfId="9251" xr:uid="{05652BB2-E29D-4C98-92EF-A8DDD59C9960}"/>
    <cellStyle name="Normal 2 5 2 2 2 3 2 2 2" xfId="19631" xr:uid="{E4DE5BF3-388A-4E0B-8922-811E7C8B7E95}"/>
    <cellStyle name="Normal 2 5 2 2 2 3 2 3" xfId="12084" xr:uid="{517B48F6-EBFD-4B47-85E1-E2002532C5F2}"/>
    <cellStyle name="Normal 2 5 2 2 2 3 2 3 2" xfId="22464" xr:uid="{A8B4C9C2-D85E-4D4E-BAEA-964415011FFD}"/>
    <cellStyle name="Normal 2 5 2 2 2 3 2 4" xfId="26011" xr:uid="{D767D733-1D9E-4A1B-B87C-48D72D4D16A6}"/>
    <cellStyle name="Normal 2 5 2 2 2 3 2 5" xfId="16798" xr:uid="{EDF6B23B-6D74-4B2F-8CF0-895567AF8D24}"/>
    <cellStyle name="Normal 2 5 2 2 2 3 3" xfId="6273" xr:uid="{E237BBFF-353E-4FF3-8F34-88D0CAFA6419}"/>
    <cellStyle name="Normal 2 5 2 2 2 3 3 2" xfId="15842" xr:uid="{21A2DB3F-C021-4DDF-9BCB-322B912BB2E6}"/>
    <cellStyle name="Normal 2 5 2 2 2 3 4" xfId="8295" xr:uid="{60218A56-EF6F-447B-A2DF-9964297231C1}"/>
    <cellStyle name="Normal 2 5 2 2 2 3 4 2" xfId="18675" xr:uid="{C8D3D6F3-F699-4739-8303-77921F1C33D5}"/>
    <cellStyle name="Normal 2 5 2 2 2 3 5" xfId="11128" xr:uid="{655DEBB3-451A-4310-A5ED-34F38583CCC7}"/>
    <cellStyle name="Normal 2 5 2 2 2 3 5 2" xfId="21508" xr:uid="{F09793CA-A50B-4AF8-B1E7-ECE6235C50DC}"/>
    <cellStyle name="Normal 2 5 2 2 2 3 6" xfId="23360" xr:uid="{6724D974-014A-4C1D-AFCF-15F0DAD3861B}"/>
    <cellStyle name="Normal 2 5 2 2 2 3 7" xfId="13758" xr:uid="{4550D860-A979-4584-9235-6FF3536883AB}"/>
    <cellStyle name="Normal 2 5 2 2 2 4" xfId="3213" xr:uid="{00000000-0005-0000-0000-00006F040000}"/>
    <cellStyle name="Normal 2 5 2 2 2 4 2" xfId="6271" xr:uid="{470586E9-20A5-4102-89F8-91C21CAF62B6}"/>
    <cellStyle name="Normal 2 5 2 2 2 4 2 2" xfId="27179" xr:uid="{76524590-BE25-4E90-9A12-CB4BABFB9FDE}"/>
    <cellStyle name="Normal 2 5 2 2 2 4 2 3" xfId="15840" xr:uid="{8468030D-1416-4FFD-A057-2D3BCFCE884E}"/>
    <cellStyle name="Normal 2 5 2 2 2 4 3" xfId="8293" xr:uid="{F94E1009-82AC-49F2-AFAA-D945FD059FB2}"/>
    <cellStyle name="Normal 2 5 2 2 2 4 3 2" xfId="18673" xr:uid="{3F375015-1CDB-494B-8980-F58059EB35D9}"/>
    <cellStyle name="Normal 2 5 2 2 2 4 4" xfId="11126" xr:uid="{DF4D42A6-4084-41D5-A4D8-2102E2D2B083}"/>
    <cellStyle name="Normal 2 5 2 2 2 4 4 2" xfId="21506" xr:uid="{100E25DA-9780-489B-ADB2-713629F41DAA}"/>
    <cellStyle name="Normal 2 5 2 2 2 4 5" xfId="22639" xr:uid="{ADDD103C-D91C-4D25-88C7-6C864115B982}"/>
    <cellStyle name="Normal 2 5 2 2 2 4 6" xfId="13756" xr:uid="{350B0D98-801D-41B9-B424-5D26F2704B71}"/>
    <cellStyle name="Normal 2 5 2 2 2 5" xfId="4245" xr:uid="{24E76430-8ACA-48F3-A78E-3C87E028080F}"/>
    <cellStyle name="Normal 2 5 2 2 2 5 2" xfId="9017" xr:uid="{940CCF05-FE4F-4221-95B5-FA400D2BE188}"/>
    <cellStyle name="Normal 2 5 2 2 2 5 2 2" xfId="29088" xr:uid="{CDE0CC06-AAAA-42B8-B54E-067A69769F33}"/>
    <cellStyle name="Normal 2 5 2 2 2 5 2 3" xfId="19397" xr:uid="{253F5665-A4C5-4FE6-B6BE-53C551428927}"/>
    <cellStyle name="Normal 2 5 2 2 2 5 3" xfId="11850" xr:uid="{90708FCE-840E-4C45-B1B5-79CF51B9DDDB}"/>
    <cellStyle name="Normal 2 5 2 2 2 5 3 2" xfId="22230" xr:uid="{65618ED9-2AE4-4168-8702-94242206482D}"/>
    <cellStyle name="Normal 2 5 2 2 2 5 4" xfId="23982" xr:uid="{F6874D78-530B-4FE8-8B44-AEA6932DCEEC}"/>
    <cellStyle name="Normal 2 5 2 2 2 5 5" xfId="16564" xr:uid="{565854D8-ADCC-4305-A1F4-C99591DB82BE}"/>
    <cellStyle name="Normal 2 5 2 2 2 6" xfId="5143" xr:uid="{26435337-A12E-4D95-98AB-E38E11DD752F}"/>
    <cellStyle name="Normal 2 5 2 2 2 6 2" xfId="28535" xr:uid="{03DCE3D8-53D6-433C-BE8F-3D8C50817AEB}"/>
    <cellStyle name="Normal 2 5 2 2 2 6 3" xfId="14440" xr:uid="{A6C71034-89B3-4B5C-8BE5-FF08CBE5277C}"/>
    <cellStyle name="Normal 2 5 2 2 2 7" xfId="6893" xr:uid="{0081EC98-3400-4E64-8DF1-938C9FDCD02D}"/>
    <cellStyle name="Normal 2 5 2 2 2 7 2" xfId="17273" xr:uid="{184AC13C-C047-4BF2-8489-DBA2F11BDC8E}"/>
    <cellStyle name="Normal 2 5 2 2 2 8" xfId="9726" xr:uid="{971CDE65-C117-4A08-A4DD-0AEC1378C835}"/>
    <cellStyle name="Normal 2 5 2 2 2 8 2" xfId="20106" xr:uid="{8CE5B0D4-4A3C-4CE9-A4A8-E0C5802DF3A5}"/>
    <cellStyle name="Normal 2 5 2 2 2 9" xfId="24178" xr:uid="{6618C867-3FA3-4D7B-8484-4741A6B6C9E4}"/>
    <cellStyle name="Normal 2 5 2 2 3" xfId="2741" xr:uid="{00000000-0005-0000-0000-000070040000}"/>
    <cellStyle name="Normal 2 5 2 2 3 2" xfId="3216" xr:uid="{00000000-0005-0000-0000-000071040000}"/>
    <cellStyle name="Normal 2 5 2 2 3 2 2" xfId="6274" xr:uid="{125526E2-1B68-4366-BC25-A88A855F197A}"/>
    <cellStyle name="Normal 2 5 2 2 3 2 2 2" xfId="27593" xr:uid="{49ACA487-4871-4BF4-8D6D-5E0878753C3F}"/>
    <cellStyle name="Normal 2 5 2 2 3 2 2 3" xfId="15843" xr:uid="{8760EBA9-5B3C-4871-B38E-FC4EAAB0B506}"/>
    <cellStyle name="Normal 2 5 2 2 3 2 3" xfId="8296" xr:uid="{047E0A3A-8119-44DD-A32E-978D1B8D470F}"/>
    <cellStyle name="Normal 2 5 2 2 3 2 3 2" xfId="18676" xr:uid="{91E8223E-5F4F-41A2-803B-12B570AE548B}"/>
    <cellStyle name="Normal 2 5 2 2 3 2 4" xfId="11129" xr:uid="{43966DBD-200E-4B8C-A4BF-B542AB3D9707}"/>
    <cellStyle name="Normal 2 5 2 2 3 2 4 2" xfId="21509" xr:uid="{12D8F5BF-15E9-42A9-AC8B-C14F93168DC3}"/>
    <cellStyle name="Normal 2 5 2 2 3 2 5" xfId="24621" xr:uid="{B6F4CE5C-2D10-44C3-87D3-1932D40F6231}"/>
    <cellStyle name="Normal 2 5 2 2 3 2 6" xfId="13759" xr:uid="{92FB54DC-6098-4D02-88D5-5E332F9EAF16}"/>
    <cellStyle name="Normal 2 5 2 2 3 3" xfId="4305" xr:uid="{213B3692-4C25-444C-BC01-9EEB2F1609AF}"/>
    <cellStyle name="Normal 2 5 2 2 3 3 2" xfId="9077" xr:uid="{23094562-15D6-4390-AC48-D99AC64F353F}"/>
    <cellStyle name="Normal 2 5 2 2 3 3 2 2" xfId="29120" xr:uid="{EAB57E5F-E699-4426-97B4-F4B7AE02A5C0}"/>
    <cellStyle name="Normal 2 5 2 2 3 3 2 3" xfId="19457" xr:uid="{868E6816-C0A7-4736-A4D9-D52FAAF98090}"/>
    <cellStyle name="Normal 2 5 2 2 3 3 3" xfId="11910" xr:uid="{208E8303-B51A-44B0-96FD-EBC47C97D28D}"/>
    <cellStyle name="Normal 2 5 2 2 3 3 3 2" xfId="22290" xr:uid="{ED6983D7-23B0-4DAB-9AFD-FBB55D688585}"/>
    <cellStyle name="Normal 2 5 2 2 3 3 4" xfId="24729" xr:uid="{144698A1-D602-4E2E-B2EB-596434FEF72C}"/>
    <cellStyle name="Normal 2 5 2 2 3 3 5" xfId="16624" xr:uid="{60893DA7-920E-432B-891E-C2AE7500FA73}"/>
    <cellStyle name="Normal 2 5 2 2 3 4" xfId="5959" xr:uid="{75E5890C-162B-446D-A6FF-7D7721D6D836}"/>
    <cellStyle name="Normal 2 5 2 2 3 4 2" xfId="25974" xr:uid="{0ACF9DCA-7666-484E-8883-6240D354069D}"/>
    <cellStyle name="Normal 2 5 2 2 3 4 3" xfId="15412" xr:uid="{E172702E-BDB1-4702-805E-4C1DCD1E5B32}"/>
    <cellStyle name="Normal 2 5 2 2 3 5" xfId="7865" xr:uid="{59A39C3A-389D-4DC2-92A0-02FC3B1FACB9}"/>
    <cellStyle name="Normal 2 5 2 2 3 5 2" xfId="18245" xr:uid="{113B81A0-4493-40B8-B212-0F69AC7550CE}"/>
    <cellStyle name="Normal 2 5 2 2 3 6" xfId="10698" xr:uid="{CF69B6F2-A989-48D6-A94B-0F7F4FD56EEE}"/>
    <cellStyle name="Normal 2 5 2 2 3 6 2" xfId="21078" xr:uid="{04A13D38-2234-4FD6-A2E3-F47286B10896}"/>
    <cellStyle name="Normal 2 5 2 2 3 7" xfId="23428" xr:uid="{70D0F8FF-967E-4511-B73D-49D36332934C}"/>
    <cellStyle name="Normal 2 5 2 2 3 8" xfId="13179" xr:uid="{8BDD633D-383C-4C98-9FC4-D321D6096FD2}"/>
    <cellStyle name="Normal 2 5 2 2 4" xfId="3217" xr:uid="{00000000-0005-0000-0000-000072040000}"/>
    <cellStyle name="Normal 2 5 2 2 4 2" xfId="4480" xr:uid="{3EB82FC1-B88A-40CB-8B41-892CF297600A}"/>
    <cellStyle name="Normal 2 5 2 2 4 2 2" xfId="9252" xr:uid="{AB393766-45FE-45E7-BEF7-E9C212E00415}"/>
    <cellStyle name="Normal 2 5 2 2 4 2 2 2" xfId="19632" xr:uid="{BDA5DE4C-A95E-47CB-8948-710A1806735B}"/>
    <cellStyle name="Normal 2 5 2 2 4 2 3" xfId="12085" xr:uid="{DE447C13-A5D0-4F50-926A-902D4B88F635}"/>
    <cellStyle name="Normal 2 5 2 2 4 2 3 2" xfId="22465" xr:uid="{C5128C15-52BF-4F32-BC14-73A902848545}"/>
    <cellStyle name="Normal 2 5 2 2 4 2 4" xfId="28301" xr:uid="{2BA84938-6D8B-4040-AC54-C200C5C16352}"/>
    <cellStyle name="Normal 2 5 2 2 4 2 5" xfId="16799" xr:uid="{4C17F181-C7EB-4246-B7FC-CFE4D8522DA3}"/>
    <cellStyle name="Normal 2 5 2 2 4 3" xfId="6275" xr:uid="{EBB1EE02-B42A-4E77-9B49-56D6E1FFFD4A}"/>
    <cellStyle name="Normal 2 5 2 2 4 3 2" xfId="15844" xr:uid="{850C2CBF-1712-4014-AF4B-81076ADA536E}"/>
    <cellStyle name="Normal 2 5 2 2 4 4" xfId="8297" xr:uid="{6E442549-9C68-43C3-9129-3B07F8B63376}"/>
    <cellStyle name="Normal 2 5 2 2 4 4 2" xfId="18677" xr:uid="{FEF55DD3-F186-4D2B-B89E-C73001FE7C5C}"/>
    <cellStyle name="Normal 2 5 2 2 4 5" xfId="11130" xr:uid="{3D4A8E3A-1147-4AB3-A43F-0856D74B5CD1}"/>
    <cellStyle name="Normal 2 5 2 2 4 5 2" xfId="21510" xr:uid="{A18CBA86-4193-4CE8-9494-FED6AB3ACEC4}"/>
    <cellStyle name="Normal 2 5 2 2 4 6" xfId="23804" xr:uid="{959BCB16-D8FF-4A2A-A7F6-1C42B383E0CB}"/>
    <cellStyle name="Normal 2 5 2 2 4 7" xfId="13760" xr:uid="{7FAA0FFF-905D-497A-8213-602202E02055}"/>
    <cellStyle name="Normal 2 5 2 2 5" xfId="3212" xr:uid="{00000000-0005-0000-0000-000073040000}"/>
    <cellStyle name="Normal 2 5 2 2 5 2" xfId="6270" xr:uid="{CD3B0AF8-2B88-4A79-A2DF-ABCE5E0EDF79}"/>
    <cellStyle name="Normal 2 5 2 2 5 2 2" xfId="27727" xr:uid="{5CB61858-C772-4C6A-B056-BF3189513D4D}"/>
    <cellStyle name="Normal 2 5 2 2 5 2 3" xfId="15839" xr:uid="{B1D79E71-55B0-4E3E-AFC9-50DB82A5E064}"/>
    <cellStyle name="Normal 2 5 2 2 5 3" xfId="8292" xr:uid="{A1986F02-78EF-49CB-8E39-1D7BB6EF8FE8}"/>
    <cellStyle name="Normal 2 5 2 2 5 3 2" xfId="18672" xr:uid="{E44D3349-AD8D-45AA-BA28-1E05F2043120}"/>
    <cellStyle name="Normal 2 5 2 2 5 4" xfId="11125" xr:uid="{A8B78940-A714-426F-95C6-F0F043E29AC7}"/>
    <cellStyle name="Normal 2 5 2 2 5 4 2" xfId="21505" xr:uid="{86A6F4A0-F698-4A00-A6C5-6641AC7BF20B}"/>
    <cellStyle name="Normal 2 5 2 2 5 5" xfId="24387" xr:uid="{4370B9C9-0A32-4408-A69F-24FE67FD33B1}"/>
    <cellStyle name="Normal 2 5 2 2 5 6" xfId="13755" xr:uid="{09B18C7C-625F-4F81-ADA0-84FD4BC75D0F}"/>
    <cellStyle name="Normal 2 5 2 2 6" xfId="2555" xr:uid="{00000000-0005-0000-0000-000074040000}"/>
    <cellStyle name="Normal 2 5 2 2 6 2" xfId="5825" xr:uid="{25A596B2-4983-4347-A690-43278B245CAC}"/>
    <cellStyle name="Normal 2 5 2 2 6 2 2" xfId="26562" xr:uid="{62A1FF07-A161-4AE6-9F6E-F3187B39ECEB}"/>
    <cellStyle name="Normal 2 5 2 2 6 2 3" xfId="15227" xr:uid="{5AB1F873-DCAA-4A9B-A682-F072D1FBC357}"/>
    <cellStyle name="Normal 2 5 2 2 6 3" xfId="7680" xr:uid="{0C0A9924-252A-42B0-BDDB-B5B69979F60C}"/>
    <cellStyle name="Normal 2 5 2 2 6 3 2" xfId="18060" xr:uid="{4DEFEA25-FE43-4D42-B1D0-51871E26E8EE}"/>
    <cellStyle name="Normal 2 5 2 2 6 4" xfId="10513" xr:uid="{933DF63A-C0DA-42F5-9816-F6E0F41558BF}"/>
    <cellStyle name="Normal 2 5 2 2 6 4 2" xfId="20893" xr:uid="{CD6C6E08-BA17-46EB-A495-C8ABABCD869E}"/>
    <cellStyle name="Normal 2 5 2 2 6 5" xfId="25031" xr:uid="{CAAD7571-4374-416C-A844-BBCDB30C7FAB}"/>
    <cellStyle name="Normal 2 5 2 2 6 6" xfId="12943" xr:uid="{BBE309FD-EDBF-4189-9F47-0F781820EC80}"/>
    <cellStyle name="Normal 2 5 2 2 7" xfId="2249" xr:uid="{00000000-0005-0000-0000-00006A040000}"/>
    <cellStyle name="Normal 2 5 2 2 7 2" xfId="7376" xr:uid="{8A0E426F-BD96-4854-BEE8-A381F0565431}"/>
    <cellStyle name="Normal 2 5 2 2 7 2 2" xfId="17756" xr:uid="{B33549B6-782C-45F9-8468-B96DDBD252ED}"/>
    <cellStyle name="Normal 2 5 2 2 7 3" xfId="10209" xr:uid="{9AAA16DB-2AD0-41E4-9AC8-EDB0BEB32C1F}"/>
    <cellStyle name="Normal 2 5 2 2 7 3 2" xfId="20589" xr:uid="{0627A3F8-427A-4A94-9241-143F14860458}"/>
    <cellStyle name="Normal 2 5 2 2 7 4" xfId="24582" xr:uid="{A184C3C5-F122-4C8E-AE7F-C541056A2995}"/>
    <cellStyle name="Normal 2 5 2 2 7 5" xfId="14923" xr:uid="{0492BAAF-A54E-4C53-A4CA-4A01C8374CC0}"/>
    <cellStyle name="Normal 2 5 2 2 8" xfId="3800" xr:uid="{F1877237-F3C3-480A-ACD6-54826A0E1805}"/>
    <cellStyle name="Normal 2 5 2 2 8 2" xfId="8636" xr:uid="{2291FA23-0A45-4B74-AAB2-583D1F5686DC}"/>
    <cellStyle name="Normal 2 5 2 2 8 2 2" xfId="19016" xr:uid="{A8C312C2-B2FF-4B22-9CE0-79791545C391}"/>
    <cellStyle name="Normal 2 5 2 2 8 3" xfId="11469" xr:uid="{DD4AA20B-8344-40EE-9939-7303F5E74F63}"/>
    <cellStyle name="Normal 2 5 2 2 8 3 2" xfId="21849" xr:uid="{193E3053-7BCB-4425-BC74-747EBCFF0BA6}"/>
    <cellStyle name="Normal 2 5 2 2 8 4" xfId="16183" xr:uid="{6EC87BB2-6594-44FF-B50E-BE165A843D5D}"/>
    <cellStyle name="Normal 2 5 2 2 9" xfId="5142" xr:uid="{FB36C901-C53D-4572-AAD4-AB23456790AB}"/>
    <cellStyle name="Normal 2 5 2 2 9 2" xfId="14439" xr:uid="{E0015A66-797F-4955-8A28-2011ECF45AD4}"/>
    <cellStyle name="Normal 2 5 2 3" xfId="792" xr:uid="{00000000-0005-0000-0000-0000C4040000}"/>
    <cellStyle name="Normal 2 5 2 3 10" xfId="9727" xr:uid="{029CE8BE-530F-475F-B07C-84FE1BD224D5}"/>
    <cellStyle name="Normal 2 5 2 3 10 2" xfId="20107" xr:uid="{227FDDB4-E945-4D7A-BFF9-673972C1A5A9}"/>
    <cellStyle name="Normal 2 5 2 3 11" xfId="24546" xr:uid="{E6EB4C6D-1B7C-4F2F-B0C3-F253D26CADD3}"/>
    <cellStyle name="Normal 2 5 2 3 12" xfId="12568" xr:uid="{FF76ED38-27B7-4009-A348-DED8E4FB6127}"/>
    <cellStyle name="Normal 2 5 2 3 2" xfId="2743" xr:uid="{00000000-0005-0000-0000-000076040000}"/>
    <cellStyle name="Normal 2 5 2 3 2 2" xfId="3219" xr:uid="{00000000-0005-0000-0000-000077040000}"/>
    <cellStyle name="Normal 2 5 2 3 2 2 2" xfId="6277" xr:uid="{87CA24AF-D326-41B1-BEB9-59A590033D7E}"/>
    <cellStyle name="Normal 2 5 2 3 2 2 2 2" xfId="26205" xr:uid="{13E15B1F-064C-4F1B-91DF-FDF8E941E0D8}"/>
    <cellStyle name="Normal 2 5 2 3 2 2 2 3" xfId="15846" xr:uid="{64CEC759-3E76-4255-BC35-68C1295D1A0D}"/>
    <cellStyle name="Normal 2 5 2 3 2 2 3" xfId="8299" xr:uid="{03B17314-33D4-4388-9F60-24F21A186C59}"/>
    <cellStyle name="Normal 2 5 2 3 2 2 3 2" xfId="18679" xr:uid="{5DB78E24-E019-4E71-8168-DC9A186C787E}"/>
    <cellStyle name="Normal 2 5 2 3 2 2 4" xfId="11132" xr:uid="{E7ABD13E-3F12-4E24-B708-1200CD919B5F}"/>
    <cellStyle name="Normal 2 5 2 3 2 2 4 2" xfId="21512" xr:uid="{EEF3DD65-6706-4152-A265-BA17749A068F}"/>
    <cellStyle name="Normal 2 5 2 3 2 2 5" xfId="24696" xr:uid="{848B1284-2455-4E63-8167-5F5BA0C50206}"/>
    <cellStyle name="Normal 2 5 2 3 2 2 6" xfId="13762" xr:uid="{FCD49A74-9347-4B00-B486-417D3D52E51A}"/>
    <cellStyle name="Normal 2 5 2 3 2 3" xfId="4307" xr:uid="{6411A7A5-5528-460F-89C7-299F9D1D5DAE}"/>
    <cellStyle name="Normal 2 5 2 3 2 3 2" xfId="9079" xr:uid="{18C614DB-215D-4A52-84F3-5E7CA58266A0}"/>
    <cellStyle name="Normal 2 5 2 3 2 3 2 2" xfId="29122" xr:uid="{7008841A-4354-4CE8-A78F-780DBC269B6A}"/>
    <cellStyle name="Normal 2 5 2 3 2 3 2 3" xfId="19459" xr:uid="{D37BDD27-B1E6-4871-8D8E-EE91AF61354E}"/>
    <cellStyle name="Normal 2 5 2 3 2 3 3" xfId="11912" xr:uid="{B840EF34-CC77-4681-97DA-172CBEC7162C}"/>
    <cellStyle name="Normal 2 5 2 3 2 3 3 2" xfId="22292" xr:uid="{6A72AABD-A8E1-4579-94D9-04D1508FCACA}"/>
    <cellStyle name="Normal 2 5 2 3 2 3 4" xfId="23323" xr:uid="{2C8C9217-83D7-42C9-A865-3FAB0F5B2521}"/>
    <cellStyle name="Normal 2 5 2 3 2 3 5" xfId="16626" xr:uid="{A878821D-7906-4FB0-BA82-3ECB642E23DA}"/>
    <cellStyle name="Normal 2 5 2 3 2 4" xfId="5961" xr:uid="{619B855B-733C-4135-AB31-940705AAA4BF}"/>
    <cellStyle name="Normal 2 5 2 3 2 4 2" xfId="26119" xr:uid="{CF1DDBE3-66A3-4A01-9B52-F15062DA060B}"/>
    <cellStyle name="Normal 2 5 2 3 2 4 3" xfId="15414" xr:uid="{92D48D94-1FE4-4232-853C-3A9176E88E41}"/>
    <cellStyle name="Normal 2 5 2 3 2 5" xfId="7867" xr:uid="{0F181675-17DB-4479-B20F-2450E7A23DE6}"/>
    <cellStyle name="Normal 2 5 2 3 2 5 2" xfId="18247" xr:uid="{CA0FF2B9-D524-4D77-BE3B-A1E3CA1E0A0B}"/>
    <cellStyle name="Normal 2 5 2 3 2 6" xfId="10700" xr:uid="{4123705F-7123-4EE3-A80A-6D8FCBE220CE}"/>
    <cellStyle name="Normal 2 5 2 3 2 6 2" xfId="21080" xr:uid="{EAC315FB-8969-47CD-8A28-D499AE1C02EA}"/>
    <cellStyle name="Normal 2 5 2 3 2 7" xfId="24806" xr:uid="{F0EA81D9-27CC-4047-8D40-89DAD5375548}"/>
    <cellStyle name="Normal 2 5 2 3 2 8" xfId="13181" xr:uid="{A6418468-8EC1-43B4-874F-6E1A6DE320F6}"/>
    <cellStyle name="Normal 2 5 2 3 3" xfId="3220" xr:uid="{00000000-0005-0000-0000-000078040000}"/>
    <cellStyle name="Normal 2 5 2 3 3 2" xfId="4481" xr:uid="{62550687-04CF-4DF5-89D5-F3C096152E91}"/>
    <cellStyle name="Normal 2 5 2 3 3 2 2" xfId="9253" xr:uid="{0DAAE6DE-98AA-4447-819B-9C901F645DC1}"/>
    <cellStyle name="Normal 2 5 2 3 3 2 2 2" xfId="29240" xr:uid="{1DDAA92C-45AD-4E21-B5A5-CBA7672AD962}"/>
    <cellStyle name="Normal 2 5 2 3 3 2 2 3" xfId="19633" xr:uid="{FA9809E8-4B7C-449B-97A2-E23E9066EA44}"/>
    <cellStyle name="Normal 2 5 2 3 3 2 3" xfId="12086" xr:uid="{7E6706F1-F3BC-4DE4-90C5-51754EF84A57}"/>
    <cellStyle name="Normal 2 5 2 3 3 2 3 2" xfId="22466" xr:uid="{B92C20CE-F04A-4C5F-8544-08FD1770A160}"/>
    <cellStyle name="Normal 2 5 2 3 3 2 4" xfId="24706" xr:uid="{F0CFE77C-8623-498D-A86F-1C84D94D2F02}"/>
    <cellStyle name="Normal 2 5 2 3 3 2 5" xfId="16800" xr:uid="{ED0D3814-8FBA-4ABE-BD44-FD369CE42E2D}"/>
    <cellStyle name="Normal 2 5 2 3 3 3" xfId="6278" xr:uid="{6B7E8AD6-2ED0-4DB0-B6B6-797418E549AD}"/>
    <cellStyle name="Normal 2 5 2 3 3 3 2" xfId="28668" xr:uid="{DBC7CC91-5ADA-4C37-BA92-BF3AFA28B1FF}"/>
    <cellStyle name="Normal 2 5 2 3 3 3 3" xfId="15847" xr:uid="{8AE53C57-9A0C-4A0E-B4B0-F8C4FDD3B24D}"/>
    <cellStyle name="Normal 2 5 2 3 3 4" xfId="8300" xr:uid="{A3E91B29-6F1C-4ACC-AFD8-E3F2F21FEC5F}"/>
    <cellStyle name="Normal 2 5 2 3 3 4 2" xfId="18680" xr:uid="{E8DC0184-69C1-46E8-B586-E9F1CCA48110}"/>
    <cellStyle name="Normal 2 5 2 3 3 5" xfId="11133" xr:uid="{BF792310-982E-4318-98E5-1DFAC5C18B15}"/>
    <cellStyle name="Normal 2 5 2 3 3 5 2" xfId="21513" xr:uid="{45E06DBE-6498-4D8D-9C18-15558C7DB73F}"/>
    <cellStyle name="Normal 2 5 2 3 3 6" xfId="24936" xr:uid="{71E6EFDE-88BC-4B59-8E98-465D5341ED21}"/>
    <cellStyle name="Normal 2 5 2 3 3 7" xfId="13763" xr:uid="{7A2E540D-36B5-476B-90B8-515E969C10D9}"/>
    <cellStyle name="Normal 2 5 2 3 4" xfId="3218" xr:uid="{00000000-0005-0000-0000-000079040000}"/>
    <cellStyle name="Normal 2 5 2 3 4 2" xfId="6276" xr:uid="{9AAF25EE-FB8E-4722-82FC-D8F8B86D1661}"/>
    <cellStyle name="Normal 2 5 2 3 4 2 2" xfId="27290" xr:uid="{30F52BE9-DC6B-4032-A086-8E83F0B26220}"/>
    <cellStyle name="Normal 2 5 2 3 4 2 3" xfId="15845" xr:uid="{41516B1E-32CC-4272-847E-3A420034FA18}"/>
    <cellStyle name="Normal 2 5 2 3 4 3" xfId="8298" xr:uid="{4C81EEC8-3539-4F8E-B7FA-09DA0A7684BA}"/>
    <cellStyle name="Normal 2 5 2 3 4 3 2" xfId="18678" xr:uid="{3D33B353-D445-4CDE-B1F8-FE5AF0ED8CFA}"/>
    <cellStyle name="Normal 2 5 2 3 4 4" xfId="11131" xr:uid="{DAD61EDE-170A-4B5A-BEE4-82688638A0E9}"/>
    <cellStyle name="Normal 2 5 2 3 4 4 2" xfId="21511" xr:uid="{E6D2FBAD-F889-4A7A-953F-88B854FD442B}"/>
    <cellStyle name="Normal 2 5 2 3 4 5" xfId="23580" xr:uid="{AC5BA273-55EE-4E9A-AEF3-E9321A648D82}"/>
    <cellStyle name="Normal 2 5 2 3 4 6" xfId="13761" xr:uid="{7A3046DE-830A-4E76-ADD2-33CBAD418714}"/>
    <cellStyle name="Normal 2 5 2 3 5" xfId="2598" xr:uid="{00000000-0005-0000-0000-00007A040000}"/>
    <cellStyle name="Normal 2 5 2 3 5 2" xfId="5863" xr:uid="{57F4218A-0856-4695-B7CD-070ED5C7857D}"/>
    <cellStyle name="Normal 2 5 2 3 5 2 2" xfId="25910" xr:uid="{C2C21EBE-0259-4024-8AB9-64DC316A0BE1}"/>
    <cellStyle name="Normal 2 5 2 3 5 2 3" xfId="15270" xr:uid="{82E013B2-446F-42DB-8AE4-05D8119EB650}"/>
    <cellStyle name="Normal 2 5 2 3 5 3" xfId="7723" xr:uid="{60E5F2DD-5A67-4A14-BCF3-1029110793D4}"/>
    <cellStyle name="Normal 2 5 2 3 5 3 2" xfId="18103" xr:uid="{903F867D-C52C-4F72-AAE6-EC9E6248ECF2}"/>
    <cellStyle name="Normal 2 5 2 3 5 4" xfId="10556" xr:uid="{C4AAA262-6DB3-4CCB-88CE-972140C6D5E1}"/>
    <cellStyle name="Normal 2 5 2 3 5 4 2" xfId="20936" xr:uid="{747C35FC-6408-44BA-9957-13386A0328E7}"/>
    <cellStyle name="Normal 2 5 2 3 5 5" xfId="23294" xr:uid="{9009F6E4-3888-457E-994B-1EF68210CA9B}"/>
    <cellStyle name="Normal 2 5 2 3 5 6" xfId="12986" xr:uid="{29E050E5-D4CF-4AAC-AD4D-658A6E1C7B05}"/>
    <cellStyle name="Normal 2 5 2 3 6" xfId="2334" xr:uid="{00000000-0005-0000-0000-000075040000}"/>
    <cellStyle name="Normal 2 5 2 3 6 2" xfId="7461" xr:uid="{1B6EE378-8B9C-47A7-8630-A6509BBE6949}"/>
    <cellStyle name="Normal 2 5 2 3 6 2 2" xfId="17841" xr:uid="{301CDB61-47D3-4DAF-9842-7871A055B12C}"/>
    <cellStyle name="Normal 2 5 2 3 6 3" xfId="10294" xr:uid="{01A84E7F-9D18-4484-A545-BCD477F02EDF}"/>
    <cellStyle name="Normal 2 5 2 3 6 3 2" xfId="20674" xr:uid="{6B9433DB-F847-48D5-9CA9-CD8CC6E91926}"/>
    <cellStyle name="Normal 2 5 2 3 6 4" xfId="23235" xr:uid="{5616085E-D1E4-475B-A134-244E040A0C3D}"/>
    <cellStyle name="Normal 2 5 2 3 6 5" xfId="15008" xr:uid="{2D52D98F-3300-4312-9DD2-A94489204E4A}"/>
    <cellStyle name="Normal 2 5 2 3 7" xfId="3849" xr:uid="{A0F0B495-44E9-4D87-8427-3065703ED31C}"/>
    <cellStyle name="Normal 2 5 2 3 7 2" xfId="8682" xr:uid="{5D0464CC-7BC2-46E4-9041-1B0CCFD048BC}"/>
    <cellStyle name="Normal 2 5 2 3 7 2 2" xfId="19062" xr:uid="{361A3BFB-7FB5-4E28-8E2A-327D80847DC1}"/>
    <cellStyle name="Normal 2 5 2 3 7 3" xfId="11515" xr:uid="{A0D666EA-7758-4A4D-B4CB-2775BEE55150}"/>
    <cellStyle name="Normal 2 5 2 3 7 3 2" xfId="21895" xr:uid="{B56248C6-390B-4CE6-98BE-BB02274D79ED}"/>
    <cellStyle name="Normal 2 5 2 3 7 4" xfId="16229" xr:uid="{014D6D88-15A7-412F-A1C0-B935C19E723F}"/>
    <cellStyle name="Normal 2 5 2 3 8" xfId="5144" xr:uid="{C637A8BE-D4E8-4CE6-9D9E-F7288871D17B}"/>
    <cellStyle name="Normal 2 5 2 3 8 2" xfId="14441" xr:uid="{1D8CC06A-14D7-4DFC-A85B-FB987D7EE3D5}"/>
    <cellStyle name="Normal 2 5 2 3 9" xfId="6894" xr:uid="{07C53E2F-55E7-4BCB-8812-7540EAE03A26}"/>
    <cellStyle name="Normal 2 5 2 3 9 2" xfId="17274" xr:uid="{38593FD1-BB1E-45AE-9E3B-057816A29D8E}"/>
    <cellStyle name="Normal 2 5 2 4" xfId="793" xr:uid="{00000000-0005-0000-0000-0000C5040000}"/>
    <cellStyle name="Normal 2 5 2 4 2" xfId="3221" xr:uid="{00000000-0005-0000-0000-00007C040000}"/>
    <cellStyle name="Normal 2 5 2 4 2 2" xfId="6279" xr:uid="{EEE2FE17-6B4C-4262-AD6A-9E5C22B87798}"/>
    <cellStyle name="Normal 2 5 2 4 2 2 2" xfId="27249" xr:uid="{07931A6B-F462-4D91-A266-D5022F75A9A7}"/>
    <cellStyle name="Normal 2 5 2 4 2 2 3" xfId="15848" xr:uid="{924739E1-A68B-41D2-A43F-1E9BB4A11579}"/>
    <cellStyle name="Normal 2 5 2 4 2 3" xfId="8301" xr:uid="{EB08D9D3-BE2B-4CEF-A0C6-C5955D24C885}"/>
    <cellStyle name="Normal 2 5 2 4 2 3 2" xfId="18681" xr:uid="{7719174E-AC06-4249-9BD7-55832E3EEC96}"/>
    <cellStyle name="Normal 2 5 2 4 2 4" xfId="11134" xr:uid="{EA91745C-2588-4CA4-82DF-04F4FFA8A36F}"/>
    <cellStyle name="Normal 2 5 2 4 2 4 2" xfId="21514" xr:uid="{78D5C279-A6F1-47C0-8CD0-C11C1DCE2BBF}"/>
    <cellStyle name="Normal 2 5 2 4 2 5" xfId="23370" xr:uid="{B1BAF2F6-6D8A-49A9-8A3A-39B752EAD3B7}"/>
    <cellStyle name="Normal 2 5 2 4 2 6" xfId="13764" xr:uid="{B34DFB72-EFBC-4647-BE4D-D840EECFE28B}"/>
    <cellStyle name="Normal 2 5 2 4 3" xfId="2740" xr:uid="{00000000-0005-0000-0000-00007D040000}"/>
    <cellStyle name="Normal 2 5 2 4 3 2" xfId="5958" xr:uid="{53D474A8-250B-4A0F-8833-5E811D83AD08}"/>
    <cellStyle name="Normal 2 5 2 4 3 2 2" xfId="26914" xr:uid="{4340A015-65D2-4715-B542-0AC3E1D1E874}"/>
    <cellStyle name="Normal 2 5 2 4 3 2 3" xfId="15411" xr:uid="{276446FA-B627-4DF3-976C-DD125ACCEF3A}"/>
    <cellStyle name="Normal 2 5 2 4 3 3" xfId="7864" xr:uid="{6BE22A1D-E582-4B42-AE90-314B96AA8A12}"/>
    <cellStyle name="Normal 2 5 2 4 3 3 2" xfId="18244" xr:uid="{3A9A18D3-B09B-4626-B506-04C2417F3A37}"/>
    <cellStyle name="Normal 2 5 2 4 3 4" xfId="10697" xr:uid="{7A96F4B5-A1CB-4D78-A0F0-587B367F80E0}"/>
    <cellStyle name="Normal 2 5 2 4 3 4 2" xfId="21077" xr:uid="{A4DCC127-A254-4CAB-A7B5-E42B9749139B}"/>
    <cellStyle name="Normal 2 5 2 4 3 5" xfId="23633" xr:uid="{3A0FDDF7-4CE5-4B2A-9275-84693E3FB79F}"/>
    <cellStyle name="Normal 2 5 2 4 3 6" xfId="13178" xr:uid="{4E10FE9B-F5DC-4BAC-804A-1B5E1352899A}"/>
    <cellStyle name="Normal 2 5 2 4 4" xfId="4168" xr:uid="{7D1ECE65-F0EB-4D6B-9500-CD08F41C9471}"/>
    <cellStyle name="Normal 2 5 2 4 4 2" xfId="8940" xr:uid="{2191E214-9052-48F1-9E96-A5E7810872BE}"/>
    <cellStyle name="Normal 2 5 2 4 4 2 2" xfId="19320" xr:uid="{F696EB39-AB37-4F5B-A1AE-CA4687B12113}"/>
    <cellStyle name="Normal 2 5 2 4 4 3" xfId="11773" xr:uid="{23EE8783-8212-4F57-8ECA-907796240104}"/>
    <cellStyle name="Normal 2 5 2 4 4 3 2" xfId="22153" xr:uid="{44BC714E-3EDF-4140-9297-8A37DBC943B9}"/>
    <cellStyle name="Normal 2 5 2 4 4 4" xfId="24948" xr:uid="{62D22C87-835B-403A-BC26-3CE93B532349}"/>
    <cellStyle name="Normal 2 5 2 4 4 5" xfId="16487" xr:uid="{E25BE7C9-BBB6-4D0A-B4EA-AB9EE862FB7D}"/>
    <cellStyle name="Normal 2 5 2 4 5" xfId="5145" xr:uid="{3C165FBA-6E04-463F-B297-973456C4E0A4}"/>
    <cellStyle name="Normal 2 5 2 4 5 2" xfId="14442" xr:uid="{4A1F2327-41D2-4272-8C23-A4BBA842D591}"/>
    <cellStyle name="Normal 2 5 2 4 6" xfId="6895" xr:uid="{32EC5D67-A489-4F87-BD0D-F04465B790FF}"/>
    <cellStyle name="Normal 2 5 2 4 6 2" xfId="17275" xr:uid="{79068C78-A9CE-4467-B711-613DF7980DC2}"/>
    <cellStyle name="Normal 2 5 2 4 7" xfId="9728" xr:uid="{05D479F6-8F2C-4987-B2C3-DA60C8369E04}"/>
    <cellStyle name="Normal 2 5 2 4 7 2" xfId="20108" xr:uid="{A8ECB67A-08CF-4B7A-A91A-162C5E733165}"/>
    <cellStyle name="Normal 2 5 2 4 8" xfId="24389" xr:uid="{F7A1A015-43C1-4E8B-A582-B9A54135F709}"/>
    <cellStyle name="Normal 2 5 2 4 9" xfId="12726" xr:uid="{3ED7CF03-90FB-4FFF-BC10-D1A1704AED85}"/>
    <cellStyle name="Normal 2 5 2 5" xfId="3222" xr:uid="{00000000-0005-0000-0000-00007E040000}"/>
    <cellStyle name="Normal 2 5 2 5 2" xfId="4482" xr:uid="{2CAEE3DB-359D-4F75-9894-D842204D562F}"/>
    <cellStyle name="Normal 2 5 2 5 2 2" xfId="9254" xr:uid="{07B8D04F-B436-468D-9D97-42EB2CDFEF8F}"/>
    <cellStyle name="Normal 2 5 2 5 2 2 2" xfId="29241" xr:uid="{AF5E4DEC-AED1-4352-9943-A57F31C0AA81}"/>
    <cellStyle name="Normal 2 5 2 5 2 2 3" xfId="19634" xr:uid="{4670DBA2-7760-4C78-9338-A289E30EBC5D}"/>
    <cellStyle name="Normal 2 5 2 5 2 3" xfId="12087" xr:uid="{787B96BF-C9E5-4EEA-9822-B7E04675F556}"/>
    <cellStyle name="Normal 2 5 2 5 2 3 2" xfId="22467" xr:uid="{D2107782-31B3-4BE5-B217-4EA741ED8E28}"/>
    <cellStyle name="Normal 2 5 2 5 2 4" xfId="25396" xr:uid="{F5C46202-F9BB-4824-8BE1-70E7454FDCDF}"/>
    <cellStyle name="Normal 2 5 2 5 2 5" xfId="16801" xr:uid="{89E11442-5DB0-4A0D-A1CA-DA7D312BC72D}"/>
    <cellStyle name="Normal 2 5 2 5 3" xfId="6280" xr:uid="{C22E0A54-0B0C-4FE3-A4DA-E7022E5BAE84}"/>
    <cellStyle name="Normal 2 5 2 5 3 2" xfId="26021" xr:uid="{83A952E5-3095-48EF-9E3B-9223594174E6}"/>
    <cellStyle name="Normal 2 5 2 5 3 3" xfId="15849" xr:uid="{9C3CFDC7-32E2-4113-A882-B18D0017921F}"/>
    <cellStyle name="Normal 2 5 2 5 4" xfId="8302" xr:uid="{2B5EC5B1-C9A6-49E7-BD0B-28F511F0FFFB}"/>
    <cellStyle name="Normal 2 5 2 5 4 2" xfId="18682" xr:uid="{65C2A20F-DFD8-4188-8956-A9FE2E941A8F}"/>
    <cellStyle name="Normal 2 5 2 5 5" xfId="11135" xr:uid="{AAEA1FD6-DC9D-4654-A0BA-EABC1796A96C}"/>
    <cellStyle name="Normal 2 5 2 5 5 2" xfId="21515" xr:uid="{7628DB45-4251-4BB8-AD09-352D02079EE8}"/>
    <cellStyle name="Normal 2 5 2 5 6" xfId="24712" xr:uid="{6F1D76E4-752F-4FFD-A731-1018C2BBD8E2}"/>
    <cellStyle name="Normal 2 5 2 5 7" xfId="13765" xr:uid="{653BB0C4-0C1C-4302-847F-B5E6308AF81B}"/>
    <cellStyle name="Normal 2 5 2 6" xfId="2909" xr:uid="{00000000-0005-0000-0000-00007F040000}"/>
    <cellStyle name="Normal 2 5 2 6 2" xfId="6095" xr:uid="{EF4B9E71-D2F2-4C8B-972D-177687E96515}"/>
    <cellStyle name="Normal 2 5 2 6 2 2" xfId="28196" xr:uid="{6A69E23C-421A-42A8-8575-D382A19C7F04}"/>
    <cellStyle name="Normal 2 5 2 6 2 3" xfId="15573" xr:uid="{859D1AE7-FB27-4187-B74D-CA98BB8D3202}"/>
    <cellStyle name="Normal 2 5 2 6 3" xfId="8026" xr:uid="{7579173E-DC72-4874-A64B-3673CCDE9864}"/>
    <cellStyle name="Normal 2 5 2 6 3 2" xfId="18406" xr:uid="{A2396188-FDDA-4696-B50E-EB2B6277FC67}"/>
    <cellStyle name="Normal 2 5 2 6 4" xfId="10859" xr:uid="{7B742B51-E818-4C84-9D60-F461B34C1576}"/>
    <cellStyle name="Normal 2 5 2 6 4 2" xfId="21239" xr:uid="{D4838F46-E9C8-47DA-AFE6-6C25E5582D21}"/>
    <cellStyle name="Normal 2 5 2 6 5" xfId="22699" xr:uid="{35487D1D-41C9-45EC-8536-378C0F4EEFB4}"/>
    <cellStyle name="Normal 2 5 2 6 6" xfId="13424" xr:uid="{91921D68-67D7-4B68-94FD-1F4FA3148177}"/>
    <cellStyle name="Normal 2 5 2 7" xfId="2495" xr:uid="{00000000-0005-0000-0000-000080040000}"/>
    <cellStyle name="Normal 2 5 2 7 2" xfId="5778" xr:uid="{99C2BA53-1365-4EB4-AB06-F7F7498A9696}"/>
    <cellStyle name="Normal 2 5 2 7 2 2" xfId="26062" xr:uid="{3C304D84-09DF-4795-9F57-2880C2D1D8FA}"/>
    <cellStyle name="Normal 2 5 2 7 2 3" xfId="15167" xr:uid="{919C06B2-919F-49E0-A5F5-3D16976D0918}"/>
    <cellStyle name="Normal 2 5 2 7 3" xfId="7620" xr:uid="{EE146622-CF2C-47FA-B51E-37A16AAF08E8}"/>
    <cellStyle name="Normal 2 5 2 7 3 2" xfId="18000" xr:uid="{4750487A-B7D3-4B35-8742-0AB55BA36BFA}"/>
    <cellStyle name="Normal 2 5 2 7 4" xfId="10453" xr:uid="{666CCBBF-6F67-4FD1-8753-3BBEBC1E9EC4}"/>
    <cellStyle name="Normal 2 5 2 7 4 2" xfId="20833" xr:uid="{DC00A23E-136E-459B-B5FD-DB187E2FE1F8}"/>
    <cellStyle name="Normal 2 5 2 7 5" xfId="25036" xr:uid="{A0702F01-6B20-415F-98D1-8AB87128CE06}"/>
    <cellStyle name="Normal 2 5 2 7 6" xfId="12883" xr:uid="{43C74731-0EAF-437F-B70C-459112110876}"/>
    <cellStyle name="Normal 2 5 2 8" xfId="2189" xr:uid="{00000000-0005-0000-0000-000069040000}"/>
    <cellStyle name="Normal 2 5 2 8 2" xfId="7316" xr:uid="{76F9C6E1-98BB-4CD5-9663-E35BB481387B}"/>
    <cellStyle name="Normal 2 5 2 8 2 2" xfId="17696" xr:uid="{78F6CB6F-EF45-4BA8-8861-8C2770619ABB}"/>
    <cellStyle name="Normal 2 5 2 8 3" xfId="10149" xr:uid="{66AB0743-5217-4D1A-ACDB-6DB31C0DC1FE}"/>
    <cellStyle name="Normal 2 5 2 8 3 2" xfId="20529" xr:uid="{03EE2923-0E90-4239-BE48-7DB4A2874218}"/>
    <cellStyle name="Normal 2 5 2 8 4" xfId="22640" xr:uid="{1929FE0D-2A66-4D62-AD03-D14638CF9BC1}"/>
    <cellStyle name="Normal 2 5 2 8 5" xfId="14863" xr:uid="{AF8078E8-36A5-4D2A-9238-FE17E1C01874}"/>
    <cellStyle name="Normal 2 5 2 9" xfId="3944" xr:uid="{08C0ECA0-D38B-41F7-AAD3-FF6FD8BC8E27}"/>
    <cellStyle name="Normal 2 5 2 9 2" xfId="8776" xr:uid="{F443E9E3-BF33-46DC-8E48-C86F6F9F61B2}"/>
    <cellStyle name="Normal 2 5 2 9 2 2" xfId="19156" xr:uid="{DA98C03B-4C78-4F2B-9725-F2F70D48E311}"/>
    <cellStyle name="Normal 2 5 2 9 3" xfId="11609" xr:uid="{E395D239-6ADD-4534-9D49-6EEA98B8A25F}"/>
    <cellStyle name="Normal 2 5 2 9 3 2" xfId="21989" xr:uid="{B165DF3C-AB91-4A18-A236-17AE971F1CB4}"/>
    <cellStyle name="Normal 2 5 2 9 4" xfId="16323" xr:uid="{4815F7E9-B950-4B34-90DA-2E75FE8DB948}"/>
    <cellStyle name="Normal 2 5 3" xfId="794" xr:uid="{00000000-0005-0000-0000-0000C6040000}"/>
    <cellStyle name="Normal 2 5 3 10" xfId="5146" xr:uid="{B901A708-D7E7-411F-A167-479150D6CF2A}"/>
    <cellStyle name="Normal 2 5 3 10 2" xfId="14443" xr:uid="{0105A7C3-D629-467C-B6CF-C7BABA0C9123}"/>
    <cellStyle name="Normal 2 5 3 11" xfId="6896" xr:uid="{5BE858C3-0F6A-4DB6-AD8F-B07F86E6E3FD}"/>
    <cellStyle name="Normal 2 5 3 11 2" xfId="17276" xr:uid="{313C113C-5C9F-40CE-A47E-8390E2C182D4}"/>
    <cellStyle name="Normal 2 5 3 12" xfId="9729" xr:uid="{D01B6235-68CA-4951-94F9-623B5B813D32}"/>
    <cellStyle name="Normal 2 5 3 12 2" xfId="20109" xr:uid="{74E602F9-776A-4F97-ADAF-01E963B1E38E}"/>
    <cellStyle name="Normal 2 5 3 13" xfId="23119" xr:uid="{34070B2D-BA9C-4441-AD3D-F887D0876F3A}"/>
    <cellStyle name="Normal 2 5 3 14" xfId="12455" xr:uid="{31EE617D-D551-439D-A1A3-02848639B573}"/>
    <cellStyle name="Normal 2 5 3 2" xfId="795" xr:uid="{00000000-0005-0000-0000-0000C7040000}"/>
    <cellStyle name="Normal 2 5 3 2 10" xfId="9730" xr:uid="{A17B91C3-1F56-4A4D-AF3E-AC7567B499B9}"/>
    <cellStyle name="Normal 2 5 3 2 10 2" xfId="20110" xr:uid="{8D32B545-DD11-49E7-9C36-403AB34BACC2}"/>
    <cellStyle name="Normal 2 5 3 2 11" xfId="23348" xr:uid="{03FECB21-470C-4A29-B147-7F0CAAF93F1C}"/>
    <cellStyle name="Normal 2 5 3 2 12" xfId="12569" xr:uid="{0CC7BC41-9A3A-413B-BA31-66A3CBC60725}"/>
    <cellStyle name="Normal 2 5 3 2 2" xfId="796" xr:uid="{00000000-0005-0000-0000-0000C8040000}"/>
    <cellStyle name="Normal 2 5 3 2 2 2" xfId="3224" xr:uid="{00000000-0005-0000-0000-000084040000}"/>
    <cellStyle name="Normal 2 5 3 2 2 2 2" xfId="6282" xr:uid="{AE06F968-3F82-490F-AD4C-E515EAC7C341}"/>
    <cellStyle name="Normal 2 5 3 2 2 2 2 2" xfId="26767" xr:uid="{963993A2-0774-4C0A-B203-58A1F09FDA20}"/>
    <cellStyle name="Normal 2 5 3 2 2 2 2 3" xfId="26118" xr:uid="{382095A3-94FE-451A-9763-D22227E7BA23}"/>
    <cellStyle name="Normal 2 5 3 2 2 2 2 4" xfId="15851" xr:uid="{F29EC348-A204-49F9-9C0B-8A7935371C81}"/>
    <cellStyle name="Normal 2 5 3 2 2 2 3" xfId="8304" xr:uid="{E305045C-647C-4253-B434-20A78C68A955}"/>
    <cellStyle name="Normal 2 5 3 2 2 2 3 2" xfId="28887" xr:uid="{20061D78-E085-449C-9839-E4A15376BA84}"/>
    <cellStyle name="Normal 2 5 3 2 2 2 3 3" xfId="18684" xr:uid="{F0D2C55F-846C-4A52-A4AD-F035A82C4E1C}"/>
    <cellStyle name="Normal 2 5 3 2 2 2 4" xfId="11137" xr:uid="{E4CB2C56-B398-45F3-93A2-52F64E8B4FCD}"/>
    <cellStyle name="Normal 2 5 3 2 2 2 4 2" xfId="21517" xr:uid="{2DAB53EB-DE63-46E2-B876-ED521E9991D1}"/>
    <cellStyle name="Normal 2 5 3 2 2 2 5" xfId="25074" xr:uid="{FCDC08AB-856B-4995-8B0C-50A17A951D0B}"/>
    <cellStyle name="Normal 2 5 3 2 2 2 6" xfId="13767" xr:uid="{E4C19338-8437-4B6F-85D2-7915BF2A8C43}"/>
    <cellStyle name="Normal 2 5 3 2 2 3" xfId="4309" xr:uid="{33CF12BE-4E15-4766-966E-D53F693A0B27}"/>
    <cellStyle name="Normal 2 5 3 2 2 3 2" xfId="9081" xr:uid="{C23A6B08-EE5B-4BE4-95C9-3351C454EDAE}"/>
    <cellStyle name="Normal 2 5 3 2 2 3 2 2" xfId="29124" xr:uid="{3A7666C7-A758-457F-8359-865586FD1FF3}"/>
    <cellStyle name="Normal 2 5 3 2 2 3 2 3" xfId="19461" xr:uid="{2BD31331-0623-4781-940B-7F530BD394EB}"/>
    <cellStyle name="Normal 2 5 3 2 2 3 3" xfId="11914" xr:uid="{8E817C7C-DF18-4E16-90F9-1F79D4240CD2}"/>
    <cellStyle name="Normal 2 5 3 2 2 3 3 2" xfId="22294" xr:uid="{A644BADA-4A7E-4705-BCE0-EA0AB7E48073}"/>
    <cellStyle name="Normal 2 5 3 2 2 3 4" xfId="24974" xr:uid="{F0163A7A-099C-4C94-A83D-65AF42BF9F57}"/>
    <cellStyle name="Normal 2 5 3 2 2 3 5" xfId="16628" xr:uid="{49A5CFFB-A459-42F3-B5BE-D78081F8FE19}"/>
    <cellStyle name="Normal 2 5 3 2 2 4" xfId="5148" xr:uid="{7CAF6CA8-B2D7-4ECB-85F2-7B29C7DE4354}"/>
    <cellStyle name="Normal 2 5 3 2 2 4 2" xfId="26946" xr:uid="{98549FEC-8556-468E-8063-23A0CEDA2D5A}"/>
    <cellStyle name="Normal 2 5 3 2 2 4 3" xfId="14445" xr:uid="{D57A7FE4-0A42-4484-9FAF-9EB466F5E4AC}"/>
    <cellStyle name="Normal 2 5 3 2 2 5" xfId="6898" xr:uid="{61B74B72-EE99-4F1C-807F-27989FC8E96E}"/>
    <cellStyle name="Normal 2 5 3 2 2 5 2" xfId="17278" xr:uid="{E73A2E4F-DE00-443A-8D3B-7B4D3860D75A}"/>
    <cellStyle name="Normal 2 5 3 2 2 6" xfId="9731" xr:uid="{9768CB4E-2714-4103-8E6E-910ACBC0179F}"/>
    <cellStyle name="Normal 2 5 3 2 2 6 2" xfId="20111" xr:uid="{A5754DFA-E505-4F9F-90A1-15537FC8F736}"/>
    <cellStyle name="Normal 2 5 3 2 2 7" xfId="23824" xr:uid="{1173EBCD-5665-49E6-AD5C-B2304B17161D}"/>
    <cellStyle name="Normal 2 5 3 2 2 8" xfId="13183" xr:uid="{80A92B38-ED87-4C56-BADD-16D35D522DD5}"/>
    <cellStyle name="Normal 2 5 3 2 3" xfId="3225" xr:uid="{00000000-0005-0000-0000-000085040000}"/>
    <cellStyle name="Normal 2 5 3 2 3 2" xfId="4483" xr:uid="{F84F9602-F0AE-4DC7-951D-91646602D2D6}"/>
    <cellStyle name="Normal 2 5 3 2 3 2 2" xfId="9255" xr:uid="{1FC5633E-CCE7-43C7-B1F4-4E2766DB1D61}"/>
    <cellStyle name="Normal 2 5 3 2 3 2 2 2" xfId="29242" xr:uid="{75E8350C-2217-4421-B096-6919CE67F2BD}"/>
    <cellStyle name="Normal 2 5 3 2 3 2 2 3" xfId="19635" xr:uid="{91447355-DCF7-4612-82E6-E8E17892F62D}"/>
    <cellStyle name="Normal 2 5 3 2 3 2 3" xfId="12088" xr:uid="{2C0ECAF3-4B2A-42C9-A3FF-16A3C46C8632}"/>
    <cellStyle name="Normal 2 5 3 2 3 2 3 2" xfId="22468" xr:uid="{F6199A07-8DCE-4968-A554-A033795ABB04}"/>
    <cellStyle name="Normal 2 5 3 2 3 2 4" xfId="22824" xr:uid="{CC24F134-ED75-48E1-BAB9-646D79CDE47F}"/>
    <cellStyle name="Normal 2 5 3 2 3 2 5" xfId="16802" xr:uid="{0EA075A4-7FF1-4EA2-9CF8-6CD4F1B6190C}"/>
    <cellStyle name="Normal 2 5 3 2 3 3" xfId="6283" xr:uid="{88C70F18-104D-4686-AE35-9A30C0FC5F3D}"/>
    <cellStyle name="Normal 2 5 3 2 3 3 2" xfId="28644" xr:uid="{F7A23F4E-268A-44DC-B3F7-D0F11D7E5095}"/>
    <cellStyle name="Normal 2 5 3 2 3 3 3" xfId="15852" xr:uid="{3F0CE3FA-F544-4381-B5C8-629B153FCFB3}"/>
    <cellStyle name="Normal 2 5 3 2 3 4" xfId="8305" xr:uid="{4AB34DBE-B719-405E-B495-A072AFC84F6D}"/>
    <cellStyle name="Normal 2 5 3 2 3 4 2" xfId="18685" xr:uid="{B90C945C-9FE6-4044-9571-4E2F08A49A16}"/>
    <cellStyle name="Normal 2 5 3 2 3 5" xfId="11138" xr:uid="{6F74A375-9431-4E90-97C0-BF826892E75E}"/>
    <cellStyle name="Normal 2 5 3 2 3 5 2" xfId="21518" xr:uid="{D3ADF032-A154-427E-AA45-97FB78A2C7A7}"/>
    <cellStyle name="Normal 2 5 3 2 3 6" xfId="24289" xr:uid="{C41AD594-8344-40FC-9BAB-4F9F300DC813}"/>
    <cellStyle name="Normal 2 5 3 2 3 7" xfId="13768" xr:uid="{361459F8-1D19-4B25-A48A-253C871852DA}"/>
    <cellStyle name="Normal 2 5 3 2 4" xfId="3223" xr:uid="{00000000-0005-0000-0000-000086040000}"/>
    <cellStyle name="Normal 2 5 3 2 4 2" xfId="6281" xr:uid="{BECEE6F2-A32E-4134-BA46-9763589BE9F2}"/>
    <cellStyle name="Normal 2 5 3 2 4 2 2" xfId="28708" xr:uid="{308930B8-2630-49A9-8636-EFF6988358E2}"/>
    <cellStyle name="Normal 2 5 3 2 4 2 3" xfId="15850" xr:uid="{0291A228-6AF3-4CBE-ACFB-E6F988A6A73A}"/>
    <cellStyle name="Normal 2 5 3 2 4 3" xfId="8303" xr:uid="{D80F0271-FBD8-4581-B581-CCC4DEAB2087}"/>
    <cellStyle name="Normal 2 5 3 2 4 3 2" xfId="18683" xr:uid="{9A2F5522-6710-48DA-93DF-AB57C204EE03}"/>
    <cellStyle name="Normal 2 5 3 2 4 4" xfId="11136" xr:uid="{66F5DD36-C143-4AFD-849D-8A1F27B73A18}"/>
    <cellStyle name="Normal 2 5 3 2 4 4 2" xfId="21516" xr:uid="{11A4F742-1E4F-443A-B812-6848ECD0CE9D}"/>
    <cellStyle name="Normal 2 5 3 2 4 5" xfId="24537" xr:uid="{26D90045-E0DA-4C17-A2DE-D05875D7DD77}"/>
    <cellStyle name="Normal 2 5 3 2 4 6" xfId="13766" xr:uid="{98C3BC26-DF6F-4124-B423-9B4CF26C537F}"/>
    <cellStyle name="Normal 2 5 3 2 5" xfId="2529" xr:uid="{00000000-0005-0000-0000-000087040000}"/>
    <cellStyle name="Normal 2 5 3 2 5 2" xfId="5805" xr:uid="{55D655E9-1F84-43FE-9320-62BF5B1C22F6}"/>
    <cellStyle name="Normal 2 5 3 2 5 2 2" xfId="26177" xr:uid="{50A77953-1BD7-4337-84BF-5813ED2F0752}"/>
    <cellStyle name="Normal 2 5 3 2 5 2 3" xfId="15201" xr:uid="{D22DC361-ACE5-49EE-B767-6EDC2400BE2C}"/>
    <cellStyle name="Normal 2 5 3 2 5 3" xfId="7654" xr:uid="{816ADA4C-2F33-426F-A37D-37AC2E6755CF}"/>
    <cellStyle name="Normal 2 5 3 2 5 3 2" xfId="18034" xr:uid="{D4504AA2-E25B-4DDE-BF21-0B20F0EB7EC1}"/>
    <cellStyle name="Normal 2 5 3 2 5 4" xfId="10487" xr:uid="{67D4F33F-8D42-447C-8A88-E27F61469A3C}"/>
    <cellStyle name="Normal 2 5 3 2 5 4 2" xfId="20867" xr:uid="{D91E4D89-AFFC-4684-9FD4-E8CA9AE82100}"/>
    <cellStyle name="Normal 2 5 3 2 5 5" xfId="23162" xr:uid="{E913EA84-6AD1-41E2-A6F2-988DCA44C904}"/>
    <cellStyle name="Normal 2 5 3 2 5 6" xfId="12917" xr:uid="{EBEFE572-9B04-49F8-9FA4-0183C7B8D7B7}"/>
    <cellStyle name="Normal 2 5 3 2 6" xfId="2335" xr:uid="{00000000-0005-0000-0000-000082040000}"/>
    <cellStyle name="Normal 2 5 3 2 6 2" xfId="7462" xr:uid="{8B280B00-8611-4835-8C2E-276957C20C28}"/>
    <cellStyle name="Normal 2 5 3 2 6 2 2" xfId="17842" xr:uid="{BF30448F-133B-415C-8778-53B63BAE02CB}"/>
    <cellStyle name="Normal 2 5 3 2 6 3" xfId="10295" xr:uid="{1992D4DC-B5AC-442B-A473-26CECB6553B9}"/>
    <cellStyle name="Normal 2 5 3 2 6 3 2" xfId="20675" xr:uid="{E0B28474-8A8E-4DD0-8EB0-A817622FB2F0}"/>
    <cellStyle name="Normal 2 5 3 2 6 4" xfId="25589" xr:uid="{68796DDE-58EE-4733-89EA-044952437EFA}"/>
    <cellStyle name="Normal 2 5 3 2 6 5" xfId="15009" xr:uid="{E209A7A4-6938-4DFD-A8BB-6B2ADF3713F4}"/>
    <cellStyle name="Normal 2 5 3 2 7" xfId="3850" xr:uid="{68EF5F68-1856-41ED-95F2-A0A18534450F}"/>
    <cellStyle name="Normal 2 5 3 2 7 2" xfId="8683" xr:uid="{6468FD96-C1EC-4926-9F24-4FB5A8D3D5E1}"/>
    <cellStyle name="Normal 2 5 3 2 7 2 2" xfId="19063" xr:uid="{E77C4959-A932-418D-B36C-E48F813800E6}"/>
    <cellStyle name="Normal 2 5 3 2 7 3" xfId="11516" xr:uid="{DB5AA5FF-FE6A-4E50-A827-E675B7C4F86F}"/>
    <cellStyle name="Normal 2 5 3 2 7 3 2" xfId="21896" xr:uid="{790401EC-BDE4-4FF2-ADB2-C7F7D34CF1E5}"/>
    <cellStyle name="Normal 2 5 3 2 7 4" xfId="16230" xr:uid="{B5229A24-93F2-4693-851B-06CC506A0C55}"/>
    <cellStyle name="Normal 2 5 3 2 8" xfId="5147" xr:uid="{71DFB732-21F4-419B-9955-A0214C926B6F}"/>
    <cellStyle name="Normal 2 5 3 2 8 2" xfId="14444" xr:uid="{8F70C548-A3C3-44C7-81EA-CBE29DAAE6C3}"/>
    <cellStyle name="Normal 2 5 3 2 9" xfId="6897" xr:uid="{A26A1334-8781-4C7F-832A-3113608D2B6B}"/>
    <cellStyle name="Normal 2 5 3 2 9 2" xfId="17277" xr:uid="{2F1103A3-D415-4772-9783-7DF3E96E5209}"/>
    <cellStyle name="Normal 2 5 3 3" xfId="797" xr:uid="{00000000-0005-0000-0000-0000C9040000}"/>
    <cellStyle name="Normal 2 5 3 3 10" xfId="23044" xr:uid="{031C11DD-FCFB-47AB-BA52-672EED5BF159}"/>
    <cellStyle name="Normal 2 5 3 3 11" xfId="12727" xr:uid="{959C6AC3-1A67-4C63-924F-C3073593B867}"/>
    <cellStyle name="Normal 2 5 3 3 2" xfId="2744" xr:uid="{00000000-0005-0000-0000-000089040000}"/>
    <cellStyle name="Normal 2 5 3 3 2 2" xfId="3227" xr:uid="{00000000-0005-0000-0000-00008A040000}"/>
    <cellStyle name="Normal 2 5 3 3 2 2 2" xfId="6285" xr:uid="{25804369-44D9-459B-AAF0-86CD4FE0C9F3}"/>
    <cellStyle name="Normal 2 5 3 3 2 2 2 2" xfId="28326" xr:uid="{13FB1E69-19B8-4F39-9B11-E56FDBFFE513}"/>
    <cellStyle name="Normal 2 5 3 3 2 2 2 3" xfId="15854" xr:uid="{CC4942FC-D8CD-4C14-A7DC-2C9F5FF6D062}"/>
    <cellStyle name="Normal 2 5 3 3 2 2 3" xfId="8307" xr:uid="{E1C95000-BFF6-4817-896D-FF8602CB33AA}"/>
    <cellStyle name="Normal 2 5 3 3 2 2 3 2" xfId="18687" xr:uid="{328EACC2-91C4-43B4-B8B1-A5B08CCE66FD}"/>
    <cellStyle name="Normal 2 5 3 3 2 2 4" xfId="11140" xr:uid="{C200ADDC-0253-4A5C-9380-03155673285D}"/>
    <cellStyle name="Normal 2 5 3 3 2 2 4 2" xfId="21520" xr:uid="{132883E7-FD5A-400D-A783-82E777FBEF89}"/>
    <cellStyle name="Normal 2 5 3 3 2 2 5" xfId="22932" xr:uid="{FD21EA28-58D8-4640-BCD8-436C2B747B36}"/>
    <cellStyle name="Normal 2 5 3 3 2 2 6" xfId="13770" xr:uid="{17D29EFB-3707-404C-85EF-176B86D713D6}"/>
    <cellStyle name="Normal 2 5 3 3 2 3" xfId="4310" xr:uid="{1107B74B-FE16-45DD-897B-F3FED8FBA035}"/>
    <cellStyle name="Normal 2 5 3 3 2 3 2" xfId="9082" xr:uid="{9A2F5A9A-DBFE-43CB-B7F4-1B81C1AC1F57}"/>
    <cellStyle name="Normal 2 5 3 3 2 3 2 2" xfId="29125" xr:uid="{C18B8F15-42E5-4CD1-B362-08EB4981DFEC}"/>
    <cellStyle name="Normal 2 5 3 3 2 3 2 3" xfId="19462" xr:uid="{9DA8E725-F94A-4428-B5C6-AF45C02AA7BE}"/>
    <cellStyle name="Normal 2 5 3 3 2 3 3" xfId="11915" xr:uid="{543B574E-E8BD-4E81-97A3-8F4AB0D957C5}"/>
    <cellStyle name="Normal 2 5 3 3 2 3 3 2" xfId="22295" xr:uid="{63B6EB05-9EB6-4DDA-92D3-E5C84ABB373C}"/>
    <cellStyle name="Normal 2 5 3 3 2 3 4" xfId="23578" xr:uid="{B183ABB5-AEAC-4324-B67A-883A055856E7}"/>
    <cellStyle name="Normal 2 5 3 3 2 3 5" xfId="16629" xr:uid="{AFF0AFBE-A036-4A2F-B7EC-418A4D0FA1E1}"/>
    <cellStyle name="Normal 2 5 3 3 2 4" xfId="5962" xr:uid="{7ABC2878-0CFB-4341-823C-590E345E96EA}"/>
    <cellStyle name="Normal 2 5 3 3 2 4 2" xfId="28132" xr:uid="{143786A4-9DA3-443C-89EF-AD66CA6AEBA1}"/>
    <cellStyle name="Normal 2 5 3 3 2 4 3" xfId="15415" xr:uid="{355A02C9-1378-4F95-9738-7D3BF406B401}"/>
    <cellStyle name="Normal 2 5 3 3 2 5" xfId="7868" xr:uid="{035FE164-C485-4BB7-9E30-1ED086CED099}"/>
    <cellStyle name="Normal 2 5 3 3 2 5 2" xfId="18248" xr:uid="{CEF946DA-5181-44CA-A469-BDDE98BFD9CD}"/>
    <cellStyle name="Normal 2 5 3 3 2 6" xfId="10701" xr:uid="{4DF713A1-28E6-4743-8E80-6C8DE2DFE72B}"/>
    <cellStyle name="Normal 2 5 3 3 2 6 2" xfId="21081" xr:uid="{57BA23C6-7D59-4F2B-9E49-34433176D4A4}"/>
    <cellStyle name="Normal 2 5 3 3 2 7" xfId="25225" xr:uid="{99AA99E4-312F-4C28-B193-CBEADDBB85D0}"/>
    <cellStyle name="Normal 2 5 3 3 2 8" xfId="13184" xr:uid="{3EA2A6FB-FCFB-4DCB-AA36-A0B7FFC6C9D6}"/>
    <cellStyle name="Normal 2 5 3 3 3" xfId="3228" xr:uid="{00000000-0005-0000-0000-00008B040000}"/>
    <cellStyle name="Normal 2 5 3 3 3 2" xfId="4484" xr:uid="{951FAC34-D5FB-48AC-B36C-45BCE8EFE642}"/>
    <cellStyle name="Normal 2 5 3 3 3 2 2" xfId="9256" xr:uid="{545DCAC0-08C9-4B07-BBF3-506B166FD2F6}"/>
    <cellStyle name="Normal 2 5 3 3 3 2 2 2" xfId="29243" xr:uid="{EF85B97C-056C-4973-A746-58F159A92BF8}"/>
    <cellStyle name="Normal 2 5 3 3 3 2 2 3" xfId="19636" xr:uid="{4B0A08D7-8B3A-4832-B9C7-BA2320660323}"/>
    <cellStyle name="Normal 2 5 3 3 3 2 3" xfId="12089" xr:uid="{408152FC-D79D-445C-8162-5DA9B3B886FA}"/>
    <cellStyle name="Normal 2 5 3 3 3 2 3 2" xfId="22469" xr:uid="{88B369D0-AC3C-442D-A3E2-DF14A0BE12CB}"/>
    <cellStyle name="Normal 2 5 3 3 3 2 4" xfId="25590" xr:uid="{7B11F276-EFB1-4CE5-AAAF-C81351D04808}"/>
    <cellStyle name="Normal 2 5 3 3 3 2 5" xfId="16803" xr:uid="{ED702B6E-C0C9-4D8B-9646-FCD99BC5123F}"/>
    <cellStyle name="Normal 2 5 3 3 3 3" xfId="6286" xr:uid="{49E23FAE-86D7-4637-91B5-D4535F3EEE3C}"/>
    <cellStyle name="Normal 2 5 3 3 3 3 2" xfId="25888" xr:uid="{985224D8-D2DF-4B30-BBC4-0C734A65E8E8}"/>
    <cellStyle name="Normal 2 5 3 3 3 3 3" xfId="15855" xr:uid="{86784FBA-6E6F-4752-B168-C9D11180137E}"/>
    <cellStyle name="Normal 2 5 3 3 3 4" xfId="8308" xr:uid="{A33E524C-83A4-40D8-82B9-596C924968C8}"/>
    <cellStyle name="Normal 2 5 3 3 3 4 2" xfId="18688" xr:uid="{6CD46AB8-ED21-465B-BC4C-415C8155090A}"/>
    <cellStyle name="Normal 2 5 3 3 3 5" xfId="11141" xr:uid="{864771EB-E8B7-4442-AE35-32F1E104751C}"/>
    <cellStyle name="Normal 2 5 3 3 3 5 2" xfId="21521" xr:uid="{790328D7-A0B3-499C-A593-89CAAC845012}"/>
    <cellStyle name="Normal 2 5 3 3 3 6" xfId="23128" xr:uid="{1C7FF4AA-F112-4817-AFA7-337311AE8D92}"/>
    <cellStyle name="Normal 2 5 3 3 3 7" xfId="13771" xr:uid="{6D3BB943-701D-4A19-A4C9-AC850DE15A54}"/>
    <cellStyle name="Normal 2 5 3 3 4" xfId="3226" xr:uid="{00000000-0005-0000-0000-00008C040000}"/>
    <cellStyle name="Normal 2 5 3 3 4 2" xfId="6284" xr:uid="{0C3BD62F-F8AC-44D4-B5FF-7BFACC6D07D5}"/>
    <cellStyle name="Normal 2 5 3 3 4 2 2" xfId="26474" xr:uid="{8CD69CCA-B0FD-4E9A-8CEB-542155F751F2}"/>
    <cellStyle name="Normal 2 5 3 3 4 2 3" xfId="15853" xr:uid="{F2D39404-8D23-4B87-A925-2E52341FF785}"/>
    <cellStyle name="Normal 2 5 3 3 4 3" xfId="8306" xr:uid="{9527BE1E-DE74-4998-8553-7E5E26C1EFA2}"/>
    <cellStyle name="Normal 2 5 3 3 4 3 2" xfId="18686" xr:uid="{8647DFEC-5795-4E25-89C9-3F75FA989953}"/>
    <cellStyle name="Normal 2 5 3 3 4 4" xfId="11139" xr:uid="{BF522B7D-4624-4E56-92C8-332BB22C2467}"/>
    <cellStyle name="Normal 2 5 3 3 4 4 2" xfId="21519" xr:uid="{AD49A652-9991-4344-BEAB-0B78CFBD538D}"/>
    <cellStyle name="Normal 2 5 3 3 4 5" xfId="25369" xr:uid="{1A593429-A8C9-479E-AE78-CA9217A38F3D}"/>
    <cellStyle name="Normal 2 5 3 3 4 6" xfId="13769" xr:uid="{AC368816-52E5-4934-81B9-98172E0CCDC2}"/>
    <cellStyle name="Normal 2 5 3 3 5" xfId="2632" xr:uid="{00000000-0005-0000-0000-00008D040000}"/>
    <cellStyle name="Normal 2 5 3 3 5 2" xfId="5894" xr:uid="{E2E090D2-3735-478B-9685-CCDCF79CED39}"/>
    <cellStyle name="Normal 2 5 3 3 5 2 2" xfId="27104" xr:uid="{333B7E22-A868-4CDD-A946-650B7FE6FE6C}"/>
    <cellStyle name="Normal 2 5 3 3 5 2 3" xfId="15304" xr:uid="{3BD07DCA-A157-45A3-9D9D-4CE33245103F}"/>
    <cellStyle name="Normal 2 5 3 3 5 3" xfId="7757" xr:uid="{44037371-D29E-4521-A158-ED7938454E68}"/>
    <cellStyle name="Normal 2 5 3 3 5 3 2" xfId="18137" xr:uid="{7B599C7F-7535-42B4-89BD-95E9A2D3F07C}"/>
    <cellStyle name="Normal 2 5 3 3 5 4" xfId="10590" xr:uid="{E91E3381-5744-4EBC-9023-F0BB8787BB8D}"/>
    <cellStyle name="Normal 2 5 3 3 5 4 2" xfId="20970" xr:uid="{7903732C-1E4A-4DC7-B982-0AEDE4E5D11B}"/>
    <cellStyle name="Normal 2 5 3 3 5 5" xfId="23999" xr:uid="{4039D8F0-F054-40B7-A0E4-A4EEF489507E}"/>
    <cellStyle name="Normal 2 5 3 3 5 6" xfId="13020" xr:uid="{319D4F10-0955-4B1D-89ED-2AA232155015}"/>
    <cellStyle name="Normal 2 5 3 3 6" xfId="4169" xr:uid="{35C1B1DB-A382-4B39-99E3-95C074285C85}"/>
    <cellStyle name="Normal 2 5 3 3 6 2" xfId="8941" xr:uid="{197E43BB-D3CA-4368-8652-4F2402FD33CF}"/>
    <cellStyle name="Normal 2 5 3 3 6 2 2" xfId="19321" xr:uid="{C20EE58D-61B1-4AC0-9ECC-59C8ABA034D1}"/>
    <cellStyle name="Normal 2 5 3 3 6 3" xfId="11774" xr:uid="{6912843E-C807-46F5-A8E0-BFBD90824D89}"/>
    <cellStyle name="Normal 2 5 3 3 6 3 2" xfId="22154" xr:uid="{F9645213-A636-4326-A20E-01F43408CF55}"/>
    <cellStyle name="Normal 2 5 3 3 6 4" xfId="23254" xr:uid="{BFC4F051-9596-4F76-8BB4-0E786E3321A9}"/>
    <cellStyle name="Normal 2 5 3 3 6 5" xfId="16488" xr:uid="{FC561C2F-9FA6-44E0-9C95-BE24AEDE5EFF}"/>
    <cellStyle name="Normal 2 5 3 3 7" xfId="5149" xr:uid="{4D4DAB8C-6541-4D40-B66B-25E93FFC5312}"/>
    <cellStyle name="Normal 2 5 3 3 7 2" xfId="14446" xr:uid="{247654F7-094F-4AFD-A419-E1CB39ADDB4F}"/>
    <cellStyle name="Normal 2 5 3 3 8" xfId="6899" xr:uid="{59698C3A-0669-4F1E-A984-FF5FCC3E5BB2}"/>
    <cellStyle name="Normal 2 5 3 3 8 2" xfId="17279" xr:uid="{764DED76-B7F8-4062-9FCB-E9395AA4FBDE}"/>
    <cellStyle name="Normal 2 5 3 3 9" xfId="9732" xr:uid="{DDC34514-64B4-4F84-98A4-2EFE22B6C6E5}"/>
    <cellStyle name="Normal 2 5 3 3 9 2" xfId="20112" xr:uid="{F025BD27-34F3-48F0-B228-4A8C03A77A11}"/>
    <cellStyle name="Normal 2 5 3 4" xfId="798" xr:uid="{00000000-0005-0000-0000-0000CA040000}"/>
    <cellStyle name="Normal 2 5 3 4 2" xfId="3229" xr:uid="{00000000-0005-0000-0000-00008F040000}"/>
    <cellStyle name="Normal 2 5 3 4 2 2" xfId="6287" xr:uid="{939D3226-FF87-4B90-8B78-7DCCABB05372}"/>
    <cellStyle name="Normal 2 5 3 4 2 2 2" xfId="28352" xr:uid="{BDDB8FB3-B852-4AC3-909E-8381C8EE5F07}"/>
    <cellStyle name="Normal 2 5 3 4 2 2 3" xfId="15856" xr:uid="{67F8E193-0006-4149-A486-5372E80E5353}"/>
    <cellStyle name="Normal 2 5 3 4 2 3" xfId="8309" xr:uid="{97661A0C-02BE-4843-B20A-0599541327DA}"/>
    <cellStyle name="Normal 2 5 3 4 2 3 2" xfId="18689" xr:uid="{E3B21853-34F4-4D63-B8A5-6F26848BF5E6}"/>
    <cellStyle name="Normal 2 5 3 4 2 4" xfId="11142" xr:uid="{20CEBD95-A24D-4833-AA7C-61ABA764AF01}"/>
    <cellStyle name="Normal 2 5 3 4 2 4 2" xfId="21522" xr:uid="{EE6BB99F-8026-4268-A515-EB4C8CF86425}"/>
    <cellStyle name="Normal 2 5 3 4 2 5" xfId="22749" xr:uid="{21AC6561-6D20-4301-9BD5-28C92FA245FB}"/>
    <cellStyle name="Normal 2 5 3 4 2 6" xfId="13772" xr:uid="{09592D99-3FF8-4948-8C83-7C4357ADCF7D}"/>
    <cellStyle name="Normal 2 5 3 4 3" xfId="4308" xr:uid="{8785D825-AD3B-422C-B285-0ED6DFADF3AA}"/>
    <cellStyle name="Normal 2 5 3 4 3 2" xfId="9080" xr:uid="{1AEF477D-B7CC-4B72-839F-C3FEFE9A4BAD}"/>
    <cellStyle name="Normal 2 5 3 4 3 2 2" xfId="29123" xr:uid="{7D56A3C7-B510-4AF6-A7C9-2AFE343805E0}"/>
    <cellStyle name="Normal 2 5 3 4 3 2 3" xfId="19460" xr:uid="{68CC6781-067F-410D-9D7C-53706A48857F}"/>
    <cellStyle name="Normal 2 5 3 4 3 3" xfId="11913" xr:uid="{48D8519C-8B33-4196-A3C8-2457043A9426}"/>
    <cellStyle name="Normal 2 5 3 4 3 3 2" xfId="22293" xr:uid="{BEFA8E93-EC49-4FFB-B041-79172E4D6AF5}"/>
    <cellStyle name="Normal 2 5 3 4 3 4" xfId="23299" xr:uid="{36DA8047-9FFD-408A-BD6B-41D321FDAFDA}"/>
    <cellStyle name="Normal 2 5 3 4 3 5" xfId="16627" xr:uid="{2B3C2E63-D44C-493B-B335-CDDA83344D56}"/>
    <cellStyle name="Normal 2 5 3 4 4" xfId="5150" xr:uid="{1EBB81B8-9642-443C-94EC-CAA1770A8AEE}"/>
    <cellStyle name="Normal 2 5 3 4 4 2" xfId="27533" xr:uid="{DCB1CF7B-C50A-41FA-BA0E-FF1F7397F6F1}"/>
    <cellStyle name="Normal 2 5 3 4 4 3" xfId="14447" xr:uid="{6BD61CC2-EDD3-4400-959C-EFD03CC473F5}"/>
    <cellStyle name="Normal 2 5 3 4 5" xfId="6900" xr:uid="{119BD438-A9F8-4395-8923-C1F3953BFF58}"/>
    <cellStyle name="Normal 2 5 3 4 5 2" xfId="17280" xr:uid="{17D9B5A9-2EA1-48FA-8482-A29367EFE490}"/>
    <cellStyle name="Normal 2 5 3 4 6" xfId="9733" xr:uid="{A2428498-4586-460F-8F4A-BCF95294D36C}"/>
    <cellStyle name="Normal 2 5 3 4 6 2" xfId="20113" xr:uid="{3B2726D7-2DEB-4F18-9DB3-4E9F9D6183D9}"/>
    <cellStyle name="Normal 2 5 3 4 7" xfId="22890" xr:uid="{75F175D2-DA8D-44A4-B513-2FF835520016}"/>
    <cellStyle name="Normal 2 5 3 4 8" xfId="13182" xr:uid="{9C962EB9-99D8-44F6-AF18-7961AAE03E43}"/>
    <cellStyle name="Normal 2 5 3 5" xfId="3230" xr:uid="{00000000-0005-0000-0000-000090040000}"/>
    <cellStyle name="Normal 2 5 3 5 2" xfId="4485" xr:uid="{0BEB3A3D-C3D5-4EF2-8C83-3DFDED1B22B5}"/>
    <cellStyle name="Normal 2 5 3 5 2 2" xfId="9257" xr:uid="{2334310F-F348-438D-9405-FA364CD2B800}"/>
    <cellStyle name="Normal 2 5 3 5 2 2 2" xfId="29244" xr:uid="{6449A4A3-0FAB-4007-B0A2-B93EB0EB0140}"/>
    <cellStyle name="Normal 2 5 3 5 2 2 3" xfId="19637" xr:uid="{81B52144-2BFB-48B6-8A11-7CE4262E25DB}"/>
    <cellStyle name="Normal 2 5 3 5 2 3" xfId="12090" xr:uid="{A11F0EBF-9EB0-432B-A975-C574975B3A88}"/>
    <cellStyle name="Normal 2 5 3 5 2 3 2" xfId="22470" xr:uid="{791D0D36-F9CD-407E-8DCB-DB6164200372}"/>
    <cellStyle name="Normal 2 5 3 5 2 4" xfId="25075" xr:uid="{4A45569A-ABAA-4AA9-86E4-7D83925BB77D}"/>
    <cellStyle name="Normal 2 5 3 5 2 5" xfId="16804" xr:uid="{159A6CA8-3B65-4566-BDE1-8560AA86B86A}"/>
    <cellStyle name="Normal 2 5 3 5 3" xfId="6288" xr:uid="{1E0D802E-7B4A-4613-998F-F3E8DC8B81D2}"/>
    <cellStyle name="Normal 2 5 3 5 3 2" xfId="26826" xr:uid="{2E287158-7645-4617-8F5E-3637269961B0}"/>
    <cellStyle name="Normal 2 5 3 5 3 3" xfId="15857" xr:uid="{97635189-8BE7-436A-9583-42A16340DD0C}"/>
    <cellStyle name="Normal 2 5 3 5 4" xfId="8310" xr:uid="{A6997152-AC19-4A7E-A648-37891E593E8D}"/>
    <cellStyle name="Normal 2 5 3 5 4 2" xfId="18690" xr:uid="{30137378-1DE8-4737-B755-36460CF52729}"/>
    <cellStyle name="Normal 2 5 3 5 5" xfId="11143" xr:uid="{5A8FDB6A-5572-465A-8380-F41460F1A1DD}"/>
    <cellStyle name="Normal 2 5 3 5 5 2" xfId="21523" xr:uid="{70535393-DBC4-4BFC-9C91-EB6899198642}"/>
    <cellStyle name="Normal 2 5 3 5 6" xfId="23840" xr:uid="{49743946-3652-472F-9C52-EEEE5544C403}"/>
    <cellStyle name="Normal 2 5 3 5 7" xfId="13773" xr:uid="{D2F7F6C9-BFCC-4D3B-8892-9645E9B61F3C}"/>
    <cellStyle name="Normal 2 5 3 6" xfId="2910" xr:uid="{00000000-0005-0000-0000-000091040000}"/>
    <cellStyle name="Normal 2 5 3 6 2" xfId="6096" xr:uid="{B73878D2-5259-4990-81CF-080BA4EF1E5D}"/>
    <cellStyle name="Normal 2 5 3 6 2 2" xfId="28699" xr:uid="{EEF64A54-E212-4C60-BD41-D668E418A9DB}"/>
    <cellStyle name="Normal 2 5 3 6 2 3" xfId="15574" xr:uid="{0CB61A38-7EF3-43D6-948B-ECC541C781F9}"/>
    <cellStyle name="Normal 2 5 3 6 3" xfId="8027" xr:uid="{CE48BB44-792E-4F21-902E-4BB97AEF7655}"/>
    <cellStyle name="Normal 2 5 3 6 3 2" xfId="18407" xr:uid="{B62B2F41-6AB8-4DD0-AA31-E28A19E9F9D8}"/>
    <cellStyle name="Normal 2 5 3 6 4" xfId="10860" xr:uid="{C24DB934-6084-4D07-9EF6-4CE5B68AFF5C}"/>
    <cellStyle name="Normal 2 5 3 6 4 2" xfId="21240" xr:uid="{D38D8EEE-5F99-45F1-B30F-54336C143397}"/>
    <cellStyle name="Normal 2 5 3 6 5" xfId="25236" xr:uid="{A43D021D-1A55-47BA-A9F1-5348C5A3DDE9}"/>
    <cellStyle name="Normal 2 5 3 6 6" xfId="13425" xr:uid="{C1A7CE82-9259-47E3-BDAE-73A09C85EBF4}"/>
    <cellStyle name="Normal 2 5 3 7" xfId="2469" xr:uid="{00000000-0005-0000-0000-000092040000}"/>
    <cellStyle name="Normal 2 5 3 7 2" xfId="5759" xr:uid="{B168AF0A-31FE-458F-BE87-E8C90E776266}"/>
    <cellStyle name="Normal 2 5 3 7 2 2" xfId="28482" xr:uid="{F70FBECB-9D83-407D-84C4-17ADF63D7726}"/>
    <cellStyle name="Normal 2 5 3 7 2 3" xfId="15141" xr:uid="{6FE660AB-0937-442F-801C-F3C087699BEE}"/>
    <cellStyle name="Normal 2 5 3 7 3" xfId="7594" xr:uid="{58A42B35-60C8-41F2-AB70-65F4EF71C1DB}"/>
    <cellStyle name="Normal 2 5 3 7 3 2" xfId="17974" xr:uid="{DE52DCE9-40C2-452D-8456-5FF6AE9695A2}"/>
    <cellStyle name="Normal 2 5 3 7 4" xfId="10427" xr:uid="{910D1454-1412-4868-8BB6-9C605C88F5FF}"/>
    <cellStyle name="Normal 2 5 3 7 4 2" xfId="20807" xr:uid="{432812E6-7CDF-4C1E-BE4E-1CA4F7330669}"/>
    <cellStyle name="Normal 2 5 3 7 5" xfId="24121" xr:uid="{5C2766B1-ADA5-410F-A742-1CD7F4FC1B84}"/>
    <cellStyle name="Normal 2 5 3 7 6" xfId="12857" xr:uid="{7BA044FC-A76D-402C-8E1A-800974FD98C4}"/>
    <cellStyle name="Normal 2 5 3 8" xfId="2223" xr:uid="{00000000-0005-0000-0000-000081040000}"/>
    <cellStyle name="Normal 2 5 3 8 2" xfId="7350" xr:uid="{D2E4E38C-8D19-4275-8CE0-B7119B823696}"/>
    <cellStyle name="Normal 2 5 3 8 2 2" xfId="17730" xr:uid="{70C14F63-2795-48D7-A7DB-4101B9D794A7}"/>
    <cellStyle name="Normal 2 5 3 8 3" xfId="10183" xr:uid="{2F070E58-C7D0-4A47-8D76-D4BA544C705D}"/>
    <cellStyle name="Normal 2 5 3 8 3 2" xfId="20563" xr:uid="{AD63F703-5A02-4C99-8AFF-7D536F35CDF4}"/>
    <cellStyle name="Normal 2 5 3 8 4" xfId="24188" xr:uid="{0FB55210-A2F4-4E4D-A13B-45A04BF0A794}"/>
    <cellStyle name="Normal 2 5 3 8 5" xfId="14897" xr:uid="{C54113B0-249C-46BC-B11D-F443BD6799E6}"/>
    <cellStyle name="Normal 2 5 3 9" xfId="3945" xr:uid="{C0CC3FD7-CAC4-47BD-B3E9-E4DC609FB2A0}"/>
    <cellStyle name="Normal 2 5 3 9 2" xfId="8777" xr:uid="{0FA45915-D319-4183-BC2E-0054D365287E}"/>
    <cellStyle name="Normal 2 5 3 9 2 2" xfId="19157" xr:uid="{40D9AE69-1328-49C7-B694-85C243E1431D}"/>
    <cellStyle name="Normal 2 5 3 9 3" xfId="11610" xr:uid="{92587BA5-D326-4636-B8B0-18FE1AF758F5}"/>
    <cellStyle name="Normal 2 5 3 9 3 2" xfId="21990" xr:uid="{28E55DE2-C0C0-4102-854E-8884C587AD00}"/>
    <cellStyle name="Normal 2 5 3 9 4" xfId="16324" xr:uid="{93415755-5E1E-453E-9415-6BDBF66ECB00}"/>
    <cellStyle name="Normal 2 5 4" xfId="799" xr:uid="{00000000-0005-0000-0000-0000CB040000}"/>
    <cellStyle name="Normal 2 5 4 10" xfId="6901" xr:uid="{CB047E49-D53E-46AE-A873-27ABC9EECBD9}"/>
    <cellStyle name="Normal 2 5 4 10 2" xfId="17281" xr:uid="{B519EA17-B023-4DF0-876F-5671CF66B8AC}"/>
    <cellStyle name="Normal 2 5 4 11" xfId="9734" xr:uid="{9BB6EF12-CDE5-4744-8831-F0761B12D963}"/>
    <cellStyle name="Normal 2 5 4 11 2" xfId="20114" xr:uid="{170C48B2-6AEB-488F-BA8F-E698B6827046}"/>
    <cellStyle name="Normal 2 5 4 12" xfId="24915" xr:uid="{5B9F2A8E-0104-4D27-A837-7C63A45FF2A2}"/>
    <cellStyle name="Normal 2 5 4 13" xfId="12438" xr:uid="{F32A1A22-7BBF-4368-843F-7792A7197D73}"/>
    <cellStyle name="Normal 2 5 4 2" xfId="800" xr:uid="{00000000-0005-0000-0000-0000CC040000}"/>
    <cellStyle name="Normal 2 5 4 2 10" xfId="9735" xr:uid="{EB95C9A1-1894-4AD2-A17A-AC8E7ADD68F2}"/>
    <cellStyle name="Normal 2 5 4 2 10 2" xfId="20115" xr:uid="{2A98D9B5-85DE-413A-BB07-64EB77C01AF5}"/>
    <cellStyle name="Normal 2 5 4 2 11" xfId="23464" xr:uid="{27BC0A7A-B2F6-4886-A2DF-E73BCA1ECB62}"/>
    <cellStyle name="Normal 2 5 4 2 12" xfId="12570" xr:uid="{1CBDEFBE-2FCD-4FCB-A936-03F1F88C37C1}"/>
    <cellStyle name="Normal 2 5 4 2 2" xfId="801" xr:uid="{00000000-0005-0000-0000-0000CD040000}"/>
    <cellStyle name="Normal 2 5 4 2 2 2" xfId="3232" xr:uid="{00000000-0005-0000-0000-000096040000}"/>
    <cellStyle name="Normal 2 5 4 2 2 2 2" xfId="6290" xr:uid="{8892750F-7025-4C9C-96FB-CD8CFED5DCC5}"/>
    <cellStyle name="Normal 2 5 4 2 2 2 2 2" xfId="25963" xr:uid="{94FE1B15-B6FD-4918-B240-16B296DF0B2E}"/>
    <cellStyle name="Normal 2 5 4 2 2 2 2 3" xfId="26645" xr:uid="{7860B85E-A5C5-4E53-A052-92B8E69EEA39}"/>
    <cellStyle name="Normal 2 5 4 2 2 2 2 4" xfId="15859" xr:uid="{4E977405-66D9-42F9-A3FE-75344B532578}"/>
    <cellStyle name="Normal 2 5 4 2 2 2 3" xfId="8312" xr:uid="{FF599439-A5F8-4927-9DEE-E1B4DD50819A}"/>
    <cellStyle name="Normal 2 5 4 2 2 2 3 2" xfId="28888" xr:uid="{AA552203-6951-4942-B5F2-AC43969F3824}"/>
    <cellStyle name="Normal 2 5 4 2 2 2 3 3" xfId="18692" xr:uid="{06BB6B0A-50C3-4A17-B81D-AF2B71346F71}"/>
    <cellStyle name="Normal 2 5 4 2 2 2 4" xfId="11145" xr:uid="{65CD692F-6D05-4FC2-A4EB-56577F60FDE2}"/>
    <cellStyle name="Normal 2 5 4 2 2 2 4 2" xfId="21525" xr:uid="{6C0FFF33-281F-48A1-BC00-C6A7D8863B2C}"/>
    <cellStyle name="Normal 2 5 4 2 2 2 5" xfId="24946" xr:uid="{F48912EC-9A15-480E-92DD-56E3E099D83C}"/>
    <cellStyle name="Normal 2 5 4 2 2 2 6" xfId="13775" xr:uid="{3D655155-08D8-4600-B855-F8E49E61D9CD}"/>
    <cellStyle name="Normal 2 5 4 2 2 3" xfId="4311" xr:uid="{7FBF59B4-F836-44E7-BC8A-67A9782E935E}"/>
    <cellStyle name="Normal 2 5 4 2 2 3 2" xfId="9083" xr:uid="{6B304CD8-61FF-4486-AB86-0AA2692CB6CA}"/>
    <cellStyle name="Normal 2 5 4 2 2 3 2 2" xfId="29126" xr:uid="{8ADA81D0-515D-4FB2-B6C9-B393393B47A9}"/>
    <cellStyle name="Normal 2 5 4 2 2 3 2 3" xfId="19463" xr:uid="{B7804AE3-567D-4EC7-B458-518B57E6F949}"/>
    <cellStyle name="Normal 2 5 4 2 2 3 3" xfId="11916" xr:uid="{3CB8E62F-7E18-47BB-ACB0-0813D775BCC8}"/>
    <cellStyle name="Normal 2 5 4 2 2 3 3 2" xfId="22296" xr:uid="{54CFFEC8-9A5F-41D0-B3D3-81D04AAFAC3A}"/>
    <cellStyle name="Normal 2 5 4 2 2 3 4" xfId="23386" xr:uid="{DDC27A66-FC4B-4B00-AD6B-5CC898FB1855}"/>
    <cellStyle name="Normal 2 5 4 2 2 3 5" xfId="16630" xr:uid="{5CF0219C-D170-41C4-B12D-DE085AAAB22B}"/>
    <cellStyle name="Normal 2 5 4 2 2 4" xfId="5153" xr:uid="{0778C214-8051-49D9-A6EC-36AB2F8093BD}"/>
    <cellStyle name="Normal 2 5 4 2 2 4 2" xfId="28585" xr:uid="{7F0573E1-36D3-46C8-A8FD-9C4773A8E12C}"/>
    <cellStyle name="Normal 2 5 4 2 2 4 3" xfId="14450" xr:uid="{0CCCFEA0-645C-4913-A729-F698F8D2CE21}"/>
    <cellStyle name="Normal 2 5 4 2 2 5" xfId="6903" xr:uid="{48F2EDB2-782A-4B9C-BBD5-2644FB43DB10}"/>
    <cellStyle name="Normal 2 5 4 2 2 5 2" xfId="17283" xr:uid="{40A490A8-A648-4202-820A-452251C7EA31}"/>
    <cellStyle name="Normal 2 5 4 2 2 6" xfId="9736" xr:uid="{62E04ED5-DBA4-49DE-BE42-8EC1B0449D0A}"/>
    <cellStyle name="Normal 2 5 4 2 2 6 2" xfId="20116" xr:uid="{3CC93754-9412-4E1B-BF1C-75BB4310CF7D}"/>
    <cellStyle name="Normal 2 5 4 2 2 7" xfId="25553" xr:uid="{379DBCBE-3014-4986-A692-82ABB0DF1F03}"/>
    <cellStyle name="Normal 2 5 4 2 2 8" xfId="13186" xr:uid="{F21C79F2-99B4-471A-8405-E298CB8D5B4B}"/>
    <cellStyle name="Normal 2 5 4 2 3" xfId="3233" xr:uid="{00000000-0005-0000-0000-000097040000}"/>
    <cellStyle name="Normal 2 5 4 2 3 2" xfId="4486" xr:uid="{5DC40255-4AB9-41D9-AA22-7F46584C7977}"/>
    <cellStyle name="Normal 2 5 4 2 3 2 2" xfId="9258" xr:uid="{A6CD52E1-8F01-4B11-8E41-3640A9E23CA8}"/>
    <cellStyle name="Normal 2 5 4 2 3 2 2 2" xfId="29245" xr:uid="{E5527572-4523-48F2-8335-40563C2D2BD9}"/>
    <cellStyle name="Normal 2 5 4 2 3 2 2 3" xfId="19638" xr:uid="{3D618317-D045-49C1-B479-ECBF6F101EA3}"/>
    <cellStyle name="Normal 2 5 4 2 3 2 3" xfId="12091" xr:uid="{8623B10A-97D4-44F2-AB73-D17D6B7CA6D2}"/>
    <cellStyle name="Normal 2 5 4 2 3 2 3 2" xfId="22471" xr:uid="{E2BD33F1-B295-44CF-AC3B-B63D13292E28}"/>
    <cellStyle name="Normal 2 5 4 2 3 2 4" xfId="23220" xr:uid="{DEC4DE71-6A92-4A94-9895-3CE20C6033CC}"/>
    <cellStyle name="Normal 2 5 4 2 3 2 5" xfId="16805" xr:uid="{03831A9E-3093-4AD7-B572-9DA03DEBA0A9}"/>
    <cellStyle name="Normal 2 5 4 2 3 3" xfId="6291" xr:uid="{E6D74EAA-6FE7-442E-A52E-B57B18C5E209}"/>
    <cellStyle name="Normal 2 5 4 2 3 3 2" xfId="27322" xr:uid="{CF77D49A-D9CD-44D2-AA9F-B29A6E780FC6}"/>
    <cellStyle name="Normal 2 5 4 2 3 3 3" xfId="15860" xr:uid="{ABFFC3E6-8148-47F1-8C67-E614D71AE630}"/>
    <cellStyle name="Normal 2 5 4 2 3 4" xfId="8313" xr:uid="{29BCBE05-055A-4AA4-A916-C30589B88393}"/>
    <cellStyle name="Normal 2 5 4 2 3 4 2" xfId="18693" xr:uid="{3D1BD514-A17F-42EF-9782-850874232843}"/>
    <cellStyle name="Normal 2 5 4 2 3 5" xfId="11146" xr:uid="{E430120C-1198-478F-9570-5613C973472C}"/>
    <cellStyle name="Normal 2 5 4 2 3 5 2" xfId="21526" xr:uid="{EE98C3E7-679E-436B-84BB-40510BAA4D7E}"/>
    <cellStyle name="Normal 2 5 4 2 3 6" xfId="23012" xr:uid="{B630333F-32C6-44E8-B1BA-4EB5CB71210F}"/>
    <cellStyle name="Normal 2 5 4 2 3 7" xfId="13776" xr:uid="{CABF6DF4-D203-40E7-8580-375F9E0B5520}"/>
    <cellStyle name="Normal 2 5 4 2 4" xfId="3231" xr:uid="{00000000-0005-0000-0000-000098040000}"/>
    <cellStyle name="Normal 2 5 4 2 4 2" xfId="6289" xr:uid="{DB80DA47-D9AB-4FA4-8155-F6D6F7D36B71}"/>
    <cellStyle name="Normal 2 5 4 2 4 2 2" xfId="26740" xr:uid="{9107CABB-44EF-46AF-A11E-13BEE7C4AC89}"/>
    <cellStyle name="Normal 2 5 4 2 4 2 3" xfId="15858" xr:uid="{82395B0F-9FBC-4A63-BA5B-789770D2B473}"/>
    <cellStyle name="Normal 2 5 4 2 4 3" xfId="8311" xr:uid="{F16C64E1-BB72-42DE-86F4-36E661E71648}"/>
    <cellStyle name="Normal 2 5 4 2 4 3 2" xfId="18691" xr:uid="{F772F717-D7F6-4290-A6E4-0AF6BC7B9D9A}"/>
    <cellStyle name="Normal 2 5 4 2 4 4" xfId="11144" xr:uid="{4A04CFD3-6C2A-4A0B-B0CB-853EE8160755}"/>
    <cellStyle name="Normal 2 5 4 2 4 4 2" xfId="21524" xr:uid="{170C47F2-7A01-4395-9C80-6B5D4B0F0975}"/>
    <cellStyle name="Normal 2 5 4 2 4 5" xfId="22896" xr:uid="{1848D2BC-0BF3-48A3-B42C-9E19ACF9A27C}"/>
    <cellStyle name="Normal 2 5 4 2 4 6" xfId="13774" xr:uid="{DF0108D8-7A87-4479-8691-E338607AEFDA}"/>
    <cellStyle name="Normal 2 5 4 2 5" xfId="2615" xr:uid="{00000000-0005-0000-0000-000099040000}"/>
    <cellStyle name="Normal 2 5 4 2 5 2" xfId="5877" xr:uid="{C6ED515C-823D-465B-8FA8-CE37855AFDFD}"/>
    <cellStyle name="Normal 2 5 4 2 5 2 2" xfId="27070" xr:uid="{788B9FD6-1B42-42DE-B104-07F1F18FCFA8}"/>
    <cellStyle name="Normal 2 5 4 2 5 2 3" xfId="15287" xr:uid="{D877FED5-C8D1-4A35-B433-3E952F9E622C}"/>
    <cellStyle name="Normal 2 5 4 2 5 3" xfId="7740" xr:uid="{D7217A46-636B-4E62-8C1D-44E495DC81DF}"/>
    <cellStyle name="Normal 2 5 4 2 5 3 2" xfId="18120" xr:uid="{137CCD0F-8E52-4BBD-A882-F23F6AA0A4A2}"/>
    <cellStyle name="Normal 2 5 4 2 5 4" xfId="10573" xr:uid="{AC736895-F3E6-437E-899E-AD19F45FFECD}"/>
    <cellStyle name="Normal 2 5 4 2 5 4 2" xfId="20953" xr:uid="{C2AA678F-17E9-4DB7-9978-72037C745C82}"/>
    <cellStyle name="Normal 2 5 4 2 5 5" xfId="25064" xr:uid="{DED9F27F-1D36-4A74-9781-40DFB816567F}"/>
    <cellStyle name="Normal 2 5 4 2 5 6" xfId="13003" xr:uid="{76BA3568-8444-479A-ACBE-F14C4BAD7BE8}"/>
    <cellStyle name="Normal 2 5 4 2 6" xfId="2336" xr:uid="{00000000-0005-0000-0000-000094040000}"/>
    <cellStyle name="Normal 2 5 4 2 6 2" xfId="7463" xr:uid="{25409F02-F46E-4D75-88A6-DDC0D0A166E8}"/>
    <cellStyle name="Normal 2 5 4 2 6 2 2" xfId="17843" xr:uid="{0643C825-0F1C-4F25-8705-92A30E6D91AB}"/>
    <cellStyle name="Normal 2 5 4 2 6 3" xfId="10296" xr:uid="{CD562E2F-C260-4F18-BEB9-19724D5EF427}"/>
    <cellStyle name="Normal 2 5 4 2 6 3 2" xfId="20676" xr:uid="{14277278-988F-4838-B827-6AAFBE72922E}"/>
    <cellStyle name="Normal 2 5 4 2 6 4" xfId="23529" xr:uid="{62257298-F20E-40FE-A285-25EB21138115}"/>
    <cellStyle name="Normal 2 5 4 2 6 5" xfId="15010" xr:uid="{39738CDA-B811-40FE-BB3C-B0CCEF5195E5}"/>
    <cellStyle name="Normal 2 5 4 2 7" xfId="3851" xr:uid="{162D58BF-87B5-4024-9A43-A5B2C04A0161}"/>
    <cellStyle name="Normal 2 5 4 2 7 2" xfId="8684" xr:uid="{65B605F4-4609-4305-8D28-2EE553D95677}"/>
    <cellStyle name="Normal 2 5 4 2 7 2 2" xfId="19064" xr:uid="{A5D90364-D8A4-4F97-B71B-2126BE45F25C}"/>
    <cellStyle name="Normal 2 5 4 2 7 3" xfId="11517" xr:uid="{700EFDCE-B801-4804-99CD-8A45C4D03B2C}"/>
    <cellStyle name="Normal 2 5 4 2 7 3 2" xfId="21897" xr:uid="{3D215DEC-F09D-4E9E-8183-935E0541AAAE}"/>
    <cellStyle name="Normal 2 5 4 2 7 4" xfId="16231" xr:uid="{3762B984-E117-4881-8D1B-7C3DE39B9EDD}"/>
    <cellStyle name="Normal 2 5 4 2 8" xfId="5152" xr:uid="{341430D9-980A-4F5D-B039-7FC0AD728E13}"/>
    <cellStyle name="Normal 2 5 4 2 8 2" xfId="14449" xr:uid="{785D2A81-823E-486F-BA6E-029A4B9F26F2}"/>
    <cellStyle name="Normal 2 5 4 2 9" xfId="6902" xr:uid="{7DBA4338-0581-447F-8ED7-CC1DDC537A18}"/>
    <cellStyle name="Normal 2 5 4 2 9 2" xfId="17282" xr:uid="{C4C678DC-DD02-4458-A5EA-3D98E50F3F9A}"/>
    <cellStyle name="Normal 2 5 4 3" xfId="802" xr:uid="{00000000-0005-0000-0000-0000CE040000}"/>
    <cellStyle name="Normal 2 5 4 3 2" xfId="3234" xr:uid="{00000000-0005-0000-0000-00009B040000}"/>
    <cellStyle name="Normal 2 5 4 3 2 2" xfId="6292" xr:uid="{50B50866-DA33-4B3F-8008-086AF650AE48}"/>
    <cellStyle name="Normal 2 5 4 3 2 2 2" xfId="25756" xr:uid="{1C0872C6-FFD3-4987-A6E5-5ED601C8D81E}"/>
    <cellStyle name="Normal 2 5 4 3 2 2 3" xfId="26335" xr:uid="{4B84C1BB-C313-4CFC-9FA0-D99D406DB19D}"/>
    <cellStyle name="Normal 2 5 4 3 2 2 4" xfId="15861" xr:uid="{DDB198C1-AB0F-41D9-B1B6-8437B7591C65}"/>
    <cellStyle name="Normal 2 5 4 3 2 3" xfId="8314" xr:uid="{1E8B7BDA-BCFF-4187-8D93-94A7A0F3C02E}"/>
    <cellStyle name="Normal 2 5 4 3 2 3 2" xfId="28889" xr:uid="{633CD293-4B43-4169-A162-738BB7F75997}"/>
    <cellStyle name="Normal 2 5 4 3 2 3 3" xfId="18694" xr:uid="{D0EA3727-7953-4F37-975F-2E8BDC4A612A}"/>
    <cellStyle name="Normal 2 5 4 3 2 4" xfId="11147" xr:uid="{6CD7079C-C4CF-491D-8DF4-9F094A829A7A}"/>
    <cellStyle name="Normal 2 5 4 3 2 4 2" xfId="21527" xr:uid="{AD540BEF-2E78-4785-A94F-B2AEF5F157C4}"/>
    <cellStyle name="Normal 2 5 4 3 2 5" xfId="24498" xr:uid="{CDB605C4-6B54-4A38-AAF7-EF67EA92A5A8}"/>
    <cellStyle name="Normal 2 5 4 3 2 6" xfId="13777" xr:uid="{659849B3-E706-44C8-A5BB-7B76C0F6DE21}"/>
    <cellStyle name="Normal 2 5 4 3 3" xfId="2745" xr:uid="{00000000-0005-0000-0000-00009C040000}"/>
    <cellStyle name="Normal 2 5 4 3 3 2" xfId="5963" xr:uid="{479FE92E-C60D-4791-AA5D-06281A84CF93}"/>
    <cellStyle name="Normal 2 5 4 3 3 2 2" xfId="27015" xr:uid="{007A9210-C9B0-4830-B436-4DEEA162BB27}"/>
    <cellStyle name="Normal 2 5 4 3 3 2 3" xfId="15416" xr:uid="{58905F66-01AB-4E82-90BC-B3BA69878392}"/>
    <cellStyle name="Normal 2 5 4 3 3 3" xfId="7869" xr:uid="{E680DD54-98F0-451A-8320-193E0CA21586}"/>
    <cellStyle name="Normal 2 5 4 3 3 3 2" xfId="18249" xr:uid="{7B1E9CA3-28C2-4984-95A2-EA840AEA72D8}"/>
    <cellStyle name="Normal 2 5 4 3 3 4" xfId="10702" xr:uid="{772511E3-642B-4AE0-A070-393A8F866D2F}"/>
    <cellStyle name="Normal 2 5 4 3 3 4 2" xfId="21082" xr:uid="{9524AED9-478F-4837-BFD2-BB4C654ADB2C}"/>
    <cellStyle name="Normal 2 5 4 3 3 5" xfId="25124" xr:uid="{056D29C0-6E4A-449F-82BA-019D4A853108}"/>
    <cellStyle name="Normal 2 5 4 3 3 6" xfId="13185" xr:uid="{99A645E2-323D-45E7-B252-D6C9B1CE15A1}"/>
    <cellStyle name="Normal 2 5 4 3 4" xfId="4170" xr:uid="{C18E6F66-FC48-49F9-94ED-CD9928116EBF}"/>
    <cellStyle name="Normal 2 5 4 3 4 2" xfId="8942" xr:uid="{3179B175-76D2-4BCE-AC32-159A0E477C5D}"/>
    <cellStyle name="Normal 2 5 4 3 4 2 2" xfId="29035" xr:uid="{17BA5E51-32A3-4C19-BB28-A18B680D8648}"/>
    <cellStyle name="Normal 2 5 4 3 4 2 3" xfId="19322" xr:uid="{40E053A9-3D90-44F5-AC11-D6D8C5BEA08D}"/>
    <cellStyle name="Normal 2 5 4 3 4 3" xfId="11775" xr:uid="{B5616F0F-C1A1-4239-A9D4-0050D295F49E}"/>
    <cellStyle name="Normal 2 5 4 3 4 3 2" xfId="22155" xr:uid="{17C9D815-38BA-46F8-A4D9-8C27A342056E}"/>
    <cellStyle name="Normal 2 5 4 3 4 4" xfId="22776" xr:uid="{BE1605A0-33D5-4801-B0B1-0E1562485F13}"/>
    <cellStyle name="Normal 2 5 4 3 4 5" xfId="16489" xr:uid="{CC38903E-021A-4601-B2EE-565691E281E2}"/>
    <cellStyle name="Normal 2 5 4 3 5" xfId="5154" xr:uid="{C952C535-5D53-4DD0-ABCF-C3136F3BE241}"/>
    <cellStyle name="Normal 2 5 4 3 5 2" xfId="26063" xr:uid="{B4B54ED6-BB80-4607-99C0-3ADC5434626C}"/>
    <cellStyle name="Normal 2 5 4 3 5 3" xfId="14451" xr:uid="{F3560938-C0A9-4375-BD62-149F4CD9E68C}"/>
    <cellStyle name="Normal 2 5 4 3 6" xfId="6904" xr:uid="{999E3F87-A5E8-423B-BA0B-DBFB7ED339E7}"/>
    <cellStyle name="Normal 2 5 4 3 6 2" xfId="17284" xr:uid="{0D1258FF-8C1B-44EA-AC66-98F18429218A}"/>
    <cellStyle name="Normal 2 5 4 3 7" xfId="9737" xr:uid="{66E8417C-927D-43DC-B500-0F097AF38B13}"/>
    <cellStyle name="Normal 2 5 4 3 7 2" xfId="20117" xr:uid="{86413260-1DE6-41C4-B186-ADF7C2E1CD7B}"/>
    <cellStyle name="Normal 2 5 4 3 8" xfId="23505" xr:uid="{5D740C48-E90D-42E6-BCDE-0B4EA2C97E76}"/>
    <cellStyle name="Normal 2 5 4 3 9" xfId="12728" xr:uid="{4FA03352-1107-47C3-A077-A9C56727C82B}"/>
    <cellStyle name="Normal 2 5 4 4" xfId="803" xr:uid="{00000000-0005-0000-0000-0000CF040000}"/>
    <cellStyle name="Normal 2 5 4 4 2" xfId="4487" xr:uid="{D6978C43-CA09-4E04-9AE2-D0E1B87F7F35}"/>
    <cellStyle name="Normal 2 5 4 4 2 2" xfId="9259" xr:uid="{62B451D0-F95D-4505-85F8-E7252DA4D7AE}"/>
    <cellStyle name="Normal 2 5 4 4 2 2 2" xfId="29246" xr:uid="{DDF38908-85C6-44E3-94B7-62BF0D524807}"/>
    <cellStyle name="Normal 2 5 4 4 2 2 3" xfId="19639" xr:uid="{DFB0C713-B0F3-4C72-815E-F5A1BEB135E1}"/>
    <cellStyle name="Normal 2 5 4 4 2 3" xfId="12092" xr:uid="{832CE881-65AD-44F1-9428-BA88AA1B34FD}"/>
    <cellStyle name="Normal 2 5 4 4 2 3 2" xfId="22472" xr:uid="{B0F12F65-F66F-43F3-8DEC-28564B5E735F}"/>
    <cellStyle name="Normal 2 5 4 4 2 4" xfId="25257" xr:uid="{BA0120A3-6D5F-4DAF-A9FF-0F7F3816C122}"/>
    <cellStyle name="Normal 2 5 4 4 2 5" xfId="16806" xr:uid="{5C630BA1-81F8-474C-9DAE-3EEB55F3D215}"/>
    <cellStyle name="Normal 2 5 4 4 3" xfId="5155" xr:uid="{21F11453-0AEC-4C46-90D3-7FD45CBC21B2}"/>
    <cellStyle name="Normal 2 5 4 4 3 2" xfId="27383" xr:uid="{FC498850-FDAB-404A-9CB3-FC604ED9283B}"/>
    <cellStyle name="Normal 2 5 4 4 3 3" xfId="14452" xr:uid="{29479F74-D8CA-4820-9FD5-9DA190167237}"/>
    <cellStyle name="Normal 2 5 4 4 4" xfId="6905" xr:uid="{E97DD30D-E566-40B7-968C-42988E13AD67}"/>
    <cellStyle name="Normal 2 5 4 4 4 2" xfId="17285" xr:uid="{2F07B4BE-3BBD-4DD8-AFDB-7528BE40E92D}"/>
    <cellStyle name="Normal 2 5 4 4 5" xfId="9738" xr:uid="{E5FED9C7-A660-41B8-80AB-7D3A5B9CB8E1}"/>
    <cellStyle name="Normal 2 5 4 4 5 2" xfId="20118" xr:uid="{27CB0F03-6C83-46FE-84F0-3FDF60330C1F}"/>
    <cellStyle name="Normal 2 5 4 4 6" xfId="25315" xr:uid="{9D63DE6D-DEDE-48E2-B56F-918C29F19298}"/>
    <cellStyle name="Normal 2 5 4 4 7" xfId="13778" xr:uid="{F66F2F40-AACE-4F6A-A14D-072FE1923A67}"/>
    <cellStyle name="Normal 2 5 4 5" xfId="2911" xr:uid="{00000000-0005-0000-0000-00009E040000}"/>
    <cellStyle name="Normal 2 5 4 5 2" xfId="6097" xr:uid="{82F3BA4F-E207-4B9A-9910-359101949C60}"/>
    <cellStyle name="Normal 2 5 4 5 2 2" xfId="25717" xr:uid="{ED5540AF-927E-4978-A626-22773E44B889}"/>
    <cellStyle name="Normal 2 5 4 5 2 3" xfId="28152" xr:uid="{B947B300-9284-4F02-B8DE-8739518CABA9}"/>
    <cellStyle name="Normal 2 5 4 5 2 4" xfId="15575" xr:uid="{F83BDE56-1621-49B9-95C9-8E09BCA53E9A}"/>
    <cellStyle name="Normal 2 5 4 5 3" xfId="8028" xr:uid="{58964821-1480-4CFF-BC1E-DEE28ABAA3A4}"/>
    <cellStyle name="Normal 2 5 4 5 3 2" xfId="27574" xr:uid="{3FCD6158-F55C-4A99-AFE8-AC0AD8F1C5FC}"/>
    <cellStyle name="Normal 2 5 4 5 3 3" xfId="18408" xr:uid="{2B12AB97-715F-4CA4-8118-7E048D4818B9}"/>
    <cellStyle name="Normal 2 5 4 5 4" xfId="10861" xr:uid="{322344A4-6370-448D-9A19-9FFF0A0EBB87}"/>
    <cellStyle name="Normal 2 5 4 5 4 2" xfId="21241" xr:uid="{BD3D013F-FB52-4781-ACDA-6CB9E0DFDAC2}"/>
    <cellStyle name="Normal 2 5 4 5 5" xfId="25009" xr:uid="{DBB906A4-FF99-44A3-B072-54C59F3AC677}"/>
    <cellStyle name="Normal 2 5 4 5 6" xfId="13426" xr:uid="{89C3CDA7-AD13-48C2-A787-E7820AD12A83}"/>
    <cellStyle name="Normal 2 5 4 6" xfId="2452" xr:uid="{00000000-0005-0000-0000-00009F040000}"/>
    <cellStyle name="Normal 2 5 4 6 2" xfId="5744" xr:uid="{01AA28DA-82FD-467D-B845-688DE3C577C9}"/>
    <cellStyle name="Normal 2 5 4 6 2 2" xfId="26721" xr:uid="{1F1772C2-D89B-42CA-99EC-EE93D20588DC}"/>
    <cellStyle name="Normal 2 5 4 6 2 3" xfId="15124" xr:uid="{4A88CE08-1C4A-461C-B06A-DAB10521AF1D}"/>
    <cellStyle name="Normal 2 5 4 6 3" xfId="7577" xr:uid="{85BF8BDC-C508-491C-B3C6-0293DB61FF09}"/>
    <cellStyle name="Normal 2 5 4 6 3 2" xfId="17957" xr:uid="{5B1A1E34-F1F5-40B8-8182-566002DFEC83}"/>
    <cellStyle name="Normal 2 5 4 6 4" xfId="10410" xr:uid="{A231B469-232B-4AC3-9BA9-13557F9698A4}"/>
    <cellStyle name="Normal 2 5 4 6 4 2" xfId="20790" xr:uid="{581BFFB7-F2DC-42A1-9FD8-3017C7ACE419}"/>
    <cellStyle name="Normal 2 5 4 6 5" xfId="22959" xr:uid="{08418D1B-1606-4AFE-A702-B20050467076}"/>
    <cellStyle name="Normal 2 5 4 6 6" xfId="12840" xr:uid="{F02D17FD-1E6F-458B-A1C6-7D0836E4FA05}"/>
    <cellStyle name="Normal 2 5 4 7" xfId="2206" xr:uid="{00000000-0005-0000-0000-000093040000}"/>
    <cellStyle name="Normal 2 5 4 7 2" xfId="7333" xr:uid="{76FB4F97-C557-4187-A6A1-DD18FD9DC2BC}"/>
    <cellStyle name="Normal 2 5 4 7 2 2" xfId="17713" xr:uid="{5DBBF08A-9324-4334-B237-F04D6D5C5324}"/>
    <cellStyle name="Normal 2 5 4 7 3" xfId="10166" xr:uid="{6CA286A1-3D3E-4B88-A600-03E8AA933411}"/>
    <cellStyle name="Normal 2 5 4 7 3 2" xfId="20546" xr:uid="{FC2443B2-1DCD-4E48-80DF-F9D548EFC27B}"/>
    <cellStyle name="Normal 2 5 4 7 4" xfId="23566" xr:uid="{E0153EB8-F150-4EB2-9768-23A91346042C}"/>
    <cellStyle name="Normal 2 5 4 7 5" xfId="14880" xr:uid="{33E111B5-39AB-47F9-AD6C-B963E736D7C1}"/>
    <cellStyle name="Normal 2 5 4 8" xfId="3946" xr:uid="{FCE84AC3-A42E-44D6-ACFD-6746D094449F}"/>
    <cellStyle name="Normal 2 5 4 8 2" xfId="8778" xr:uid="{689D8527-76D0-44A6-A103-A5584523EA58}"/>
    <cellStyle name="Normal 2 5 4 8 2 2" xfId="19158" xr:uid="{865D3EDE-D9F8-4849-8638-DF9B7FE9C26B}"/>
    <cellStyle name="Normal 2 5 4 8 3" xfId="11611" xr:uid="{BECE0860-AF21-493B-A6D3-4385EFE92B85}"/>
    <cellStyle name="Normal 2 5 4 8 3 2" xfId="21991" xr:uid="{F5092BC2-FB1C-4116-99C2-328FF80CD80C}"/>
    <cellStyle name="Normal 2 5 4 8 4" xfId="16325" xr:uid="{FDE69E20-2578-4DAD-82A7-9D3AF28CFA02}"/>
    <cellStyle name="Normal 2 5 4 9" xfId="5151" xr:uid="{69E00AE9-3840-4742-BD70-C16F595F6463}"/>
    <cellStyle name="Normal 2 5 4 9 2" xfId="14448" xr:uid="{666B43F1-6AEA-475C-9BCA-812F21795D68}"/>
    <cellStyle name="Normal 2 5 5" xfId="804" xr:uid="{00000000-0005-0000-0000-0000D0040000}"/>
    <cellStyle name="Normal 2 5 5 10" xfId="9739" xr:uid="{25B12A57-E01A-4D69-B103-01944B1F5B60}"/>
    <cellStyle name="Normal 2 5 5 10 2" xfId="20119" xr:uid="{3D2F8A98-9310-40FF-A621-67EB1D26F989}"/>
    <cellStyle name="Normal 2 5 5 11" xfId="23691" xr:uid="{FFC1CC40-2164-4803-8DCB-63637F628ECC}"/>
    <cellStyle name="Normal 2 5 5 12" xfId="12571" xr:uid="{8D9806FB-F064-4F62-A65F-BCB332ACA626}"/>
    <cellStyle name="Normal 2 5 5 2" xfId="805" xr:uid="{00000000-0005-0000-0000-0000D1040000}"/>
    <cellStyle name="Normal 2 5 5 2 2" xfId="806" xr:uid="{00000000-0005-0000-0000-0000D2040000}"/>
    <cellStyle name="Normal 2 5 5 2 2 2" xfId="5158" xr:uid="{E4B2A9DC-582B-4F55-9A01-4E2F555AEC5F}"/>
    <cellStyle name="Normal 2 5 5 2 2 2 2" xfId="25676" xr:uid="{05F2C159-3DE3-4AE9-834D-4BEE22F5B177}"/>
    <cellStyle name="Normal 2 5 5 2 2 2 3" xfId="27076" xr:uid="{E0F32341-9C91-4C31-9C59-F218A4623226}"/>
    <cellStyle name="Normal 2 5 5 2 2 2 4" xfId="14455" xr:uid="{39357364-8AC4-4EE6-9889-F524869D438A}"/>
    <cellStyle name="Normal 2 5 5 2 2 3" xfId="6908" xr:uid="{0F15B9DC-FF63-4B34-BBEA-DB66AB1B5CA0}"/>
    <cellStyle name="Normal 2 5 5 2 2 3 2" xfId="27600" xr:uid="{BB063906-2095-4817-B9F7-5DC408AE9E4F}"/>
    <cellStyle name="Normal 2 5 5 2 2 3 3" xfId="28636" xr:uid="{2BA02F08-B258-425A-A010-B1546EEBA161}"/>
    <cellStyle name="Normal 2 5 5 2 2 3 4" xfId="17288" xr:uid="{5E8AC5CE-5089-4B39-9FAC-DFBDA6E02A98}"/>
    <cellStyle name="Normal 2 5 5 2 2 4" xfId="9741" xr:uid="{5A2F8EB4-5643-4570-9FE1-F0F031665C2A}"/>
    <cellStyle name="Normal 2 5 5 2 2 4 2" xfId="29399" xr:uid="{00692C25-6D45-4B77-A7AB-87FA4AF12D4B}"/>
    <cellStyle name="Normal 2 5 5 2 2 4 3" xfId="20121" xr:uid="{A704B41A-EB47-4AD2-BD7C-903D2864E934}"/>
    <cellStyle name="Normal 2 5 5 2 2 5" xfId="24775" xr:uid="{28DEBFA8-394C-4FF4-933C-F9077E12D851}"/>
    <cellStyle name="Normal 2 5 5 2 2 6" xfId="13779" xr:uid="{8BAC12EE-1A3B-44CF-A790-EFBF3FE73BC5}"/>
    <cellStyle name="Normal 2 5 5 2 2 7" xfId="30413" xr:uid="{54D7F8F5-608A-4028-AD72-8AC528F4A810}"/>
    <cellStyle name="Normal 2 5 5 2 3" xfId="2746" xr:uid="{00000000-0005-0000-0000-0000A3040000}"/>
    <cellStyle name="Normal 2 5 5 2 3 2" xfId="5964" xr:uid="{56366823-1D59-4259-945F-8F38B6326D03}"/>
    <cellStyle name="Normal 2 5 5 2 3 2 2" xfId="27950" xr:uid="{DA4AE47D-0BBD-4E15-BE53-1FB7D61FC10B}"/>
    <cellStyle name="Normal 2 5 5 2 3 2 3" xfId="15417" xr:uid="{7FEBD8A0-FE79-4BA7-A602-B1D99217517A}"/>
    <cellStyle name="Normal 2 5 5 2 3 3" xfId="7870" xr:uid="{2D3488C1-607B-4B74-A36B-4651CFF59756}"/>
    <cellStyle name="Normal 2 5 5 2 3 3 2" xfId="18250" xr:uid="{7D4E7861-73EC-46ED-95BA-5C4ADD31208D}"/>
    <cellStyle name="Normal 2 5 5 2 3 4" xfId="10703" xr:uid="{886ADC12-704C-4686-A78B-6A81205343BF}"/>
    <cellStyle name="Normal 2 5 5 2 3 4 2" xfId="21083" xr:uid="{55EFF2CD-C8E8-44C9-B4DD-BAD7B5E54D2C}"/>
    <cellStyle name="Normal 2 5 5 2 3 5" xfId="24918" xr:uid="{3AB73BA5-C584-4DFE-9B25-CF46E0D80100}"/>
    <cellStyle name="Normal 2 5 5 2 3 6" xfId="13187" xr:uid="{F9627F31-EA33-46EE-90D0-B661B3464917}"/>
    <cellStyle name="Normal 2 5 5 2 4" xfId="4171" xr:uid="{01146833-4B57-4ED5-BB9C-C716F4DA5178}"/>
    <cellStyle name="Normal 2 5 5 2 4 2" xfId="8943" xr:uid="{987E1115-D183-47A1-A5EF-D2BC195641EB}"/>
    <cellStyle name="Normal 2 5 5 2 4 2 2" xfId="29036" xr:uid="{253D3476-2FDD-4EF7-8CEB-E4E65439E1EB}"/>
    <cellStyle name="Normal 2 5 5 2 4 2 3" xfId="19323" xr:uid="{E6D2F63C-E15D-4754-81ED-31F6A6C18E83}"/>
    <cellStyle name="Normal 2 5 5 2 4 3" xfId="11776" xr:uid="{238DB489-BBA8-427C-B1ED-753DEA94FCC0}"/>
    <cellStyle name="Normal 2 5 5 2 4 3 2" xfId="22156" xr:uid="{86432B90-59F4-43FF-8900-0658A11B8AD1}"/>
    <cellStyle name="Normal 2 5 5 2 4 4" xfId="24332" xr:uid="{A134472F-4F0C-4B36-89AC-E882025ED22F}"/>
    <cellStyle name="Normal 2 5 5 2 4 5" xfId="16490" xr:uid="{BC840C62-7931-4908-B05E-8878F6D5BE02}"/>
    <cellStyle name="Normal 2 5 5 2 5" xfId="5157" xr:uid="{8D8DB419-A577-4C87-85B3-8E77FEA28754}"/>
    <cellStyle name="Normal 2 5 5 2 5 2" xfId="26221" xr:uid="{0B4E32D5-20C8-4ABE-9578-A416367360DB}"/>
    <cellStyle name="Normal 2 5 5 2 5 3" xfId="14454" xr:uid="{CB357D9E-C48B-4566-9649-283D305F8546}"/>
    <cellStyle name="Normal 2 5 5 2 5 4" xfId="30557" xr:uid="{4016D27D-1BBE-4887-934B-D1C4AE067B1A}"/>
    <cellStyle name="Normal 2 5 5 2 6" xfId="6907" xr:uid="{FD52F4DB-C700-4971-8543-2462E176B89D}"/>
    <cellStyle name="Normal 2 5 5 2 6 2" xfId="17287" xr:uid="{CB4915F8-72F2-4AAF-BD9C-0336461E94C6}"/>
    <cellStyle name="Normal 2 5 5 2 6 3" xfId="30272" xr:uid="{F0F52A2E-C9D1-4E9B-AD81-CFB9BE1F7633}"/>
    <cellStyle name="Normal 2 5 5 2 6 4" xfId="30682" xr:uid="{D9224ACA-BEF0-4ABA-963E-4E0DC98BC80D}"/>
    <cellStyle name="Normal 2 5 5 2 7" xfId="9740" xr:uid="{87680FF5-81D1-4C2C-A4D7-75E52405DD48}"/>
    <cellStyle name="Normal 2 5 5 2 7 2" xfId="20120" xr:uid="{8ED05A9E-B87A-4474-B4E5-92C8203103D6}"/>
    <cellStyle name="Normal 2 5 5 2 8" xfId="23257" xr:uid="{6F526BDC-8D93-4CA2-BE0C-F2116A473742}"/>
    <cellStyle name="Normal 2 5 5 2 9" xfId="12729" xr:uid="{4393172E-B977-4BFD-9CBB-45548A785D2D}"/>
    <cellStyle name="Normal 2 5 5 3" xfId="807" xr:uid="{00000000-0005-0000-0000-0000D3040000}"/>
    <cellStyle name="Normal 2 5 5 3 2" xfId="4488" xr:uid="{191D5304-2252-407A-9F2F-C5169E3303B7}"/>
    <cellStyle name="Normal 2 5 5 3 2 2" xfId="9260" xr:uid="{3374D08B-9E7E-417E-85CE-960300A98FF7}"/>
    <cellStyle name="Normal 2 5 5 3 2 2 2" xfId="29247" xr:uid="{67EF28EC-1281-48F9-9714-DA45D7F343B0}"/>
    <cellStyle name="Normal 2 5 5 3 2 2 3" xfId="19640" xr:uid="{1AE8119A-1E32-495A-9E96-17F3F3C26B7E}"/>
    <cellStyle name="Normal 2 5 5 3 2 3" xfId="12093" xr:uid="{FD263DEC-19CA-42C9-B0CF-1372320E17FC}"/>
    <cellStyle name="Normal 2 5 5 3 2 3 2" xfId="22473" xr:uid="{A734C87D-1856-47B5-82DB-A492D3B3CA73}"/>
    <cellStyle name="Normal 2 5 5 3 2 4" xfId="25657" xr:uid="{5CC917C6-B20D-4A15-98EC-39307646EEC9}"/>
    <cellStyle name="Normal 2 5 5 3 2 5" xfId="16807" xr:uid="{EE13CA3C-0AC0-45AB-A3D7-00B192BA0EAC}"/>
    <cellStyle name="Normal 2 5 5 3 3" xfId="5159" xr:uid="{2FD359F9-0260-41C0-8B6C-193FE44FC7F7}"/>
    <cellStyle name="Normal 2 5 5 3 3 2" xfId="24144" xr:uid="{8243E976-362A-490C-ADBF-9D69A88FDAE2}"/>
    <cellStyle name="Normal 2 5 5 3 3 3" xfId="28704" xr:uid="{BB72FBDB-62A7-4935-A335-B18AB8140F0B}"/>
    <cellStyle name="Normal 2 5 5 3 3 4" xfId="14456" xr:uid="{6774E968-FF01-46F8-818E-5F6444BCD5F2}"/>
    <cellStyle name="Normal 2 5 5 3 4" xfId="6909" xr:uid="{03100050-60A7-436A-A4B1-C230ED560312}"/>
    <cellStyle name="Normal 2 5 5 3 4 2" xfId="24592" xr:uid="{72BADDE7-E342-49AD-B407-03B19458F00D}"/>
    <cellStyle name="Normal 2 5 5 3 4 3" xfId="26089" xr:uid="{21D00A71-A155-4754-B813-A137C4A7D1A9}"/>
    <cellStyle name="Normal 2 5 5 3 4 4" xfId="17289" xr:uid="{3D5887B5-0C78-4532-938D-B6883292D212}"/>
    <cellStyle name="Normal 2 5 5 3 5" xfId="9742" xr:uid="{C8D474EF-47D4-4C9B-A8F0-5822422A0989}"/>
    <cellStyle name="Normal 2 5 5 3 5 2" xfId="29400" xr:uid="{F33B7BCD-EEF5-4CFD-8501-64A2C3D7626C}"/>
    <cellStyle name="Normal 2 5 5 3 5 3" xfId="20122" xr:uid="{F5561920-D92C-46DE-805C-D1A4400C9246}"/>
    <cellStyle name="Normal 2 5 5 3 6" xfId="24114" xr:uid="{1558BF14-0991-45EB-A8A0-A54A9F7B67CF}"/>
    <cellStyle name="Normal 2 5 5 3 7" xfId="13780" xr:uid="{F77CD249-A86A-49E5-A77C-E453DCCBE8B6}"/>
    <cellStyle name="Normal 2 5 5 4" xfId="808" xr:uid="{00000000-0005-0000-0000-0000D4040000}"/>
    <cellStyle name="Normal 2 5 5 4 2" xfId="5160" xr:uid="{6D1D414A-CE50-456F-8C49-760601DA2E06}"/>
    <cellStyle name="Normal 2 5 5 4 2 2" xfId="22861" xr:uid="{3C224F4A-0DB5-40E6-86B3-5ED639DBC91A}"/>
    <cellStyle name="Normal 2 5 5 4 2 3" xfId="28648" xr:uid="{57A2BC08-CDBC-4928-A843-E101DB341CB4}"/>
    <cellStyle name="Normal 2 5 5 4 2 4" xfId="14457" xr:uid="{31AD36F2-4296-49C8-98D7-7E079A6919C8}"/>
    <cellStyle name="Normal 2 5 5 4 3" xfId="6910" xr:uid="{B7E5FDCD-8734-465C-B37F-2240D2E10103}"/>
    <cellStyle name="Normal 2 5 5 4 3 2" xfId="27492" xr:uid="{09496E9D-914A-4116-A437-9A8141488D37}"/>
    <cellStyle name="Normal 2 5 5 4 3 3" xfId="17290" xr:uid="{1C70BFF1-E58F-487A-8E99-F0B5233B39AF}"/>
    <cellStyle name="Normal 2 5 5 4 4" xfId="9743" xr:uid="{E85922E4-1D79-42A8-88AF-B706E9AE9261}"/>
    <cellStyle name="Normal 2 5 5 4 4 2" xfId="20123" xr:uid="{49AB2CEE-D5CD-4CE6-B735-18026E5AB2BD}"/>
    <cellStyle name="Normal 2 5 5 4 5" xfId="24671" xr:uid="{096666E4-7CB5-40BE-BFB0-6575E6AC2A48}"/>
    <cellStyle name="Normal 2 5 5 4 6" xfId="13427" xr:uid="{A99E2888-EADF-45AF-9B36-96131DB17096}"/>
    <cellStyle name="Normal 2 5 5 5" xfId="2512" xr:uid="{00000000-0005-0000-0000-0000A6040000}"/>
    <cellStyle name="Normal 2 5 5 5 2" xfId="5790" xr:uid="{FFF60220-2786-411A-9B50-E225FE6F36F5}"/>
    <cellStyle name="Normal 2 5 5 5 2 2" xfId="27131" xr:uid="{049A9345-1A3E-4FB5-9036-C28462255F0D}"/>
    <cellStyle name="Normal 2 5 5 5 2 3" xfId="15184" xr:uid="{6ED711E2-CAF3-4922-B860-D26E76152B0F}"/>
    <cellStyle name="Normal 2 5 5 5 3" xfId="7637" xr:uid="{8C412F03-3421-40A2-8714-A3D8920E6471}"/>
    <cellStyle name="Normal 2 5 5 5 3 2" xfId="18017" xr:uid="{2F416906-81F2-40D7-8B7B-7E893B5AE1D9}"/>
    <cellStyle name="Normal 2 5 5 5 4" xfId="10470" xr:uid="{B8EC647C-D67B-4C93-953A-43AEBF4EE549}"/>
    <cellStyle name="Normal 2 5 5 5 4 2" xfId="20850" xr:uid="{5911B648-2C07-4037-BB52-5BDD180633B0}"/>
    <cellStyle name="Normal 2 5 5 5 5" xfId="25008" xr:uid="{922CF97B-09FC-43DA-A5EF-FB3E7E9160B0}"/>
    <cellStyle name="Normal 2 5 5 5 6" xfId="12900" xr:uid="{3658C039-508D-4EC0-99B4-84299BFEA525}"/>
    <cellStyle name="Normal 2 5 5 6" xfId="2337" xr:uid="{00000000-0005-0000-0000-0000A0040000}"/>
    <cellStyle name="Normal 2 5 5 6 2" xfId="7464" xr:uid="{57926AC5-6E4B-43A3-8C65-7B2C057D4C82}"/>
    <cellStyle name="Normal 2 5 5 6 2 2" xfId="28670" xr:uid="{60F91A4A-E8B1-41DE-95B0-919E0B327C4E}"/>
    <cellStyle name="Normal 2 5 5 6 2 3" xfId="17844" xr:uid="{69D2B5F7-D825-4AA8-B391-E5230B93471C}"/>
    <cellStyle name="Normal 2 5 5 6 3" xfId="10297" xr:uid="{C2179902-CDB0-4A1A-B237-4EB459DC62C0}"/>
    <cellStyle name="Normal 2 5 5 6 3 2" xfId="20677" xr:uid="{95765E09-A067-4D27-B847-7163FBAD6A66}"/>
    <cellStyle name="Normal 2 5 5 6 4" xfId="23536" xr:uid="{96D6EEA7-A537-4F4A-832E-D68AB5BF6E5F}"/>
    <cellStyle name="Normal 2 5 5 6 5" xfId="15011" xr:uid="{5A2B3A4D-2CE3-450A-9DCC-3A4FF764A548}"/>
    <cellStyle name="Normal 2 5 5 7" xfId="3947" xr:uid="{EF085D8D-28F0-466A-BBF2-EED4A39AFFD2}"/>
    <cellStyle name="Normal 2 5 5 7 2" xfId="8779" xr:uid="{CA52A4E3-0621-44FD-909F-CC18099E41F4}"/>
    <cellStyle name="Normal 2 5 5 7 2 2" xfId="19159" xr:uid="{970252EB-210E-4296-AFBB-D75F9CCCAEFF}"/>
    <cellStyle name="Normal 2 5 5 7 3" xfId="11612" xr:uid="{2A1D49EC-593F-4AC0-B416-5873F09EB11C}"/>
    <cellStyle name="Normal 2 5 5 7 3 2" xfId="21992" xr:uid="{630AA5E5-BD14-4C57-85F7-AE3482E3B782}"/>
    <cellStyle name="Normal 2 5 5 7 4" xfId="27657" xr:uid="{53950138-3F82-479C-8C91-FE240C438FE1}"/>
    <cellStyle name="Normal 2 5 5 7 5" xfId="16326" xr:uid="{18281AEF-7046-46C3-B4A5-18EF338E06BB}"/>
    <cellStyle name="Normal 2 5 5 8" xfId="5156" xr:uid="{7DBACFB2-6346-48C9-85E2-8C057E240FB7}"/>
    <cellStyle name="Normal 2 5 5 8 2" xfId="14453" xr:uid="{DEB9018E-24E2-4ABC-85A9-9D75899727C0}"/>
    <cellStyle name="Normal 2 5 5 9" xfId="6906" xr:uid="{3EE8168B-B675-4A9E-B2BF-348E84C5F0D0}"/>
    <cellStyle name="Normal 2 5 5 9 2" xfId="17286" xr:uid="{60885E3C-2268-4B3E-82B4-199A69B7F15A}"/>
    <cellStyle name="Normal 2 5 6" xfId="809" xr:uid="{00000000-0005-0000-0000-0000D5040000}"/>
    <cellStyle name="Normal 2 5 6 10" xfId="9744" xr:uid="{E647F6A0-AA55-4642-8B1A-5907D03C6043}"/>
    <cellStyle name="Normal 2 5 6 10 2" xfId="20124" xr:uid="{799EE20D-967E-48D8-A554-5FF94DA07D60}"/>
    <cellStyle name="Normal 2 5 6 11" xfId="24497" xr:uid="{08F54CFD-D446-4130-8002-ACBDE1C687DE}"/>
    <cellStyle name="Normal 2 5 6 12" xfId="12572" xr:uid="{D006A9F5-CDF7-4863-BAFB-18C352EC2AAE}"/>
    <cellStyle name="Normal 2 5 6 2" xfId="810" xr:uid="{00000000-0005-0000-0000-0000D6040000}"/>
    <cellStyle name="Normal 2 5 6 2 2" xfId="811" xr:uid="{00000000-0005-0000-0000-0000D7040000}"/>
    <cellStyle name="Normal 2 5 6 2 2 2" xfId="5163" xr:uid="{F7783696-BA91-4035-9991-FCD5ED4764BA}"/>
    <cellStyle name="Normal 2 5 6 2 2 2 2" xfId="23134" xr:uid="{39AD109F-AA1C-4B13-8D11-D0204ACF839D}"/>
    <cellStyle name="Normal 2 5 6 2 2 2 3" xfId="26669" xr:uid="{189EA8B2-EE50-405F-803B-5E12B1EEE24C}"/>
    <cellStyle name="Normal 2 5 6 2 2 2 4" xfId="14460" xr:uid="{71149186-853F-411A-9B4D-9C718DE28DA4}"/>
    <cellStyle name="Normal 2 5 6 2 2 3" xfId="6913" xr:uid="{E522E7DC-73F8-4F04-B758-6934AC101907}"/>
    <cellStyle name="Normal 2 5 6 2 2 3 2" xfId="27601" xr:uid="{51B1B0F4-C357-417D-BD02-C5091349C45B}"/>
    <cellStyle name="Normal 2 5 6 2 2 3 3" xfId="27083" xr:uid="{499384BA-6A41-4563-9C34-49C32AA8493F}"/>
    <cellStyle name="Normal 2 5 6 2 2 3 4" xfId="17293" xr:uid="{13735354-3337-4563-8786-AD14C0D03D21}"/>
    <cellStyle name="Normal 2 5 6 2 2 4" xfId="9746" xr:uid="{C7FD1E7E-7AA2-4F79-8594-D7727377F753}"/>
    <cellStyle name="Normal 2 5 6 2 2 4 2" xfId="29401" xr:uid="{FD78A985-A23C-40CD-AA3B-B6AB1C7B6782}"/>
    <cellStyle name="Normal 2 5 6 2 2 4 3" xfId="20126" xr:uid="{E59AC640-1BFA-478A-BE11-676A567264EF}"/>
    <cellStyle name="Normal 2 5 6 2 2 5" xfId="23773" xr:uid="{AA0452BB-4774-42F6-B9FC-DCBA94F93C4D}"/>
    <cellStyle name="Normal 2 5 6 2 2 6" xfId="13781" xr:uid="{8E6833F2-7012-4919-8CB0-1B8040C9A082}"/>
    <cellStyle name="Normal 2 5 6 2 2 7" xfId="30414" xr:uid="{020144C3-E45B-4A6A-A185-43BE9A378258}"/>
    <cellStyle name="Normal 2 5 6 2 3" xfId="2747" xr:uid="{00000000-0005-0000-0000-0000AA040000}"/>
    <cellStyle name="Normal 2 5 6 2 3 2" xfId="5965" xr:uid="{5AD3EB0F-55A0-4193-B99F-0A4B83A6B386}"/>
    <cellStyle name="Normal 2 5 6 2 3 2 2" xfId="26048" xr:uid="{F3FAAF56-BD20-4265-ACC7-D113767692D9}"/>
    <cellStyle name="Normal 2 5 6 2 3 2 3" xfId="15418" xr:uid="{593A3771-F3F3-4C2F-BD05-965E5D230ECC}"/>
    <cellStyle name="Normal 2 5 6 2 3 3" xfId="7871" xr:uid="{CE435B7E-3D91-4800-B01D-30190F28995D}"/>
    <cellStyle name="Normal 2 5 6 2 3 3 2" xfId="18251" xr:uid="{0057DEFD-DF6F-493C-908D-19F4665E2493}"/>
    <cellStyle name="Normal 2 5 6 2 3 4" xfId="10704" xr:uid="{FBD18F8E-9092-4773-9FEB-17153209D404}"/>
    <cellStyle name="Normal 2 5 6 2 3 4 2" xfId="21084" xr:uid="{28A1C5C3-337F-4AB4-A40F-B8D98E69D42B}"/>
    <cellStyle name="Normal 2 5 6 2 3 5" xfId="24526" xr:uid="{69E51C89-7C9B-40BB-8265-ED1106437471}"/>
    <cellStyle name="Normal 2 5 6 2 3 6" xfId="13188" xr:uid="{69B771A7-1FE4-47C6-8EE8-0468B2EBCFF7}"/>
    <cellStyle name="Normal 2 5 6 2 4" xfId="4172" xr:uid="{468F8C98-F069-4C30-B20D-4EDDD61853C6}"/>
    <cellStyle name="Normal 2 5 6 2 4 2" xfId="8944" xr:uid="{3C07AE65-6C1E-469D-A796-B29C4E8F435D}"/>
    <cellStyle name="Normal 2 5 6 2 4 2 2" xfId="29037" xr:uid="{8B50EBCC-5682-4DCB-AF84-E9874895EDF6}"/>
    <cellStyle name="Normal 2 5 6 2 4 2 3" xfId="19324" xr:uid="{340F7BEB-2B03-40A0-92EA-8B24E7B2B530}"/>
    <cellStyle name="Normal 2 5 6 2 4 3" xfId="11777" xr:uid="{5C06D9C0-A551-4428-83CA-225306F6804B}"/>
    <cellStyle name="Normal 2 5 6 2 4 3 2" xfId="22157" xr:uid="{7FCBB29D-E41D-4560-8452-0F80E9FA145E}"/>
    <cellStyle name="Normal 2 5 6 2 4 4" xfId="24145" xr:uid="{80A6AC0C-C184-4AEB-AD7E-74DD7E264942}"/>
    <cellStyle name="Normal 2 5 6 2 4 5" xfId="16491" xr:uid="{C654EA87-A17D-43CD-94B0-BD5410B86DCE}"/>
    <cellStyle name="Normal 2 5 6 2 5" xfId="5162" xr:uid="{BCD21F37-0CA3-4ACD-BE2D-9BE2F599701D}"/>
    <cellStyle name="Normal 2 5 6 2 5 2" xfId="27232" xr:uid="{A0A5AC45-5E2B-4A9C-A967-7707BCCE0E9B}"/>
    <cellStyle name="Normal 2 5 6 2 5 3" xfId="14459" xr:uid="{7634AFDC-A55D-43CC-AEA8-12EAF20DD7FC}"/>
    <cellStyle name="Normal 2 5 6 2 5 4" xfId="30544" xr:uid="{95297127-298D-4F5C-B619-1DA6CFE85AD8}"/>
    <cellStyle name="Normal 2 5 6 2 6" xfId="6912" xr:uid="{2938A14E-2CE9-495D-A995-8C7367A244A7}"/>
    <cellStyle name="Normal 2 5 6 2 6 2" xfId="17292" xr:uid="{C8B9F7F4-07FA-4E6B-B487-F46767231431}"/>
    <cellStyle name="Normal 2 5 6 2 6 3" xfId="30273" xr:uid="{5C13FA3D-95A4-4016-8731-9C3E96674140}"/>
    <cellStyle name="Normal 2 5 6 2 6 4" xfId="30683" xr:uid="{B72363AA-9721-4507-8247-C6D61BE31EE6}"/>
    <cellStyle name="Normal 2 5 6 2 7" xfId="9745" xr:uid="{F7F33E34-2320-49C4-B316-3989FF3DBBD8}"/>
    <cellStyle name="Normal 2 5 6 2 7 2" xfId="20125" xr:uid="{D4BA64FD-61F6-4CAD-9E81-2F675D968DDC}"/>
    <cellStyle name="Normal 2 5 6 2 8" xfId="25538" xr:uid="{23799D15-3FD3-459D-BF5E-823E455FBD63}"/>
    <cellStyle name="Normal 2 5 6 2 9" xfId="12730" xr:uid="{8B129022-E842-4CF5-8F81-35C448F71090}"/>
    <cellStyle name="Normal 2 5 6 3" xfId="812" xr:uid="{00000000-0005-0000-0000-0000D8040000}"/>
    <cellStyle name="Normal 2 5 6 3 2" xfId="4489" xr:uid="{B3A1ADE1-A789-4D80-9D7F-9CD90D1970AB}"/>
    <cellStyle name="Normal 2 5 6 3 2 2" xfId="9261" xr:uid="{BB1F39FD-4F88-4726-B049-48262EE4DBFD}"/>
    <cellStyle name="Normal 2 5 6 3 2 2 2" xfId="29248" xr:uid="{DC146D67-3B6C-49EF-AF17-0007CF7B2B3C}"/>
    <cellStyle name="Normal 2 5 6 3 2 2 3" xfId="19641" xr:uid="{41906DF1-2A53-4B39-9CF6-7E7FC938F6C6}"/>
    <cellStyle name="Normal 2 5 6 3 2 3" xfId="12094" xr:uid="{CFAA8862-E2E2-47CB-A863-B4E1751A9859}"/>
    <cellStyle name="Normal 2 5 6 3 2 3 2" xfId="22474" xr:uid="{32594672-1082-4272-819E-D4957F3EB5E0}"/>
    <cellStyle name="Normal 2 5 6 3 2 4" xfId="25121" xr:uid="{6B086E71-DC77-4112-A649-22379E72209C}"/>
    <cellStyle name="Normal 2 5 6 3 2 5" xfId="16808" xr:uid="{4139A793-79BB-4B2A-91A6-5EBDAC9E072C}"/>
    <cellStyle name="Normal 2 5 6 3 3" xfId="5164" xr:uid="{B6ED6CCB-18F6-4DD2-8BC3-B96CD4195331}"/>
    <cellStyle name="Normal 2 5 6 3 3 2" xfId="26801" xr:uid="{E675E9C9-E5B5-49C1-BAA0-383CE5F0681E}"/>
    <cellStyle name="Normal 2 5 6 3 3 3" xfId="27750" xr:uid="{0B1514A7-1C4A-4D2C-968E-E610E2AF131E}"/>
    <cellStyle name="Normal 2 5 6 3 3 4" xfId="14461" xr:uid="{398E7279-C1DA-4365-94B9-89CFE882DA92}"/>
    <cellStyle name="Normal 2 5 6 3 4" xfId="6914" xr:uid="{9CF2DFCB-0B7C-45DA-A00E-F11E5A07CA4C}"/>
    <cellStyle name="Normal 2 5 6 3 4 2" xfId="27899" xr:uid="{6C8EF23C-23C8-4098-91DE-7E4C48FC6EE1}"/>
    <cellStyle name="Normal 2 5 6 3 4 3" xfId="28576" xr:uid="{4A7D326D-8E84-4E02-BFAE-50977B647D39}"/>
    <cellStyle name="Normal 2 5 6 3 4 4" xfId="17294" xr:uid="{4CFCBA14-C4E9-4D8D-BF04-23FA1F0C23D1}"/>
    <cellStyle name="Normal 2 5 6 3 5" xfId="9747" xr:uid="{EC6F99EB-EA78-44D8-8450-FF21D4492BB7}"/>
    <cellStyle name="Normal 2 5 6 3 5 2" xfId="29402" xr:uid="{0DDD90E9-666E-4C0F-B6FD-D1F25453D04F}"/>
    <cellStyle name="Normal 2 5 6 3 5 3" xfId="20127" xr:uid="{E33FA4E8-75AA-404D-88E5-2C6C0F487917}"/>
    <cellStyle name="Normal 2 5 6 3 6" xfId="24434" xr:uid="{BAFCFC8E-A3FC-44C5-A554-810DD9E1181C}"/>
    <cellStyle name="Normal 2 5 6 3 7" xfId="13782" xr:uid="{AABED0DE-DA74-4CF5-AD07-5B8A0CAAF3D1}"/>
    <cellStyle name="Normal 2 5 6 4" xfId="813" xr:uid="{00000000-0005-0000-0000-0000D9040000}"/>
    <cellStyle name="Normal 2 5 6 4 2" xfId="5165" xr:uid="{2EED1908-67AF-4BF9-A22D-A02BFAA9EA49}"/>
    <cellStyle name="Normal 2 5 6 4 2 2" xfId="25636" xr:uid="{DE70DFCE-68B9-4548-82C4-81426A2E52B2}"/>
    <cellStyle name="Normal 2 5 6 4 2 3" xfId="27754" xr:uid="{875D9C06-8A7A-4F2B-8200-1E6500CBF0D8}"/>
    <cellStyle name="Normal 2 5 6 4 2 4" xfId="14462" xr:uid="{5589403F-483E-4AA1-95BD-131F1D9D0150}"/>
    <cellStyle name="Normal 2 5 6 4 3" xfId="6915" xr:uid="{E374B837-8176-423D-8660-6D02A228E049}"/>
    <cellStyle name="Normal 2 5 6 4 3 2" xfId="27811" xr:uid="{58AC779F-8147-46B5-B25C-A348491B40EB}"/>
    <cellStyle name="Normal 2 5 6 4 3 3" xfId="17295" xr:uid="{B9A0940A-3AD4-463D-9C85-1D43B8C761E2}"/>
    <cellStyle name="Normal 2 5 6 4 4" xfId="9748" xr:uid="{AE3BCF6D-F51F-419E-93B4-AC61634FEE93}"/>
    <cellStyle name="Normal 2 5 6 4 4 2" xfId="20128" xr:uid="{E8C2213E-0914-43AA-88BE-E77305A7B81B}"/>
    <cellStyle name="Normal 2 5 6 4 5" xfId="24657" xr:uid="{653AE55E-4F69-4F74-A475-C25B2410ABC3}"/>
    <cellStyle name="Normal 2 5 6 4 6" xfId="13428" xr:uid="{41BBA974-C802-4600-8ADC-6D323B2F6DFE}"/>
    <cellStyle name="Normal 2 5 6 5" xfId="2572" xr:uid="{00000000-0005-0000-0000-0000AD040000}"/>
    <cellStyle name="Normal 2 5 6 5 2" xfId="5839" xr:uid="{396B18D2-0248-4D0C-94CE-1E15E30FAB3E}"/>
    <cellStyle name="Normal 2 5 6 5 2 2" xfId="26425" xr:uid="{D6A82BEC-47F7-4D35-95A1-5F0E6BBE6154}"/>
    <cellStyle name="Normal 2 5 6 5 2 3" xfId="15244" xr:uid="{C235AA02-DAD8-42A6-996B-6D0C224E6E36}"/>
    <cellStyle name="Normal 2 5 6 5 3" xfId="7697" xr:uid="{6D751735-06AC-497B-96C2-5BAE0FA91DA6}"/>
    <cellStyle name="Normal 2 5 6 5 3 2" xfId="18077" xr:uid="{F488D38A-3567-482A-B0DC-5032FCE973D8}"/>
    <cellStyle name="Normal 2 5 6 5 4" xfId="10530" xr:uid="{69BA77E9-E489-4BDE-9BFA-BE463FD6F086}"/>
    <cellStyle name="Normal 2 5 6 5 4 2" xfId="20910" xr:uid="{DB8D6011-850E-4248-997E-D64ACC70B29C}"/>
    <cellStyle name="Normal 2 5 6 5 5" xfId="25373" xr:uid="{2428CB0A-2075-47FA-BD75-893BD251E405}"/>
    <cellStyle name="Normal 2 5 6 5 6" xfId="12960" xr:uid="{B3E79A95-7E45-4BBE-8139-AC5A8949078F}"/>
    <cellStyle name="Normal 2 5 6 6" xfId="2338" xr:uid="{00000000-0005-0000-0000-0000A7040000}"/>
    <cellStyle name="Normal 2 5 6 6 2" xfId="7465" xr:uid="{912A32E9-CAE1-4A74-9950-D92D57BAA7F7}"/>
    <cellStyle name="Normal 2 5 6 6 2 2" xfId="27151" xr:uid="{61860902-6BF2-44FA-A1C5-18D58D3C9CB0}"/>
    <cellStyle name="Normal 2 5 6 6 2 3" xfId="17845" xr:uid="{FB58D4AB-0201-4134-8F4A-163E54CF01DF}"/>
    <cellStyle name="Normal 2 5 6 6 3" xfId="10298" xr:uid="{F0E657DE-362D-40FB-A717-6D816FFC4AE1}"/>
    <cellStyle name="Normal 2 5 6 6 3 2" xfId="20678" xr:uid="{64293C1C-F1B0-4679-8401-3242F5DDFBEE}"/>
    <cellStyle name="Normal 2 5 6 6 4" xfId="23849" xr:uid="{C48EFEF4-1061-4E23-AE99-7D9B018C553D}"/>
    <cellStyle name="Normal 2 5 6 6 5" xfId="15012" xr:uid="{DE256D3C-40E2-49AB-BE7F-6E86B468C0E8}"/>
    <cellStyle name="Normal 2 5 6 7" xfId="3948" xr:uid="{76E8A881-6AE3-4488-8195-9627BF6D6727}"/>
    <cellStyle name="Normal 2 5 6 7 2" xfId="8780" xr:uid="{0DDF7CD2-90B2-4262-B5F3-451CF99BF985}"/>
    <cellStyle name="Normal 2 5 6 7 2 2" xfId="19160" xr:uid="{DFE5D1F1-7C54-415F-A686-E43CB4A0485C}"/>
    <cellStyle name="Normal 2 5 6 7 3" xfId="11613" xr:uid="{6B5AA8E9-538B-4A51-BC76-F982EC52FBB0}"/>
    <cellStyle name="Normal 2 5 6 7 3 2" xfId="21993" xr:uid="{B70954B3-F3DC-497B-9441-0B59DE8A693C}"/>
    <cellStyle name="Normal 2 5 6 7 4" xfId="26657" xr:uid="{2BD1EBAE-EBE5-4B32-81CA-ABE0E74369EB}"/>
    <cellStyle name="Normal 2 5 6 7 5" xfId="16327" xr:uid="{E3733107-DC77-4706-912A-66E85484C16D}"/>
    <cellStyle name="Normal 2 5 6 8" xfId="5161" xr:uid="{7D9E3B92-ACB1-4AE4-93E5-41599DD599B5}"/>
    <cellStyle name="Normal 2 5 6 8 2" xfId="14458" xr:uid="{912C215C-59AE-4B8A-A919-6955DA060220}"/>
    <cellStyle name="Normal 2 5 6 9" xfId="6911" xr:uid="{46BB68E6-E300-46CF-AD37-06A0015EF9F5}"/>
    <cellStyle name="Normal 2 5 6 9 2" xfId="17291" xr:uid="{599356A6-6502-4CFB-BAAA-3BB618513075}"/>
    <cellStyle name="Normal 2 5 7" xfId="814" xr:uid="{00000000-0005-0000-0000-0000DA040000}"/>
    <cellStyle name="Normal 2 5 7 10" xfId="12573" xr:uid="{3872BEEC-669F-4021-BAFE-C9CEED91AE29}"/>
    <cellStyle name="Normal 2 5 7 2" xfId="815" xr:uid="{00000000-0005-0000-0000-0000DB040000}"/>
    <cellStyle name="Normal 2 5 7 2 2" xfId="2912" xr:uid="{00000000-0005-0000-0000-0000B0040000}"/>
    <cellStyle name="Normal 2 5 7 2 2 2" xfId="6098" xr:uid="{FA80A102-18ED-414D-B27C-9353D338448C}"/>
    <cellStyle name="Normal 2 5 7 2 2 2 2" xfId="27821" xr:uid="{550BE74C-98F0-458B-84B6-F9AA5353B803}"/>
    <cellStyle name="Normal 2 5 7 2 2 2 3" xfId="27513" xr:uid="{66B8E7A9-047F-4D10-823B-1F07C00CEE0D}"/>
    <cellStyle name="Normal 2 5 7 2 2 2 4" xfId="15576" xr:uid="{94FE082E-9F2B-40D6-A7B0-165E6B8592BE}"/>
    <cellStyle name="Normal 2 5 7 2 2 3" xfId="8029" xr:uid="{D09942F2-BB55-43B0-85BF-29DB837C7E71}"/>
    <cellStyle name="Normal 2 5 7 2 2 3 2" xfId="26134" xr:uid="{5887ABB2-282D-44E7-BC2D-B437A529A992}"/>
    <cellStyle name="Normal 2 5 7 2 2 3 3" xfId="18409" xr:uid="{B05DDA15-E438-45B1-ADD1-CDF70D65F000}"/>
    <cellStyle name="Normal 2 5 7 2 2 4" xfId="10862" xr:uid="{196E06A0-F0CA-4CD2-91AD-74766821AB63}"/>
    <cellStyle name="Normal 2 5 7 2 2 4 2" xfId="21242" xr:uid="{FF51A9F4-D23A-4542-9A76-B0366AD8B7EA}"/>
    <cellStyle name="Normal 2 5 7 2 2 5" xfId="23492" xr:uid="{50433F46-47FE-48C4-B929-F6EA81E9341E}"/>
    <cellStyle name="Normal 2 5 7 2 2 6" xfId="13429" xr:uid="{CD5796A2-B85E-4A30-B3CB-AE07BC20B7CF}"/>
    <cellStyle name="Normal 2 5 7 2 3" xfId="5167" xr:uid="{9060EB0F-8873-4CCC-B47E-BC20FB1A55D0}"/>
    <cellStyle name="Normal 2 5 7 2 3 2" xfId="24093" xr:uid="{8140658E-2120-4103-BA3F-0B6F38DE81A8}"/>
    <cellStyle name="Normal 2 5 7 2 3 3" xfId="27977" xr:uid="{B7581A10-14FA-4070-A47F-E97B46EFFB92}"/>
    <cellStyle name="Normal 2 5 7 2 3 4" xfId="14464" xr:uid="{84722115-5823-45CE-99AC-0AA48348108E}"/>
    <cellStyle name="Normal 2 5 7 2 4" xfId="6917" xr:uid="{ABB8204F-5F68-4D3B-B5C0-E0FF351739A0}"/>
    <cellStyle name="Normal 2 5 7 2 4 2" xfId="27128" xr:uid="{E67F10F3-25A2-4D8F-AAD2-6E4DC1594DB6}"/>
    <cellStyle name="Normal 2 5 7 2 4 3" xfId="26305" xr:uid="{AA7E1F22-0A92-4FF1-9E88-23950B6FEDE6}"/>
    <cellStyle name="Normal 2 5 7 2 4 4" xfId="17297" xr:uid="{9BC63DFC-F0CE-452A-AE87-5CCA8FC53B19}"/>
    <cellStyle name="Normal 2 5 7 2 5" xfId="9750" xr:uid="{E7264DE5-52B1-4692-906E-9DD0289F153E}"/>
    <cellStyle name="Normal 2 5 7 2 5 2" xfId="29403" xr:uid="{9EDE6359-4F37-4234-BA23-058B76396C1B}"/>
    <cellStyle name="Normal 2 5 7 2 5 3" xfId="20130" xr:uid="{9BE466F4-CD27-4903-8CB2-393F7022D916}"/>
    <cellStyle name="Normal 2 5 7 2 5 4" xfId="30723" xr:uid="{86D2BD15-0D30-464F-BA88-FDCDFDD2181D}"/>
    <cellStyle name="Normal 2 5 7 2 6" xfId="24812" xr:uid="{221AF4D8-96BB-42CC-8398-1FBD5CD439A6}"/>
    <cellStyle name="Normal 2 5 7 2 7" xfId="12731" xr:uid="{9FB605A8-A7B1-4FA1-8B2B-AF26473C4371}"/>
    <cellStyle name="Normal 2 5 7 2 8" xfId="30345" xr:uid="{88B873EA-32D4-4418-916D-7E5CD5FBB2E9}"/>
    <cellStyle name="Normal 2 5 7 3" xfId="816" xr:uid="{00000000-0005-0000-0000-0000DC040000}"/>
    <cellStyle name="Normal 2 5 7 3 2" xfId="5168" xr:uid="{3E770E89-C976-4B49-A69D-01A42A1046BA}"/>
    <cellStyle name="Normal 2 5 7 3 2 2" xfId="27542" xr:uid="{82D41DC6-34D2-4BCF-A349-458CC7899135}"/>
    <cellStyle name="Normal 2 5 7 3 2 3" xfId="26703" xr:uid="{2EED25AF-C542-4CE4-BFA0-889806031BEA}"/>
    <cellStyle name="Normal 2 5 7 3 2 4" xfId="14465" xr:uid="{5045C102-0344-4C68-8D27-1021B6E1EFC7}"/>
    <cellStyle name="Normal 2 5 7 3 3" xfId="6918" xr:uid="{7C138758-DA1F-4FFF-B085-5A736F7CF706}"/>
    <cellStyle name="Normal 2 5 7 3 3 2" xfId="27912" xr:uid="{AF28E1D1-20A5-4401-ACD6-C4098AD1A24F}"/>
    <cellStyle name="Normal 2 5 7 3 3 3" xfId="27953" xr:uid="{EFC5B746-C63B-4E1A-88C8-DAE3639D4DC3}"/>
    <cellStyle name="Normal 2 5 7 3 3 4" xfId="17298" xr:uid="{FD2A42AA-958D-4A50-8385-C90282911FCA}"/>
    <cellStyle name="Normal 2 5 7 3 4" xfId="9751" xr:uid="{E467DB8B-20BB-49F3-9ECC-7BC2417E7147}"/>
    <cellStyle name="Normal 2 5 7 3 4 2" xfId="29404" xr:uid="{B7564529-64FE-4224-AC93-757CC3458D65}"/>
    <cellStyle name="Normal 2 5 7 3 4 3" xfId="20131" xr:uid="{6E2830BE-5DB1-439A-BF6A-50C05FC302E1}"/>
    <cellStyle name="Normal 2 5 7 3 5" xfId="24737" xr:uid="{F24850FC-B74F-4829-BAB6-7ACC661A5532}"/>
    <cellStyle name="Normal 2 5 7 3 6" xfId="13189" xr:uid="{2C439F39-210C-4C9B-977B-ACBACC47B0B5}"/>
    <cellStyle name="Normal 2 5 7 4" xfId="2339" xr:uid="{00000000-0005-0000-0000-0000AE040000}"/>
    <cellStyle name="Normal 2 5 7 4 2" xfId="7466" xr:uid="{1B362344-0BD6-4D0E-B242-4B50F9728465}"/>
    <cellStyle name="Normal 2 5 7 4 2 2" xfId="28744" xr:uid="{0CC125D7-E415-4BB3-AC0D-4C2EC7949BF1}"/>
    <cellStyle name="Normal 2 5 7 4 2 3" xfId="17846" xr:uid="{5C924F8C-930F-4882-837A-8D0C7343138F}"/>
    <cellStyle name="Normal 2 5 7 4 3" xfId="10299" xr:uid="{F73DC2D7-62D0-47B9-B1D3-79A626A70695}"/>
    <cellStyle name="Normal 2 5 7 4 3 2" xfId="20679" xr:uid="{C9CCF917-99CD-4A73-8291-13AECA5F2EDE}"/>
    <cellStyle name="Normal 2 5 7 4 4" xfId="23087" xr:uid="{F54C2A25-969A-4A8D-8DFA-442B18095805}"/>
    <cellStyle name="Normal 2 5 7 4 5" xfId="15013" xr:uid="{134E550A-C5DE-43AB-91F1-6867B117659D}"/>
    <cellStyle name="Normal 2 5 7 5" xfId="3949" xr:uid="{D8CFC14B-49E3-4A3A-963B-90B9A5D33F02}"/>
    <cellStyle name="Normal 2 5 7 5 2" xfId="8781" xr:uid="{314531B3-1E98-409B-9C90-1A861A73CA31}"/>
    <cellStyle name="Normal 2 5 7 5 2 2" xfId="28981" xr:uid="{79EA32D8-57DD-47A4-888F-9B1212D9E371}"/>
    <cellStyle name="Normal 2 5 7 5 2 3" xfId="19161" xr:uid="{0AE8848D-4986-4FDF-B055-D4A1AED243F2}"/>
    <cellStyle name="Normal 2 5 7 5 3" xfId="11614" xr:uid="{431B8C18-6889-4ABF-93B8-ABC29AE6C23E}"/>
    <cellStyle name="Normal 2 5 7 5 3 2" xfId="21994" xr:uid="{24AA5B20-D95F-456D-B6F9-5B75307D321E}"/>
    <cellStyle name="Normal 2 5 7 5 4" xfId="23048" xr:uid="{BF2A2A7B-A4B2-43E3-B56E-508819FD4D2A}"/>
    <cellStyle name="Normal 2 5 7 5 5" xfId="16328" xr:uid="{15B13AD9-8B90-4437-869A-47F17607C98F}"/>
    <cellStyle name="Normal 2 5 7 6" xfId="5166" xr:uid="{DB16687C-D6BD-4F8D-A886-DB6B61A4308F}"/>
    <cellStyle name="Normal 2 5 7 6 2" xfId="27596" xr:uid="{1A8FEE94-0E9A-47A1-A9DE-9D6EB49014AF}"/>
    <cellStyle name="Normal 2 5 7 6 3" xfId="26893" xr:uid="{3BAFF762-766C-46A0-A1D9-0DE77A03937F}"/>
    <cellStyle name="Normal 2 5 7 6 4" xfId="14463" xr:uid="{9E383EA8-AEC5-407D-85C5-6B8725A9BF50}"/>
    <cellStyle name="Normal 2 5 7 7" xfId="6916" xr:uid="{A11ADF15-8B6E-4FC0-A364-3F9F18D1C6E6}"/>
    <cellStyle name="Normal 2 5 7 7 2" xfId="27964" xr:uid="{BBDB033E-635E-41E9-9BF4-DE49DFE942E7}"/>
    <cellStyle name="Normal 2 5 7 7 3" xfId="17296" xr:uid="{C3ADC7B6-AC92-472A-91BA-C182249D2A74}"/>
    <cellStyle name="Normal 2 5 7 8" xfId="9749" xr:uid="{5592F4F2-A5E1-4C80-AD93-9BB633DB9C87}"/>
    <cellStyle name="Normal 2 5 7 8 2" xfId="20129" xr:uid="{14272C20-86E2-472E-A4E8-4C9B7D12F764}"/>
    <cellStyle name="Normal 2 5 7 9" xfId="23816" xr:uid="{8B9DB549-646C-43BD-980D-D4E511D283D9}"/>
    <cellStyle name="Normal 2 5 8" xfId="817" xr:uid="{00000000-0005-0000-0000-0000DD040000}"/>
    <cellStyle name="Normal 2 5 8 10" xfId="12574" xr:uid="{E38ED17A-C2CC-4BFA-B9D8-85D20747573E}"/>
    <cellStyle name="Normal 2 5 8 2" xfId="818" xr:uid="{00000000-0005-0000-0000-0000DE040000}"/>
    <cellStyle name="Normal 2 5 8 2 2" xfId="2913" xr:uid="{00000000-0005-0000-0000-0000B4040000}"/>
    <cellStyle name="Normal 2 5 8 2 2 2" xfId="6099" xr:uid="{87FC9D8D-AB43-40ED-8F7B-7E2E37B886AF}"/>
    <cellStyle name="Normal 2 5 8 2 2 2 2" xfId="26608" xr:uid="{0E2C8697-FF4A-48A1-B35C-E3A2591FB366}"/>
    <cellStyle name="Normal 2 5 8 2 2 2 3" xfId="27188" xr:uid="{CBE24E46-5E11-443A-A77B-8103F7EA457E}"/>
    <cellStyle name="Normal 2 5 8 2 2 2 4" xfId="15577" xr:uid="{CCEFA5DC-81A5-4731-AF20-D945D234E6F8}"/>
    <cellStyle name="Normal 2 5 8 2 2 3" xfId="8030" xr:uid="{99F426A8-2204-4F37-9D08-DD9295900529}"/>
    <cellStyle name="Normal 2 5 8 2 2 3 2" xfId="28077" xr:uid="{7F706CB7-6FAB-4374-B652-FA22570053F5}"/>
    <cellStyle name="Normal 2 5 8 2 2 3 3" xfId="18410" xr:uid="{E8C1E560-62B3-4C7D-BB20-AED4AB04D940}"/>
    <cellStyle name="Normal 2 5 8 2 2 4" xfId="10863" xr:uid="{C2627F29-8680-4140-B7A5-469789BA4CFD}"/>
    <cellStyle name="Normal 2 5 8 2 2 4 2" xfId="21243" xr:uid="{8A4C4B47-274E-4315-9F51-FC9BCCD9C1EA}"/>
    <cellStyle name="Normal 2 5 8 2 2 5" xfId="25094" xr:uid="{FC916E75-829D-4648-ABC5-97E3678CCF1A}"/>
    <cellStyle name="Normal 2 5 8 2 2 6" xfId="13430" xr:uid="{C0121E78-6DD1-47EB-8E62-5227476F87EE}"/>
    <cellStyle name="Normal 2 5 8 2 3" xfId="5170" xr:uid="{2D1402A6-9415-4653-86D7-D557C147098C}"/>
    <cellStyle name="Normal 2 5 8 2 3 2" xfId="22952" xr:uid="{388FF915-190B-4954-B4E7-FC639DFDE943}"/>
    <cellStyle name="Normal 2 5 8 2 3 3" xfId="28192" xr:uid="{68F1D276-B697-45DD-AC32-13F466365F86}"/>
    <cellStyle name="Normal 2 5 8 2 3 4" xfId="14467" xr:uid="{0FF6EBD6-B970-4B44-BA59-1FDA5254A209}"/>
    <cellStyle name="Normal 2 5 8 2 4" xfId="6920" xr:uid="{0E4C1027-7728-4935-9EA7-C7B74EE744D2}"/>
    <cellStyle name="Normal 2 5 8 2 4 2" xfId="28642" xr:uid="{459B1FF4-BA87-4BB3-8F04-5A33DD60A1CC}"/>
    <cellStyle name="Normal 2 5 8 2 4 3" xfId="26085" xr:uid="{8F91E1C7-6E17-4EC2-8DEA-849DDF060DEA}"/>
    <cellStyle name="Normal 2 5 8 2 4 4" xfId="17300" xr:uid="{C0BBF1FD-7C5D-4DAB-A0F0-C8E5DEDEF76E}"/>
    <cellStyle name="Normal 2 5 8 2 5" xfId="9753" xr:uid="{76768B74-70FA-4465-B1AA-713D127A7702}"/>
    <cellStyle name="Normal 2 5 8 2 5 2" xfId="29405" xr:uid="{DF98DF7B-1E00-43BC-983A-B4CC22D34525}"/>
    <cellStyle name="Normal 2 5 8 2 5 3" xfId="20133" xr:uid="{C594FEF9-4D23-4971-B868-D67002B33B47}"/>
    <cellStyle name="Normal 2 5 8 2 5 4" xfId="30724" xr:uid="{67A68525-8F05-4B32-8CF8-2B0D1720A369}"/>
    <cellStyle name="Normal 2 5 8 2 6" xfId="23828" xr:uid="{C8386A60-128C-499F-AFCE-4DD10DBA963E}"/>
    <cellStyle name="Normal 2 5 8 2 7" xfId="12732" xr:uid="{F643D582-96B8-4CC8-AC8C-FCCC2DB6AF69}"/>
    <cellStyle name="Normal 2 5 8 2 8" xfId="30346" xr:uid="{A86794BD-18B6-42BE-AF2A-7382812DFE9C}"/>
    <cellStyle name="Normal 2 5 8 3" xfId="819" xr:uid="{00000000-0005-0000-0000-0000DF040000}"/>
    <cellStyle name="Normal 2 5 8 3 2" xfId="5171" xr:uid="{7EA0FB52-D0FE-464E-B1A8-416EB7CAF6C7}"/>
    <cellStyle name="Normal 2 5 8 3 2 2" xfId="27762" xr:uid="{1B3D8A2B-1258-4528-9408-85F43A031E64}"/>
    <cellStyle name="Normal 2 5 8 3 2 3" xfId="26290" xr:uid="{AA918E9E-EA3E-4349-9744-D71435009A3C}"/>
    <cellStyle name="Normal 2 5 8 3 2 4" xfId="14468" xr:uid="{3E6F9440-77F5-4A99-B3EB-8BA589A02EDF}"/>
    <cellStyle name="Normal 2 5 8 3 3" xfId="6921" xr:uid="{B0B08595-060E-494E-8110-148EF87A2DA8}"/>
    <cellStyle name="Normal 2 5 8 3 3 2" xfId="28638" xr:uid="{032D4AEB-EE59-4E85-8CEB-A25B80BB18B6}"/>
    <cellStyle name="Normal 2 5 8 3 3 3" xfId="27846" xr:uid="{9B0AC6F4-3E72-4516-847F-2AA6AC759CEA}"/>
    <cellStyle name="Normal 2 5 8 3 3 4" xfId="17301" xr:uid="{9CAE0CA5-192E-4FCA-A94D-8A5B4F1AA151}"/>
    <cellStyle name="Normal 2 5 8 3 4" xfId="9754" xr:uid="{9846A3BF-14CF-479A-A442-5CF3BBFAE313}"/>
    <cellStyle name="Normal 2 5 8 3 4 2" xfId="29406" xr:uid="{2D856DE2-86A0-419D-96E1-34CA2644A20C}"/>
    <cellStyle name="Normal 2 5 8 3 4 3" xfId="20134" xr:uid="{53B8728A-7373-4BC2-B56D-E24262BF362B}"/>
    <cellStyle name="Normal 2 5 8 3 5" xfId="23851" xr:uid="{46453A9E-A67F-494D-87B3-15B3F5DFAF52}"/>
    <cellStyle name="Normal 2 5 8 3 6" xfId="13190" xr:uid="{496E3A89-8730-4E6C-828A-8D05C85E2345}"/>
    <cellStyle name="Normal 2 5 8 4" xfId="2340" xr:uid="{00000000-0005-0000-0000-0000B2040000}"/>
    <cellStyle name="Normal 2 5 8 4 2" xfId="7467" xr:uid="{C16FBEFE-52AB-4441-A1C9-E8B5687AE242}"/>
    <cellStyle name="Normal 2 5 8 4 2 2" xfId="27848" xr:uid="{0E4396B1-BC75-464D-B164-CF432F57B523}"/>
    <cellStyle name="Normal 2 5 8 4 2 3" xfId="17847" xr:uid="{FDB08684-D268-4DCA-B262-1B3506CE5912}"/>
    <cellStyle name="Normal 2 5 8 4 3" xfId="10300" xr:uid="{E5AA1FD1-ED76-4FAD-8CA9-11EB7236145B}"/>
    <cellStyle name="Normal 2 5 8 4 3 2" xfId="20680" xr:uid="{C78468E8-4D30-4A55-9AA2-6B20AC0D4496}"/>
    <cellStyle name="Normal 2 5 8 4 4" xfId="25085" xr:uid="{47ACB428-AD37-40AD-87E4-7E37E5606D87}"/>
    <cellStyle name="Normal 2 5 8 4 5" xfId="15014" xr:uid="{A3C273AF-593E-476B-B230-8D7E402C6145}"/>
    <cellStyle name="Normal 2 5 8 5" xfId="3950" xr:uid="{BF81343B-B83B-43B8-9BC5-CB12006B854C}"/>
    <cellStyle name="Normal 2 5 8 5 2" xfId="8782" xr:uid="{CECA1BCB-AD76-4537-8025-497C5AD21B3F}"/>
    <cellStyle name="Normal 2 5 8 5 2 2" xfId="28982" xr:uid="{94C765E6-BB12-4335-80EF-AF4F156CCF00}"/>
    <cellStyle name="Normal 2 5 8 5 2 3" xfId="19162" xr:uid="{0C1C02B2-740E-4BCE-B144-84642897C345}"/>
    <cellStyle name="Normal 2 5 8 5 3" xfId="11615" xr:uid="{0C944F9B-713E-4AE8-BB46-119FFF8D1704}"/>
    <cellStyle name="Normal 2 5 8 5 3 2" xfId="21995" xr:uid="{1EAB1D14-CBDA-43A1-9717-0CB745344DC4}"/>
    <cellStyle name="Normal 2 5 8 5 4" xfId="24535" xr:uid="{6ECCF8D9-9A14-4CC9-AD83-CFF583C82AC6}"/>
    <cellStyle name="Normal 2 5 8 5 5" xfId="16329" xr:uid="{B341DFBB-E567-480A-809E-A7B726B6E9CA}"/>
    <cellStyle name="Normal 2 5 8 6" xfId="5169" xr:uid="{AF740421-A9D7-4981-B0DD-024B66F1145B}"/>
    <cellStyle name="Normal 2 5 8 6 2" xfId="27676" xr:uid="{7DEE681E-4F61-4398-91D7-57107E8AAA8D}"/>
    <cellStyle name="Normal 2 5 8 6 3" xfId="27479" xr:uid="{59820533-D3B5-4D7A-A35D-04C989DD83D8}"/>
    <cellStyle name="Normal 2 5 8 6 4" xfId="14466" xr:uid="{8C96E933-25D4-4073-B797-84AB31DEAECA}"/>
    <cellStyle name="Normal 2 5 8 7" xfId="6919" xr:uid="{239F98C7-8727-4BE7-81D5-EE9277AB63F6}"/>
    <cellStyle name="Normal 2 5 8 7 2" xfId="27062" xr:uid="{96429B7D-6E41-4E3C-89DE-72DA8AA46504}"/>
    <cellStyle name="Normal 2 5 8 7 3" xfId="17299" xr:uid="{D7886A59-2199-41D7-AE3A-FD9033BD4BD3}"/>
    <cellStyle name="Normal 2 5 8 8" xfId="9752" xr:uid="{CB9AC7CF-C7D8-4DCC-A2E0-F4127C7C6F31}"/>
    <cellStyle name="Normal 2 5 8 8 2" xfId="20132" xr:uid="{BB9A25AA-4245-4628-BC06-51E1DB837678}"/>
    <cellStyle name="Normal 2 5 8 9" xfId="24424" xr:uid="{328A836E-32EB-4DD2-AFBA-D794BE946D62}"/>
    <cellStyle name="Normal 2 5 9" xfId="820" xr:uid="{00000000-0005-0000-0000-0000E0040000}"/>
    <cellStyle name="Normal 2 5 9 10" xfId="12504" xr:uid="{7FCA7729-F1C3-43C7-A3F8-4974BBD8AE7A}"/>
    <cellStyle name="Normal 2 5 9 2" xfId="3235" xr:uid="{00000000-0005-0000-0000-0000B7040000}"/>
    <cellStyle name="Normal 2 5 9 2 2" xfId="6293" xr:uid="{0B91A8BA-076C-481F-ADFB-A7856F4F3E46}"/>
    <cellStyle name="Normal 2 5 9 2 2 2" xfId="25631" xr:uid="{6C3EDB00-8CAF-4CFC-9DE8-3599F9EB5F26}"/>
    <cellStyle name="Normal 2 5 9 2 2 3" xfId="27968" xr:uid="{B970ACEE-F553-41DC-8DCB-FA030DEE0490}"/>
    <cellStyle name="Normal 2 5 9 2 2 4" xfId="15862" xr:uid="{0F440309-72D3-4934-AF8C-1DB3325F7EF9}"/>
    <cellStyle name="Normal 2 5 9 2 3" xfId="8315" xr:uid="{F4394632-4CB4-4401-8E21-5AB05E129132}"/>
    <cellStyle name="Normal 2 5 9 2 3 2" xfId="27352" xr:uid="{61014B98-6863-4EE2-9C3B-0C7310C8CF1B}"/>
    <cellStyle name="Normal 2 5 9 2 3 3" xfId="28890" xr:uid="{BEEE6F3E-1FED-40DD-9227-5E2282FE853D}"/>
    <cellStyle name="Normal 2 5 9 2 3 4" xfId="18695" xr:uid="{A2154F9B-A893-4B53-A8A7-192A73DEF509}"/>
    <cellStyle name="Normal 2 5 9 2 4" xfId="11148" xr:uid="{80A17659-A99E-4BA9-9359-3C23DD1BD919}"/>
    <cellStyle name="Normal 2 5 9 2 4 2" xfId="29478" xr:uid="{EFABE57B-B8CC-4BD2-9E3D-CF65BBFFD636}"/>
    <cellStyle name="Normal 2 5 9 2 4 3" xfId="21528" xr:uid="{B509A441-B731-49A6-96BB-4F34A6F2F384}"/>
    <cellStyle name="Normal 2 5 9 2 5" xfId="24246" xr:uid="{F9B116E2-9B39-4305-ABEF-403951DA8795}"/>
    <cellStyle name="Normal 2 5 9 2 6" xfId="13783" xr:uid="{B7F3693F-EB02-4589-9952-0D16020DDF4E}"/>
    <cellStyle name="Normal 2 5 9 3" xfId="2739" xr:uid="{00000000-0005-0000-0000-0000B8040000}"/>
    <cellStyle name="Normal 2 5 9 3 2" xfId="5957" xr:uid="{1C106CF1-7AAC-412B-81B1-54ED467F200B}"/>
    <cellStyle name="Normal 2 5 9 3 2 2" xfId="27466" xr:uid="{CC4B03BE-8BC6-4C64-AF77-07528B0A7D4A}"/>
    <cellStyle name="Normal 2 5 9 3 2 3" xfId="15410" xr:uid="{E570EFB2-99EA-4234-A4D2-5ABF913393A2}"/>
    <cellStyle name="Normal 2 5 9 3 3" xfId="7863" xr:uid="{302C5420-7804-42BA-B297-E308AAEF5BCE}"/>
    <cellStyle name="Normal 2 5 9 3 3 2" xfId="18243" xr:uid="{A9579B9F-64EE-43F8-9A70-559D79FF8E1D}"/>
    <cellStyle name="Normal 2 5 9 3 4" xfId="10696" xr:uid="{25CD7F1D-4955-4FCA-B4B5-67C0756C0511}"/>
    <cellStyle name="Normal 2 5 9 3 4 2" xfId="21076" xr:uid="{35D0D869-E1F7-4435-8529-8D9C63936AF1}"/>
    <cellStyle name="Normal 2 5 9 3 5" xfId="23940" xr:uid="{70708FAF-6117-43BC-A4C3-2588E56CBF5B}"/>
    <cellStyle name="Normal 2 5 9 3 6" xfId="13177" xr:uid="{5C716C2B-4908-4FE3-92D6-4A1D28A4DF2A}"/>
    <cellStyle name="Normal 2 5 9 4" xfId="2272" xr:uid="{00000000-0005-0000-0000-0000B6040000}"/>
    <cellStyle name="Normal 2 5 9 4 2" xfId="7399" xr:uid="{44CC9008-625D-48A4-A3F4-6A660BC2991B}"/>
    <cellStyle name="Normal 2 5 9 4 2 2" xfId="27954" xr:uid="{1ACE6644-AF73-4258-8A74-DFFE087E6897}"/>
    <cellStyle name="Normal 2 5 9 4 2 3" xfId="17779" xr:uid="{9971C4D6-2A38-4BFF-B60A-B3EEDC94716F}"/>
    <cellStyle name="Normal 2 5 9 4 3" xfId="10232" xr:uid="{5F9F0C4C-2D85-4646-960C-56A8C3B1C93E}"/>
    <cellStyle name="Normal 2 5 9 4 3 2" xfId="20612" xr:uid="{81686D14-218A-4EB9-97EF-B8C9AF73EDE0}"/>
    <cellStyle name="Normal 2 5 9 4 4" xfId="23688" xr:uid="{49D8E19A-075C-4E34-A4CE-79C0FF224597}"/>
    <cellStyle name="Normal 2 5 9 4 5" xfId="14946" xr:uid="{7A1B2A35-2331-4EF4-A6EF-5E897BBCE437}"/>
    <cellStyle name="Normal 2 5 9 5" xfId="3810" xr:uid="{C36B1377-C1A8-4750-9E28-3ABDD05BE518}"/>
    <cellStyle name="Normal 2 5 9 5 2" xfId="8645" xr:uid="{154617DC-6663-42CD-931D-5622CEA77ECE}"/>
    <cellStyle name="Normal 2 5 9 5 2 2" xfId="19025" xr:uid="{CE4701C2-C8C4-4A37-B1F3-6C21AEDEA06A}"/>
    <cellStyle name="Normal 2 5 9 5 3" xfId="11478" xr:uid="{6063A356-5B28-4C34-8859-1EBC8C85D199}"/>
    <cellStyle name="Normal 2 5 9 5 3 2" xfId="21858" xr:uid="{4EE30D17-D780-4166-84BD-EC2FB143CCEC}"/>
    <cellStyle name="Normal 2 5 9 5 4" xfId="28104" xr:uid="{BE95F47A-4672-426F-99A6-ACA33F274C2D}"/>
    <cellStyle name="Normal 2 5 9 5 5" xfId="16192" xr:uid="{0865A172-1CAC-4A74-979F-330CE434C959}"/>
    <cellStyle name="Normal 2 5 9 6" xfId="5172" xr:uid="{B31D40FC-3EBC-4519-B7B0-43B86423AE7E}"/>
    <cellStyle name="Normal 2 5 9 6 2" xfId="14469" xr:uid="{4FBA8EC1-5C39-4D2C-BA4F-5F800D6F3DB5}"/>
    <cellStyle name="Normal 2 5 9 7" xfId="6922" xr:uid="{9AAF25E7-CC15-41BD-B93C-BEB25785AB29}"/>
    <cellStyle name="Normal 2 5 9 7 2" xfId="17302" xr:uid="{EB8FE4D3-0522-4388-8A17-14FEAD0B5AC4}"/>
    <cellStyle name="Normal 2 5 9 8" xfId="9755" xr:uid="{27576975-041A-453B-BB10-E93A0FD07564}"/>
    <cellStyle name="Normal 2 5 9 8 2" xfId="20135" xr:uid="{C871B22F-AA4C-4F56-9BB6-586D7328BD16}"/>
    <cellStyle name="Normal 2 5 9 9" xfId="25521" xr:uid="{D68B2B4B-CB3F-46E5-9B54-D643C1350598}"/>
    <cellStyle name="Normal 2 6" xfId="821" xr:uid="{00000000-0005-0000-0000-0000E1040000}"/>
    <cellStyle name="Normal 2 6 10" xfId="5173" xr:uid="{DD478F15-A083-4817-8175-D763E388BB84}"/>
    <cellStyle name="Normal 2 6 10 2" xfId="14470" xr:uid="{E5309782-CB5A-4A22-A5E7-5A4F7C7A20E6}"/>
    <cellStyle name="Normal 2 6 11" xfId="6923" xr:uid="{B39136A8-D95F-4470-8743-FEB656977D2A}"/>
    <cellStyle name="Normal 2 6 11 2" xfId="17303" xr:uid="{A69F4FF9-21AA-4E7B-93DC-CCCD3D07233C}"/>
    <cellStyle name="Normal 2 6 12" xfId="9756" xr:uid="{2EB3993A-F026-4EED-9A24-7B90B3DD425E}"/>
    <cellStyle name="Normal 2 6 12 2" xfId="20136" xr:uid="{DDDB0523-0818-4E09-A63F-A4F629557835}"/>
    <cellStyle name="Normal 2 6 13" xfId="22825" xr:uid="{49B58377-FBC9-4605-89B7-B6DD49E3E0BC}"/>
    <cellStyle name="Normal 2 6 14" xfId="12398" xr:uid="{6FCA1971-0E11-4060-AEE0-39888A0B4FEC}"/>
    <cellStyle name="Normal 2 6 15" xfId="29569" xr:uid="{D20AE30D-0FA9-4A88-B2A2-8B4705DD5E43}"/>
    <cellStyle name="Normal 2 6 2" xfId="822" xr:uid="{00000000-0005-0000-0000-0000E2040000}"/>
    <cellStyle name="Normal 2 6 2 10" xfId="6924" xr:uid="{6B452C7E-FE71-41C6-AEB2-1CEFD1267B3F}"/>
    <cellStyle name="Normal 2 6 2 10 2" xfId="17304" xr:uid="{C1B45B50-B0BF-4C5A-9E26-73DFBCF43E54}"/>
    <cellStyle name="Normal 2 6 2 11" xfId="9757" xr:uid="{70EE3BED-9444-4771-B0E0-B22D2D681A56}"/>
    <cellStyle name="Normal 2 6 2 11 2" xfId="20137" xr:uid="{B8848E42-84F5-402A-8F44-DF4E26C14C9C}"/>
    <cellStyle name="Normal 2 6 2 12" xfId="24771" xr:uid="{35CF3DA4-DC61-44EA-9462-885C50B93914}"/>
    <cellStyle name="Normal 2 6 2 13" xfId="12458" xr:uid="{560212F9-0533-4461-9920-F70CFBCCFBC5}"/>
    <cellStyle name="Normal 2 6 2 2" xfId="823" xr:uid="{00000000-0005-0000-0000-0000E3040000}"/>
    <cellStyle name="Normal 2 6 2 2 10" xfId="13023" xr:uid="{0D4BBAF6-D8A0-465E-8BC7-1533A0227D43}"/>
    <cellStyle name="Normal 2 6 2 2 2" xfId="2750" xr:uid="{00000000-0005-0000-0000-0000BC040000}"/>
    <cellStyle name="Normal 2 6 2 2 2 2" xfId="3238" xr:uid="{00000000-0005-0000-0000-0000BD040000}"/>
    <cellStyle name="Normal 2 6 2 2 2 2 2" xfId="6296" xr:uid="{0B07470C-85B1-4C6C-8ECD-495CD613F7F9}"/>
    <cellStyle name="Normal 2 6 2 2 2 2 2 2" xfId="25985" xr:uid="{15AEB110-49CC-43EA-914F-C7B5BA29E022}"/>
    <cellStyle name="Normal 2 6 2 2 2 2 2 3" xfId="15865" xr:uid="{6299CCA4-F531-4401-9A04-6E9291B145E1}"/>
    <cellStyle name="Normal 2 6 2 2 2 2 3" xfId="8318" xr:uid="{7D00746B-09DC-4BE8-9F40-2E48AA9B3F4E}"/>
    <cellStyle name="Normal 2 6 2 2 2 2 3 2" xfId="18698" xr:uid="{92375DE8-DFE2-4284-ADB8-E6088B04237C}"/>
    <cellStyle name="Normal 2 6 2 2 2 2 4" xfId="11151" xr:uid="{45876200-9A30-4704-87EC-D9A1EE244809}"/>
    <cellStyle name="Normal 2 6 2 2 2 2 4 2" xfId="21531" xr:uid="{19313E0A-2184-42AB-A62F-564856D82415}"/>
    <cellStyle name="Normal 2 6 2 2 2 2 5" xfId="24865" xr:uid="{22919932-BE07-4BEC-A9C1-1F5690CBF9E8}"/>
    <cellStyle name="Normal 2 6 2 2 2 2 6" xfId="13786" xr:uid="{D92ABE24-15D8-42BF-BA33-29B764548151}"/>
    <cellStyle name="Normal 2 6 2 2 2 3" xfId="4313" xr:uid="{451EFECD-E6FF-49A0-931F-814EEFFD5A8F}"/>
    <cellStyle name="Normal 2 6 2 2 2 3 2" xfId="9085" xr:uid="{3595DF81-ADC3-45A8-9BCF-7689DB946DF4}"/>
    <cellStyle name="Normal 2 6 2 2 2 3 2 2" xfId="29128" xr:uid="{3478CBB0-2BB3-4BBC-BDF5-74924D9D1697}"/>
    <cellStyle name="Normal 2 6 2 2 2 3 2 3" xfId="19465" xr:uid="{53207F61-895A-499D-A277-FF244C663D60}"/>
    <cellStyle name="Normal 2 6 2 2 2 3 3" xfId="11918" xr:uid="{48D8DEA2-984C-4B9D-A7AA-ED5779C04D14}"/>
    <cellStyle name="Normal 2 6 2 2 2 3 3 2" xfId="22298" xr:uid="{7CA70C4C-A7DF-4680-9001-4AC840974DE7}"/>
    <cellStyle name="Normal 2 6 2 2 2 3 4" xfId="23344" xr:uid="{D534D1FF-ED6B-4AFA-A78B-91BFD6963392}"/>
    <cellStyle name="Normal 2 6 2 2 2 3 5" xfId="16632" xr:uid="{D5A661F6-AA69-4A0F-BEEE-49C104A2C658}"/>
    <cellStyle name="Normal 2 6 2 2 2 4" xfId="5968" xr:uid="{298A3100-0F0E-4143-A5EA-0E61FD9A4AB6}"/>
    <cellStyle name="Normal 2 6 2 2 2 4 2" xfId="26480" xr:uid="{11AECB0D-6D22-4FB1-BDEF-36BD0B668DF2}"/>
    <cellStyle name="Normal 2 6 2 2 2 4 3" xfId="15421" xr:uid="{06CF890A-500B-4804-8C18-A9A6100DD4F0}"/>
    <cellStyle name="Normal 2 6 2 2 2 5" xfId="7874" xr:uid="{13D454F1-D94D-4985-B799-7A9EE008A9DD}"/>
    <cellStyle name="Normal 2 6 2 2 2 5 2" xfId="18254" xr:uid="{49C3328D-2308-4F91-B477-7FDE2DDB1AD1}"/>
    <cellStyle name="Normal 2 6 2 2 2 6" xfId="10707" xr:uid="{67F0920D-71CE-4035-957B-64609EFCF7FB}"/>
    <cellStyle name="Normal 2 6 2 2 2 6 2" xfId="21087" xr:uid="{B4910B9D-7FD4-4ABB-8821-B0753D2BA9C3}"/>
    <cellStyle name="Normal 2 6 2 2 2 7" xfId="24555" xr:uid="{A6371983-7A9E-40B5-882F-16BA02B0D5BB}"/>
    <cellStyle name="Normal 2 6 2 2 2 8" xfId="13193" xr:uid="{E94E252D-CEC7-44E3-AE45-EF7C918145D9}"/>
    <cellStyle name="Normal 2 6 2 2 3" xfId="3239" xr:uid="{00000000-0005-0000-0000-0000BE040000}"/>
    <cellStyle name="Normal 2 6 2 2 3 2" xfId="4490" xr:uid="{55CEC6C5-0DF6-4B0F-924A-77BA3BC616DD}"/>
    <cellStyle name="Normal 2 6 2 2 3 2 2" xfId="9262" xr:uid="{06250DE4-EF61-49D8-88D3-8EC22069837C}"/>
    <cellStyle name="Normal 2 6 2 2 3 2 2 2" xfId="19642" xr:uid="{66BB9C65-E528-4C7D-B9E6-BE7C48E04D21}"/>
    <cellStyle name="Normal 2 6 2 2 3 2 3" xfId="12095" xr:uid="{668CB0BD-5154-4E9D-9950-737CB28749D1}"/>
    <cellStyle name="Normal 2 6 2 2 3 2 3 2" xfId="22475" xr:uid="{0927B242-5633-413B-9366-D0BF18B6BEF8}"/>
    <cellStyle name="Normal 2 6 2 2 3 2 4" xfId="27215" xr:uid="{86708BAA-E17F-49EC-854A-0A84CF6C76C2}"/>
    <cellStyle name="Normal 2 6 2 2 3 2 5" xfId="16809" xr:uid="{599B188C-F56C-4FC6-A997-E2906A024AF1}"/>
    <cellStyle name="Normal 2 6 2 2 3 3" xfId="6297" xr:uid="{B79DBA51-6000-4D82-80A8-804A3E8AE8B8}"/>
    <cellStyle name="Normal 2 6 2 2 3 3 2" xfId="15866" xr:uid="{7DC4A406-DF69-4EC5-A326-85572F0B978F}"/>
    <cellStyle name="Normal 2 6 2 2 3 4" xfId="8319" xr:uid="{45F53046-B812-4B00-AF6C-5C1BE3C220C6}"/>
    <cellStyle name="Normal 2 6 2 2 3 4 2" xfId="18699" xr:uid="{4FA5C0D2-5A8F-4244-BA51-715E53E0E9C9}"/>
    <cellStyle name="Normal 2 6 2 2 3 5" xfId="11152" xr:uid="{8FB676D1-A2A5-4791-81A5-AA86212AE9BB}"/>
    <cellStyle name="Normal 2 6 2 2 3 5 2" xfId="21532" xr:uid="{1B7321DF-74C0-4FE4-90B0-A4A4BC518DD0}"/>
    <cellStyle name="Normal 2 6 2 2 3 6" xfId="25445" xr:uid="{63EE90C9-352C-4A42-BCBF-967139EC8398}"/>
    <cellStyle name="Normal 2 6 2 2 3 7" xfId="13787" xr:uid="{003465C1-845E-4AA6-AAC9-38E55E50C248}"/>
    <cellStyle name="Normal 2 6 2 2 4" xfId="3237" xr:uid="{00000000-0005-0000-0000-0000BF040000}"/>
    <cellStyle name="Normal 2 6 2 2 4 2" xfId="6295" xr:uid="{8A71D997-902F-4EC5-BD04-EFA816DE2D95}"/>
    <cellStyle name="Normal 2 6 2 2 4 2 2" xfId="26120" xr:uid="{6C41D414-276B-4750-99C0-84744654015A}"/>
    <cellStyle name="Normal 2 6 2 2 4 2 3" xfId="15864" xr:uid="{58E19D04-F987-48EA-AD62-D757F9DC9301}"/>
    <cellStyle name="Normal 2 6 2 2 4 3" xfId="8317" xr:uid="{D7CD78DF-D605-471F-83D2-64D69091FA77}"/>
    <cellStyle name="Normal 2 6 2 2 4 3 2" xfId="18697" xr:uid="{8ADBC21C-45A3-48A1-89F6-3A2356F32654}"/>
    <cellStyle name="Normal 2 6 2 2 4 4" xfId="11150" xr:uid="{14AD40EB-66C8-45BC-83A2-CCA9B1A5ABF3}"/>
    <cellStyle name="Normal 2 6 2 2 4 4 2" xfId="21530" xr:uid="{214F76B3-3270-4655-8C6B-6FFC20D4F682}"/>
    <cellStyle name="Normal 2 6 2 2 4 5" xfId="24352" xr:uid="{781D88E8-E12F-46EC-82D2-751C026D45CE}"/>
    <cellStyle name="Normal 2 6 2 2 4 6" xfId="13785" xr:uid="{91AAE636-ACAC-4080-91F2-DFC72904F990}"/>
    <cellStyle name="Normal 2 6 2 2 5" xfId="4237" xr:uid="{6213120F-9F90-4BE0-92B7-346DAD0055F1}"/>
    <cellStyle name="Normal 2 6 2 2 5 2" xfId="9009" xr:uid="{B23A0D37-DA54-4EDA-BE34-71A567E5C728}"/>
    <cellStyle name="Normal 2 6 2 2 5 2 2" xfId="29080" xr:uid="{5B35F843-65AE-46F3-BBE9-BA3D0813C538}"/>
    <cellStyle name="Normal 2 6 2 2 5 2 3" xfId="19389" xr:uid="{6714A023-88B7-4F17-BD6B-5FA4ACE1AAC2}"/>
    <cellStyle name="Normal 2 6 2 2 5 3" xfId="11842" xr:uid="{C70035A5-E15B-4D76-88E0-5C3F7C131519}"/>
    <cellStyle name="Normal 2 6 2 2 5 3 2" xfId="22222" xr:uid="{E83365C6-6F43-4F18-8F82-0431B69ED16A}"/>
    <cellStyle name="Normal 2 6 2 2 5 4" xfId="23577" xr:uid="{BBCF9256-3B95-44EB-92C0-669EE74927F6}"/>
    <cellStyle name="Normal 2 6 2 2 5 5" xfId="16556" xr:uid="{2525C136-B1B0-4DFD-A134-1912100B16CB}"/>
    <cellStyle name="Normal 2 6 2 2 6" xfId="5175" xr:uid="{EFD3024B-EF2D-42ED-A19F-E2212A050465}"/>
    <cellStyle name="Normal 2 6 2 2 6 2" xfId="28651" xr:uid="{E51DA777-0808-4589-A231-F6DEACAEA0DC}"/>
    <cellStyle name="Normal 2 6 2 2 6 3" xfId="14472" xr:uid="{CC01BC16-52DB-4F97-85D1-813E789606D7}"/>
    <cellStyle name="Normal 2 6 2 2 7" xfId="6925" xr:uid="{8FEB73BD-73B7-40EC-81B9-13739C227541}"/>
    <cellStyle name="Normal 2 6 2 2 7 2" xfId="17305" xr:uid="{8E9BBD76-FCD0-4DA6-9DE2-B44004DEE9FF}"/>
    <cellStyle name="Normal 2 6 2 2 8" xfId="9758" xr:uid="{E500A65A-BD52-41D2-BA8F-127DE68A173E}"/>
    <cellStyle name="Normal 2 6 2 2 8 2" xfId="20138" xr:uid="{6EAF28EB-AB73-4A7D-8ACB-0F87A24CD8B4}"/>
    <cellStyle name="Normal 2 6 2 2 9" xfId="24336" xr:uid="{550195B9-69B1-41FF-8556-424F9227CAEB}"/>
    <cellStyle name="Normal 2 6 2 3" xfId="2749" xr:uid="{00000000-0005-0000-0000-0000C0040000}"/>
    <cellStyle name="Normal 2 6 2 3 2" xfId="3240" xr:uid="{00000000-0005-0000-0000-0000C1040000}"/>
    <cellStyle name="Normal 2 6 2 3 2 2" xfId="6298" xr:uid="{909EF239-56EC-436B-B207-0C2058E4371C}"/>
    <cellStyle name="Normal 2 6 2 3 2 2 2" xfId="27531" xr:uid="{6A3159D9-295F-4279-B03A-E3C845D77425}"/>
    <cellStyle name="Normal 2 6 2 3 2 2 3" xfId="15867" xr:uid="{2C7CBD9F-6D00-4DFD-8C61-0A5C8FFCB40E}"/>
    <cellStyle name="Normal 2 6 2 3 2 3" xfId="8320" xr:uid="{E8956212-19DA-46E6-AE5B-B477D98F4FC0}"/>
    <cellStyle name="Normal 2 6 2 3 2 3 2" xfId="18700" xr:uid="{63AAA577-4A6D-42C1-AEF3-F0691CE300E7}"/>
    <cellStyle name="Normal 2 6 2 3 2 4" xfId="11153" xr:uid="{3183E437-A385-4F27-8C65-8E24BC3C2386}"/>
    <cellStyle name="Normal 2 6 2 3 2 4 2" xfId="21533" xr:uid="{CCA787AD-396D-48F7-939C-67EA61F5EAFF}"/>
    <cellStyle name="Normal 2 6 2 3 2 5" xfId="22796" xr:uid="{35DE97A9-B50F-44E7-8469-98B46AE21DDC}"/>
    <cellStyle name="Normal 2 6 2 3 2 6" xfId="13788" xr:uid="{DBCCB06C-77FF-48D3-B46A-C7ED0160E78B}"/>
    <cellStyle name="Normal 2 6 2 3 3" xfId="4312" xr:uid="{05338117-EB87-4B41-8F3F-9D96A8C69F48}"/>
    <cellStyle name="Normal 2 6 2 3 3 2" xfId="9084" xr:uid="{06B64086-F2FA-4554-A66A-7DCD7A828594}"/>
    <cellStyle name="Normal 2 6 2 3 3 2 2" xfId="29127" xr:uid="{CD74FA9E-399D-4ABF-9104-22E50EC80906}"/>
    <cellStyle name="Normal 2 6 2 3 3 2 3" xfId="19464" xr:uid="{374CA1CC-12B2-48B1-9D67-A7B3DEEE4CBF}"/>
    <cellStyle name="Normal 2 6 2 3 3 3" xfId="11917" xr:uid="{1DD8F1BF-BCEA-465E-A31C-07F49838B74E}"/>
    <cellStyle name="Normal 2 6 2 3 3 3 2" xfId="22297" xr:uid="{9E6596BA-0FCB-417E-82E2-1524BC5841F5}"/>
    <cellStyle name="Normal 2 6 2 3 3 4" xfId="25349" xr:uid="{42660836-C392-4A95-AB7D-2B10EB886405}"/>
    <cellStyle name="Normal 2 6 2 3 3 5" xfId="16631" xr:uid="{563033DD-F564-4805-B714-6325541D0051}"/>
    <cellStyle name="Normal 2 6 2 3 4" xfId="5967" xr:uid="{E65F83FC-A1C3-4EA4-9529-1202F48F8094}"/>
    <cellStyle name="Normal 2 6 2 3 4 2" xfId="27923" xr:uid="{1E851278-57D4-4AA3-A532-7F287997802C}"/>
    <cellStyle name="Normal 2 6 2 3 4 3" xfId="15420" xr:uid="{69C05F2B-C137-4BB6-8704-13070549C81C}"/>
    <cellStyle name="Normal 2 6 2 3 5" xfId="7873" xr:uid="{621F3C51-E706-4289-808D-3600D7DE2E8D}"/>
    <cellStyle name="Normal 2 6 2 3 5 2" xfId="18253" xr:uid="{2C1E3A01-E7C2-4B75-9362-E23996E4157F}"/>
    <cellStyle name="Normal 2 6 2 3 6" xfId="10706" xr:uid="{0942D83E-6785-4069-93ED-E1FEF867500E}"/>
    <cellStyle name="Normal 2 6 2 3 6 2" xfId="21086" xr:uid="{D0426F11-DBC5-4AD7-A855-E1C40AE9F6EE}"/>
    <cellStyle name="Normal 2 6 2 3 7" xfId="24596" xr:uid="{70CCA74D-0F9E-4C26-BE30-EDEF40B34700}"/>
    <cellStyle name="Normal 2 6 2 3 8" xfId="13192" xr:uid="{082743DC-5C06-434B-9280-28C08901C2E8}"/>
    <cellStyle name="Normal 2 6 2 4" xfId="3241" xr:uid="{00000000-0005-0000-0000-0000C2040000}"/>
    <cellStyle name="Normal 2 6 2 4 2" xfId="4491" xr:uid="{99D999CC-6FD5-486B-8B59-AACF02421660}"/>
    <cellStyle name="Normal 2 6 2 4 2 2" xfId="9263" xr:uid="{693B2310-F2CC-4B51-8DCA-6C985B7E01F6}"/>
    <cellStyle name="Normal 2 6 2 4 2 2 2" xfId="19643" xr:uid="{60CE9961-B196-4E53-9106-4D821DF88F34}"/>
    <cellStyle name="Normal 2 6 2 4 2 3" xfId="12096" xr:uid="{F27E296C-2BF5-4C55-A4BC-C01B2BB3001C}"/>
    <cellStyle name="Normal 2 6 2 4 2 3 2" xfId="22476" xr:uid="{6890BA32-74A1-468A-8E1D-EE5DDA9E01A7}"/>
    <cellStyle name="Normal 2 6 2 4 2 4" xfId="26156" xr:uid="{8E1693E9-A028-4C58-88A3-DCB985228DC4}"/>
    <cellStyle name="Normal 2 6 2 4 2 5" xfId="16810" xr:uid="{C18685EF-A719-4116-BA1B-3BA5E1AA00FD}"/>
    <cellStyle name="Normal 2 6 2 4 3" xfId="6299" xr:uid="{492F9173-ED6E-4509-86DB-B2EA5DF6D7F6}"/>
    <cellStyle name="Normal 2 6 2 4 3 2" xfId="15868" xr:uid="{BA1625F8-53AF-4C89-82AA-C0EB3332B7FA}"/>
    <cellStyle name="Normal 2 6 2 4 4" xfId="8321" xr:uid="{C1DB41E0-32DE-4948-9DB1-AAC9D0DB7206}"/>
    <cellStyle name="Normal 2 6 2 4 4 2" xfId="18701" xr:uid="{875847CA-7CEF-469C-BA9D-AF3CD931B7D7}"/>
    <cellStyle name="Normal 2 6 2 4 5" xfId="11154" xr:uid="{A35979AB-4BBF-40BE-BD16-A63862B7E890}"/>
    <cellStyle name="Normal 2 6 2 4 5 2" xfId="21534" xr:uid="{290E8148-7224-483E-8FEB-44D1A8EBA1D7}"/>
    <cellStyle name="Normal 2 6 2 4 6" xfId="23653" xr:uid="{2E0F261C-8B52-49F0-8467-4A7022122960}"/>
    <cellStyle name="Normal 2 6 2 4 7" xfId="13789" xr:uid="{C67B1CEB-659F-49D7-AF42-A53E6118D022}"/>
    <cellStyle name="Normal 2 6 2 5" xfId="3236" xr:uid="{00000000-0005-0000-0000-0000C3040000}"/>
    <cellStyle name="Normal 2 6 2 5 2" xfId="6294" xr:uid="{864BD532-2191-49D7-A5D9-FF59CCEEAFD4}"/>
    <cellStyle name="Normal 2 6 2 5 2 2" xfId="27655" xr:uid="{A64C6447-BC8F-4094-9873-7775BF9AA8CD}"/>
    <cellStyle name="Normal 2 6 2 5 2 3" xfId="15863" xr:uid="{8CEFF8B3-DBEE-4DA2-9982-4C778CE2B6D8}"/>
    <cellStyle name="Normal 2 6 2 5 3" xfId="8316" xr:uid="{5AEDA475-210E-48A9-ACEE-9CB4F1AEDF16}"/>
    <cellStyle name="Normal 2 6 2 5 3 2" xfId="18696" xr:uid="{8CFC2B20-D82C-4836-8B85-B2DDA40B52F2}"/>
    <cellStyle name="Normal 2 6 2 5 4" xfId="11149" xr:uid="{56BF3207-64C4-44E3-AFF4-0474BABB18FC}"/>
    <cellStyle name="Normal 2 6 2 5 4 2" xfId="21529" xr:uid="{80DEABAB-AAEF-44BF-954B-37CF1AB5F697}"/>
    <cellStyle name="Normal 2 6 2 5 5" xfId="24342" xr:uid="{E7546074-5B21-4067-9EB9-A2806E9B7A0C}"/>
    <cellStyle name="Normal 2 6 2 5 6" xfId="13784" xr:uid="{89D4FEE3-FC36-40D1-A84B-A3B2E206D0DA}"/>
    <cellStyle name="Normal 2 6 2 6" xfId="2532" xr:uid="{00000000-0005-0000-0000-0000C4040000}"/>
    <cellStyle name="Normal 2 6 2 6 2" xfId="5806" xr:uid="{10762A9A-7272-485A-943C-B474B929DFA1}"/>
    <cellStyle name="Normal 2 6 2 6 2 2" xfId="28331" xr:uid="{91C42B10-F180-458D-AFC1-107E53C0EC40}"/>
    <cellStyle name="Normal 2 6 2 6 2 3" xfId="15204" xr:uid="{C481E85C-B006-44B4-B153-234F7CD519A4}"/>
    <cellStyle name="Normal 2 6 2 6 3" xfId="7657" xr:uid="{802B6534-EC9E-4BAF-9ED1-E58A0B5A1B3C}"/>
    <cellStyle name="Normal 2 6 2 6 3 2" xfId="18037" xr:uid="{0C59ABBA-3D43-4EB6-8CC4-6FDE3F98A84D}"/>
    <cellStyle name="Normal 2 6 2 6 4" xfId="10490" xr:uid="{1FCE637C-45EC-4DB5-B22E-0EB0BA1F730F}"/>
    <cellStyle name="Normal 2 6 2 6 4 2" xfId="20870" xr:uid="{3DB16BC8-7567-4D71-BE88-6964F1429595}"/>
    <cellStyle name="Normal 2 6 2 6 5" xfId="23453" xr:uid="{3467CB81-E993-4155-9658-380959AE2084}"/>
    <cellStyle name="Normal 2 6 2 6 6" xfId="12920" xr:uid="{12AC7268-F7FD-4FC4-9DD5-F0A75605BD3E}"/>
    <cellStyle name="Normal 2 6 2 7" xfId="2226" xr:uid="{00000000-0005-0000-0000-0000BA040000}"/>
    <cellStyle name="Normal 2 6 2 7 2" xfId="7353" xr:uid="{D530F37D-DEF4-4170-A7A3-CB1060AA827D}"/>
    <cellStyle name="Normal 2 6 2 7 2 2" xfId="17733" xr:uid="{1AC286B0-EC57-4FEF-9592-7305F7F714D3}"/>
    <cellStyle name="Normal 2 6 2 7 3" xfId="10186" xr:uid="{917FF294-FA44-4D45-86B4-360CE91273CB}"/>
    <cellStyle name="Normal 2 6 2 7 3 2" xfId="20566" xr:uid="{80CC7CE1-1E69-417B-BC19-550A0933C939}"/>
    <cellStyle name="Normal 2 6 2 7 4" xfId="24404" xr:uid="{1502BF02-3285-4572-A39D-B74C8D53DD14}"/>
    <cellStyle name="Normal 2 6 2 7 5" xfId="14900" xr:uid="{1CA6A51E-82D5-4C77-BCEB-1851F5CDC9B4}"/>
    <cellStyle name="Normal 2 6 2 8" xfId="3792" xr:uid="{EA396F53-A8E3-4AAD-AEFE-BE244E793E8F}"/>
    <cellStyle name="Normal 2 6 2 8 2" xfId="8628" xr:uid="{ED8914F2-C102-4167-8F91-AA93ECEF9C27}"/>
    <cellStyle name="Normal 2 6 2 8 2 2" xfId="19008" xr:uid="{70494654-2281-49E4-99E3-8834C809E729}"/>
    <cellStyle name="Normal 2 6 2 8 3" xfId="11461" xr:uid="{56BA38B1-DC32-4B80-B62D-8B1022DA2726}"/>
    <cellStyle name="Normal 2 6 2 8 3 2" xfId="21841" xr:uid="{278BD44B-3A17-484E-ABAC-932535BD4874}"/>
    <cellStyle name="Normal 2 6 2 8 4" xfId="16175" xr:uid="{E09CC765-129B-4103-A5F1-3F1553452D84}"/>
    <cellStyle name="Normal 2 6 2 9" xfId="5174" xr:uid="{C8D33ABA-A6DE-4D30-A213-75A149B1FA83}"/>
    <cellStyle name="Normal 2 6 2 9 2" xfId="14471" xr:uid="{974A2E2F-85FD-42D4-9E21-8199EEBB5EB3}"/>
    <cellStyle name="Normal 2 6 3" xfId="824" xr:uid="{00000000-0005-0000-0000-0000E4040000}"/>
    <cellStyle name="Normal 2 6 3 10" xfId="9759" xr:uid="{A4D62B8B-D218-4840-B61C-71340FE99392}"/>
    <cellStyle name="Normal 2 6 3 10 2" xfId="20139" xr:uid="{FC4D10FB-3755-4F39-A082-152E804D35F2}"/>
    <cellStyle name="Normal 2 6 3 11" xfId="25001" xr:uid="{B09E0DFE-CB49-4293-9A76-68CE4C4AFD3E}"/>
    <cellStyle name="Normal 2 6 3 12" xfId="12575" xr:uid="{6DF2FDF8-BF05-4326-8CED-AF04FE39C9F4}"/>
    <cellStyle name="Normal 2 6 3 2" xfId="2751" xr:uid="{00000000-0005-0000-0000-0000C6040000}"/>
    <cellStyle name="Normal 2 6 3 2 2" xfId="3243" xr:uid="{00000000-0005-0000-0000-0000C7040000}"/>
    <cellStyle name="Normal 2 6 3 2 2 2" xfId="6301" xr:uid="{7304B549-7725-4E18-B383-08AC32602764}"/>
    <cellStyle name="Normal 2 6 3 2 2 2 2" xfId="28082" xr:uid="{92E698A4-443E-4E9F-912D-3316C8057977}"/>
    <cellStyle name="Normal 2 6 3 2 2 2 3" xfId="15870" xr:uid="{E2BEE138-2676-4D8C-9875-BCFE68E134F5}"/>
    <cellStyle name="Normal 2 6 3 2 2 3" xfId="8323" xr:uid="{E291EB98-CB64-4225-A299-2FBB6958D1D8}"/>
    <cellStyle name="Normal 2 6 3 2 2 3 2" xfId="18703" xr:uid="{767B6D43-7AD9-4B29-821F-6A35E2A9C3B4}"/>
    <cellStyle name="Normal 2 6 3 2 2 4" xfId="11156" xr:uid="{748016B8-AB50-4139-A5F0-56CB27A68A9F}"/>
    <cellStyle name="Normal 2 6 3 2 2 4 2" xfId="21536" xr:uid="{95D20107-076A-48EF-AB96-F7E20554289D}"/>
    <cellStyle name="Normal 2 6 3 2 2 5" xfId="23901" xr:uid="{0FBF2B24-DE81-4443-8299-141FA0D649DA}"/>
    <cellStyle name="Normal 2 6 3 2 2 6" xfId="13791" xr:uid="{F9D0B80D-AC75-439E-A28A-B9DE7A394B05}"/>
    <cellStyle name="Normal 2 6 3 2 3" xfId="4314" xr:uid="{FDB00B43-EDE2-439A-8599-5EB1BA9F4CE7}"/>
    <cellStyle name="Normal 2 6 3 2 3 2" xfId="9086" xr:uid="{16808E95-2586-46E7-BE40-B97AEE2CFFB2}"/>
    <cellStyle name="Normal 2 6 3 2 3 2 2" xfId="29129" xr:uid="{7F4B2F7D-F1C0-4A26-B6B2-BD2773891107}"/>
    <cellStyle name="Normal 2 6 3 2 3 2 3" xfId="19466" xr:uid="{8D3D01C1-5F5A-488C-9B61-70485AA27C9D}"/>
    <cellStyle name="Normal 2 6 3 2 3 3" xfId="11919" xr:uid="{3CB88BFF-7034-4492-AA0A-14017708B94E}"/>
    <cellStyle name="Normal 2 6 3 2 3 3 2" xfId="22299" xr:uid="{A14D9E91-F974-4C75-97D6-B6D0E1D8D640}"/>
    <cellStyle name="Normal 2 6 3 2 3 4" xfId="24337" xr:uid="{01B9F8C2-15BC-4CE9-BC27-617DA3FAF2A3}"/>
    <cellStyle name="Normal 2 6 3 2 3 5" xfId="16633" xr:uid="{566336C9-D4DB-4A32-91F6-86EAD6606C09}"/>
    <cellStyle name="Normal 2 6 3 2 4" xfId="5969" xr:uid="{B0225D42-3F43-429F-96D2-B3C4FFF017AF}"/>
    <cellStyle name="Normal 2 6 3 2 4 2" xfId="28155" xr:uid="{5C369DB8-5E78-41E0-9489-A73C67F62EB5}"/>
    <cellStyle name="Normal 2 6 3 2 4 3" xfId="15422" xr:uid="{6AC99C5E-64F7-4525-A5AB-A0680637904B}"/>
    <cellStyle name="Normal 2 6 3 2 5" xfId="7875" xr:uid="{187C8DAC-2EBE-40DA-A2BA-B16800DDFA06}"/>
    <cellStyle name="Normal 2 6 3 2 5 2" xfId="18255" xr:uid="{0AB7271F-C4AF-40EE-8F0E-C9A3C9E23C6A}"/>
    <cellStyle name="Normal 2 6 3 2 6" xfId="10708" xr:uid="{68C15709-F04C-47D1-B067-E8BE43F77BD4}"/>
    <cellStyle name="Normal 2 6 3 2 6 2" xfId="21088" xr:uid="{F447D534-E314-47F2-9E88-C461FD47A87B}"/>
    <cellStyle name="Normal 2 6 3 2 7" xfId="24629" xr:uid="{0EB4ABFD-ACE5-4ABD-B332-42F09D2BA598}"/>
    <cellStyle name="Normal 2 6 3 2 8" xfId="13194" xr:uid="{564E1D4A-1A87-4C0D-840E-13FA45AB478F}"/>
    <cellStyle name="Normal 2 6 3 3" xfId="3244" xr:uid="{00000000-0005-0000-0000-0000C8040000}"/>
    <cellStyle name="Normal 2 6 3 3 2" xfId="4492" xr:uid="{87207243-8C53-4DE5-B92B-7719F293434A}"/>
    <cellStyle name="Normal 2 6 3 3 2 2" xfId="9264" xr:uid="{C3B3E6F4-D12B-40A9-849B-D88600E4EA46}"/>
    <cellStyle name="Normal 2 6 3 3 2 2 2" xfId="29249" xr:uid="{B14741FC-784C-4ADB-98D1-04F07AD5543C}"/>
    <cellStyle name="Normal 2 6 3 3 2 2 3" xfId="19644" xr:uid="{B4928044-04CD-4CFA-B67F-F481551FE4B0}"/>
    <cellStyle name="Normal 2 6 3 3 2 3" xfId="12097" xr:uid="{5214C419-B95F-42D2-BB6F-9BE7C79034EF}"/>
    <cellStyle name="Normal 2 6 3 3 2 3 2" xfId="22477" xr:uid="{9EAB2E54-3029-4DFB-A3CA-3ED052C1C342}"/>
    <cellStyle name="Normal 2 6 3 3 2 4" xfId="22868" xr:uid="{CAD82A59-8985-4FFB-91FB-1C6232C10769}"/>
    <cellStyle name="Normal 2 6 3 3 2 5" xfId="16811" xr:uid="{B62F27E4-1ED2-4F69-B12F-EC7A9B613844}"/>
    <cellStyle name="Normal 2 6 3 3 3" xfId="6302" xr:uid="{A3DE6E02-6E83-4DF7-A1B7-959133430995}"/>
    <cellStyle name="Normal 2 6 3 3 3 2" xfId="26213" xr:uid="{EE394A47-E38F-4441-AE45-E5E0C939CDE8}"/>
    <cellStyle name="Normal 2 6 3 3 3 3" xfId="15871" xr:uid="{EFF3A563-4A4D-4BA2-B5BE-55B10045C84D}"/>
    <cellStyle name="Normal 2 6 3 3 4" xfId="8324" xr:uid="{10A2EFD6-4550-41B9-9D2C-0C6CA4889477}"/>
    <cellStyle name="Normal 2 6 3 3 4 2" xfId="18704" xr:uid="{3F5120F2-2B31-45F7-AB64-C295BD28981B}"/>
    <cellStyle name="Normal 2 6 3 3 5" xfId="11157" xr:uid="{BB8F6FE3-F7F8-415E-B8E6-30E494857739}"/>
    <cellStyle name="Normal 2 6 3 3 5 2" xfId="21537" xr:uid="{74ADF930-A0CD-47CC-9983-8F504FF6F67F}"/>
    <cellStyle name="Normal 2 6 3 3 6" xfId="24480" xr:uid="{38F64182-7581-4BB8-91EB-F95C8B7C6FD9}"/>
    <cellStyle name="Normal 2 6 3 3 7" xfId="13792" xr:uid="{B07449D2-9759-4D4B-84D2-842A75D20F86}"/>
    <cellStyle name="Normal 2 6 3 4" xfId="3242" xr:uid="{00000000-0005-0000-0000-0000C9040000}"/>
    <cellStyle name="Normal 2 6 3 4 2" xfId="6300" xr:uid="{76E59889-A8B4-4D0D-A5C6-DA7E60392EA5}"/>
    <cellStyle name="Normal 2 6 3 4 2 2" xfId="26031" xr:uid="{D7ED80EF-2C71-4AFF-BD14-B827B1696D1D}"/>
    <cellStyle name="Normal 2 6 3 4 2 3" xfId="15869" xr:uid="{D1417E44-7FC8-4EED-B6AB-389147BE2DAC}"/>
    <cellStyle name="Normal 2 6 3 4 3" xfId="8322" xr:uid="{E57003F0-69DC-4BDB-87A5-D5970FC7987A}"/>
    <cellStyle name="Normal 2 6 3 4 3 2" xfId="18702" xr:uid="{5BE996CC-BDE8-4271-939A-B58DE1544666}"/>
    <cellStyle name="Normal 2 6 3 4 4" xfId="11155" xr:uid="{BDB2A5CA-124E-4DB8-8FB4-2F10C553E449}"/>
    <cellStyle name="Normal 2 6 3 4 4 2" xfId="21535" xr:uid="{80215D5B-DD7D-485F-939B-771F38FEBCDD}"/>
    <cellStyle name="Normal 2 6 3 4 5" xfId="25546" xr:uid="{4B134884-26C9-4669-87A5-D352E80BAD43}"/>
    <cellStyle name="Normal 2 6 3 4 6" xfId="13790" xr:uid="{B05C497A-8A05-41D1-96AA-F3A7AB582F5C}"/>
    <cellStyle name="Normal 2 6 3 5" xfId="2575" xr:uid="{00000000-0005-0000-0000-0000CA040000}"/>
    <cellStyle name="Normal 2 6 3 5 2" xfId="5840" xr:uid="{DF0E3358-E753-47A6-BED4-29A4340CC710}"/>
    <cellStyle name="Normal 2 6 3 5 2 2" xfId="26226" xr:uid="{8CBC7597-9E25-4985-AB21-CABF7A1CC924}"/>
    <cellStyle name="Normal 2 6 3 5 2 3" xfId="15247" xr:uid="{F9F030D3-C608-4F08-9C1C-0B51A7D277A5}"/>
    <cellStyle name="Normal 2 6 3 5 3" xfId="7700" xr:uid="{C45C4104-5723-49BB-8658-8B71663BE1F3}"/>
    <cellStyle name="Normal 2 6 3 5 3 2" xfId="18080" xr:uid="{4805201E-4483-45A6-80B7-2FACFD456AAC}"/>
    <cellStyle name="Normal 2 6 3 5 4" xfId="10533" xr:uid="{F588443A-6DD1-4DCF-9335-0C05F6C0E82B}"/>
    <cellStyle name="Normal 2 6 3 5 4 2" xfId="20913" xr:uid="{44532367-E5EB-47CF-A810-C3244C6410ED}"/>
    <cellStyle name="Normal 2 6 3 5 5" xfId="23805" xr:uid="{B831D932-89A5-497D-97E7-E8EFC916E333}"/>
    <cellStyle name="Normal 2 6 3 5 6" xfId="12963" xr:uid="{74DE7D1D-E440-4BEA-806A-E5800002F8B0}"/>
    <cellStyle name="Normal 2 6 3 6" xfId="2341" xr:uid="{00000000-0005-0000-0000-0000C5040000}"/>
    <cellStyle name="Normal 2 6 3 6 2" xfId="7468" xr:uid="{3A60FAA7-236C-4287-AADF-56E2DF722CB0}"/>
    <cellStyle name="Normal 2 6 3 6 2 2" xfId="17848" xr:uid="{791B2BBF-96B1-477D-BD65-FE70725DA7C6}"/>
    <cellStyle name="Normal 2 6 3 6 3" xfId="10301" xr:uid="{A010738C-6954-46F7-B0D6-5D8E10447902}"/>
    <cellStyle name="Normal 2 6 3 6 3 2" xfId="20681" xr:uid="{5CFF61F0-0CCD-4BE0-BA9F-5E49FCC5A30F}"/>
    <cellStyle name="Normal 2 6 3 6 4" xfId="24779" xr:uid="{5866C81F-BCDD-41B4-8389-503ADA704CF2}"/>
    <cellStyle name="Normal 2 6 3 6 5" xfId="15015" xr:uid="{B537DB6D-4B8B-4F24-A17E-59B8AA53E2D2}"/>
    <cellStyle name="Normal 2 6 3 7" xfId="3852" xr:uid="{2F0129F9-6EAF-4AAF-9CE7-DA34D158108D}"/>
    <cellStyle name="Normal 2 6 3 7 2" xfId="8685" xr:uid="{C55A7311-DEFF-40BB-AD48-3EC8C83781BC}"/>
    <cellStyle name="Normal 2 6 3 7 2 2" xfId="19065" xr:uid="{6D1693A2-58F9-4467-9713-1AAD0D03E2A2}"/>
    <cellStyle name="Normal 2 6 3 7 3" xfId="11518" xr:uid="{243DA632-E680-4E69-8C95-E06E0EAF6D1D}"/>
    <cellStyle name="Normal 2 6 3 7 3 2" xfId="21898" xr:uid="{864F57A7-5DC2-4353-9E34-85C3714B0248}"/>
    <cellStyle name="Normal 2 6 3 7 4" xfId="16232" xr:uid="{7A31CD01-4889-4F8B-B42B-1EC4E2C4D6B1}"/>
    <cellStyle name="Normal 2 6 3 8" xfId="5176" xr:uid="{8AE79431-F88A-4C41-B95B-4BA664C147B4}"/>
    <cellStyle name="Normal 2 6 3 8 2" xfId="14473" xr:uid="{40FFDD92-F8D1-4A22-A3DF-4E5C0A8744A6}"/>
    <cellStyle name="Normal 2 6 3 9" xfId="6926" xr:uid="{20101572-6AD5-4DB0-B4EC-D86429EB91A3}"/>
    <cellStyle name="Normal 2 6 3 9 2" xfId="17306" xr:uid="{83D1B01E-C56A-4CBA-A0AC-28D7157D2623}"/>
    <cellStyle name="Normal 2 6 4" xfId="825" xr:uid="{00000000-0005-0000-0000-0000E5040000}"/>
    <cellStyle name="Normal 2 6 4 2" xfId="3245" xr:uid="{00000000-0005-0000-0000-0000CC040000}"/>
    <cellStyle name="Normal 2 6 4 2 2" xfId="6303" xr:uid="{26AA86EE-97E0-48FA-85E2-64D1D01642DB}"/>
    <cellStyle name="Normal 2 6 4 2 2 2" xfId="27738" xr:uid="{62530CFF-EAD0-4DCC-8A0F-51132B070C03}"/>
    <cellStyle name="Normal 2 6 4 2 2 3" xfId="15872" xr:uid="{38DC05D0-1BDA-437F-9A6F-0B1EB9623D15}"/>
    <cellStyle name="Normal 2 6 4 2 3" xfId="8325" xr:uid="{66BF30D8-781F-4445-9403-8B1239B99C01}"/>
    <cellStyle name="Normal 2 6 4 2 3 2" xfId="18705" xr:uid="{696D15CB-68D5-4E6B-AC4E-F2E170C0BE1A}"/>
    <cellStyle name="Normal 2 6 4 2 4" xfId="11158" xr:uid="{9AADA220-B9CE-4749-AE31-CBC01B68FA08}"/>
    <cellStyle name="Normal 2 6 4 2 4 2" xfId="21538" xr:uid="{544947B8-8889-427F-98F8-7DB4E71898AA}"/>
    <cellStyle name="Normal 2 6 4 2 5" xfId="23672" xr:uid="{40D936BC-B2FB-444D-BA06-05C16CD95B47}"/>
    <cellStyle name="Normal 2 6 4 2 6" xfId="13793" xr:uid="{CD9279EA-FE4F-45C0-B021-898B07933199}"/>
    <cellStyle name="Normal 2 6 4 3" xfId="2748" xr:uid="{00000000-0005-0000-0000-0000CD040000}"/>
    <cellStyle name="Normal 2 6 4 3 2" xfId="5966" xr:uid="{3AC6F347-C68D-4FB4-8BD8-2118D9E8EF4B}"/>
    <cellStyle name="Normal 2 6 4 3 2 2" xfId="26001" xr:uid="{6407EC0A-CA09-4F54-A5DC-8C2C028A5521}"/>
    <cellStyle name="Normal 2 6 4 3 2 3" xfId="15419" xr:uid="{C193E26C-D856-4793-947D-EF2429FBC763}"/>
    <cellStyle name="Normal 2 6 4 3 3" xfId="7872" xr:uid="{1E3CF3CE-B1BC-4F2D-A7C8-61E4A10A365D}"/>
    <cellStyle name="Normal 2 6 4 3 3 2" xfId="18252" xr:uid="{8BD55EF0-2C46-4F9F-BF52-2E5AC363DFD0}"/>
    <cellStyle name="Normal 2 6 4 3 4" xfId="10705" xr:uid="{DF3A9D90-F1F1-4774-A6A8-BFA0FB02DDAB}"/>
    <cellStyle name="Normal 2 6 4 3 4 2" xfId="21085" xr:uid="{AECC2B9B-F637-458C-95D4-B8705547F79B}"/>
    <cellStyle name="Normal 2 6 4 3 5" xfId="25086" xr:uid="{F7D65038-43B7-4600-B665-FE61C3DC1D05}"/>
    <cellStyle name="Normal 2 6 4 3 6" xfId="13191" xr:uid="{9FF62838-0196-4BF7-8043-8AD349460ECA}"/>
    <cellStyle name="Normal 2 6 4 4" xfId="4173" xr:uid="{FAAE8149-8145-432C-B91A-EC872542167A}"/>
    <cellStyle name="Normal 2 6 4 4 2" xfId="8945" xr:uid="{A898C8CD-3D30-4C1C-ABD9-8656076B5A81}"/>
    <cellStyle name="Normal 2 6 4 4 2 2" xfId="19325" xr:uid="{1A9ED637-57DF-4EC7-8488-4C7592B288CF}"/>
    <cellStyle name="Normal 2 6 4 4 3" xfId="11778" xr:uid="{3183CE16-5648-42F3-904D-5A8528B42A9C}"/>
    <cellStyle name="Normal 2 6 4 4 3 2" xfId="22158" xr:uid="{D292C677-4EC5-461E-B23B-11316430DFAC}"/>
    <cellStyle name="Normal 2 6 4 4 4" xfId="24115" xr:uid="{4B28783D-BCF0-40D5-BA39-A0BD1889A410}"/>
    <cellStyle name="Normal 2 6 4 4 5" xfId="16492" xr:uid="{FCD70FC5-0B68-4997-9C12-BBFBD166F7A2}"/>
    <cellStyle name="Normal 2 6 4 5" xfId="5177" xr:uid="{7A080356-2637-46E2-A77E-82C5ACAE8493}"/>
    <cellStyle name="Normal 2 6 4 5 2" xfId="14474" xr:uid="{87F5C9D8-9A57-40FE-BC24-29C7BD440DC2}"/>
    <cellStyle name="Normal 2 6 4 6" xfId="6927" xr:uid="{1EB19ED3-15F7-414F-9F66-975C06046ACB}"/>
    <cellStyle name="Normal 2 6 4 6 2" xfId="17307" xr:uid="{E908B670-6EEE-4B27-A219-E53B7B9A3CCF}"/>
    <cellStyle name="Normal 2 6 4 7" xfId="9760" xr:uid="{BBF121FB-D7DF-4229-888D-58897BA66988}"/>
    <cellStyle name="Normal 2 6 4 7 2" xfId="20140" xr:uid="{A447422D-86A8-4D49-B623-57D91E1AC329}"/>
    <cellStyle name="Normal 2 6 4 8" xfId="23439" xr:uid="{2467AEF3-5330-47FD-87A4-229510FDA7FD}"/>
    <cellStyle name="Normal 2 6 4 9" xfId="12733" xr:uid="{4D9A41E0-523B-4A63-AEF3-98D8B656F6EC}"/>
    <cellStyle name="Normal 2 6 5" xfId="3246" xr:uid="{00000000-0005-0000-0000-0000CE040000}"/>
    <cellStyle name="Normal 2 6 5 2" xfId="4493" xr:uid="{A3DD9300-DFB9-4CFD-9A54-92274E601C4B}"/>
    <cellStyle name="Normal 2 6 5 2 2" xfId="9265" xr:uid="{DD784A69-7E3E-4F1A-AC82-8F6F1BD52311}"/>
    <cellStyle name="Normal 2 6 5 2 2 2" xfId="29250" xr:uid="{0D00306C-6116-4176-B54A-03C0D3AA4551}"/>
    <cellStyle name="Normal 2 6 5 2 2 3" xfId="19645" xr:uid="{F2CB09A6-383C-48D6-8D03-D7E890852381}"/>
    <cellStyle name="Normal 2 6 5 2 3" xfId="12098" xr:uid="{6A87C19B-A104-452B-9739-483A28C9AE79}"/>
    <cellStyle name="Normal 2 6 5 2 3 2" xfId="22478" xr:uid="{35392DE0-6C17-4AAF-B1BA-5476F364C1F7}"/>
    <cellStyle name="Normal 2 6 5 2 4" xfId="22645" xr:uid="{1DAD417C-CEC3-4A47-A424-5DFB07AF424F}"/>
    <cellStyle name="Normal 2 6 5 2 5" xfId="16812" xr:uid="{CDCBDCFE-1C6A-46F9-8B05-D7FB38E609D1}"/>
    <cellStyle name="Normal 2 6 5 3" xfId="6304" xr:uid="{D9E241B8-02A4-427F-8AE0-EEAB32CD3011}"/>
    <cellStyle name="Normal 2 6 5 3 2" xfId="28143" xr:uid="{5AE0B9C7-05E0-42CD-9E29-BCFC29DBD4C5}"/>
    <cellStyle name="Normal 2 6 5 3 3" xfId="15873" xr:uid="{F4E50B5F-0237-4929-B47F-EF36A19EE155}"/>
    <cellStyle name="Normal 2 6 5 4" xfId="8326" xr:uid="{EFFF14CB-F067-4F81-B899-6C534B5B4390}"/>
    <cellStyle name="Normal 2 6 5 4 2" xfId="18706" xr:uid="{13BEAD3E-CAD8-4E9A-8C8D-73BA059008A1}"/>
    <cellStyle name="Normal 2 6 5 5" xfId="11159" xr:uid="{8260038C-40B8-4B48-B86B-150E1BB7C91B}"/>
    <cellStyle name="Normal 2 6 5 5 2" xfId="21539" xr:uid="{5E4EEA9D-1019-4434-BE7E-77F65C173361}"/>
    <cellStyle name="Normal 2 6 5 6" xfId="25304" xr:uid="{C39A1771-4B7B-4FA5-A546-E3F549907874}"/>
    <cellStyle name="Normal 2 6 5 7" xfId="13794" xr:uid="{62094DEE-5D6A-4587-B5C3-6B51F53AC0CC}"/>
    <cellStyle name="Normal 2 6 6" xfId="2914" xr:uid="{00000000-0005-0000-0000-0000CF040000}"/>
    <cellStyle name="Normal 2 6 6 2" xfId="6100" xr:uid="{3F07CF2B-E2C3-4A94-86F5-C526D5A30387}"/>
    <cellStyle name="Normal 2 6 6 2 2" xfId="25846" xr:uid="{89030345-8F55-454A-84BA-BF49A031CD02}"/>
    <cellStyle name="Normal 2 6 6 2 3" xfId="15578" xr:uid="{ACA6E232-F876-4D2C-B3F8-1D3F6BDA8948}"/>
    <cellStyle name="Normal 2 6 6 3" xfId="8031" xr:uid="{42120A84-98C8-41ED-A11F-EB419CC9F1E1}"/>
    <cellStyle name="Normal 2 6 6 3 2" xfId="18411" xr:uid="{F02AD8A5-2195-4EF0-9E9F-3259ECBE80B4}"/>
    <cellStyle name="Normal 2 6 6 4" xfId="10864" xr:uid="{67350C24-62FC-42C2-9B15-1073360F93E2}"/>
    <cellStyle name="Normal 2 6 6 4 2" xfId="21244" xr:uid="{7586ABD7-1A9A-4747-83A4-C02958ED7CA3}"/>
    <cellStyle name="Normal 2 6 6 5" xfId="22688" xr:uid="{50EB29A5-FE3E-4EE9-8F15-737CE4DD97F0}"/>
    <cellStyle name="Normal 2 6 6 6" xfId="13431" xr:uid="{FB8F4C21-A5D5-4C65-A7E8-2622D69B734E}"/>
    <cellStyle name="Normal 2 6 7" xfId="2472" xr:uid="{00000000-0005-0000-0000-0000D0040000}"/>
    <cellStyle name="Normal 2 6 7 2" xfId="5760" xr:uid="{D2868D63-22F0-4956-A066-B914852ABDEE}"/>
    <cellStyle name="Normal 2 6 7 2 2" xfId="26263" xr:uid="{70223284-C886-43CC-B95C-40E37BC2C671}"/>
    <cellStyle name="Normal 2 6 7 2 3" xfId="15144" xr:uid="{34CDAF7D-28FF-4D89-9CFB-E0BDDA502805}"/>
    <cellStyle name="Normal 2 6 7 3" xfId="7597" xr:uid="{5893C7BC-E3C2-4EF6-8D7B-A10380A32821}"/>
    <cellStyle name="Normal 2 6 7 3 2" xfId="17977" xr:uid="{3F055587-DB80-4D3B-9368-A460981ED099}"/>
    <cellStyle name="Normal 2 6 7 4" xfId="10430" xr:uid="{B6AAA150-C551-43E3-8964-7E03F1AE4B5A}"/>
    <cellStyle name="Normal 2 6 7 4 2" xfId="20810" xr:uid="{E0EF6062-5071-41CB-889C-987F9B3E8377}"/>
    <cellStyle name="Normal 2 6 7 5" xfId="24538" xr:uid="{ABF28A36-FD7D-46E5-B605-AA7A948D3FC4}"/>
    <cellStyle name="Normal 2 6 7 6" xfId="12860" xr:uid="{A6F2CC7B-F5FD-4ACD-BBD6-115C96CC06F1}"/>
    <cellStyle name="Normal 2 6 8" xfId="2166" xr:uid="{00000000-0005-0000-0000-0000B9040000}"/>
    <cellStyle name="Normal 2 6 8 2" xfId="7293" xr:uid="{0EB573FA-EEF6-439E-A56B-BDBDAE879304}"/>
    <cellStyle name="Normal 2 6 8 2 2" xfId="17673" xr:uid="{4DC08CDF-9F03-44B1-AFD4-F6F5E2B029B7}"/>
    <cellStyle name="Normal 2 6 8 3" xfId="10126" xr:uid="{F5839759-13CE-4805-BB77-B640C64967FE}"/>
    <cellStyle name="Normal 2 6 8 3 2" xfId="20506" xr:uid="{578F8F1F-D0D9-4E82-AEDC-2E3008B84CE1}"/>
    <cellStyle name="Normal 2 6 8 4" xfId="22947" xr:uid="{3E25F616-C5F5-426E-A79E-6C9D09D93F12}"/>
    <cellStyle name="Normal 2 6 8 5" xfId="14840" xr:uid="{6735C330-4283-4D90-AC95-85E796A9B56E}"/>
    <cellStyle name="Normal 2 6 9" xfId="3951" xr:uid="{768BD1A0-E9FC-4057-8CB2-EEB941EB5E31}"/>
    <cellStyle name="Normal 2 6 9 2" xfId="8783" xr:uid="{E40725E7-E25B-4B86-978A-F410327532ED}"/>
    <cellStyle name="Normal 2 6 9 2 2" xfId="19163" xr:uid="{AABAA0C8-6D30-44E6-AFFD-FD33B4ACC440}"/>
    <cellStyle name="Normal 2 6 9 3" xfId="11616" xr:uid="{6C6BEF3B-A7BE-4192-8AFB-AC48CF963000}"/>
    <cellStyle name="Normal 2 6 9 3 2" xfId="21996" xr:uid="{BE8C2767-4BA7-4EEE-903C-B8C4D963EC10}"/>
    <cellStyle name="Normal 2 6 9 4" xfId="16330" xr:uid="{0B82CE58-B896-42FB-B2C2-EBDE2E302BD6}"/>
    <cellStyle name="Normal 2 7" xfId="826" xr:uid="{00000000-0005-0000-0000-0000E6040000}"/>
    <cellStyle name="Normal 2 7 10" xfId="5178" xr:uid="{9CD5321E-0D32-4E21-8C53-766D143E0BA3}"/>
    <cellStyle name="Normal 2 7 10 2" xfId="14475" xr:uid="{599DCDD7-1C0F-49D3-AEAE-1B75E1AE40C9}"/>
    <cellStyle name="Normal 2 7 11" xfId="6928" xr:uid="{80BB76AE-DDE6-4543-A159-C3E3623D1485}"/>
    <cellStyle name="Normal 2 7 11 2" xfId="17308" xr:uid="{AE83A673-8891-44DF-A0F1-AEE7ECD49F20}"/>
    <cellStyle name="Normal 2 7 12" xfId="9761" xr:uid="{6278D750-9C21-4CA5-B2B3-E9BDB0803732}"/>
    <cellStyle name="Normal 2 7 12 2" xfId="20141" xr:uid="{CE1E7404-7B0B-4E6D-92D2-BFBF115EE3DB}"/>
    <cellStyle name="Normal 2 7 13" xfId="25465" xr:uid="{DF6CD18B-2F2D-4207-8C69-DD24C3320652}"/>
    <cellStyle name="Normal 2 7 14" xfId="12413" xr:uid="{BD85830B-CE9E-45F5-AE23-751D67618F47}"/>
    <cellStyle name="Normal 2 7 15" xfId="29570" xr:uid="{F2A4C11B-61FF-44DA-8BB6-067397F32AA5}"/>
    <cellStyle name="Normal 2 7 2" xfId="827" xr:uid="{00000000-0005-0000-0000-0000E7040000}"/>
    <cellStyle name="Normal 2 7 2 10" xfId="6929" xr:uid="{4B2C54F7-1C4B-49F1-AF42-2B99EB4FF8AB}"/>
    <cellStyle name="Normal 2 7 2 10 2" xfId="17309" xr:uid="{E7C730BD-8187-4087-84C7-9A21F8D763A7}"/>
    <cellStyle name="Normal 2 7 2 11" xfId="9762" xr:uid="{30B3C8EE-236F-4D31-A8E1-C6229247C9D4}"/>
    <cellStyle name="Normal 2 7 2 11 2" xfId="20142" xr:uid="{8D265F91-367B-4C32-A21A-6320554103E3}"/>
    <cellStyle name="Normal 2 7 2 12" xfId="22858" xr:uid="{92EF549A-DD3C-46B0-BED7-0C9A1986C83C}"/>
    <cellStyle name="Normal 2 7 2 13" xfId="12473" xr:uid="{6962162F-A72E-489A-AFA8-D860B3AC8C11}"/>
    <cellStyle name="Normal 2 7 2 2" xfId="828" xr:uid="{00000000-0005-0000-0000-0000E8040000}"/>
    <cellStyle name="Normal 2 7 2 2 10" xfId="13038" xr:uid="{0AA01A78-69EF-4114-B2BB-B3045BE91DCA}"/>
    <cellStyle name="Normal 2 7 2 2 2" xfId="2754" xr:uid="{00000000-0005-0000-0000-0000D4040000}"/>
    <cellStyle name="Normal 2 7 2 2 2 2" xfId="3249" xr:uid="{00000000-0005-0000-0000-0000D5040000}"/>
    <cellStyle name="Normal 2 7 2 2 2 2 2" xfId="6307" xr:uid="{3F37FFE1-9605-425C-A216-C5C3766D8891}"/>
    <cellStyle name="Normal 2 7 2 2 2 2 2 2" xfId="27929" xr:uid="{71267D9A-AAD4-4888-BB0F-A6752B1171B8}"/>
    <cellStyle name="Normal 2 7 2 2 2 2 2 3" xfId="15876" xr:uid="{78DF3D38-9F73-439E-A287-89CE869E1EE0}"/>
    <cellStyle name="Normal 2 7 2 2 2 2 3" xfId="8329" xr:uid="{041AEE86-5E87-4121-BE6D-95B8ED5DBD23}"/>
    <cellStyle name="Normal 2 7 2 2 2 2 3 2" xfId="18709" xr:uid="{4FBD9496-DACD-4EED-A203-DAA1B518EB17}"/>
    <cellStyle name="Normal 2 7 2 2 2 2 4" xfId="11162" xr:uid="{D9DB168F-7EE2-4C16-A285-F74B1B4773A6}"/>
    <cellStyle name="Normal 2 7 2 2 2 2 4 2" xfId="21542" xr:uid="{B5176D5B-292B-41E6-931B-ABF05B42C01C}"/>
    <cellStyle name="Normal 2 7 2 2 2 2 5" xfId="23026" xr:uid="{3537CE86-360E-4CCD-8DF9-151C226AFF84}"/>
    <cellStyle name="Normal 2 7 2 2 2 2 6" xfId="13797" xr:uid="{C57A5B3F-A737-4DF9-8FE1-263A28DC07EB}"/>
    <cellStyle name="Normal 2 7 2 2 2 3" xfId="4316" xr:uid="{FFC00805-99EC-4945-BAD6-33C2B8920012}"/>
    <cellStyle name="Normal 2 7 2 2 2 3 2" xfId="9088" xr:uid="{2FF21747-EFA1-424C-8717-55E3A30DD691}"/>
    <cellStyle name="Normal 2 7 2 2 2 3 2 2" xfId="29131" xr:uid="{C3EF06AF-415D-4422-AF34-D98D777D4C72}"/>
    <cellStyle name="Normal 2 7 2 2 2 3 2 3" xfId="19468" xr:uid="{7C746684-E314-4401-AC36-5BD913A672F2}"/>
    <cellStyle name="Normal 2 7 2 2 2 3 3" xfId="11921" xr:uid="{BEA25E24-2834-4578-8A5A-5CCC0A8E9A15}"/>
    <cellStyle name="Normal 2 7 2 2 2 3 3 2" xfId="22301" xr:uid="{421306C6-8FF7-4983-9458-E7E6600E8567}"/>
    <cellStyle name="Normal 2 7 2 2 2 3 4" xfId="23093" xr:uid="{EA2CFD82-7F75-467D-A582-25A18A0DA923}"/>
    <cellStyle name="Normal 2 7 2 2 2 3 5" xfId="16635" xr:uid="{B3808F8F-BD78-4371-BDCC-E034C7C8F9E3}"/>
    <cellStyle name="Normal 2 7 2 2 2 4" xfId="5972" xr:uid="{FB91A383-B100-4FF6-986D-91A9D5125407}"/>
    <cellStyle name="Normal 2 7 2 2 2 4 2" xfId="28520" xr:uid="{F53A6796-1339-411E-9581-FBD442974032}"/>
    <cellStyle name="Normal 2 7 2 2 2 4 3" xfId="15425" xr:uid="{6136F13A-FDEC-48F1-B23C-C2ABD1E7BA13}"/>
    <cellStyle name="Normal 2 7 2 2 2 5" xfId="7878" xr:uid="{80A07288-7984-4F94-9DF1-0D50A1274AD2}"/>
    <cellStyle name="Normal 2 7 2 2 2 5 2" xfId="18258" xr:uid="{47E2FEC9-8946-4F38-8291-63337E373D72}"/>
    <cellStyle name="Normal 2 7 2 2 2 6" xfId="10711" xr:uid="{193B0A73-1D11-422A-941F-0024136F0454}"/>
    <cellStyle name="Normal 2 7 2 2 2 6 2" xfId="21091" xr:uid="{9EEF06D9-0239-4678-AAAE-3FE145793384}"/>
    <cellStyle name="Normal 2 7 2 2 2 7" xfId="23588" xr:uid="{85AD88BB-6EEB-4A4F-906C-9069C5A0D512}"/>
    <cellStyle name="Normal 2 7 2 2 2 8" xfId="13197" xr:uid="{05AAC9C7-D092-4CBE-9B97-DCB68CB9F745}"/>
    <cellStyle name="Normal 2 7 2 2 3" xfId="3250" xr:uid="{00000000-0005-0000-0000-0000D6040000}"/>
    <cellStyle name="Normal 2 7 2 2 3 2" xfId="4494" xr:uid="{7BD627DC-9A61-453D-ACA5-190C16C8BA58}"/>
    <cellStyle name="Normal 2 7 2 2 3 2 2" xfId="9266" xr:uid="{337D26E3-2CFF-44DF-8059-821F7436A063}"/>
    <cellStyle name="Normal 2 7 2 2 3 2 2 2" xfId="19646" xr:uid="{A8BF7C60-23AA-4BAD-856E-100679624A23}"/>
    <cellStyle name="Normal 2 7 2 2 3 2 3" xfId="12099" xr:uid="{45F0224D-3863-4BC9-B20B-7DA4569172ED}"/>
    <cellStyle name="Normal 2 7 2 2 3 2 3 2" xfId="22479" xr:uid="{9D8DCE35-9750-4647-8802-B78CB69B4E1A}"/>
    <cellStyle name="Normal 2 7 2 2 3 2 4" xfId="26917" xr:uid="{0E00F23F-E8BD-40B8-A638-5598DB5B40CE}"/>
    <cellStyle name="Normal 2 7 2 2 3 2 5" xfId="16813" xr:uid="{AEDEBC93-6A37-4253-BD9E-035FB4B64FFC}"/>
    <cellStyle name="Normal 2 7 2 2 3 3" xfId="6308" xr:uid="{1B540ABE-382E-4EC7-BA5C-B9B9D969EABB}"/>
    <cellStyle name="Normal 2 7 2 2 3 3 2" xfId="15877" xr:uid="{56368EE5-3F6A-4213-83FF-06A2867DD031}"/>
    <cellStyle name="Normal 2 7 2 2 3 4" xfId="8330" xr:uid="{FABF5BA2-20C0-4727-BF91-3E08B5C6729F}"/>
    <cellStyle name="Normal 2 7 2 2 3 4 2" xfId="18710" xr:uid="{34211832-17F7-48EC-9752-871DB117CE2D}"/>
    <cellStyle name="Normal 2 7 2 2 3 5" xfId="11163" xr:uid="{EB7CAB05-576E-4098-AF42-5091183ECBA8}"/>
    <cellStyle name="Normal 2 7 2 2 3 5 2" xfId="21543" xr:uid="{EEB8D7AF-A6F3-4E05-B5E4-4D7673A558B2}"/>
    <cellStyle name="Normal 2 7 2 2 3 6" xfId="25415" xr:uid="{F687B384-AE79-4E40-ACF7-96DD38E01573}"/>
    <cellStyle name="Normal 2 7 2 2 3 7" xfId="13798" xr:uid="{B8205858-621C-4A89-A6D0-6CD4FF70F5F2}"/>
    <cellStyle name="Normal 2 7 2 2 4" xfId="3248" xr:uid="{00000000-0005-0000-0000-0000D7040000}"/>
    <cellStyle name="Normal 2 7 2 2 4 2" xfId="6306" xr:uid="{F44F7A92-EB00-4577-AB9B-6F205BD23F40}"/>
    <cellStyle name="Normal 2 7 2 2 4 2 2" xfId="27918" xr:uid="{1DBC5BAF-9CEC-491A-B6F4-2B1B977C86E3}"/>
    <cellStyle name="Normal 2 7 2 2 4 2 3" xfId="15875" xr:uid="{2A5D3804-4633-46A2-805D-B7A2DB7B2E49}"/>
    <cellStyle name="Normal 2 7 2 2 4 3" xfId="8328" xr:uid="{54307EDA-67F1-427A-BB24-0EB4451AAEB4}"/>
    <cellStyle name="Normal 2 7 2 2 4 3 2" xfId="18708" xr:uid="{22B3AAA6-B0CB-4404-BE3B-6A68FA312A1E}"/>
    <cellStyle name="Normal 2 7 2 2 4 4" xfId="11161" xr:uid="{08ACD65D-F031-45DD-B78B-E46A9FAC5C6B}"/>
    <cellStyle name="Normal 2 7 2 2 4 4 2" xfId="21541" xr:uid="{E0164970-C186-4A02-A515-0B39605712D6}"/>
    <cellStyle name="Normal 2 7 2 2 4 5" xfId="24486" xr:uid="{FA6B8D25-7A74-4642-B974-C9AD3830C5D9}"/>
    <cellStyle name="Normal 2 7 2 2 4 6" xfId="13796" xr:uid="{D5B324C0-74E6-4D36-9245-B0A521637CD9}"/>
    <cellStyle name="Normal 2 7 2 2 5" xfId="4239" xr:uid="{95A930D3-0D9E-422E-8A05-F1CFFCAE1F41}"/>
    <cellStyle name="Normal 2 7 2 2 5 2" xfId="9011" xr:uid="{12507572-78BE-42B2-88EE-70516A173534}"/>
    <cellStyle name="Normal 2 7 2 2 5 2 2" xfId="29082" xr:uid="{34B9C282-239A-45F8-9330-F0CA98B202F8}"/>
    <cellStyle name="Normal 2 7 2 2 5 2 3" xfId="19391" xr:uid="{FC5FD584-7541-40A6-B047-72B200AA1381}"/>
    <cellStyle name="Normal 2 7 2 2 5 3" xfId="11844" xr:uid="{444A3CEB-84C5-4874-AB48-B6FDAADF5002}"/>
    <cellStyle name="Normal 2 7 2 2 5 3 2" xfId="22224" xr:uid="{D21C198F-4140-4E5F-89CB-3C60825A4E6B}"/>
    <cellStyle name="Normal 2 7 2 2 5 4" xfId="25377" xr:uid="{BA4ED903-B1AF-4D72-8482-B72971F1F96F}"/>
    <cellStyle name="Normal 2 7 2 2 5 5" xfId="16558" xr:uid="{1096B93B-F377-462B-910C-13E14BDBDE1B}"/>
    <cellStyle name="Normal 2 7 2 2 6" xfId="5180" xr:uid="{F43B598E-1922-42AA-B411-7F29ECE41F77}"/>
    <cellStyle name="Normal 2 7 2 2 6 2" xfId="25961" xr:uid="{4374242D-03D9-45EE-A426-050C499E5392}"/>
    <cellStyle name="Normal 2 7 2 2 6 3" xfId="14477" xr:uid="{E61BB159-C497-4CE4-9208-B4A7D076527F}"/>
    <cellStyle name="Normal 2 7 2 2 7" xfId="6930" xr:uid="{C5FC017B-1281-49EE-A7FE-AD0A58A8ADC7}"/>
    <cellStyle name="Normal 2 7 2 2 7 2" xfId="17310" xr:uid="{88D02D7B-FE1C-4365-A58C-6768F4BF4007}"/>
    <cellStyle name="Normal 2 7 2 2 8" xfId="9763" xr:uid="{B11F3A08-AE12-46CF-8956-93A3125E2059}"/>
    <cellStyle name="Normal 2 7 2 2 8 2" xfId="20143" xr:uid="{BECCE343-5413-41D5-832D-CC080D7D00BE}"/>
    <cellStyle name="Normal 2 7 2 2 9" xfId="24632" xr:uid="{F4A5E673-8448-497C-B47D-E193868297B6}"/>
    <cellStyle name="Normal 2 7 2 3" xfId="2753" xr:uid="{00000000-0005-0000-0000-0000D8040000}"/>
    <cellStyle name="Normal 2 7 2 3 2" xfId="3251" xr:uid="{00000000-0005-0000-0000-0000D9040000}"/>
    <cellStyle name="Normal 2 7 2 3 2 2" xfId="6309" xr:uid="{D7846180-0CE6-4D52-B0E8-C521F952BF80}"/>
    <cellStyle name="Normal 2 7 2 3 2 2 2" xfId="27136" xr:uid="{FD1AB626-FCD5-48E7-BF15-EA8B511346D6}"/>
    <cellStyle name="Normal 2 7 2 3 2 2 3" xfId="15878" xr:uid="{203FD30F-F50A-41A5-9390-74BDCEC03D87}"/>
    <cellStyle name="Normal 2 7 2 3 2 3" xfId="8331" xr:uid="{696E6586-97FD-41C9-9E2B-C0E6F980457E}"/>
    <cellStyle name="Normal 2 7 2 3 2 3 2" xfId="18711" xr:uid="{ECEB8EBD-9FFD-4FEB-9786-17316E7B1B69}"/>
    <cellStyle name="Normal 2 7 2 3 2 4" xfId="11164" xr:uid="{94B6BCF9-4A27-4BB5-A178-28D7027893A5}"/>
    <cellStyle name="Normal 2 7 2 3 2 4 2" xfId="21544" xr:uid="{49640450-8BF2-4513-87FD-CA86A1692F55}"/>
    <cellStyle name="Normal 2 7 2 3 2 5" xfId="22722" xr:uid="{DBF382B6-0D5E-447A-A53A-9AAA10F94EDE}"/>
    <cellStyle name="Normal 2 7 2 3 2 6" xfId="13799" xr:uid="{724F37EB-F72B-4E5A-8AA9-08FDC7AB0EDD}"/>
    <cellStyle name="Normal 2 7 2 3 3" xfId="4315" xr:uid="{958B0FC2-126E-4AE2-8755-60955BB885A8}"/>
    <cellStyle name="Normal 2 7 2 3 3 2" xfId="9087" xr:uid="{07750667-D396-40F9-9E90-590CA6AE19BA}"/>
    <cellStyle name="Normal 2 7 2 3 3 2 2" xfId="29130" xr:uid="{64D184F3-8750-4779-AD7E-3C2670C8C1F9}"/>
    <cellStyle name="Normal 2 7 2 3 3 2 3" xfId="19467" xr:uid="{C55BEBA8-7FED-4FA1-8824-1417E579C19D}"/>
    <cellStyle name="Normal 2 7 2 3 3 3" xfId="11920" xr:uid="{19790472-FDBF-4343-A908-D5227F327227}"/>
    <cellStyle name="Normal 2 7 2 3 3 3 2" xfId="22300" xr:uid="{D32F6789-4B33-4ACE-90BB-18E7DA31FC34}"/>
    <cellStyle name="Normal 2 7 2 3 3 4" xfId="24859" xr:uid="{A4FBD7FA-FBEE-4842-A1E8-43055A965CF0}"/>
    <cellStyle name="Normal 2 7 2 3 3 5" xfId="16634" xr:uid="{43E97128-EC23-4A9B-82E7-5DB4C68F61A8}"/>
    <cellStyle name="Normal 2 7 2 3 4" xfId="5971" xr:uid="{E37172F9-AF05-4B50-BE74-DDE24FC1ECFA}"/>
    <cellStyle name="Normal 2 7 2 3 4 2" xfId="28164" xr:uid="{FB7D729F-D05C-4CFB-AECB-578A7A0E111E}"/>
    <cellStyle name="Normal 2 7 2 3 4 3" xfId="15424" xr:uid="{4BC28C4B-2E55-4758-BFE3-FD794385D915}"/>
    <cellStyle name="Normal 2 7 2 3 5" xfId="7877" xr:uid="{CBC480B9-250E-4752-8C7E-FEECAD33E184}"/>
    <cellStyle name="Normal 2 7 2 3 5 2" xfId="18257" xr:uid="{02A38621-5D51-489E-A9C4-C0034C3E1E4F}"/>
    <cellStyle name="Normal 2 7 2 3 6" xfId="10710" xr:uid="{763846FE-D254-4051-A7F8-A6D9B0A23171}"/>
    <cellStyle name="Normal 2 7 2 3 6 2" xfId="21090" xr:uid="{DDE05959-F911-4E96-A639-A3E9431B0F94}"/>
    <cellStyle name="Normal 2 7 2 3 7" xfId="23815" xr:uid="{38386524-8898-4D1D-8213-35251C1FA35C}"/>
    <cellStyle name="Normal 2 7 2 3 8" xfId="13196" xr:uid="{E7CF5003-47AF-4ED3-860D-20AAD7A72CF2}"/>
    <cellStyle name="Normal 2 7 2 4" xfId="3252" xr:uid="{00000000-0005-0000-0000-0000DA040000}"/>
    <cellStyle name="Normal 2 7 2 4 2" xfId="4495" xr:uid="{2B5F4C4D-2964-42B1-AD6E-6EA6156723F7}"/>
    <cellStyle name="Normal 2 7 2 4 2 2" xfId="9267" xr:uid="{D616D958-AABB-4055-9283-BC0981066AD6}"/>
    <cellStyle name="Normal 2 7 2 4 2 2 2" xfId="19647" xr:uid="{B9F8553E-9544-4AB5-ACE8-E5AB115AB242}"/>
    <cellStyle name="Normal 2 7 2 4 2 3" xfId="12100" xr:uid="{7F8B9777-0E7F-483F-8DD2-A23E5BAAEF5C}"/>
    <cellStyle name="Normal 2 7 2 4 2 3 2" xfId="22480" xr:uid="{93CB87D0-516F-4877-83AC-812AAB80E25D}"/>
    <cellStyle name="Normal 2 7 2 4 2 4" xfId="27888" xr:uid="{0107E775-C3CD-4FC3-96E8-6B1CB5C16DB4}"/>
    <cellStyle name="Normal 2 7 2 4 2 5" xfId="16814" xr:uid="{BE278253-1BF1-4981-AE60-1A8A9A90622F}"/>
    <cellStyle name="Normal 2 7 2 4 3" xfId="6310" xr:uid="{C0BB7D75-75B0-4B27-983C-0A8D2EBD4C74}"/>
    <cellStyle name="Normal 2 7 2 4 3 2" xfId="15879" xr:uid="{DFDD26D1-8C76-4C15-A3F7-1E64C55A1AF7}"/>
    <cellStyle name="Normal 2 7 2 4 4" xfId="8332" xr:uid="{4C3E300F-EE99-4C21-84B3-C4E34C2CA8A5}"/>
    <cellStyle name="Normal 2 7 2 4 4 2" xfId="18712" xr:uid="{C7A34A52-4BA3-42AD-A9E5-0E328121B25C}"/>
    <cellStyle name="Normal 2 7 2 4 5" xfId="11165" xr:uid="{C46616C6-3F24-4C03-9C25-9968C2027064}"/>
    <cellStyle name="Normal 2 7 2 4 5 2" xfId="21545" xr:uid="{52474DD4-4027-48EB-9671-E06736DE8582}"/>
    <cellStyle name="Normal 2 7 2 4 6" xfId="25506" xr:uid="{8A7046FA-FA5B-4560-9DE0-3EDEFA402F35}"/>
    <cellStyle name="Normal 2 7 2 4 7" xfId="13800" xr:uid="{D460E849-04E3-45D2-A14A-FB0901FFCC33}"/>
    <cellStyle name="Normal 2 7 2 5" xfId="3247" xr:uid="{00000000-0005-0000-0000-0000DB040000}"/>
    <cellStyle name="Normal 2 7 2 5 2" xfId="6305" xr:uid="{BE4333F0-C05D-4B14-A1A1-E590D6EDBAD9}"/>
    <cellStyle name="Normal 2 7 2 5 2 2" xfId="28391" xr:uid="{0320A238-0342-4A14-AE2A-497B3DFF82F3}"/>
    <cellStyle name="Normal 2 7 2 5 2 3" xfId="15874" xr:uid="{9A287CA8-8C41-4746-9F51-AB1F2306AE2A}"/>
    <cellStyle name="Normal 2 7 2 5 3" xfId="8327" xr:uid="{272CD5A3-1B0C-4262-A382-8AF74FE454EA}"/>
    <cellStyle name="Normal 2 7 2 5 3 2" xfId="18707" xr:uid="{E38479BA-F997-4544-85B0-C83524F2BDFC}"/>
    <cellStyle name="Normal 2 7 2 5 4" xfId="11160" xr:uid="{C4428E8F-46A5-42B0-84F9-39E1F2CA2692}"/>
    <cellStyle name="Normal 2 7 2 5 4 2" xfId="21540" xr:uid="{497F2DA9-598E-44D7-B61B-D0ADA112B81D}"/>
    <cellStyle name="Normal 2 7 2 5 5" xfId="24353" xr:uid="{0A460A1E-0C6C-4332-9151-D6E996923AC3}"/>
    <cellStyle name="Normal 2 7 2 5 6" xfId="13795" xr:uid="{81B3E93F-8D5A-4A1F-A421-B8426C67CC60}"/>
    <cellStyle name="Normal 2 7 2 6" xfId="2547" xr:uid="{00000000-0005-0000-0000-0000DC040000}"/>
    <cellStyle name="Normal 2 7 2 6 2" xfId="5819" xr:uid="{1D674A74-CA68-4F14-86A3-852BD78DBF62}"/>
    <cellStyle name="Normal 2 7 2 6 2 2" xfId="26113" xr:uid="{3916A2C1-F727-448F-9949-3BC53CBA4AF7}"/>
    <cellStyle name="Normal 2 7 2 6 2 3" xfId="15219" xr:uid="{475B378D-4802-46C9-8541-141DE8D7A611}"/>
    <cellStyle name="Normal 2 7 2 6 3" xfId="7672" xr:uid="{27D543AE-D1E2-4C6C-896C-88156F2BB6EC}"/>
    <cellStyle name="Normal 2 7 2 6 3 2" xfId="18052" xr:uid="{CB20DE0A-CCB4-4FEF-838F-66D5180AC852}"/>
    <cellStyle name="Normal 2 7 2 6 4" xfId="10505" xr:uid="{D2745FDC-32DE-435B-A069-D6CA0C79EB48}"/>
    <cellStyle name="Normal 2 7 2 6 4 2" xfId="20885" xr:uid="{9D7CF0B2-9F8D-42D6-8A93-0AA390D6A34A}"/>
    <cellStyle name="Normal 2 7 2 6 5" xfId="24542" xr:uid="{2F47A91F-BD5F-49D3-8DAE-B69289587EBE}"/>
    <cellStyle name="Normal 2 7 2 6 6" xfId="12935" xr:uid="{000E4F26-F5E8-4094-B174-BBE61AFB4D3B}"/>
    <cellStyle name="Normal 2 7 2 7" xfId="2241" xr:uid="{00000000-0005-0000-0000-0000D2040000}"/>
    <cellStyle name="Normal 2 7 2 7 2" xfId="7368" xr:uid="{5119E13D-4E0E-4D76-8686-5B4526C0C1C7}"/>
    <cellStyle name="Normal 2 7 2 7 2 2" xfId="17748" xr:uid="{FCBA4D9A-FBF7-413B-9350-E19F6DCDCF95}"/>
    <cellStyle name="Normal 2 7 2 7 3" xfId="10201" xr:uid="{29268BB4-8542-4ACA-8912-943E50217DC3}"/>
    <cellStyle name="Normal 2 7 2 7 3 2" xfId="20581" xr:uid="{EF86BB97-B758-4ECF-97B9-1B9AB3D18A92}"/>
    <cellStyle name="Normal 2 7 2 7 4" xfId="24475" xr:uid="{2995AD3E-C9A3-4DBC-B784-99DCCD2CE1FF}"/>
    <cellStyle name="Normal 2 7 2 7 5" xfId="14915" xr:uid="{E726648D-85AB-46CF-86E5-5E3FFD70D0FC}"/>
    <cellStyle name="Normal 2 7 2 8" xfId="3794" xr:uid="{CF4F2132-8A0C-43A3-AB68-C933D526D158}"/>
    <cellStyle name="Normal 2 7 2 8 2" xfId="8630" xr:uid="{5B1BB51F-279A-4AF4-B10A-FFDCE55D05F7}"/>
    <cellStyle name="Normal 2 7 2 8 2 2" xfId="19010" xr:uid="{8D5C05B3-37CC-436B-981B-569D3B6C4AFF}"/>
    <cellStyle name="Normal 2 7 2 8 3" xfId="11463" xr:uid="{A4089863-9C82-4C13-BBA9-39443F4DBAC3}"/>
    <cellStyle name="Normal 2 7 2 8 3 2" xfId="21843" xr:uid="{3FBA34BC-2463-474C-8466-B15DFC67BEB4}"/>
    <cellStyle name="Normal 2 7 2 8 4" xfId="16177" xr:uid="{A4FEF638-BB73-444C-A4F9-7A2B01095EAC}"/>
    <cellStyle name="Normal 2 7 2 9" xfId="5179" xr:uid="{E5D43967-6CEF-4691-8C42-561CDAC6057C}"/>
    <cellStyle name="Normal 2 7 2 9 2" xfId="14476" xr:uid="{99C5F3F4-F27D-484C-98C2-80557E391747}"/>
    <cellStyle name="Normal 2 7 3" xfId="829" xr:uid="{00000000-0005-0000-0000-0000E9040000}"/>
    <cellStyle name="Normal 2 7 3 10" xfId="9764" xr:uid="{B80564E9-6480-4D14-BCE7-7C080664B2B4}"/>
    <cellStyle name="Normal 2 7 3 10 2" xfId="20144" xr:uid="{556952A2-9939-4C12-B86B-39B9853E10B0}"/>
    <cellStyle name="Normal 2 7 3 11" xfId="25524" xr:uid="{234A48C0-02A8-44E1-B3E7-3323B0C7D3D2}"/>
    <cellStyle name="Normal 2 7 3 12" xfId="12576" xr:uid="{00020838-BBC7-41F8-BCA5-E57A9E4B56FE}"/>
    <cellStyle name="Normal 2 7 3 2" xfId="2755" xr:uid="{00000000-0005-0000-0000-0000DE040000}"/>
    <cellStyle name="Normal 2 7 3 2 2" xfId="3254" xr:uid="{00000000-0005-0000-0000-0000DF040000}"/>
    <cellStyle name="Normal 2 7 3 2 2 2" xfId="6312" xr:uid="{51EB6BFC-00E1-4ED8-B0FF-AB5DAADD7864}"/>
    <cellStyle name="Normal 2 7 3 2 2 2 2" xfId="28632" xr:uid="{7D93899E-8F71-4234-AB8C-7C54CC5863CC}"/>
    <cellStyle name="Normal 2 7 3 2 2 2 3" xfId="15881" xr:uid="{6E851EF1-83F0-43C0-8E48-F0C74D9CA53E}"/>
    <cellStyle name="Normal 2 7 3 2 2 3" xfId="8334" xr:uid="{0F84327D-3644-4CD7-BEDF-5CD88CF5F3C7}"/>
    <cellStyle name="Normal 2 7 3 2 2 3 2" xfId="18714" xr:uid="{3CEFA913-4086-4620-8FAE-29374E0926BB}"/>
    <cellStyle name="Normal 2 7 3 2 2 4" xfId="11167" xr:uid="{5DD1EFA7-030D-4944-B43B-A633D59FF435}"/>
    <cellStyle name="Normal 2 7 3 2 2 4 2" xfId="21547" xr:uid="{C0EFD3DF-1AD3-44C5-A3C0-412CBDBD60D2}"/>
    <cellStyle name="Normal 2 7 3 2 2 5" xfId="23552" xr:uid="{CE5A8228-E08C-48A3-9221-6D39D333AAE2}"/>
    <cellStyle name="Normal 2 7 3 2 2 6" xfId="13802" xr:uid="{8F3BFDAD-E95B-439F-AF44-3DD15009B399}"/>
    <cellStyle name="Normal 2 7 3 2 3" xfId="4317" xr:uid="{F0FA149B-8459-42D0-8CB6-1F65390FA2E6}"/>
    <cellStyle name="Normal 2 7 3 2 3 2" xfId="9089" xr:uid="{13EE7781-CB1A-48FF-8B60-CAD4EAC598A7}"/>
    <cellStyle name="Normal 2 7 3 2 3 2 2" xfId="29132" xr:uid="{68BB0749-92B9-49EC-89BD-AA5009509809}"/>
    <cellStyle name="Normal 2 7 3 2 3 2 3" xfId="19469" xr:uid="{6B2CA347-D3CE-4655-9B76-DF7270573970}"/>
    <cellStyle name="Normal 2 7 3 2 3 3" xfId="11922" xr:uid="{0AE48217-5F93-410B-827C-64764A3D87CE}"/>
    <cellStyle name="Normal 2 7 3 2 3 3 2" xfId="22302" xr:uid="{264AD89D-73AB-4AAD-874F-8B4282D5C1CF}"/>
    <cellStyle name="Normal 2 7 3 2 3 4" xfId="25534" xr:uid="{3DC2F328-4B81-425C-ABF4-704C59C8F081}"/>
    <cellStyle name="Normal 2 7 3 2 3 5" xfId="16636" xr:uid="{5BA5B6DA-B259-4A1D-A4F2-1E8888B6843A}"/>
    <cellStyle name="Normal 2 7 3 2 4" xfId="5973" xr:uid="{449DB9B6-AF5A-4D70-90FE-048BB77B6718}"/>
    <cellStyle name="Normal 2 7 3 2 4 2" xfId="27622" xr:uid="{511F04B6-3E27-4407-A4D8-8D70F34EFFF4}"/>
    <cellStyle name="Normal 2 7 3 2 4 3" xfId="15426" xr:uid="{6102C36C-5A29-4F8C-AB06-1B403F2FD649}"/>
    <cellStyle name="Normal 2 7 3 2 5" xfId="7879" xr:uid="{A229218C-02A5-47B0-AA7C-571FC337C148}"/>
    <cellStyle name="Normal 2 7 3 2 5 2" xfId="18259" xr:uid="{B84E5EFA-F2D4-4E1C-BD6A-A7951DD11C32}"/>
    <cellStyle name="Normal 2 7 3 2 6" xfId="10712" xr:uid="{E8EC6D97-24ED-43E3-8522-4A0D809F1DB6}"/>
    <cellStyle name="Normal 2 7 3 2 6 2" xfId="21092" xr:uid="{22073319-E475-4888-823F-028CED0905C3}"/>
    <cellStyle name="Normal 2 7 3 2 7" xfId="23712" xr:uid="{8BCE977C-02D7-4091-AC63-AB94B7E90B71}"/>
    <cellStyle name="Normal 2 7 3 2 8" xfId="13198" xr:uid="{F715D9B3-3B00-4753-ADC4-EEA5AFCB12BF}"/>
    <cellStyle name="Normal 2 7 3 3" xfId="3255" xr:uid="{00000000-0005-0000-0000-0000E0040000}"/>
    <cellStyle name="Normal 2 7 3 3 2" xfId="4496" xr:uid="{E44E24F4-11E3-4C63-B085-E40DE17F6EF7}"/>
    <cellStyle name="Normal 2 7 3 3 2 2" xfId="9268" xr:uid="{F607B122-C1DC-445F-8A88-5E4BE4912255}"/>
    <cellStyle name="Normal 2 7 3 3 2 2 2" xfId="29251" xr:uid="{50F3BC27-435C-4D98-8E31-8F9014CC22C4}"/>
    <cellStyle name="Normal 2 7 3 3 2 2 3" xfId="19648" xr:uid="{DFF9221F-6C54-433A-8154-CDBBD1F490E1}"/>
    <cellStyle name="Normal 2 7 3 3 2 3" xfId="12101" xr:uid="{2C3F255D-9EF4-41F8-B486-1B90CA5CE5DC}"/>
    <cellStyle name="Normal 2 7 3 3 2 3 2" xfId="22481" xr:uid="{6B6B44B1-77DA-4CC4-85E4-7343FE41ED86}"/>
    <cellStyle name="Normal 2 7 3 3 2 4" xfId="25586" xr:uid="{0618D42F-60BE-4BC9-A9C5-E2DD27C26C4E}"/>
    <cellStyle name="Normal 2 7 3 3 2 5" xfId="16815" xr:uid="{FD6B4A63-97D0-4A7C-9618-E0F47BC35482}"/>
    <cellStyle name="Normal 2 7 3 3 3" xfId="6313" xr:uid="{F7B8C740-69D5-45D4-B54F-8FF7F200BF30}"/>
    <cellStyle name="Normal 2 7 3 3 3 2" xfId="27029" xr:uid="{CF63DFF2-DF2D-42A9-9CB0-6897F9DAEC31}"/>
    <cellStyle name="Normal 2 7 3 3 3 3" xfId="15882" xr:uid="{8F12AE2C-93C4-4022-9E00-C55DC14BC030}"/>
    <cellStyle name="Normal 2 7 3 3 4" xfId="8335" xr:uid="{29056D99-3D36-4375-A602-B939E0A4C136}"/>
    <cellStyle name="Normal 2 7 3 3 4 2" xfId="18715" xr:uid="{37A61D48-0330-4E70-966F-C37E4E2BC657}"/>
    <cellStyle name="Normal 2 7 3 3 5" xfId="11168" xr:uid="{83932395-17B4-46E8-945E-51CB87C17AAA}"/>
    <cellStyle name="Normal 2 7 3 3 5 2" xfId="21548" xr:uid="{DDB4E08E-1B10-476A-8A94-73E0C7AA389E}"/>
    <cellStyle name="Normal 2 7 3 3 6" xfId="22993" xr:uid="{AA3E6471-6B09-49D6-A1FA-316B52C2DC9E}"/>
    <cellStyle name="Normal 2 7 3 3 7" xfId="13803" xr:uid="{9BA4A25F-A6CF-4C2A-834C-A66F837A42E3}"/>
    <cellStyle name="Normal 2 7 3 4" xfId="3253" xr:uid="{00000000-0005-0000-0000-0000E1040000}"/>
    <cellStyle name="Normal 2 7 3 4 2" xfId="6311" xr:uid="{952B3B49-6784-4F40-88F5-B4F972EA4693}"/>
    <cellStyle name="Normal 2 7 3 4 2 2" xfId="27915" xr:uid="{45FB4DDF-06EC-4EA8-A9DA-793E40797DBA}"/>
    <cellStyle name="Normal 2 7 3 4 2 3" xfId="15880" xr:uid="{EDEC2EC9-F75A-46B8-BD61-C2A06F311FD2}"/>
    <cellStyle name="Normal 2 7 3 4 3" xfId="8333" xr:uid="{F64895AA-6DC0-474D-BB42-ADCFC5A3F235}"/>
    <cellStyle name="Normal 2 7 3 4 3 2" xfId="18713" xr:uid="{C5D09A53-FC8F-4CBB-B471-31D3C50B273E}"/>
    <cellStyle name="Normal 2 7 3 4 4" xfId="11166" xr:uid="{13B95295-4270-4165-818B-1F05CFA39F6C}"/>
    <cellStyle name="Normal 2 7 3 4 4 2" xfId="21546" xr:uid="{DC6DCDA5-83C2-47D6-B40F-B441C545DE85}"/>
    <cellStyle name="Normal 2 7 3 4 5" xfId="25475" xr:uid="{628DC834-128B-46BA-AE94-946C6D07CD2C}"/>
    <cellStyle name="Normal 2 7 3 4 6" xfId="13801" xr:uid="{6D95D2C3-CFCA-4A68-848A-C0045636431B}"/>
    <cellStyle name="Normal 2 7 3 5" xfId="2590" xr:uid="{00000000-0005-0000-0000-0000E2040000}"/>
    <cellStyle name="Normal 2 7 3 5 2" xfId="5855" xr:uid="{6E5D7FC6-BC25-4F64-AB3B-18F95C472E62}"/>
    <cellStyle name="Normal 2 7 3 5 2 2" xfId="26541" xr:uid="{E929C846-2174-423E-BB86-4AA789DAD5AC}"/>
    <cellStyle name="Normal 2 7 3 5 2 3" xfId="15262" xr:uid="{E40C3F2D-C75D-4D37-AC44-D064C4E43DA4}"/>
    <cellStyle name="Normal 2 7 3 5 3" xfId="7715" xr:uid="{28919E85-E930-481E-A738-005C65D7CD08}"/>
    <cellStyle name="Normal 2 7 3 5 3 2" xfId="18095" xr:uid="{5EE22060-DB55-4D74-A870-5D7A5BC55274}"/>
    <cellStyle name="Normal 2 7 3 5 4" xfId="10548" xr:uid="{659A77B6-F830-4D39-A48E-6409F1F0594B}"/>
    <cellStyle name="Normal 2 7 3 5 4 2" xfId="20928" xr:uid="{5D7F621F-D49F-498F-9F7F-7378F1476F5E}"/>
    <cellStyle name="Normal 2 7 3 5 5" xfId="24548" xr:uid="{A5313C3F-96EE-4060-8783-66ECE116BCDA}"/>
    <cellStyle name="Normal 2 7 3 5 6" xfId="12978" xr:uid="{D7BC3DB9-57B9-4FA4-BDE3-AB038564B4B9}"/>
    <cellStyle name="Normal 2 7 3 6" xfId="2342" xr:uid="{00000000-0005-0000-0000-0000DD040000}"/>
    <cellStyle name="Normal 2 7 3 6 2" xfId="7469" xr:uid="{EB054676-16DD-4F99-B06F-880B10F30D6E}"/>
    <cellStyle name="Normal 2 7 3 6 2 2" xfId="17849" xr:uid="{5A3B8AB1-C0FD-4381-B1C0-759725456496}"/>
    <cellStyle name="Normal 2 7 3 6 3" xfId="10302" xr:uid="{59752E6B-2F9C-422B-A5CF-BF244108AB63}"/>
    <cellStyle name="Normal 2 7 3 6 3 2" xfId="20682" xr:uid="{EFC3C9AC-DD31-49D7-A76B-6630B741ADB7}"/>
    <cellStyle name="Normal 2 7 3 6 4" xfId="24343" xr:uid="{6C2B060D-7F3F-43EA-90DF-811375E8A8DA}"/>
    <cellStyle name="Normal 2 7 3 6 5" xfId="15016" xr:uid="{52151680-D1F4-47E0-B0B6-AC16A955DE7D}"/>
    <cellStyle name="Normal 2 7 3 7" xfId="3853" xr:uid="{59876A13-9C9B-4479-82D9-3B4487A30E85}"/>
    <cellStyle name="Normal 2 7 3 7 2" xfId="8686" xr:uid="{DAEF771C-46E2-4656-9534-C313BFDCC933}"/>
    <cellStyle name="Normal 2 7 3 7 2 2" xfId="19066" xr:uid="{A9F8AFBB-20CF-4D39-A663-20579B9E6A4C}"/>
    <cellStyle name="Normal 2 7 3 7 3" xfId="11519" xr:uid="{E53E25F0-554F-4C03-B995-6B4032C65344}"/>
    <cellStyle name="Normal 2 7 3 7 3 2" xfId="21899" xr:uid="{F2F52DF5-D904-4A85-8BA8-3EEEF873E7E4}"/>
    <cellStyle name="Normal 2 7 3 7 4" xfId="16233" xr:uid="{010B7F2A-24A7-459F-B56F-250D84FB8E56}"/>
    <cellStyle name="Normal 2 7 3 8" xfId="5181" xr:uid="{22912720-0D4C-46AF-8639-04244B5F8F4E}"/>
    <cellStyle name="Normal 2 7 3 8 2" xfId="14478" xr:uid="{448BDAA4-27CE-4B7A-8C21-14DB037BD217}"/>
    <cellStyle name="Normal 2 7 3 9" xfId="6931" xr:uid="{AACDEF32-BE4B-4B88-8424-71DD3D415B58}"/>
    <cellStyle name="Normal 2 7 3 9 2" xfId="17311" xr:uid="{060F623E-363F-4BD7-A35D-5DC56C34B0B3}"/>
    <cellStyle name="Normal 2 7 4" xfId="830" xr:uid="{00000000-0005-0000-0000-0000EA040000}"/>
    <cellStyle name="Normal 2 7 4 2" xfId="3256" xr:uid="{00000000-0005-0000-0000-0000E4040000}"/>
    <cellStyle name="Normal 2 7 4 2 2" xfId="6314" xr:uid="{71CEE823-4AD0-4944-A0A5-A0BF88293776}"/>
    <cellStyle name="Normal 2 7 4 2 2 2" xfId="27390" xr:uid="{CEE0CC8A-EEE2-4444-A522-E668DFDF64DE}"/>
    <cellStyle name="Normal 2 7 4 2 2 3" xfId="15883" xr:uid="{8ADAA1E4-6B32-495F-A7DE-CD304107210B}"/>
    <cellStyle name="Normal 2 7 4 2 3" xfId="8336" xr:uid="{8FC6695D-EC43-4BDE-93D5-305C82CFB52A}"/>
    <cellStyle name="Normal 2 7 4 2 3 2" xfId="18716" xr:uid="{95E66D1D-0F3B-4CC6-A376-6951F4876EF2}"/>
    <cellStyle name="Normal 2 7 4 2 4" xfId="11169" xr:uid="{5DF6F997-CD37-4F51-964E-33446D081265}"/>
    <cellStyle name="Normal 2 7 4 2 4 2" xfId="21549" xr:uid="{59983315-2332-4F8C-8208-D6E0014BC384}"/>
    <cellStyle name="Normal 2 7 4 2 5" xfId="25429" xr:uid="{D0E63B7D-5BC9-4688-B9CF-6746F6EEBEEF}"/>
    <cellStyle name="Normal 2 7 4 2 6" xfId="13804" xr:uid="{CD06FEB9-D84B-4249-912F-F1263917FFA9}"/>
    <cellStyle name="Normal 2 7 4 3" xfId="2752" xr:uid="{00000000-0005-0000-0000-0000E5040000}"/>
    <cellStyle name="Normal 2 7 4 3 2" xfId="5970" xr:uid="{145B2AC7-E138-4228-AF58-40C3AD233F72}"/>
    <cellStyle name="Normal 2 7 4 3 2 2" xfId="26517" xr:uid="{2A85577B-91D0-4CCF-98A7-397E250A4C3F}"/>
    <cellStyle name="Normal 2 7 4 3 2 3" xfId="15423" xr:uid="{848982D3-A451-47CB-8014-C2530F0784D8}"/>
    <cellStyle name="Normal 2 7 4 3 3" xfId="7876" xr:uid="{B71A9E4B-A303-4E37-BFF9-85C5EC5891C9}"/>
    <cellStyle name="Normal 2 7 4 3 3 2" xfId="18256" xr:uid="{228DDBD2-EFCA-4FF2-A944-A65244689CC1}"/>
    <cellStyle name="Normal 2 7 4 3 4" xfId="10709" xr:uid="{50A21E25-123A-4EC3-B4DC-ABCE8859B544}"/>
    <cellStyle name="Normal 2 7 4 3 4 2" xfId="21089" xr:uid="{8ED9BA2A-D7B1-4CF3-AFD0-84C83C86077C}"/>
    <cellStyle name="Normal 2 7 4 3 5" xfId="23978" xr:uid="{8EB8C2B8-786A-42D6-9143-5D4DFD9BFC73}"/>
    <cellStyle name="Normal 2 7 4 3 6" xfId="13195" xr:uid="{515F9088-1B79-40D4-8535-FE257CE33DE7}"/>
    <cellStyle name="Normal 2 7 4 4" xfId="4174" xr:uid="{8AC50F76-D3E6-41CF-9C06-029A048ABCE8}"/>
    <cellStyle name="Normal 2 7 4 4 2" xfId="8946" xr:uid="{772C9F48-4D58-4B83-A954-095A564A0D15}"/>
    <cellStyle name="Normal 2 7 4 4 2 2" xfId="19326" xr:uid="{F71795C8-7D43-4499-B687-6A053FA1DE38}"/>
    <cellStyle name="Normal 2 7 4 4 3" xfId="11779" xr:uid="{1638D4BF-F1C5-4F51-B1FC-B5BD54ABF90A}"/>
    <cellStyle name="Normal 2 7 4 4 3 2" xfId="22159" xr:uid="{AF0389C7-E3B2-4F45-870B-8DC1F1EEA5B3}"/>
    <cellStyle name="Normal 2 7 4 4 4" xfId="25049" xr:uid="{7CC9B72E-3642-44F3-AF24-C6D0606626FF}"/>
    <cellStyle name="Normal 2 7 4 4 5" xfId="16493" xr:uid="{8F2EC2B8-9FE6-40E7-A228-62ED530AC17F}"/>
    <cellStyle name="Normal 2 7 4 5" xfId="5182" xr:uid="{717DE2C8-2F2E-4098-81A0-E0FA74614B37}"/>
    <cellStyle name="Normal 2 7 4 5 2" xfId="14479" xr:uid="{E74B6E9E-DE02-443A-B853-CFDBE2F2BB9D}"/>
    <cellStyle name="Normal 2 7 4 6" xfId="6932" xr:uid="{3B77EAA3-7C6C-4770-9571-6AC26DFBFF32}"/>
    <cellStyle name="Normal 2 7 4 6 2" xfId="17312" xr:uid="{F461C47C-701C-47D3-BA57-45790E5533C4}"/>
    <cellStyle name="Normal 2 7 4 7" xfId="9765" xr:uid="{FB8127CE-A3A1-4439-98A8-ECC6B82A8295}"/>
    <cellStyle name="Normal 2 7 4 7 2" xfId="20145" xr:uid="{5AF0005F-F0E6-4D89-9C47-D2C9BB2CD303}"/>
    <cellStyle name="Normal 2 7 4 8" xfId="22994" xr:uid="{562F3934-A9DB-4292-8085-6013FA723BAD}"/>
    <cellStyle name="Normal 2 7 4 9" xfId="12734" xr:uid="{3125FADE-A930-44DF-8690-A3014C853D23}"/>
    <cellStyle name="Normal 2 7 5" xfId="3257" xr:uid="{00000000-0005-0000-0000-0000E6040000}"/>
    <cellStyle name="Normal 2 7 5 2" xfId="4497" xr:uid="{6B1E980C-131C-4198-B764-D6BE5D211DA5}"/>
    <cellStyle name="Normal 2 7 5 2 2" xfId="9269" xr:uid="{B7AAB0C6-24BF-4D46-9AA8-24A20F188FDA}"/>
    <cellStyle name="Normal 2 7 5 2 2 2" xfId="29252" xr:uid="{E4734FF7-FCA2-4419-9732-777445AC6B10}"/>
    <cellStyle name="Normal 2 7 5 2 2 3" xfId="19649" xr:uid="{AE84BA61-752F-4654-AE01-737BED40B691}"/>
    <cellStyle name="Normal 2 7 5 2 3" xfId="12102" xr:uid="{DB0328AF-7516-46F1-91E1-E91A6AB86926}"/>
    <cellStyle name="Normal 2 7 5 2 3 2" xfId="22482" xr:uid="{DFB245FF-558E-4727-AEC3-34DB84043612}"/>
    <cellStyle name="Normal 2 7 5 2 4" xfId="25419" xr:uid="{749BA87B-9475-4996-BE56-534F2E8B02B8}"/>
    <cellStyle name="Normal 2 7 5 2 5" xfId="16816" xr:uid="{C9A14064-E63B-40C9-A73D-AFE5C51F8BEF}"/>
    <cellStyle name="Normal 2 7 5 3" xfId="6315" xr:uid="{016DB043-5EF2-4057-AF73-300D6DBDEF75}"/>
    <cellStyle name="Normal 2 7 5 3 2" xfId="26476" xr:uid="{13D0BCA5-0E56-4BC8-9755-AC8E6E21A552}"/>
    <cellStyle name="Normal 2 7 5 3 3" xfId="15884" xr:uid="{B0344709-8316-48B7-9700-1B797A8C7642}"/>
    <cellStyle name="Normal 2 7 5 4" xfId="8337" xr:uid="{4DA050E3-2232-4805-BC13-40346E73E54B}"/>
    <cellStyle name="Normal 2 7 5 4 2" xfId="18717" xr:uid="{A976D288-5856-4ED8-804A-4ECF8534B765}"/>
    <cellStyle name="Normal 2 7 5 5" xfId="11170" xr:uid="{DA5D3750-153B-426B-9D39-B81E3AAF7F63}"/>
    <cellStyle name="Normal 2 7 5 5 2" xfId="21550" xr:uid="{0C6072E1-0399-40E2-BDF9-50D23FE32DFC}"/>
    <cellStyle name="Normal 2 7 5 6" xfId="24232" xr:uid="{8C853527-3A85-4D80-A47F-7032AA059977}"/>
    <cellStyle name="Normal 2 7 5 7" xfId="13805" xr:uid="{0838E1E9-5B0D-41A5-A8FD-58D14A45CBB8}"/>
    <cellStyle name="Normal 2 7 6" xfId="2915" xr:uid="{00000000-0005-0000-0000-0000E7040000}"/>
    <cellStyle name="Normal 2 7 6 2" xfId="6101" xr:uid="{A72DA3E3-628A-466B-B484-2AD061942FF4}"/>
    <cellStyle name="Normal 2 7 6 2 2" xfId="26188" xr:uid="{E3525FCE-0E8B-4363-86AA-5DB0CA30EAC7}"/>
    <cellStyle name="Normal 2 7 6 2 3" xfId="15579" xr:uid="{AD7A8575-854D-44EA-B785-2F1001A2A045}"/>
    <cellStyle name="Normal 2 7 6 3" xfId="8032" xr:uid="{8C399678-619D-4551-9E61-7E718BD25A05}"/>
    <cellStyle name="Normal 2 7 6 3 2" xfId="18412" xr:uid="{B105745C-B71D-49AF-A6E4-9531ED33804E}"/>
    <cellStyle name="Normal 2 7 6 4" xfId="10865" xr:uid="{A3744CBC-45DE-4DAA-BA85-096F6E9261F1}"/>
    <cellStyle name="Normal 2 7 6 4 2" xfId="21245" xr:uid="{E6A6B3B1-E09F-4A41-954C-56180BE9BB5F}"/>
    <cellStyle name="Normal 2 7 6 5" xfId="23488" xr:uid="{ED24D4F5-7011-4B51-BC0D-6F22A62E844E}"/>
    <cellStyle name="Normal 2 7 6 6" xfId="13432" xr:uid="{F9DC699A-8F1C-4AE1-9057-A1937D783382}"/>
    <cellStyle name="Normal 2 7 7" xfId="2487" xr:uid="{00000000-0005-0000-0000-0000E8040000}"/>
    <cellStyle name="Normal 2 7 7 2" xfId="5772" xr:uid="{AC1B6218-AD1E-4FB2-B01B-3690B7A69759}"/>
    <cellStyle name="Normal 2 7 7 2 2" xfId="28751" xr:uid="{00B60B50-D380-4FF6-9C2A-D02F7AC372E8}"/>
    <cellStyle name="Normal 2 7 7 2 3" xfId="15159" xr:uid="{397FE296-624B-4C47-90C5-13988B62CA4A}"/>
    <cellStyle name="Normal 2 7 7 3" xfId="7612" xr:uid="{B75D5F0E-2123-44E6-AED0-AF402A568DD1}"/>
    <cellStyle name="Normal 2 7 7 3 2" xfId="17992" xr:uid="{562B3F72-ACAA-49FA-986D-18354E0EAC7E}"/>
    <cellStyle name="Normal 2 7 7 4" xfId="10445" xr:uid="{44FF3E11-BB54-432F-9989-F88AFDD01007}"/>
    <cellStyle name="Normal 2 7 7 4 2" xfId="20825" xr:uid="{DEBB59F7-4C48-408A-BD45-419079E7F30B}"/>
    <cellStyle name="Normal 2 7 7 5" xfId="23357" xr:uid="{09A29A52-3B42-4616-92F6-5CBC0EA39103}"/>
    <cellStyle name="Normal 2 7 7 6" xfId="12875" xr:uid="{CA745FC1-03D0-438C-BF2F-B04F366ACD19}"/>
    <cellStyle name="Normal 2 7 8" xfId="2181" xr:uid="{00000000-0005-0000-0000-0000D1040000}"/>
    <cellStyle name="Normal 2 7 8 2" xfId="7308" xr:uid="{0830F5DD-6D21-49F4-A9B3-604959D8120F}"/>
    <cellStyle name="Normal 2 7 8 2 2" xfId="17688" xr:uid="{29EDD52C-37AD-477B-AFB3-3D788AE07F90}"/>
    <cellStyle name="Normal 2 7 8 3" xfId="10141" xr:uid="{DB91861C-0F9C-4892-A88B-7DBA1139476D}"/>
    <cellStyle name="Normal 2 7 8 3 2" xfId="20521" xr:uid="{00B74FED-9925-4107-AD01-E9A8F8C22E98}"/>
    <cellStyle name="Normal 2 7 8 4" xfId="24852" xr:uid="{9F222FCF-80AD-4A76-8591-13E84C4F1B1E}"/>
    <cellStyle name="Normal 2 7 8 5" xfId="14855" xr:uid="{55F52EA5-B516-4C11-A49F-8421E51557FF}"/>
    <cellStyle name="Normal 2 7 9" xfId="3952" xr:uid="{A6386ADA-3287-4373-839E-4D0FB01F6C53}"/>
    <cellStyle name="Normal 2 7 9 2" xfId="8784" xr:uid="{99D06A28-198A-451C-9CC5-BBFF21DD87E2}"/>
    <cellStyle name="Normal 2 7 9 2 2" xfId="19164" xr:uid="{3775A87A-2918-4CCC-82B1-39DC7F69925D}"/>
    <cellStyle name="Normal 2 7 9 3" xfId="11617" xr:uid="{C785F9A9-9F97-4EFB-9C31-10DEE8DC4130}"/>
    <cellStyle name="Normal 2 7 9 3 2" xfId="21997" xr:uid="{C92B6D30-0CB7-48C0-AFA2-0393924E08D1}"/>
    <cellStyle name="Normal 2 7 9 4" xfId="16331" xr:uid="{20C1B482-BFD0-465A-8590-E53314C7EF9A}"/>
    <cellStyle name="Normal 2 8" xfId="831" xr:uid="{00000000-0005-0000-0000-0000EB040000}"/>
    <cellStyle name="Normal 2 8 10" xfId="5183" xr:uid="{40380ED7-DDE8-4CE3-82C0-99469D30D652}"/>
    <cellStyle name="Normal 2 8 10 2" xfId="14480" xr:uid="{E1EB6AAD-E630-4183-B6FD-218D1F36B279}"/>
    <cellStyle name="Normal 2 8 11" xfId="6933" xr:uid="{4E51C6D5-27D3-44AA-BAF2-C86DDDAF7446}"/>
    <cellStyle name="Normal 2 8 11 2" xfId="17313" xr:uid="{837D9E52-6906-4D0D-8672-AB683F7730B4}"/>
    <cellStyle name="Normal 2 8 12" xfId="9766" xr:uid="{A749656F-3C03-463C-BB9D-2A573B397E89}"/>
    <cellStyle name="Normal 2 8 12 2" xfId="20146" xr:uid="{C8F920DA-218B-44F4-8186-69E8299B7674}"/>
    <cellStyle name="Normal 2 8 13" xfId="24146" xr:uid="{0963CDEC-E371-42BB-9422-ACE52BBA0CF3}"/>
    <cellStyle name="Normal 2 8 14" xfId="12447" xr:uid="{A31E1099-78CC-4B71-A141-F56A2524A61E}"/>
    <cellStyle name="Normal 2 8 2" xfId="832" xr:uid="{00000000-0005-0000-0000-0000EC040000}"/>
    <cellStyle name="Normal 2 8 2 10" xfId="9767" xr:uid="{4D9DFE05-B631-403C-BCF3-EF6C419A7C37}"/>
    <cellStyle name="Normal 2 8 2 10 2" xfId="20147" xr:uid="{0277E97B-E62E-427C-BF5C-3E79B155C3BF}"/>
    <cellStyle name="Normal 2 8 2 11" xfId="22935" xr:uid="{A9E5B6A5-7BA3-4B67-B5F4-6B9016B71202}"/>
    <cellStyle name="Normal 2 8 2 12" xfId="12577" xr:uid="{9AA20E7D-A7C9-4928-BD7B-329E347E1DF8}"/>
    <cellStyle name="Normal 2 8 2 2" xfId="833" xr:uid="{00000000-0005-0000-0000-0000ED040000}"/>
    <cellStyle name="Normal 2 8 2 2 2" xfId="3259" xr:uid="{00000000-0005-0000-0000-0000EC040000}"/>
    <cellStyle name="Normal 2 8 2 2 2 2" xfId="6317" xr:uid="{E8CEFCD8-20B3-4E94-9B5B-50A8F801EC89}"/>
    <cellStyle name="Normal 2 8 2 2 2 2 2" xfId="28452" xr:uid="{9B2527F5-BBB3-4B72-A313-3D4FC3D3FC8C}"/>
    <cellStyle name="Normal 2 8 2 2 2 2 3" xfId="28092" xr:uid="{550DFAE7-40CC-4013-9279-7A91D3B432AF}"/>
    <cellStyle name="Normal 2 8 2 2 2 2 4" xfId="15886" xr:uid="{A5BAF042-E853-4939-BD0A-B23D58C90756}"/>
    <cellStyle name="Normal 2 8 2 2 2 3" xfId="8339" xr:uid="{E29A79B0-B795-4C94-814D-9A47992D2E01}"/>
    <cellStyle name="Normal 2 8 2 2 2 3 2" xfId="28891" xr:uid="{90C5D1D6-906A-4005-92B0-64FAE9DF8EF7}"/>
    <cellStyle name="Normal 2 8 2 2 2 3 3" xfId="18719" xr:uid="{C0CF3DCE-97A0-498E-B04F-FBE73C34FEA1}"/>
    <cellStyle name="Normal 2 8 2 2 2 4" xfId="11172" xr:uid="{C6533BE9-E499-41F1-BEC4-3AA5F4A737A6}"/>
    <cellStyle name="Normal 2 8 2 2 2 4 2" xfId="21552" xr:uid="{979617F4-9BC4-4068-AF89-9D803C9B722D}"/>
    <cellStyle name="Normal 2 8 2 2 2 5" xfId="23678" xr:uid="{F7A09A72-CE90-45E7-A8FB-448103B44903}"/>
    <cellStyle name="Normal 2 8 2 2 2 6" xfId="13807" xr:uid="{9A71CDC9-C58C-47F5-8EB7-FCF081FA00A5}"/>
    <cellStyle name="Normal 2 8 2 2 3" xfId="4319" xr:uid="{00641515-B8EE-4462-A5E1-92E8AD68B412}"/>
    <cellStyle name="Normal 2 8 2 2 3 2" xfId="9091" xr:uid="{E5787134-1742-4497-B391-2B38C5521001}"/>
    <cellStyle name="Normal 2 8 2 2 3 2 2" xfId="29134" xr:uid="{60591CF2-D428-4AF2-BB3D-111D24C78CB3}"/>
    <cellStyle name="Normal 2 8 2 2 3 2 3" xfId="19471" xr:uid="{D12FADAD-F941-49B0-A161-CFAB573B85AA}"/>
    <cellStyle name="Normal 2 8 2 2 3 3" xfId="11924" xr:uid="{E4C4019B-05FA-4C55-A2FF-B1FA27230812}"/>
    <cellStyle name="Normal 2 8 2 2 3 3 2" xfId="22304" xr:uid="{AA4D6692-15F2-4F6C-B9B3-B232C24BA114}"/>
    <cellStyle name="Normal 2 8 2 2 3 4" xfId="24490" xr:uid="{31D545F0-70D4-4D94-9FC6-A6B195271AF7}"/>
    <cellStyle name="Normal 2 8 2 2 3 5" xfId="16638" xr:uid="{59F603B3-032B-46B7-BB26-026DED68F117}"/>
    <cellStyle name="Normal 2 8 2 2 4" xfId="5185" xr:uid="{3CFE1E7C-2C46-4B24-A72F-B89B6CD06028}"/>
    <cellStyle name="Normal 2 8 2 2 4 2" xfId="28350" xr:uid="{60632920-281C-46EA-AC97-42678D7DB885}"/>
    <cellStyle name="Normal 2 8 2 2 4 3" xfId="14482" xr:uid="{51350F7B-30E1-4F4E-891E-CAB00AFBC1F8}"/>
    <cellStyle name="Normal 2 8 2 2 5" xfId="6935" xr:uid="{35DC256B-D160-4416-83A4-3BD5F907605A}"/>
    <cellStyle name="Normal 2 8 2 2 5 2" xfId="17315" xr:uid="{125BA631-0382-4A16-9B52-79AC361B8BE7}"/>
    <cellStyle name="Normal 2 8 2 2 6" xfId="9768" xr:uid="{6F07800B-1F18-4E12-8ADD-86321C659FBE}"/>
    <cellStyle name="Normal 2 8 2 2 6 2" xfId="20148" xr:uid="{74537F53-6B31-44FB-ABF9-7042343A8374}"/>
    <cellStyle name="Normal 2 8 2 2 7" xfId="24601" xr:uid="{4354B5C0-2B0E-4A08-A5F4-F2F6E931B73C}"/>
    <cellStyle name="Normal 2 8 2 2 8" xfId="13200" xr:uid="{0A02F550-76AE-4963-938D-99C871307A70}"/>
    <cellStyle name="Normal 2 8 2 3" xfId="3260" xr:uid="{00000000-0005-0000-0000-0000ED040000}"/>
    <cellStyle name="Normal 2 8 2 3 2" xfId="4498" xr:uid="{0BBF4EAF-2EEB-4640-BA38-DBDFC058B749}"/>
    <cellStyle name="Normal 2 8 2 3 2 2" xfId="9270" xr:uid="{48BFEDD3-7392-4C4A-B002-66AD38724562}"/>
    <cellStyle name="Normal 2 8 2 3 2 2 2" xfId="29253" xr:uid="{238C0550-505F-490B-9C2D-23264E218DA0}"/>
    <cellStyle name="Normal 2 8 2 3 2 2 3" xfId="19650" xr:uid="{9EA528C0-22A5-49DE-8E75-D6F59A2F526C}"/>
    <cellStyle name="Normal 2 8 2 3 2 3" xfId="12103" xr:uid="{1F1673D3-C7B3-4070-944F-11A3F491560D}"/>
    <cellStyle name="Normal 2 8 2 3 2 3 2" xfId="22483" xr:uid="{4EC5530C-B788-49D1-B8AD-24172D3E9448}"/>
    <cellStyle name="Normal 2 8 2 3 2 4" xfId="25716" xr:uid="{23044FBC-8E1B-4EE7-B299-D46361B75083}"/>
    <cellStyle name="Normal 2 8 2 3 2 5" xfId="16817" xr:uid="{F64422A4-F1AB-4878-BBE9-CCF2850EC9DB}"/>
    <cellStyle name="Normal 2 8 2 3 3" xfId="6318" xr:uid="{70319F9C-8C6C-4280-B5A7-FA70D7D4E8EC}"/>
    <cellStyle name="Normal 2 8 2 3 3 2" xfId="27176" xr:uid="{944CDA04-5C80-4EA1-80A7-A40B22BF04C9}"/>
    <cellStyle name="Normal 2 8 2 3 3 3" xfId="15887" xr:uid="{2E65C6E6-7705-4581-B6DB-48A3329BC3F3}"/>
    <cellStyle name="Normal 2 8 2 3 4" xfId="8340" xr:uid="{89F6381F-D0A9-48DA-84B5-04BBD4FA5670}"/>
    <cellStyle name="Normal 2 8 2 3 4 2" xfId="18720" xr:uid="{8F0AFD53-0182-4B64-897F-CD52C1FD9A88}"/>
    <cellStyle name="Normal 2 8 2 3 5" xfId="11173" xr:uid="{E4AD119B-BB10-43C1-AED6-D358178586EF}"/>
    <cellStyle name="Normal 2 8 2 3 5 2" xfId="21553" xr:uid="{7A6F2011-0DC7-41B4-858C-64B84CC192DA}"/>
    <cellStyle name="Normal 2 8 2 3 6" xfId="22834" xr:uid="{8923D2E7-2DA7-4CCF-A63E-0536F14CB31F}"/>
    <cellStyle name="Normal 2 8 2 3 7" xfId="13808" xr:uid="{B28A44E3-FA3B-4166-B3F5-6786840ACCA1}"/>
    <cellStyle name="Normal 2 8 2 4" xfId="3258" xr:uid="{00000000-0005-0000-0000-0000EE040000}"/>
    <cellStyle name="Normal 2 8 2 4 2" xfId="6316" xr:uid="{968A0815-396A-4C1F-ACF4-0899CC97A8BE}"/>
    <cellStyle name="Normal 2 8 2 4 2 2" xfId="27079" xr:uid="{169A6153-9C29-40DB-B39A-F4DDE627EFA0}"/>
    <cellStyle name="Normal 2 8 2 4 2 3" xfId="15885" xr:uid="{2870D56E-C8E3-4B29-9892-B687B606CDEA}"/>
    <cellStyle name="Normal 2 8 2 4 3" xfId="8338" xr:uid="{2F49353E-3D79-4C99-AD1D-F70CD5D1E16D}"/>
    <cellStyle name="Normal 2 8 2 4 3 2" xfId="18718" xr:uid="{CC2B2CAA-02A0-48A3-92AE-8DBF048D4E88}"/>
    <cellStyle name="Normal 2 8 2 4 4" xfId="11171" xr:uid="{FC40FFB0-4FEC-4115-AB03-33E0128807DE}"/>
    <cellStyle name="Normal 2 8 2 4 4 2" xfId="21551" xr:uid="{5A6FD68D-ABDC-4917-A965-2A7AF6BA2198}"/>
    <cellStyle name="Normal 2 8 2 4 5" xfId="24521" xr:uid="{147CC830-D3CD-4478-90B8-BCC4D363D848}"/>
    <cellStyle name="Normal 2 8 2 4 6" xfId="13806" xr:uid="{D4E5B640-704A-427D-86D2-AE67A1DDF6F9}"/>
    <cellStyle name="Normal 2 8 2 5" xfId="2521" xr:uid="{00000000-0005-0000-0000-0000EF040000}"/>
    <cellStyle name="Normal 2 8 2 5 2" xfId="5798" xr:uid="{47DCC92F-54E9-4911-AC1D-47F2B7FB5C2F}"/>
    <cellStyle name="Normal 2 8 2 5 2 2" xfId="26992" xr:uid="{4D34E770-5F98-4A6F-9C61-581E4CC543E3}"/>
    <cellStyle name="Normal 2 8 2 5 2 3" xfId="15193" xr:uid="{FDD16847-3A23-4F2B-93C4-65D91B7D4AE2}"/>
    <cellStyle name="Normal 2 8 2 5 3" xfId="7646" xr:uid="{1EF7B022-A18D-4AB6-A3C4-D739248B73E8}"/>
    <cellStyle name="Normal 2 8 2 5 3 2" xfId="18026" xr:uid="{3E320686-9FFB-4CD3-BCAA-76D0D9A5627A}"/>
    <cellStyle name="Normal 2 8 2 5 4" xfId="10479" xr:uid="{AFB5CAA6-E1B0-4B42-960C-3E43FD85A6FF}"/>
    <cellStyle name="Normal 2 8 2 5 4 2" xfId="20859" xr:uid="{BA75980F-6F1F-4861-85F6-25FEDA469C6F}"/>
    <cellStyle name="Normal 2 8 2 5 5" xfId="22804" xr:uid="{8C5AB9D4-325C-4C09-8367-86F84CBEDFC1}"/>
    <cellStyle name="Normal 2 8 2 5 6" xfId="12909" xr:uid="{F3AC945C-F83D-4E22-AA51-69CA9A117B98}"/>
    <cellStyle name="Normal 2 8 2 6" xfId="2343" xr:uid="{00000000-0005-0000-0000-0000EA040000}"/>
    <cellStyle name="Normal 2 8 2 6 2" xfId="7470" xr:uid="{F25297D3-D501-42A1-AA59-8886F1FEEAF3}"/>
    <cellStyle name="Normal 2 8 2 6 2 2" xfId="17850" xr:uid="{D677E904-4008-48A5-A7F7-B9A14DAA6580}"/>
    <cellStyle name="Normal 2 8 2 6 3" xfId="10303" xr:uid="{DC3DB0BA-F8F6-4476-B45D-AD550463A2F8}"/>
    <cellStyle name="Normal 2 8 2 6 3 2" xfId="20683" xr:uid="{F69C4960-EE6C-4465-B5B3-0F5FFFD2313C}"/>
    <cellStyle name="Normal 2 8 2 6 4" xfId="23143" xr:uid="{2E10A497-7F6A-4EC1-9EF8-2439084B8E12}"/>
    <cellStyle name="Normal 2 8 2 6 5" xfId="15017" xr:uid="{8B4776D4-7302-426E-94DD-26E671A43624}"/>
    <cellStyle name="Normal 2 8 2 7" xfId="3854" xr:uid="{B99E1F2C-77D1-436B-A020-A22F5F81BD72}"/>
    <cellStyle name="Normal 2 8 2 7 2" xfId="8687" xr:uid="{362A60B7-29E5-4E02-8394-414C56F97128}"/>
    <cellStyle name="Normal 2 8 2 7 2 2" xfId="19067" xr:uid="{A296323F-529D-4171-83EA-E9E750DE7ADD}"/>
    <cellStyle name="Normal 2 8 2 7 3" xfId="11520" xr:uid="{13CF40C2-23CF-4CF9-80AF-FEDE8F52F4E6}"/>
    <cellStyle name="Normal 2 8 2 7 3 2" xfId="21900" xr:uid="{EED8F838-167F-4C79-89E3-CA02AA7F75C9}"/>
    <cellStyle name="Normal 2 8 2 7 4" xfId="16234" xr:uid="{9B383E1C-F202-4249-AA30-5F4039972BD6}"/>
    <cellStyle name="Normal 2 8 2 8" xfId="5184" xr:uid="{9A79AB6A-5F15-47BD-854C-4704EA6A1DF5}"/>
    <cellStyle name="Normal 2 8 2 8 2" xfId="14481" xr:uid="{9EC2CC00-3494-48C2-A9A9-E28A61A3C528}"/>
    <cellStyle name="Normal 2 8 2 9" xfId="6934" xr:uid="{64F0A1D1-B9AC-43C0-A9B9-60617BD5F23A}"/>
    <cellStyle name="Normal 2 8 2 9 2" xfId="17314" xr:uid="{1BB0B183-2132-4C6F-B5A4-5DB449444F25}"/>
    <cellStyle name="Normal 2 8 3" xfId="834" xr:uid="{00000000-0005-0000-0000-0000EE040000}"/>
    <cellStyle name="Normal 2 8 3 10" xfId="25381" xr:uid="{17E62A56-8EBA-4252-82CC-1F7F66844708}"/>
    <cellStyle name="Normal 2 8 3 11" xfId="12735" xr:uid="{7AC5C086-4CD1-43AF-AB6F-2B1CB78A380D}"/>
    <cellStyle name="Normal 2 8 3 2" xfId="2756" xr:uid="{00000000-0005-0000-0000-0000F1040000}"/>
    <cellStyle name="Normal 2 8 3 2 2" xfId="3262" xr:uid="{00000000-0005-0000-0000-0000F2040000}"/>
    <cellStyle name="Normal 2 8 3 2 2 2" xfId="6320" xr:uid="{BD9D0536-3699-40B6-98E2-EBDCDE845069}"/>
    <cellStyle name="Normal 2 8 3 2 2 2 2" xfId="28184" xr:uid="{3D61B14B-CE7E-4248-A4BA-EDB3E926A8F3}"/>
    <cellStyle name="Normal 2 8 3 2 2 2 3" xfId="15889" xr:uid="{D474407B-F78D-432C-9CED-E3E72F989BBC}"/>
    <cellStyle name="Normal 2 8 3 2 2 3" xfId="8342" xr:uid="{E09CD465-5962-475E-9310-F67B4BA857B8}"/>
    <cellStyle name="Normal 2 8 3 2 2 3 2" xfId="18722" xr:uid="{33F267E9-C350-475A-A4EB-1FC086DF9A10}"/>
    <cellStyle name="Normal 2 8 3 2 2 4" xfId="11175" xr:uid="{30F924E3-F7AF-46C5-A6F8-FC91ED43DBF6}"/>
    <cellStyle name="Normal 2 8 3 2 2 4 2" xfId="21555" xr:uid="{5D81271B-7FBC-40B0-AFF4-8821475572AF}"/>
    <cellStyle name="Normal 2 8 3 2 2 5" xfId="24309" xr:uid="{71376A80-8FAD-4364-968E-982EA9EED0E1}"/>
    <cellStyle name="Normal 2 8 3 2 2 6" xfId="13810" xr:uid="{E05E4D94-3931-46D8-8FC2-EA60D07A61D9}"/>
    <cellStyle name="Normal 2 8 3 2 3" xfId="4320" xr:uid="{D25E4437-4EA4-45F0-9EE5-3638C42BF349}"/>
    <cellStyle name="Normal 2 8 3 2 3 2" xfId="9092" xr:uid="{D69750B2-0EEE-483F-8EF6-9527410F7451}"/>
    <cellStyle name="Normal 2 8 3 2 3 2 2" xfId="29135" xr:uid="{F0AEA303-C52B-4222-8F9D-1F49270C7021}"/>
    <cellStyle name="Normal 2 8 3 2 3 2 3" xfId="19472" xr:uid="{83DD875B-4FE6-4C30-9638-308A9D584DA6}"/>
    <cellStyle name="Normal 2 8 3 2 3 3" xfId="11925" xr:uid="{D6C02531-49AF-4900-8FE3-26F387CE2252}"/>
    <cellStyle name="Normal 2 8 3 2 3 3 2" xfId="22305" xr:uid="{10370E83-08B0-4273-B3A8-E4754264DC3C}"/>
    <cellStyle name="Normal 2 8 3 2 3 4" xfId="23090" xr:uid="{9440B033-98C1-4D25-BC1D-B1882C4FF38B}"/>
    <cellStyle name="Normal 2 8 3 2 3 5" xfId="16639" xr:uid="{B8AB671E-A73C-4504-A03D-D60071FC3531}"/>
    <cellStyle name="Normal 2 8 3 2 4" xfId="5974" xr:uid="{3BB15D85-FDB9-45F7-9409-52962EA45647}"/>
    <cellStyle name="Normal 2 8 3 2 4 2" xfId="27167" xr:uid="{5303FDA9-5ADF-4827-A7AF-96E24920E174}"/>
    <cellStyle name="Normal 2 8 3 2 4 3" xfId="15427" xr:uid="{41CF9545-43B1-47D9-A01C-B25CC5567E38}"/>
    <cellStyle name="Normal 2 8 3 2 5" xfId="7880" xr:uid="{EABEFE2C-BFCA-49C6-A627-85CFB20F1B17}"/>
    <cellStyle name="Normal 2 8 3 2 5 2" xfId="18260" xr:uid="{ED132D4B-2A6F-489F-AFA3-258F5D08FE52}"/>
    <cellStyle name="Normal 2 8 3 2 6" xfId="10713" xr:uid="{4F852A99-764E-45D0-9E91-B7C10AB77553}"/>
    <cellStyle name="Normal 2 8 3 2 6 2" xfId="21093" xr:uid="{BB8E2CBC-5234-4425-B63F-C0213B1BFD16}"/>
    <cellStyle name="Normal 2 8 3 2 7" xfId="22793" xr:uid="{59CB398D-CA33-4225-9761-66A39892865A}"/>
    <cellStyle name="Normal 2 8 3 2 8" xfId="13201" xr:uid="{159B5130-3221-4602-A1C2-C3A0E6216CA5}"/>
    <cellStyle name="Normal 2 8 3 3" xfId="3263" xr:uid="{00000000-0005-0000-0000-0000F3040000}"/>
    <cellStyle name="Normal 2 8 3 3 2" xfId="4499" xr:uid="{3EA06542-8B36-463A-8E1E-CC73CF39FB59}"/>
    <cellStyle name="Normal 2 8 3 3 2 2" xfId="9271" xr:uid="{CC554882-7403-4872-B9D3-30DD53E78D1A}"/>
    <cellStyle name="Normal 2 8 3 3 2 2 2" xfId="29254" xr:uid="{84DF408D-0CED-42F5-962F-7651692141DE}"/>
    <cellStyle name="Normal 2 8 3 3 2 2 3" xfId="19651" xr:uid="{31758A29-DC95-462A-B632-3B363553A416}"/>
    <cellStyle name="Normal 2 8 3 3 2 3" xfId="12104" xr:uid="{9E3EE59A-0169-4C8D-9C7D-BD05A70F4E78}"/>
    <cellStyle name="Normal 2 8 3 3 2 3 2" xfId="22484" xr:uid="{6B4E2281-DEF4-4690-A99A-075310AB67A0}"/>
    <cellStyle name="Normal 2 8 3 3 2 4" xfId="23943" xr:uid="{A24C8BCD-CA8C-4BDF-B9CD-D0461D22C827}"/>
    <cellStyle name="Normal 2 8 3 3 2 5" xfId="16818" xr:uid="{74422C01-685B-4355-AAEA-AF1C6B3E7D79}"/>
    <cellStyle name="Normal 2 8 3 3 3" xfId="6321" xr:uid="{279D0E37-90D2-4222-9285-6030E28A6DF6}"/>
    <cellStyle name="Normal 2 8 3 3 3 2" xfId="27667" xr:uid="{6FB621B3-9AD1-4BB6-8F80-C57F0EE981D3}"/>
    <cellStyle name="Normal 2 8 3 3 3 3" xfId="15890" xr:uid="{CB285C85-0806-410C-B223-4962D476FEC6}"/>
    <cellStyle name="Normal 2 8 3 3 4" xfId="8343" xr:uid="{3FD44BF7-A114-4295-8619-ECA18BD88F96}"/>
    <cellStyle name="Normal 2 8 3 3 4 2" xfId="18723" xr:uid="{7D706125-C714-41D5-8B57-9266C8E5E41D}"/>
    <cellStyle name="Normal 2 8 3 3 5" xfId="11176" xr:uid="{3FCC255D-4B84-44AD-9636-A3A2B72B6B99}"/>
    <cellStyle name="Normal 2 8 3 3 5 2" xfId="21556" xr:uid="{572DC6E6-8985-4FD9-AC2A-016B7FFE0041}"/>
    <cellStyle name="Normal 2 8 3 3 6" xfId="22846" xr:uid="{2BB0CEB5-1638-407D-92A5-AF6A231A7822}"/>
    <cellStyle name="Normal 2 8 3 3 7" xfId="13811" xr:uid="{9296A94C-12A0-42CC-BB7A-168FD37B53E6}"/>
    <cellStyle name="Normal 2 8 3 4" xfId="3261" xr:uid="{00000000-0005-0000-0000-0000F4040000}"/>
    <cellStyle name="Normal 2 8 3 4 2" xfId="6319" xr:uid="{14919506-F606-461B-B41D-72C7D86A95BD}"/>
    <cellStyle name="Normal 2 8 3 4 2 2" xfId="27072" xr:uid="{76F5C591-49A1-4806-9F92-9DB76AB64083}"/>
    <cellStyle name="Normal 2 8 3 4 2 3" xfId="15888" xr:uid="{016EB0A9-4FE7-4904-93A8-9D4FD346A065}"/>
    <cellStyle name="Normal 2 8 3 4 3" xfId="8341" xr:uid="{84E0DE4A-7166-4129-84FC-03A751374921}"/>
    <cellStyle name="Normal 2 8 3 4 3 2" xfId="18721" xr:uid="{1BFCEABB-CA3D-43AE-9144-A7C7BBD81D2A}"/>
    <cellStyle name="Normal 2 8 3 4 4" xfId="11174" xr:uid="{FDCB34B3-A7C8-410F-8351-51348C246EC1}"/>
    <cellStyle name="Normal 2 8 3 4 4 2" xfId="21554" xr:uid="{42CFB193-07F8-4960-A351-EE292CD41811}"/>
    <cellStyle name="Normal 2 8 3 4 5" xfId="25201" xr:uid="{48EE267E-D509-48D9-8E1E-EB7D4D2017E6}"/>
    <cellStyle name="Normal 2 8 3 4 6" xfId="13809" xr:uid="{05B8532D-B56A-489B-98BE-3669A7F17100}"/>
    <cellStyle name="Normal 2 8 3 5" xfId="2624" xr:uid="{00000000-0005-0000-0000-0000F5040000}"/>
    <cellStyle name="Normal 2 8 3 5 2" xfId="5886" xr:uid="{9A8A9323-7AE6-40BB-B754-36EC30028BE6}"/>
    <cellStyle name="Normal 2 8 3 5 2 2" xfId="26157" xr:uid="{A20DC687-5F32-4034-8A17-2601DBC372EB}"/>
    <cellStyle name="Normal 2 8 3 5 2 3" xfId="15296" xr:uid="{990C1D93-C515-4F0D-8131-322B43F7B8CC}"/>
    <cellStyle name="Normal 2 8 3 5 3" xfId="7749" xr:uid="{454114AE-7AEB-49B9-B36B-768C7BCF914E}"/>
    <cellStyle name="Normal 2 8 3 5 3 2" xfId="18129" xr:uid="{71E1F9B9-4024-488D-A226-945B9AB0FA01}"/>
    <cellStyle name="Normal 2 8 3 5 4" xfId="10582" xr:uid="{2B3C5ECB-70C4-4606-9DDC-843CAAA98B1F}"/>
    <cellStyle name="Normal 2 8 3 5 4 2" xfId="20962" xr:uid="{3697A04A-1C78-41C6-8177-74F6DB38E2E7}"/>
    <cellStyle name="Normal 2 8 3 5 5" xfId="23263" xr:uid="{86FB51D7-8590-48B1-BFEC-304D10C56C6C}"/>
    <cellStyle name="Normal 2 8 3 5 6" xfId="13012" xr:uid="{CB326828-C6BC-4D99-8C3E-6149D0EE0BC5}"/>
    <cellStyle name="Normal 2 8 3 6" xfId="4175" xr:uid="{2BF2C53F-CF90-4E79-B6F1-AA1C6B49B262}"/>
    <cellStyle name="Normal 2 8 3 6 2" xfId="8947" xr:uid="{CC1D5B72-12BC-49AE-8051-9F414A0754E5}"/>
    <cellStyle name="Normal 2 8 3 6 2 2" xfId="19327" xr:uid="{11F599AC-CEF8-443B-94B9-0D10200E6597}"/>
    <cellStyle name="Normal 2 8 3 6 3" xfId="11780" xr:uid="{2F3FEE01-A477-4489-9A49-9BC60CBB444B}"/>
    <cellStyle name="Normal 2 8 3 6 3 2" xfId="22160" xr:uid="{394D04A4-DDA6-4BA4-8CC4-CA26E692393C}"/>
    <cellStyle name="Normal 2 8 3 6 4" xfId="24465" xr:uid="{700999BE-0B15-4696-B088-844B62FC8475}"/>
    <cellStyle name="Normal 2 8 3 6 5" xfId="16494" xr:uid="{3D12A16F-E536-4B3A-9019-F138C7D11A92}"/>
    <cellStyle name="Normal 2 8 3 7" xfId="5186" xr:uid="{14A31ADD-2E6B-46C3-9E3A-E7C64FECAC27}"/>
    <cellStyle name="Normal 2 8 3 7 2" xfId="14483" xr:uid="{8061915E-3A6A-482D-9422-9284FF76093D}"/>
    <cellStyle name="Normal 2 8 3 8" xfId="6936" xr:uid="{0467EFA4-6627-44FD-AEEB-166630D9B8BE}"/>
    <cellStyle name="Normal 2 8 3 8 2" xfId="17316" xr:uid="{922BED87-D10C-464F-98AB-8EA4B34D6DFA}"/>
    <cellStyle name="Normal 2 8 3 9" xfId="9769" xr:uid="{9C875BDA-2981-48B8-ADBB-377E072090EF}"/>
    <cellStyle name="Normal 2 8 3 9 2" xfId="20149" xr:uid="{9CDE13C9-8692-47A0-88B9-85608CF777E8}"/>
    <cellStyle name="Normal 2 8 4" xfId="835" xr:uid="{00000000-0005-0000-0000-0000EF040000}"/>
    <cellStyle name="Normal 2 8 4 2" xfId="3264" xr:uid="{00000000-0005-0000-0000-0000F7040000}"/>
    <cellStyle name="Normal 2 8 4 2 2" xfId="6322" xr:uid="{85D5D0ED-3998-423F-85D6-D7F2C7EEB6F6}"/>
    <cellStyle name="Normal 2 8 4 2 2 2" xfId="28414" xr:uid="{7B6C017D-A110-4B25-AC70-1FFF71EBB8FF}"/>
    <cellStyle name="Normal 2 8 4 2 2 3" xfId="15891" xr:uid="{3289FA99-5F4F-4107-ABB3-6495CC572AC2}"/>
    <cellStyle name="Normal 2 8 4 2 3" xfId="8344" xr:uid="{FB0342AB-9DF9-4F40-B43B-8979CBC51628}"/>
    <cellStyle name="Normal 2 8 4 2 3 2" xfId="18724" xr:uid="{60975CA2-8649-4683-82BB-53D1F33969FB}"/>
    <cellStyle name="Normal 2 8 4 2 4" xfId="11177" xr:uid="{6E433FE9-9821-49C9-A393-B052723ADD27}"/>
    <cellStyle name="Normal 2 8 4 2 4 2" xfId="21557" xr:uid="{A28635D2-C8A0-4D50-A0B5-FDCFD80FECBE}"/>
    <cellStyle name="Normal 2 8 4 2 5" xfId="24881" xr:uid="{245BB831-80AE-44B3-9E10-6B402E97DCF8}"/>
    <cellStyle name="Normal 2 8 4 2 6" xfId="13812" xr:uid="{98B15CF9-1ED3-43C2-98D6-29F7FB5E7FEA}"/>
    <cellStyle name="Normal 2 8 4 3" xfId="4318" xr:uid="{BCB18D81-EA89-4B82-A56D-4F6ABD77718E}"/>
    <cellStyle name="Normal 2 8 4 3 2" xfId="9090" xr:uid="{13DC86AC-6F69-4A59-BBCE-A4FAF1E15F90}"/>
    <cellStyle name="Normal 2 8 4 3 2 2" xfId="29133" xr:uid="{2E1D8AC7-D2E8-4AAA-BCDD-339074F81B81}"/>
    <cellStyle name="Normal 2 8 4 3 2 3" xfId="19470" xr:uid="{5E32389D-45B0-4C64-A0EF-2DF86E2B2567}"/>
    <cellStyle name="Normal 2 8 4 3 3" xfId="11923" xr:uid="{CEA9BC84-DAEB-42D8-ABF9-A3962AED31E7}"/>
    <cellStyle name="Normal 2 8 4 3 3 2" xfId="22303" xr:uid="{1028DFFD-EC58-472D-8554-DFF6C3768473}"/>
    <cellStyle name="Normal 2 8 4 3 4" xfId="23311" xr:uid="{C6C77F9D-6399-41CE-A380-A99D83F12098}"/>
    <cellStyle name="Normal 2 8 4 3 5" xfId="16637" xr:uid="{A416AFA9-6AFC-4011-A3D2-91C0AFB8D4D9}"/>
    <cellStyle name="Normal 2 8 4 4" xfId="5187" xr:uid="{A2219C34-4BD7-46B2-82F1-573F84CAEB23}"/>
    <cellStyle name="Normal 2 8 4 4 2" xfId="25858" xr:uid="{944FF65E-C124-4482-8EE6-206DFE1DEC94}"/>
    <cellStyle name="Normal 2 8 4 4 3" xfId="14484" xr:uid="{AC7FFCC3-39B8-483B-9053-711A7D4DBA6C}"/>
    <cellStyle name="Normal 2 8 4 5" xfId="6937" xr:uid="{C93BB016-41FA-4908-B435-B37956C8DA8F}"/>
    <cellStyle name="Normal 2 8 4 5 2" xfId="17317" xr:uid="{58DECF45-AB2C-4597-9E9F-91FC270AA1C6}"/>
    <cellStyle name="Normal 2 8 4 6" xfId="9770" xr:uid="{627620D3-F821-46A0-A7BF-2BFCC84DC435}"/>
    <cellStyle name="Normal 2 8 4 6 2" xfId="20150" xr:uid="{FF9D7BA1-BAA8-4E88-AA3F-9136D759C909}"/>
    <cellStyle name="Normal 2 8 4 7" xfId="23267" xr:uid="{1DAD77E2-B79D-4ED5-9EF7-A316C3DB968D}"/>
    <cellStyle name="Normal 2 8 4 8" xfId="13199" xr:uid="{9A496A9C-CBD9-4D16-8FC2-C445D0CD8337}"/>
    <cellStyle name="Normal 2 8 5" xfId="3265" xr:uid="{00000000-0005-0000-0000-0000F8040000}"/>
    <cellStyle name="Normal 2 8 5 2" xfId="4500" xr:uid="{95CE7CBC-1CDF-4046-832D-591E97A7B94B}"/>
    <cellStyle name="Normal 2 8 5 2 2" xfId="9272" xr:uid="{B4C87EE0-318C-4084-A168-600F15E93567}"/>
    <cellStyle name="Normal 2 8 5 2 2 2" xfId="29255" xr:uid="{A2446C45-DFF1-4140-9BA8-BB45DEE21411}"/>
    <cellStyle name="Normal 2 8 5 2 2 3" xfId="19652" xr:uid="{2BE5E4A7-BA9E-4FE9-B23C-9E3986D4913F}"/>
    <cellStyle name="Normal 2 8 5 2 3" xfId="12105" xr:uid="{B0D6BD58-A5C7-490B-A536-78A00116E9D9}"/>
    <cellStyle name="Normal 2 8 5 2 3 2" xfId="22485" xr:uid="{FFF32534-C8EF-4D49-8E8D-5F47F097BC80}"/>
    <cellStyle name="Normal 2 8 5 2 4" xfId="22638" xr:uid="{2A814E38-8C81-4220-A0FB-6ADE38D1F438}"/>
    <cellStyle name="Normal 2 8 5 2 5" xfId="16819" xr:uid="{DAD025AD-137B-4154-BB4B-4383D25FB0B6}"/>
    <cellStyle name="Normal 2 8 5 3" xfId="6323" xr:uid="{854B9F0F-FE80-4F2A-8D9A-6A844AFA80D8}"/>
    <cellStyle name="Normal 2 8 5 3 2" xfId="27937" xr:uid="{E44DBAFE-CE90-40B9-857B-8F4493FB6303}"/>
    <cellStyle name="Normal 2 8 5 3 3" xfId="15892" xr:uid="{78CAEF5E-B984-4B48-9CA2-5761637A23FA}"/>
    <cellStyle name="Normal 2 8 5 4" xfId="8345" xr:uid="{5CD86AA9-79AF-4DDE-B39C-B50CD8EE6E85}"/>
    <cellStyle name="Normal 2 8 5 4 2" xfId="18725" xr:uid="{63D7B1FD-84E9-4095-B076-B2D617BEDCAC}"/>
    <cellStyle name="Normal 2 8 5 5" xfId="11178" xr:uid="{4069BDF2-1CD4-482D-AA9D-B13EFEC32A9B}"/>
    <cellStyle name="Normal 2 8 5 5 2" xfId="21558" xr:uid="{6DB0EF5D-EFB5-482F-9AAF-268EF1369D1A}"/>
    <cellStyle name="Normal 2 8 5 6" xfId="23607" xr:uid="{DFE117AC-76B4-4D0E-AA1A-E74940FB7B57}"/>
    <cellStyle name="Normal 2 8 5 7" xfId="13813" xr:uid="{6728430F-0CB2-4D6D-BAB9-8F1200CD5761}"/>
    <cellStyle name="Normal 2 8 6" xfId="2916" xr:uid="{00000000-0005-0000-0000-0000F9040000}"/>
    <cellStyle name="Normal 2 8 6 2" xfId="6102" xr:uid="{3693C27C-9C82-4C65-9591-784D8D626FCB}"/>
    <cellStyle name="Normal 2 8 6 2 2" xfId="27482" xr:uid="{6BBD19E0-688D-42C3-8C43-1C1960668AC1}"/>
    <cellStyle name="Normal 2 8 6 2 3" xfId="15580" xr:uid="{D0A58AE8-0DB1-4F0C-8D4C-F1DD7F8F4680}"/>
    <cellStyle name="Normal 2 8 6 3" xfId="8033" xr:uid="{096BBCC9-9439-4C9F-9334-39835D0032F4}"/>
    <cellStyle name="Normal 2 8 6 3 2" xfId="18413" xr:uid="{B649D071-9CDD-4A73-8D53-4EAA7CF837BE}"/>
    <cellStyle name="Normal 2 8 6 4" xfId="10866" xr:uid="{14ACB2B7-C1CE-4C26-824D-067072A7B1AD}"/>
    <cellStyle name="Normal 2 8 6 4 2" xfId="21246" xr:uid="{774D63A6-A79C-4CEB-9E63-2073C231EAAD}"/>
    <cellStyle name="Normal 2 8 6 5" xfId="24171" xr:uid="{231ED169-C61C-42F7-BA8F-F4012A3181B1}"/>
    <cellStyle name="Normal 2 8 6 6" xfId="13433" xr:uid="{659CBC7B-9ABB-4AB1-8F3D-357496DEED41}"/>
    <cellStyle name="Normal 2 8 7" xfId="2461" xr:uid="{00000000-0005-0000-0000-0000FA040000}"/>
    <cellStyle name="Normal 2 8 7 2" xfId="5752" xr:uid="{420CE77F-EE6E-4112-8B6D-3CFBF78B7730}"/>
    <cellStyle name="Normal 2 8 7 2 2" xfId="27991" xr:uid="{20103475-62D2-4261-B302-1B01631AE386}"/>
    <cellStyle name="Normal 2 8 7 2 3" xfId="15133" xr:uid="{2A5CAF93-C37E-4FC4-8D37-9AA66B390343}"/>
    <cellStyle name="Normal 2 8 7 3" xfId="7586" xr:uid="{E1369DA1-6936-445E-9776-756E8BC8A4CB}"/>
    <cellStyle name="Normal 2 8 7 3 2" xfId="17966" xr:uid="{3C4D9E62-5CFD-4054-BAD8-1A521F76900D}"/>
    <cellStyle name="Normal 2 8 7 4" xfId="10419" xr:uid="{E79E2D67-6E66-4D1F-A14C-80F69888CADF}"/>
    <cellStyle name="Normal 2 8 7 4 2" xfId="20799" xr:uid="{77C04EC2-1CB6-4C6B-A6F3-CC7D2DFEDD82}"/>
    <cellStyle name="Normal 2 8 7 5" xfId="25411" xr:uid="{25ECFBBE-39EF-4C18-A5C1-1F5517440866}"/>
    <cellStyle name="Normal 2 8 7 6" xfId="12849" xr:uid="{79B52061-FC86-493E-A650-BAAF17EF6A1E}"/>
    <cellStyle name="Normal 2 8 8" xfId="2215" xr:uid="{00000000-0005-0000-0000-0000E9040000}"/>
    <cellStyle name="Normal 2 8 8 2" xfId="7342" xr:uid="{CA5977A6-D876-44D7-9FEE-2357535D8C47}"/>
    <cellStyle name="Normal 2 8 8 2 2" xfId="17722" xr:uid="{091F2F03-EE83-4D67-BD98-6A61487DE4CE}"/>
    <cellStyle name="Normal 2 8 8 3" xfId="10175" xr:uid="{35FD768A-F8BE-4139-B45B-9B79276C13A7}"/>
    <cellStyle name="Normal 2 8 8 3 2" xfId="20555" xr:uid="{B4DDFE62-1DA1-4DB4-8C1A-EF71AA2CC2BA}"/>
    <cellStyle name="Normal 2 8 8 4" xfId="23036" xr:uid="{21C5D77E-84B8-432F-BAC9-2B1CD3BC24D3}"/>
    <cellStyle name="Normal 2 8 8 5" xfId="14889" xr:uid="{F67F2C44-1844-4646-8932-02499AB1508C}"/>
    <cellStyle name="Normal 2 8 9" xfId="3953" xr:uid="{7F9AEA47-05A2-4632-BE95-7A005B713566}"/>
    <cellStyle name="Normal 2 8 9 2" xfId="8785" xr:uid="{05CB76DB-E328-4BB1-8299-DD519B85DB30}"/>
    <cellStyle name="Normal 2 8 9 2 2" xfId="19165" xr:uid="{E1EBE4D3-4C7E-4FCC-A577-72C43EB1B830}"/>
    <cellStyle name="Normal 2 8 9 3" xfId="11618" xr:uid="{93958A23-51FE-4E74-9ED4-25D8F1D51CAC}"/>
    <cellStyle name="Normal 2 8 9 3 2" xfId="21998" xr:uid="{D0DD4502-6BC4-4349-9F52-3C6FADA4652B}"/>
    <cellStyle name="Normal 2 8 9 4" xfId="16332" xr:uid="{DB231EA8-1B2B-4EB4-8D41-C5FF5053E382}"/>
    <cellStyle name="Normal 2 9" xfId="836" xr:uid="{00000000-0005-0000-0000-0000F0040000}"/>
    <cellStyle name="Normal 2 9 10" xfId="6938" xr:uid="{AE91DB65-462D-4B5C-AB78-BB7A9C4C1098}"/>
    <cellStyle name="Normal 2 9 10 2" xfId="17318" xr:uid="{81D91532-F291-45F6-BE73-94B8507E2777}"/>
    <cellStyle name="Normal 2 9 11" xfId="9771" xr:uid="{813114C5-7C81-4734-A594-0734672162FA}"/>
    <cellStyle name="Normal 2 9 11 2" xfId="20151" xr:uid="{C6CAD91E-5E0F-404D-8669-680F55BB61FD}"/>
    <cellStyle name="Normal 2 9 12" xfId="23147" xr:uid="{E3BC9E6D-5A75-453D-B04D-76D55DE24A17}"/>
    <cellStyle name="Normal 2 9 13" xfId="12430" xr:uid="{1372F135-4AD4-4119-8683-E26CA330B9F6}"/>
    <cellStyle name="Normal 2 9 2" xfId="837" xr:uid="{00000000-0005-0000-0000-0000F1040000}"/>
    <cellStyle name="Normal 2 9 2 10" xfId="9772" xr:uid="{E01CF497-B008-4467-9C31-E0F563EBE783}"/>
    <cellStyle name="Normal 2 9 2 10 2" xfId="20152" xr:uid="{FFB455CC-C063-4331-9150-ACA5B7A096E8}"/>
    <cellStyle name="Normal 2 9 2 11" xfId="23145" xr:uid="{648A3B76-8A1F-41BA-98A6-3039BE86B862}"/>
    <cellStyle name="Normal 2 9 2 12" xfId="12578" xr:uid="{3FAE6098-EF46-4075-BFD7-F975FAE69D97}"/>
    <cellStyle name="Normal 2 9 2 2" xfId="838" xr:uid="{00000000-0005-0000-0000-0000F2040000}"/>
    <cellStyle name="Normal 2 9 2 2 2" xfId="3267" xr:uid="{00000000-0005-0000-0000-0000FE040000}"/>
    <cellStyle name="Normal 2 9 2 2 2 2" xfId="6325" xr:uid="{BC3E04BF-06A6-49DA-9BDD-1001E2153D9B}"/>
    <cellStyle name="Normal 2 9 2 2 2 2 2" xfId="27094" xr:uid="{78DB5D1E-2581-4FDD-9855-9E9066146A65}"/>
    <cellStyle name="Normal 2 9 2 2 2 2 3" xfId="26346" xr:uid="{6070CD22-E1E7-4A24-8700-D6D38B259B17}"/>
    <cellStyle name="Normal 2 9 2 2 2 2 4" xfId="15894" xr:uid="{98AE0B87-97FF-4087-9D55-923819B6276F}"/>
    <cellStyle name="Normal 2 9 2 2 2 3" xfId="8347" xr:uid="{6F69A483-05D6-408C-AF66-3801C6D82C5C}"/>
    <cellStyle name="Normal 2 9 2 2 2 3 2" xfId="28892" xr:uid="{3B3DF95B-9710-43C0-B4FE-D32747372805}"/>
    <cellStyle name="Normal 2 9 2 2 2 3 3" xfId="18727" xr:uid="{72F0DD08-55BA-45C8-A9B6-53726D6507C9}"/>
    <cellStyle name="Normal 2 9 2 2 2 4" xfId="11180" xr:uid="{690270E6-BDEE-4DE1-A5C9-6CEE194A944E}"/>
    <cellStyle name="Normal 2 9 2 2 2 4 2" xfId="21560" xr:uid="{D892CF92-4C9A-47C2-8E76-BB7A8D5320C3}"/>
    <cellStyle name="Normal 2 9 2 2 2 5" xfId="23613" xr:uid="{2FED118A-E829-41D7-9C40-71245A77AE30}"/>
    <cellStyle name="Normal 2 9 2 2 2 6" xfId="13815" xr:uid="{E0E0AAB3-5DFC-4FF3-A25B-55EECC2EF0BA}"/>
    <cellStyle name="Normal 2 9 2 2 3" xfId="4321" xr:uid="{86E8F31E-C380-4499-BDA0-8BBA65CBE9AE}"/>
    <cellStyle name="Normal 2 9 2 2 3 2" xfId="9093" xr:uid="{7EA7BE6E-5CC5-489E-AD09-83AD5DA976D9}"/>
    <cellStyle name="Normal 2 9 2 2 3 2 2" xfId="29136" xr:uid="{A895FE8F-DEDD-44A2-B9B0-6C5C1919C77C}"/>
    <cellStyle name="Normal 2 9 2 2 3 2 3" xfId="19473" xr:uid="{ED575612-F87A-4071-99D9-7B625270E99B}"/>
    <cellStyle name="Normal 2 9 2 2 3 3" xfId="11926" xr:uid="{CBAC65B9-B5DF-4B11-B8DE-4F388D902F23}"/>
    <cellStyle name="Normal 2 9 2 2 3 3 2" xfId="22306" xr:uid="{887A88F4-A0F8-49E7-A3A3-F8D97084DF81}"/>
    <cellStyle name="Normal 2 9 2 2 3 4" xfId="25366" xr:uid="{57475732-5FC8-4A50-92D6-7ED3409C951A}"/>
    <cellStyle name="Normal 2 9 2 2 3 5" xfId="16640" xr:uid="{EEF5B393-3F27-4FEC-892E-4D904216A071}"/>
    <cellStyle name="Normal 2 9 2 2 4" xfId="5190" xr:uid="{4F8F5739-9B5B-4D25-9AF3-72DBD73FC352}"/>
    <cellStyle name="Normal 2 9 2 2 4 2" xfId="26717" xr:uid="{872ABD52-BCA1-46B8-B6B1-EB5CC24308E9}"/>
    <cellStyle name="Normal 2 9 2 2 4 3" xfId="14487" xr:uid="{EB7AA30A-1930-4DCB-8EDC-424353899242}"/>
    <cellStyle name="Normal 2 9 2 2 5" xfId="6940" xr:uid="{2471E609-4543-4A59-B2B1-EA297D8EF1B6}"/>
    <cellStyle name="Normal 2 9 2 2 5 2" xfId="17320" xr:uid="{63BDBE83-3696-4219-82B8-38C6485A4DFE}"/>
    <cellStyle name="Normal 2 9 2 2 6" xfId="9773" xr:uid="{1EE7E42D-EEEC-44DC-973F-C2C11F9E4AC9}"/>
    <cellStyle name="Normal 2 9 2 2 6 2" xfId="20153" xr:uid="{47C76B62-FBA5-4520-951D-E4DD4C60C5DC}"/>
    <cellStyle name="Normal 2 9 2 2 7" xfId="25093" xr:uid="{CE6BC1E3-520B-4A77-81D9-6F6DFA50E449}"/>
    <cellStyle name="Normal 2 9 2 2 8" xfId="13203" xr:uid="{636C9AE1-F46B-4B02-A568-66AC5BFA40F3}"/>
    <cellStyle name="Normal 2 9 2 3" xfId="3268" xr:uid="{00000000-0005-0000-0000-0000FF040000}"/>
    <cellStyle name="Normal 2 9 2 3 2" xfId="4501" xr:uid="{62C96393-4FE8-40F3-8D74-4345E5A07775}"/>
    <cellStyle name="Normal 2 9 2 3 2 2" xfId="9273" xr:uid="{6DAC3865-A2FF-4794-A46C-C8C5852D9D7A}"/>
    <cellStyle name="Normal 2 9 2 3 2 2 2" xfId="29256" xr:uid="{ECC46C3C-044D-4249-93BF-3BB0FE3D99F0}"/>
    <cellStyle name="Normal 2 9 2 3 2 2 3" xfId="19653" xr:uid="{D72677FB-ABC5-4536-8A88-A3721A9427DB}"/>
    <cellStyle name="Normal 2 9 2 3 2 3" xfId="12106" xr:uid="{304DFD41-DA44-4610-9E54-C9515243D7AC}"/>
    <cellStyle name="Normal 2 9 2 3 2 3 2" xfId="22486" xr:uid="{080EB41A-5EF9-4DB2-81D4-3991C5B50D46}"/>
    <cellStyle name="Normal 2 9 2 3 2 4" xfId="25656" xr:uid="{2C35C3F0-D685-4F1A-8870-5100053CE3DE}"/>
    <cellStyle name="Normal 2 9 2 3 2 5" xfId="16820" xr:uid="{93A1B342-A329-436E-A67A-CDFEF105EA9D}"/>
    <cellStyle name="Normal 2 9 2 3 3" xfId="6326" xr:uid="{36B46BEF-5272-4DEB-B8C9-D309A4C0D01A}"/>
    <cellStyle name="Normal 2 9 2 3 3 2" xfId="26623" xr:uid="{7EF5CCC7-1661-41C8-8F51-91A82D582E05}"/>
    <cellStyle name="Normal 2 9 2 3 3 3" xfId="15895" xr:uid="{D62A693F-7E62-461C-B2AC-771054239156}"/>
    <cellStyle name="Normal 2 9 2 3 4" xfId="8348" xr:uid="{9106625A-06CF-4249-9194-B32D172824AA}"/>
    <cellStyle name="Normal 2 9 2 3 4 2" xfId="18728" xr:uid="{72B4B531-7683-420D-9534-E54473519D07}"/>
    <cellStyle name="Normal 2 9 2 3 5" xfId="11181" xr:uid="{0446E31B-373D-4B61-B842-661ED9BFB34F}"/>
    <cellStyle name="Normal 2 9 2 3 5 2" xfId="21561" xr:uid="{3239258A-CB82-4477-BD4D-A18CEEAECFE0}"/>
    <cellStyle name="Normal 2 9 2 3 6" xfId="24406" xr:uid="{9CA6F528-E4B1-4655-9801-A946FB4A526B}"/>
    <cellStyle name="Normal 2 9 2 3 7" xfId="13816" xr:uid="{631B24A0-C0BB-4E46-BF30-FA5F4E08494F}"/>
    <cellStyle name="Normal 2 9 2 4" xfId="3266" xr:uid="{00000000-0005-0000-0000-000000050000}"/>
    <cellStyle name="Normal 2 9 2 4 2" xfId="6324" xr:uid="{1E3C4857-9BEB-4C7B-81E4-DDF53B409D91}"/>
    <cellStyle name="Normal 2 9 2 4 2 2" xfId="27399" xr:uid="{81A83845-D759-42FC-8F40-AB74B0C376FD}"/>
    <cellStyle name="Normal 2 9 2 4 2 3" xfId="15893" xr:uid="{179A5118-F3DE-4E11-97A8-DC1769150E8D}"/>
    <cellStyle name="Normal 2 9 2 4 3" xfId="8346" xr:uid="{07B7AB1B-27C9-410F-BFC3-7D3954BAF0D9}"/>
    <cellStyle name="Normal 2 9 2 4 3 2" xfId="18726" xr:uid="{CFBC9074-8994-40B4-8FD5-98190E218E58}"/>
    <cellStyle name="Normal 2 9 2 4 4" xfId="11179" xr:uid="{9F426A67-9181-4D6B-8518-FBC4828F7967}"/>
    <cellStyle name="Normal 2 9 2 4 4 2" xfId="21559" xr:uid="{0E2FDCDC-F11E-40FE-9010-9B189C24F7B1}"/>
    <cellStyle name="Normal 2 9 2 4 5" xfId="23276" xr:uid="{B32EF0C1-0295-401D-AFC5-5D8711CCD00E}"/>
    <cellStyle name="Normal 2 9 2 4 6" xfId="13814" xr:uid="{B76AD3A9-160A-4598-9630-B593C0FBDB5D}"/>
    <cellStyle name="Normal 2 9 2 5" xfId="2607" xr:uid="{00000000-0005-0000-0000-000001050000}"/>
    <cellStyle name="Normal 2 9 2 5 2" xfId="5871" xr:uid="{DD5BE773-1AF6-446D-B356-77AF6C8C18AF}"/>
    <cellStyle name="Normal 2 9 2 5 2 2" xfId="26930" xr:uid="{992A6211-84BA-489B-8549-5EDC5C8CB2CE}"/>
    <cellStyle name="Normal 2 9 2 5 2 3" xfId="15279" xr:uid="{BDAD92F1-CA7C-4B52-8C8B-8172C043EA4A}"/>
    <cellStyle name="Normal 2 9 2 5 3" xfId="7732" xr:uid="{828B97EE-A4FA-44E2-9289-EC087A9630A6}"/>
    <cellStyle name="Normal 2 9 2 5 3 2" xfId="18112" xr:uid="{84C3E0AD-267D-4531-9F14-16BA000856FE}"/>
    <cellStyle name="Normal 2 9 2 5 4" xfId="10565" xr:uid="{2D48B757-10C2-44D5-9D13-D6630200FCA6}"/>
    <cellStyle name="Normal 2 9 2 5 4 2" xfId="20945" xr:uid="{9E5DC150-175A-49E1-95A0-D9C2E168F842}"/>
    <cellStyle name="Normal 2 9 2 5 5" xfId="23618" xr:uid="{235E0E35-E516-4C73-8F56-488438A8219B}"/>
    <cellStyle name="Normal 2 9 2 5 6" xfId="12995" xr:uid="{EBFF9979-BDAF-4056-9939-7C4F71623F59}"/>
    <cellStyle name="Normal 2 9 2 6" xfId="2344" xr:uid="{00000000-0005-0000-0000-0000FC040000}"/>
    <cellStyle name="Normal 2 9 2 6 2" xfId="7471" xr:uid="{A3825031-8A35-4751-8319-16D4250773A9}"/>
    <cellStyle name="Normal 2 9 2 6 2 2" xfId="17851" xr:uid="{6A6D7382-3B15-4E63-A0C5-35AE511A4D28}"/>
    <cellStyle name="Normal 2 9 2 6 3" xfId="10304" xr:uid="{6C9F06F4-90AC-4A47-8BE9-19945091BC32}"/>
    <cellStyle name="Normal 2 9 2 6 3 2" xfId="20684" xr:uid="{752FD9A0-BE7C-48C3-B6D8-DE200E7B8317}"/>
    <cellStyle name="Normal 2 9 2 6 4" xfId="23980" xr:uid="{882BB1E2-213A-40B5-801C-F92C8B2F8CAB}"/>
    <cellStyle name="Normal 2 9 2 6 5" xfId="15018" xr:uid="{454A5831-CC45-4159-9566-0B45C4292BCE}"/>
    <cellStyle name="Normal 2 9 2 7" xfId="3856" xr:uid="{84458B14-819A-4001-A5E2-AA7DE137479C}"/>
    <cellStyle name="Normal 2 9 2 7 2" xfId="8688" xr:uid="{7C231452-00D8-44C5-850F-2F5CF8904CAD}"/>
    <cellStyle name="Normal 2 9 2 7 2 2" xfId="19068" xr:uid="{57B9845F-62D3-4CBC-BB13-8F55090DAEFE}"/>
    <cellStyle name="Normal 2 9 2 7 3" xfId="11521" xr:uid="{099BBE67-BED5-46EE-A703-C1CC2A10DAD7}"/>
    <cellStyle name="Normal 2 9 2 7 3 2" xfId="21901" xr:uid="{CCEB56CF-F371-4221-BA1B-97CB9CFBBB55}"/>
    <cellStyle name="Normal 2 9 2 7 4" xfId="16235" xr:uid="{7988E97A-6A84-4E79-ACD1-EF42CE5806AC}"/>
    <cellStyle name="Normal 2 9 2 8" xfId="5189" xr:uid="{07B9A2AF-5381-4C50-BB18-E66CF69E1F35}"/>
    <cellStyle name="Normal 2 9 2 8 2" xfId="14486" xr:uid="{594BB21B-5250-4B9D-BCAA-F58B21B491EC}"/>
    <cellStyle name="Normal 2 9 2 9" xfId="6939" xr:uid="{10380160-24E4-4287-B345-BB123C557CF3}"/>
    <cellStyle name="Normal 2 9 2 9 2" xfId="17319" xr:uid="{6910957C-21B0-45DC-86B8-B601CB266F32}"/>
    <cellStyle name="Normal 2 9 3" xfId="839" xr:uid="{00000000-0005-0000-0000-0000F3040000}"/>
    <cellStyle name="Normal 2 9 3 2" xfId="3269" xr:uid="{00000000-0005-0000-0000-000003050000}"/>
    <cellStyle name="Normal 2 9 3 2 2" xfId="6327" xr:uid="{BBC012F7-9A7D-49DD-8FF5-40D30FC91CF8}"/>
    <cellStyle name="Normal 2 9 3 2 2 2" xfId="23646" xr:uid="{1C18D9CE-FF64-4E6C-9490-310C9DBD14D3}"/>
    <cellStyle name="Normal 2 9 3 2 2 3" xfId="25864" xr:uid="{E38453D7-3CA2-4BCD-A759-A27ED0D7C85F}"/>
    <cellStyle name="Normal 2 9 3 2 2 4" xfId="15896" xr:uid="{5D0B3E18-45EC-4A34-999C-A38B5D11956C}"/>
    <cellStyle name="Normal 2 9 3 2 3" xfId="8349" xr:uid="{6FE1859B-1F4B-4AE5-B006-253E9A85D689}"/>
    <cellStyle name="Normal 2 9 3 2 3 2" xfId="28893" xr:uid="{DB4F1271-2971-47BB-9434-EBC1A9A77D51}"/>
    <cellStyle name="Normal 2 9 3 2 3 3" xfId="18729" xr:uid="{A08FB64C-FD02-4DE1-98B2-CC76AD59860A}"/>
    <cellStyle name="Normal 2 9 3 2 4" xfId="11182" xr:uid="{D1F60B17-0A0A-48B6-B3F6-A364C2E8A65E}"/>
    <cellStyle name="Normal 2 9 3 2 4 2" xfId="21562" xr:uid="{F691DC2F-37A1-4850-B6B6-294ABF216EC7}"/>
    <cellStyle name="Normal 2 9 3 2 5" xfId="23450" xr:uid="{A902EA6F-8779-467F-A0AB-F89FA1D314DA}"/>
    <cellStyle name="Normal 2 9 3 2 6" xfId="13817" xr:uid="{2EF0206B-D1E4-49DF-A0B2-624BAFABC794}"/>
    <cellStyle name="Normal 2 9 3 3" xfId="2757" xr:uid="{00000000-0005-0000-0000-000004050000}"/>
    <cellStyle name="Normal 2 9 3 3 2" xfId="5975" xr:uid="{EE14B9B9-556B-4E73-97A6-A602B420A67B}"/>
    <cellStyle name="Normal 2 9 3 3 2 2" xfId="26397" xr:uid="{8A300D6B-CBD2-4CC9-A53A-F97F14E934C1}"/>
    <cellStyle name="Normal 2 9 3 3 2 3" xfId="15428" xr:uid="{1FAAA7AB-A683-47F0-8721-44B50F7F608B}"/>
    <cellStyle name="Normal 2 9 3 3 3" xfId="7881" xr:uid="{9D10ADB1-B487-465E-8521-091EAA3B6159}"/>
    <cellStyle name="Normal 2 9 3 3 3 2" xfId="18261" xr:uid="{7A07D050-F54B-44A6-B0AA-F357C660692E}"/>
    <cellStyle name="Normal 2 9 3 3 4" xfId="10714" xr:uid="{A57E7F78-0E3F-45A7-BA96-B8F956BEFD7B}"/>
    <cellStyle name="Normal 2 9 3 3 4 2" xfId="21094" xr:uid="{6F769498-F9B3-4DF4-830D-1FAC4D3441B0}"/>
    <cellStyle name="Normal 2 9 3 3 5" xfId="24394" xr:uid="{9C2732CD-0C98-47E4-8332-7F5C415C6F25}"/>
    <cellStyle name="Normal 2 9 3 3 6" xfId="13202" xr:uid="{382F7612-55F2-48F9-B04C-497CD00DF9FE}"/>
    <cellStyle name="Normal 2 9 3 4" xfId="4176" xr:uid="{6C57CACD-054E-48B2-A048-29786C24F379}"/>
    <cellStyle name="Normal 2 9 3 4 2" xfId="8948" xr:uid="{F8F2A1C3-DE61-448C-88ED-75D178793C21}"/>
    <cellStyle name="Normal 2 9 3 4 2 2" xfId="29038" xr:uid="{9B6DF6C0-F95C-461C-A3E5-633655C6CFFA}"/>
    <cellStyle name="Normal 2 9 3 4 2 3" xfId="19328" xr:uid="{108B8A07-2F86-434C-8E61-03419833586D}"/>
    <cellStyle name="Normal 2 9 3 4 3" xfId="11781" xr:uid="{BF76D129-6B8D-483E-AB44-23C8CC66B708}"/>
    <cellStyle name="Normal 2 9 3 4 3 2" xfId="22161" xr:uid="{4F7FD296-5668-47CF-84E4-4F6E07AA5347}"/>
    <cellStyle name="Normal 2 9 3 4 4" xfId="23024" xr:uid="{2720F342-B677-4933-B845-E4A73983D0D3}"/>
    <cellStyle name="Normal 2 9 3 4 5" xfId="16495" xr:uid="{1A872D12-5750-4868-B7D1-42CBA1351032}"/>
    <cellStyle name="Normal 2 9 3 5" xfId="5191" xr:uid="{5339BEE7-49BF-4EED-8093-076FF44C11A1}"/>
    <cellStyle name="Normal 2 9 3 5 2" xfId="28360" xr:uid="{18FB857A-43C8-481D-8EDE-42C5616E6A78}"/>
    <cellStyle name="Normal 2 9 3 5 3" xfId="14488" xr:uid="{BB94EF29-4372-4B52-A3B4-CAF5219F54BF}"/>
    <cellStyle name="Normal 2 9 3 6" xfId="6941" xr:uid="{6706ADBA-47C3-45D1-98BA-070E553BC50D}"/>
    <cellStyle name="Normal 2 9 3 6 2" xfId="17321" xr:uid="{16BC5282-6013-4F36-A49D-EF1DCD57E844}"/>
    <cellStyle name="Normal 2 9 3 7" xfId="9774" xr:uid="{765AB162-B962-473F-8533-4F365D25A101}"/>
    <cellStyle name="Normal 2 9 3 7 2" xfId="20154" xr:uid="{FA141201-5DC3-40D7-B45E-56E5963C75AA}"/>
    <cellStyle name="Normal 2 9 3 8" xfId="23562" xr:uid="{98595726-F428-4B11-B725-2105F6E0049B}"/>
    <cellStyle name="Normal 2 9 3 9" xfId="12736" xr:uid="{9693C5B5-154F-4ECD-B366-CF4444A44404}"/>
    <cellStyle name="Normal 2 9 4" xfId="840" xr:uid="{00000000-0005-0000-0000-0000F4040000}"/>
    <cellStyle name="Normal 2 9 4 2" xfId="4502" xr:uid="{F552828F-4638-433C-95A0-F70F96FF42C6}"/>
    <cellStyle name="Normal 2 9 4 2 2" xfId="9274" xr:uid="{8B5882C0-34B7-4018-B8AF-8A9666E84A30}"/>
    <cellStyle name="Normal 2 9 4 2 2 2" xfId="29257" xr:uid="{3A41186D-EB5D-4BF6-BAF2-DC3012D4F2F9}"/>
    <cellStyle name="Normal 2 9 4 2 2 3" xfId="19654" xr:uid="{2EEE7974-63E8-4333-B47E-0810051F19DB}"/>
    <cellStyle name="Normal 2 9 4 2 3" xfId="12107" xr:uid="{77FFCCCE-B339-49A3-AF57-6C591B460D33}"/>
    <cellStyle name="Normal 2 9 4 2 3 2" xfId="22487" xr:uid="{02ECC56F-030A-45B7-B5A5-4889A9B0C6DF}"/>
    <cellStyle name="Normal 2 9 4 2 4" xfId="23151" xr:uid="{1B612711-E694-403C-8DA7-3C97E3C646DC}"/>
    <cellStyle name="Normal 2 9 4 2 5" xfId="16821" xr:uid="{B78AA123-AC1B-44A7-8A77-2E25735F9C80}"/>
    <cellStyle name="Normal 2 9 4 3" xfId="5192" xr:uid="{72D4440E-BC3A-4554-9FB6-A1D858FC9D2E}"/>
    <cellStyle name="Normal 2 9 4 3 2" xfId="26204" xr:uid="{0A911DBC-6518-4F42-A5C9-14C7CC68276A}"/>
    <cellStyle name="Normal 2 9 4 3 3" xfId="14489" xr:uid="{FC52A404-F2D5-4898-B6ED-8CCCAF81E21C}"/>
    <cellStyle name="Normal 2 9 4 4" xfId="6942" xr:uid="{D4EB3F78-59DE-47CB-9C01-1E493E674689}"/>
    <cellStyle name="Normal 2 9 4 4 2" xfId="17322" xr:uid="{B116099D-E97C-496D-A06A-32D374CD2B84}"/>
    <cellStyle name="Normal 2 9 4 5" xfId="9775" xr:uid="{A72709CB-35E5-428D-AD5E-8448C8835858}"/>
    <cellStyle name="Normal 2 9 4 5 2" xfId="20155" xr:uid="{BD1FFA4C-667D-4073-82BA-12518B20D366}"/>
    <cellStyle name="Normal 2 9 4 6" xfId="23130" xr:uid="{9C2BDFD0-30EE-4EBC-A625-26ACF55129C4}"/>
    <cellStyle name="Normal 2 9 4 7" xfId="13818" xr:uid="{B2A2F5FB-83D0-425A-87BB-6FAD4739F9A2}"/>
    <cellStyle name="Normal 2 9 5" xfId="2917" xr:uid="{00000000-0005-0000-0000-000006050000}"/>
    <cellStyle name="Normal 2 9 5 2" xfId="6103" xr:uid="{58528CC1-6AD2-4279-88B3-36D6609DF850}"/>
    <cellStyle name="Normal 2 9 5 2 2" xfId="24075" xr:uid="{C2C5EE96-9995-440E-9BAB-6728372E79CC}"/>
    <cellStyle name="Normal 2 9 5 2 3" xfId="26764" xr:uid="{B71227A7-8E15-40FE-AB6C-C312F130A5E3}"/>
    <cellStyle name="Normal 2 9 5 2 4" xfId="15581" xr:uid="{BC502C78-C287-4AAA-B2B4-855DDE2775FC}"/>
    <cellStyle name="Normal 2 9 5 3" xfId="8034" xr:uid="{5BDB75E0-42B9-47B7-BC4F-32339D7EE5F4}"/>
    <cellStyle name="Normal 2 9 5 3 2" xfId="27595" xr:uid="{4DE08653-E695-4105-8FAF-2EC4861B3D14}"/>
    <cellStyle name="Normal 2 9 5 3 3" xfId="18414" xr:uid="{4E72B610-0225-4948-95A6-B8293541BCC2}"/>
    <cellStyle name="Normal 2 9 5 4" xfId="10867" xr:uid="{32AA6B69-933E-4213-BBD8-E8160E16B6D4}"/>
    <cellStyle name="Normal 2 9 5 4 2" xfId="21247" xr:uid="{F35A2EDB-01FD-4EF0-997D-CE0011391BF6}"/>
    <cellStyle name="Normal 2 9 5 5" xfId="22953" xr:uid="{98F40136-10FD-4A5D-954E-95D1BD6B1790}"/>
    <cellStyle name="Normal 2 9 5 6" xfId="13434" xr:uid="{6FF45A3C-E951-49D1-9CC8-9EC9CB2C2C99}"/>
    <cellStyle name="Normal 2 9 6" xfId="2444" xr:uid="{00000000-0005-0000-0000-000007050000}"/>
    <cellStyle name="Normal 2 9 6 2" xfId="5738" xr:uid="{C0BED993-F139-4C6B-A792-E132324F2C14}"/>
    <cellStyle name="Normal 2 9 6 2 2" xfId="26273" xr:uid="{E224AED6-5478-4071-AAE4-531DAAE09ED8}"/>
    <cellStyle name="Normal 2 9 6 2 3" xfId="15116" xr:uid="{C4B322CF-7FF4-46FB-9710-2B9CF49427F9}"/>
    <cellStyle name="Normal 2 9 6 3" xfId="7569" xr:uid="{6E09B0F8-1818-40FD-B0B9-2BE03937EBA0}"/>
    <cellStyle name="Normal 2 9 6 3 2" xfId="17949" xr:uid="{A2D2891C-9A94-42CD-AE40-9576749EACD4}"/>
    <cellStyle name="Normal 2 9 6 4" xfId="10402" xr:uid="{FAF89A14-3615-4B8B-9728-F0D7110BDD46}"/>
    <cellStyle name="Normal 2 9 6 4 2" xfId="20782" xr:uid="{BF8F50E0-AEAA-451D-B4EA-D6C5391055A7}"/>
    <cellStyle name="Normal 2 9 6 5" xfId="23771" xr:uid="{E27B1D7E-8871-4391-9BAF-DCBA9D83669B}"/>
    <cellStyle name="Normal 2 9 6 6" xfId="12832" xr:uid="{06E2C9D0-79AB-4E4D-B154-4572A5AC5714}"/>
    <cellStyle name="Normal 2 9 7" xfId="2198" xr:uid="{00000000-0005-0000-0000-0000FB040000}"/>
    <cellStyle name="Normal 2 9 7 2" xfId="7325" xr:uid="{EA8C2445-2A00-4AF1-8B3A-62B72269B8D5}"/>
    <cellStyle name="Normal 2 9 7 2 2" xfId="17705" xr:uid="{575865A4-C903-444A-BEFF-E672E9F80B26}"/>
    <cellStyle name="Normal 2 9 7 3" xfId="10158" xr:uid="{F12035F6-C739-489C-9EFC-F90E08ECF96A}"/>
    <cellStyle name="Normal 2 9 7 3 2" xfId="20538" xr:uid="{2453241E-7F61-4AE6-844D-52675AF13A67}"/>
    <cellStyle name="Normal 2 9 7 4" xfId="23373" xr:uid="{9E8031DF-A2E9-4D45-BFC8-2E12170B31A2}"/>
    <cellStyle name="Normal 2 9 7 5" xfId="14872" xr:uid="{E01FAD09-3F53-4B7B-A156-7DBA1FBB85AD}"/>
    <cellStyle name="Normal 2 9 8" xfId="3954" xr:uid="{CED8D824-48D3-4AEF-8F7F-55717388E9E6}"/>
    <cellStyle name="Normal 2 9 8 2" xfId="8786" xr:uid="{C9D54B9E-2B71-467B-A443-019A549ED388}"/>
    <cellStyle name="Normal 2 9 8 2 2" xfId="19166" xr:uid="{AF764DA1-8EEC-4F37-BAFF-823F4512B564}"/>
    <cellStyle name="Normal 2 9 8 3" xfId="11619" xr:uid="{4D51BDD7-64D1-4472-9612-C42DAC1C76C4}"/>
    <cellStyle name="Normal 2 9 8 3 2" xfId="21999" xr:uid="{DF92F74E-7642-42AD-AA75-8CBC2EDD46C4}"/>
    <cellStyle name="Normal 2 9 8 4" xfId="16333" xr:uid="{DEB08D9E-3D2C-4A32-A794-F6E6A1CE67C3}"/>
    <cellStyle name="Normal 2 9 9" xfId="5188" xr:uid="{FC4BB2AD-7E18-4984-98C0-6FFD72EC7400}"/>
    <cellStyle name="Normal 2 9 9 2" xfId="14485" xr:uid="{FD71FD44-744A-47E9-9921-B8D7F3880453}"/>
    <cellStyle name="Normal 20" xfId="12253" xr:uid="{27372840-47D8-489B-95A7-2CD989EBD34B}"/>
    <cellStyle name="Normal 20 2" xfId="22633" xr:uid="{40D62CA8-3A96-48B0-BE9D-F7CE8F4D3E78}"/>
    <cellStyle name="Normal 21" xfId="12384" xr:uid="{FF094764-875A-4C99-A567-5596200E8909}"/>
    <cellStyle name="Normal 22" xfId="12383" xr:uid="{8C915B8E-2FA3-4DC4-BD95-7A870649C7C0}"/>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3" xr:uid="{08D264DB-FBA0-4E76-A0A6-DD15CBF7F5DA}"/>
    <cellStyle name="Normal 3 2 2 4" xfId="847" xr:uid="{00000000-0005-0000-0000-0000FB040000}"/>
    <cellStyle name="Normal 3 2 2 4 2" xfId="848" xr:uid="{00000000-0005-0000-0000-0000FC040000}"/>
    <cellStyle name="Normal 3 2 2 4 3" xfId="3711" xr:uid="{00000000-0005-0000-0000-000069040000}"/>
    <cellStyle name="Normal 3 2 2 4 3 2" xfId="4804" xr:uid="{7E0E1DE2-FFD9-4B6C-A96E-E7DA851E3AAB}"/>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20" xr:uid="{032D5C75-76E2-40CA-A12D-BA86BF6B3032}"/>
    <cellStyle name="Normal 3 2 3 3 2 3 2 2 3" xfId="25324" xr:uid="{42CBD767-BF5C-42DC-AAFD-E88B7DD8534B}"/>
    <cellStyle name="Normal 3 2 3 3 2 3 2 3" xfId="857" xr:uid="{00000000-0005-0000-0000-000005050000}"/>
    <cellStyle name="Normal 3 2 3 3 2 3 2 3 2" xfId="1988" xr:uid="{00000000-0005-0000-0000-000006050000}"/>
    <cellStyle name="Normal 3 2 3 3 2 3 2 3 3" xfId="3712" xr:uid="{00000000-0005-0000-0000-000073040000}"/>
    <cellStyle name="Normal 3 2 3 3 2 3 2 3 3 2" xfId="4699" xr:uid="{51E09282-E913-4ED6-8E0D-C413A5D4A1F2}"/>
    <cellStyle name="Normal 3 2 3 3 2 3 2 4" xfId="25759" xr:uid="{5EC9D443-D6FF-49B3-87CB-0CAAE76577FA}"/>
    <cellStyle name="Normal 3 2 3 3 2 3 3" xfId="858" xr:uid="{00000000-0005-0000-0000-000007050000}"/>
    <cellStyle name="Normal 3 2 3 3 2 3 4" xfId="2919" xr:uid="{00000000-0005-0000-0000-000014050000}"/>
    <cellStyle name="Normal 3 2 3 3 2 3 5" xfId="2094" xr:uid="{00000000-0005-0000-0000-000008020000}"/>
    <cellStyle name="Normal 3 2 3 3 2 3 5 2" xfId="4649" xr:uid="{F5C0EA0D-9822-4FF4-BD48-55FE3EF7782D}"/>
    <cellStyle name="Normal 3 2 3 3 2 3 6" xfId="3957" xr:uid="{0E1DF840-3114-4679-8527-B4509133BFD3}"/>
    <cellStyle name="Normal 3 2 3 3 2 3 6 2" xfId="4703" xr:uid="{EBED180B-3325-462A-919B-62911980F3E3}"/>
    <cellStyle name="Normal 3 2 3 3 2 4" xfId="859" xr:uid="{00000000-0005-0000-0000-000008050000}"/>
    <cellStyle name="Normal 3 2 3 3 2 4 2" xfId="2918" xr:uid="{00000000-0005-0000-0000-000015050000}"/>
    <cellStyle name="Normal 3 2 3 3 2 4 3" xfId="23493" xr:uid="{8625022A-D38B-4880-84F6-02FA13E60E21}"/>
    <cellStyle name="Normal 3 2 3 3 2 4 3 2" xfId="29619" xr:uid="{0FEE1F9F-C76F-4B8E-A83F-EAD315906FD7}"/>
    <cellStyle name="Normal 3 2 3 3 2 4 3 3" xfId="29598" xr:uid="{ED318358-FA7F-4BE8-8DAF-D6F7186FE3D7}"/>
    <cellStyle name="Normal 3 2 3 3 2 4 3 3 2" xfId="29642" xr:uid="{6DF48563-C650-48F9-9DC2-55B9B6148D77}"/>
    <cellStyle name="Normal 3 2 3 3 2 5" xfId="2093" xr:uid="{00000000-0005-0000-0000-000006020000}"/>
    <cellStyle name="Normal 3 2 3 3 2 5 2" xfId="4666" xr:uid="{1B4AA995-6D1E-409F-BFE5-CBE6CD7AB94F}"/>
    <cellStyle name="Normal 3 2 3 3 2 6" xfId="3956" xr:uid="{F8E8F1E1-BBD4-4256-B483-D824BDAE78F4}"/>
    <cellStyle name="Normal 3 2 3 3 2 6 2" xfId="4764" xr:uid="{9F42B403-8D69-4B35-A1B8-4F04141A4544}"/>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9" xr:uid="{00000000-0005-0000-0000-00000E050000}"/>
    <cellStyle name="Normal 3 2 3 3 4 2 2 2 3" xfId="3713" xr:uid="{00000000-0005-0000-0000-00007A040000}"/>
    <cellStyle name="Normal 3 2 3 3 4 2 2 2 3 2" xfId="4775" xr:uid="{3EE6A992-6E14-412B-A546-1161B9E0D3AE}"/>
    <cellStyle name="Normal 3 2 3 3 4 2 2 2 4" xfId="24732" xr:uid="{08713468-6514-49F8-B4E6-F61F3C4FDA44}"/>
    <cellStyle name="Normal 3 2 3 3 4 2 2 3" xfId="1990" xr:uid="{00000000-0005-0000-0000-00000F050000}"/>
    <cellStyle name="Normal 3 2 3 3 4 2 2 4" xfId="22853" xr:uid="{FAB5457A-0A0A-428D-8F1B-DAFEE4F83219}"/>
    <cellStyle name="Normal 3 2 3 3 4 2 3" xfId="865" xr:uid="{00000000-0005-0000-0000-000010050000}"/>
    <cellStyle name="Normal 3 2 3 3 4 2 3 2" xfId="866" xr:uid="{00000000-0005-0000-0000-000011050000}"/>
    <cellStyle name="Normal 3 2 3 3 4 2 3 2 2" xfId="24504" xr:uid="{EE8B293B-87C8-42E1-AF32-679531BFDE2A}"/>
    <cellStyle name="Normal 3 2 3 3 4 2 3 2 3" xfId="25816" xr:uid="{7C09AC0D-5F28-421E-9E99-2079FC6A8637}"/>
    <cellStyle name="Normal 3 2 3 3 4 2 3 3" xfId="867" xr:uid="{00000000-0005-0000-0000-000012050000}"/>
    <cellStyle name="Normal 3 2 3 3 4 2 3 3 2" xfId="24082" xr:uid="{5907E1A0-6497-4B7D-B2B6-A65DF4324FD1}"/>
    <cellStyle name="Normal 3 2 3 3 4 2 3 3 3" xfId="24459" xr:uid="{1AA0180D-7B02-4838-9AC9-29190EA47CF7}"/>
    <cellStyle name="Normal 3 2 3 3 4 2 3 4" xfId="2096" xr:uid="{00000000-0005-0000-0000-00000E020000}"/>
    <cellStyle name="Normal 3 2 3 3 4 2 3 4 2" xfId="4716" xr:uid="{84F79AEF-86F1-430E-9A02-46E9B0EA2D4B}"/>
    <cellStyle name="Normal 3 2 3 3 4 2 3 5" xfId="25609" xr:uid="{AE0E7AAC-A35C-4739-83F7-24B2349D3A43}"/>
    <cellStyle name="Normal 3 2 3 3 4 2 4" xfId="23282" xr:uid="{607B55E2-785A-4475-A5AF-715CB366B607}"/>
    <cellStyle name="Normal 3 2 3 3 4 3" xfId="868" xr:uid="{00000000-0005-0000-0000-000013050000}"/>
    <cellStyle name="Normal 3 2 3 3 4 4" xfId="2920" xr:uid="{00000000-0005-0000-0000-00001D050000}"/>
    <cellStyle name="Normal 3 2 3 3 4 5" xfId="2095" xr:uid="{00000000-0005-0000-0000-00000B020000}"/>
    <cellStyle name="Normal 3 2 3 3 4 5 2" xfId="3808" xr:uid="{88D4B6F8-D038-4FA2-9B5E-8BA2B2639DFB}"/>
    <cellStyle name="Normal 3 2 3 3 4 6" xfId="3958" xr:uid="{5C36214B-B9A0-42AD-97C5-679BC9758736}"/>
    <cellStyle name="Normal 3 2 3 3 4 6 2" xfId="4776" xr:uid="{C6EA1D90-BF83-4CD0-B22B-769466A8D247}"/>
    <cellStyle name="Normal 3 2 3 3 5" xfId="869" xr:uid="{00000000-0005-0000-0000-000014050000}"/>
    <cellStyle name="Normal 3 2 3 3 5 2" xfId="870" xr:uid="{00000000-0005-0000-0000-000015050000}"/>
    <cellStyle name="Normal 3 2 3 3 5 3" xfId="3714" xr:uid="{00000000-0005-0000-0000-000081040000}"/>
    <cellStyle name="Normal 3 2 3 3 5 3 2" xfId="4789" xr:uid="{345DF071-92C4-4D83-A3A4-5CDB82EFF459}"/>
    <cellStyle name="Normal 3 2 3 3 5 3 2 2" xfId="27326" xr:uid="{36392154-9601-4751-B21A-9FC0AC69F7FB}"/>
    <cellStyle name="Normal 3 2 3 3 5 3 3" xfId="25727" xr:uid="{5EC24068-D279-40A6-85E3-7D41DE988994}"/>
    <cellStyle name="Normal 3 2 3 3 5 4" xfId="25712"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7" xr:uid="{CF3F732A-3464-44B7-ACAC-54207065C4A1}"/>
    <cellStyle name="Normal 3 2 3 4 3 2 2 3" xfId="24091" xr:uid="{464BB80B-BDC8-41C8-913C-E7E41BB7A4DF}"/>
    <cellStyle name="Normal 3 2 3 4 3 2 3" xfId="876" xr:uid="{00000000-0005-0000-0000-00001B050000}"/>
    <cellStyle name="Normal 3 2 3 4 3 2 3 2" xfId="1991" xr:uid="{00000000-0005-0000-0000-00001C050000}"/>
    <cellStyle name="Normal 3 2 3 4 3 2 3 3" xfId="3715" xr:uid="{00000000-0005-0000-0000-000088040000}"/>
    <cellStyle name="Normal 3 2 3 4 3 2 3 3 2" xfId="4771" xr:uid="{3F5C8904-0CB7-4A62-A566-1B839756158A}"/>
    <cellStyle name="Normal 3 2 3 4 3 2 4" xfId="25825" xr:uid="{1A6B0C1D-1919-427D-8E6B-3883E899BAEA}"/>
    <cellStyle name="Normal 3 2 3 4 3 3" xfId="877" xr:uid="{00000000-0005-0000-0000-00001D050000}"/>
    <cellStyle name="Normal 3 2 3 4 3 4" xfId="2921" xr:uid="{00000000-0005-0000-0000-000023050000}"/>
    <cellStyle name="Normal 3 2 3 4 3 5" xfId="2098" xr:uid="{00000000-0005-0000-0000-000012020000}"/>
    <cellStyle name="Normal 3 2 3 4 3 5 2" xfId="4671" xr:uid="{C7488697-347C-4027-9144-3C9AC3B4D98F}"/>
    <cellStyle name="Normal 3 2 3 4 3 6" xfId="3960" xr:uid="{D1FAA155-8172-43EB-ACF9-9A7AA25E3D6E}"/>
    <cellStyle name="Normal 3 2 3 4 3 6 2" xfId="4784" xr:uid="{8A9EA233-ABD3-42E4-B860-F2A4E0132FC1}"/>
    <cellStyle name="Normal 3 2 3 4 4" xfId="878" xr:uid="{00000000-0005-0000-0000-00001E050000}"/>
    <cellStyle name="Normal 3 2 3 4 4 2" xfId="1992" xr:uid="{00000000-0005-0000-0000-00001F050000}"/>
    <cellStyle name="Normal 3 2 3 4 4 3" xfId="3716" xr:uid="{00000000-0005-0000-0000-00008B040000}"/>
    <cellStyle name="Normal 3 2 3 4 4 3 2" xfId="4731" xr:uid="{6712E95B-D981-4590-85C2-AC9FC672C3C9}"/>
    <cellStyle name="Normal 3 2 3 4 5" xfId="2097" xr:uid="{00000000-0005-0000-0000-000010020000}"/>
    <cellStyle name="Normal 3 2 3 4 5 2" xfId="3778" xr:uid="{8B0DC8D1-7DE9-4171-A63D-3B65DE7CC539}"/>
    <cellStyle name="Normal 3 2 3 4 6" xfId="3959" xr:uid="{C6836599-ECCD-4EBB-AA38-ABF0279C67FA}"/>
    <cellStyle name="Normal 3 2 3 4 6 2" xfId="4749" xr:uid="{E32033F8-C2D4-4D9A-8197-D59BB0805FFB}"/>
    <cellStyle name="Normal 3 2 3 5" xfId="2066" xr:uid="{00000000-0005-0000-0000-000003020000}"/>
    <cellStyle name="Normal 3 2 3 5 2" xfId="4738" xr:uid="{1DEEA62F-24B4-4396-B677-5B3167946642}"/>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8" xr:uid="{3EF99F25-A57D-4DC0-97CB-91B0DD3F630F}"/>
    <cellStyle name="Normal 3 2 4 3 2 2 3" xfId="25695" xr:uid="{19CA29BA-DCD1-4906-9A5C-D706283E436C}"/>
    <cellStyle name="Normal 3 2 4 3 2 3" xfId="884" xr:uid="{00000000-0005-0000-0000-000025050000}"/>
    <cellStyle name="Normal 3 2 4 3 2 3 2" xfId="1993" xr:uid="{00000000-0005-0000-0000-000026050000}"/>
    <cellStyle name="Normal 3 2 4 3 2 3 3" xfId="3717" xr:uid="{00000000-0005-0000-0000-000092040000}"/>
    <cellStyle name="Normal 3 2 4 3 2 3 3 2" xfId="4701" xr:uid="{E7124F84-1902-4C52-813A-2AD87B201F7F}"/>
    <cellStyle name="Normal 3 2 4 3 2 4" xfId="23427" xr:uid="{F5F16304-98F9-4382-9EBD-05DA6A2307A4}"/>
    <cellStyle name="Normal 3 2 4 3 3" xfId="885" xr:uid="{00000000-0005-0000-0000-000027050000}"/>
    <cellStyle name="Normal 3 2 4 3 4" xfId="2923" xr:uid="{00000000-0005-0000-0000-00002A050000}"/>
    <cellStyle name="Normal 3 2 4 3 5" xfId="2100" xr:uid="{00000000-0005-0000-0000-000016020000}"/>
    <cellStyle name="Normal 3 2 4 3 5 2" xfId="4686" xr:uid="{06BFEBE3-1397-400F-9E69-D60195609A34}"/>
    <cellStyle name="Normal 3 2 4 3 6" xfId="3963" xr:uid="{C9BE7447-0E91-41CB-9714-02F1C566D84A}"/>
    <cellStyle name="Normal 3 2 4 3 6 2" xfId="4788" xr:uid="{0C195683-FC3A-4228-8CFA-81C976438B43}"/>
    <cellStyle name="Normal 3 2 4 4" xfId="2922" xr:uid="{00000000-0005-0000-0000-00002B050000}"/>
    <cellStyle name="Normal 3 2 4 4 2" xfId="25747" xr:uid="{F4A474D2-41DD-4D0C-B5D7-FFDAF17C5566}"/>
    <cellStyle name="Normal 3 2 4 4 2 2" xfId="29626" xr:uid="{0DCF3C32-0EA3-482C-941C-B4A52CDFF34B}"/>
    <cellStyle name="Normal 3 2 4 4 2 3" xfId="29599" xr:uid="{193FC249-A10F-445C-95C0-0B33E7ED076A}"/>
    <cellStyle name="Normal 3 2 4 4 2 3 2" xfId="29643" xr:uid="{150E5878-774A-4368-848F-E3C08FDFC92C}"/>
    <cellStyle name="Normal 3 2 4 4 3" xfId="24728" xr:uid="{154F7FD8-B3F3-4487-878D-5A0175DAC264}"/>
    <cellStyle name="Normal 3 2 4 5" xfId="2099" xr:uid="{00000000-0005-0000-0000-000014020000}"/>
    <cellStyle name="Normal 3 2 4 5 2" xfId="4645" xr:uid="{3EC2113D-E49B-4038-9F23-778F9B5DB2AD}"/>
    <cellStyle name="Normal 3 2 4 6" xfId="3962" xr:uid="{7B02E248-334A-4390-803D-03A9529B2562}"/>
    <cellStyle name="Normal 3 2 4 6 2" xfId="4817" xr:uid="{2DE6B781-6A0F-4C4A-A762-5BA32CF9F8AB}"/>
    <cellStyle name="Normal 3 2 5" xfId="29571" xr:uid="{750150B5-C7CA-4EA6-BA0D-6C0AEF29E2A9}"/>
    <cellStyle name="Normal 3 2 5 2" xfId="29630" xr:uid="{FC40ABBD-3EDE-4371-9FF9-A208F204AC39}"/>
    <cellStyle name="Normal 3 2 5 3" xfId="29600" xr:uid="{4BE0FB2A-CFA3-46C2-A6F3-5BD4CCDE876F}"/>
    <cellStyle name="Normal 3 2 5 3 2" xfId="29644" xr:uid="{012C5423-63EC-45C8-AB0D-9143CDABBBAF}"/>
    <cellStyle name="Normal 3 2 5 4" xfId="29634" xr:uid="{B70E0C93-0F24-4A65-9A4C-6AA94B1973D9}"/>
    <cellStyle name="Normal 3 3" xfId="886" xr:uid="{00000000-0005-0000-0000-000028050000}"/>
    <cellStyle name="Normal 3 3 2" xfId="29572" xr:uid="{255EAE38-A587-454A-A10E-047DE88AEFA0}"/>
    <cellStyle name="Normal 3 4" xfId="29573" xr:uid="{2F3070F6-1C88-4374-9425-21AEE0A4DFFB}"/>
    <cellStyle name="Normal 3 4 2" xfId="29631" xr:uid="{56437A54-78A7-4336-835A-B2D545FA46F6}"/>
    <cellStyle name="Normal 3 4 3" xfId="29592" xr:uid="{8EA9A8F3-AE43-4EF4-960D-AD7C26FB738D}"/>
    <cellStyle name="Normal 4" xfId="887" xr:uid="{00000000-0005-0000-0000-000029050000}"/>
    <cellStyle name="Normal 4 10" xfId="888" xr:uid="{00000000-0005-0000-0000-00002A050000}"/>
    <cellStyle name="Normal 4 10 10" xfId="9777" xr:uid="{124714D4-58FE-4A1A-95C3-0A3FC13E102A}"/>
    <cellStyle name="Normal 4 10 10 2" xfId="20157" xr:uid="{75151CA6-0830-4718-974F-DA1C711EC993}"/>
    <cellStyle name="Normal 4 10 11" xfId="22800" xr:uid="{DF8820E2-133B-4E33-BD57-2890C0DB6BE3}"/>
    <cellStyle name="Normal 4 10 12" xfId="12579" xr:uid="{A0231339-5278-4006-B10A-D98724736073}"/>
    <cellStyle name="Normal 4 10 2" xfId="889" xr:uid="{00000000-0005-0000-0000-00002B050000}"/>
    <cellStyle name="Normal 4 10 2 2" xfId="890" xr:uid="{00000000-0005-0000-0000-00002C050000}"/>
    <cellStyle name="Normal 4 10 2 2 2" xfId="5196" xr:uid="{2F990ED6-C403-433B-9416-DF936D9A58B9}"/>
    <cellStyle name="Normal 4 10 2 2 2 2" xfId="25733" xr:uid="{8EAC1899-FCAE-42AF-B292-F3C46DB240FD}"/>
    <cellStyle name="Normal 4 10 2 2 2 3" xfId="27275" xr:uid="{A64401EC-5285-4578-B7C7-D6B097D78689}"/>
    <cellStyle name="Normal 4 10 2 2 2 4" xfId="14493" xr:uid="{E7C4EC7E-9AAD-49FD-B157-0C8E5BCC24FC}"/>
    <cellStyle name="Normal 4 10 2 2 3" xfId="6946" xr:uid="{52EE871B-7087-409F-9C4F-E922AA7F83F3}"/>
    <cellStyle name="Normal 4 10 2 2 3 2" xfId="27607" xr:uid="{EDB7409E-4EFD-4903-9940-6903E7494269}"/>
    <cellStyle name="Normal 4 10 2 2 3 3" xfId="26627" xr:uid="{BAC96558-61F5-4DE7-BDC4-B43C1B7A7531}"/>
    <cellStyle name="Normal 4 10 2 2 3 4" xfId="17326" xr:uid="{76CC529E-0A0D-42AD-81FA-974DF2153082}"/>
    <cellStyle name="Normal 4 10 2 2 4" xfId="9779" xr:uid="{DBBF66FF-173D-4216-935C-22F75CD999F5}"/>
    <cellStyle name="Normal 4 10 2 2 4 2" xfId="29407" xr:uid="{89B580D3-DD76-45DF-8750-08C22EC08327}"/>
    <cellStyle name="Normal 4 10 2 2 4 3" xfId="20159" xr:uid="{4ECA2B16-6E25-4D5B-AFA6-B30E1F70021C}"/>
    <cellStyle name="Normal 4 10 2 2 5" xfId="23921" xr:uid="{104E3D88-6CBC-44D8-B9F2-BEAC9DD3083B}"/>
    <cellStyle name="Normal 4 10 2 2 6" xfId="13819" xr:uid="{9E4BF900-B394-4381-A3AD-81D1670F5184}"/>
    <cellStyle name="Normal 4 10 2 2 7" xfId="30415" xr:uid="{CB26EB2E-8EB0-4648-9EA9-69D87C263162}"/>
    <cellStyle name="Normal 4 10 2 3" xfId="2759" xr:uid="{00000000-0005-0000-0000-000031050000}"/>
    <cellStyle name="Normal 4 10 2 3 2" xfId="5977" xr:uid="{CD34A8B9-3B58-4C5E-9CD2-ACBBE4EE33D3}"/>
    <cellStyle name="Normal 4 10 2 3 2 2" xfId="27608" xr:uid="{57EC37BA-FA62-4027-8554-F8D55147A022}"/>
    <cellStyle name="Normal 4 10 2 3 2 3" xfId="15430" xr:uid="{AD4EA0E3-BDF6-4138-BDE3-11682B8BF146}"/>
    <cellStyle name="Normal 4 10 2 3 3" xfId="7883" xr:uid="{A88F4761-7BB3-4048-BEB8-B05CE1392E24}"/>
    <cellStyle name="Normal 4 10 2 3 3 2" xfId="18263" xr:uid="{4F2930A9-615B-4D19-A7D8-75C546950B3C}"/>
    <cellStyle name="Normal 4 10 2 3 4" xfId="10716" xr:uid="{1A351FCC-9811-46B5-BF3B-5BB71B02F51D}"/>
    <cellStyle name="Normal 4 10 2 3 4 2" xfId="21096" xr:uid="{003F525A-3718-4585-88D3-595F3991A7B1}"/>
    <cellStyle name="Normal 4 10 2 3 5" xfId="23269" xr:uid="{F222276F-E2A3-49D9-8473-5AB2636BB857}"/>
    <cellStyle name="Normal 4 10 2 3 6" xfId="13205" xr:uid="{F353F1D6-BE84-4FA7-99E5-62DCA8E8199A}"/>
    <cellStyle name="Normal 4 10 2 4" xfId="4177" xr:uid="{64D4522C-9833-489C-A11E-8967B3AE04DC}"/>
    <cellStyle name="Normal 4 10 2 4 2" xfId="8949" xr:uid="{4A4CF90D-1119-4D6F-9E60-40792F233AB2}"/>
    <cellStyle name="Normal 4 10 2 4 2 2" xfId="29039" xr:uid="{C6649890-FA54-4194-AFE2-7FB2A9751A0E}"/>
    <cellStyle name="Normal 4 10 2 4 2 3" xfId="19329" xr:uid="{E43D67DB-6AFB-4D7F-A589-3770049FB9B0}"/>
    <cellStyle name="Normal 4 10 2 4 3" xfId="11782" xr:uid="{4A9C5750-FFB1-49CA-96CA-C07EBA6AC803}"/>
    <cellStyle name="Normal 4 10 2 4 3 2" xfId="22162" xr:uid="{2468264E-ABFB-4540-9DD4-0F7D7AD581B4}"/>
    <cellStyle name="Normal 4 10 2 4 4" xfId="23561" xr:uid="{B21780F6-0BF4-45CE-A462-C823F73BF55B}"/>
    <cellStyle name="Normal 4 10 2 4 5" xfId="16496" xr:uid="{DAFC14F9-0A12-427D-99CD-D54784F738DB}"/>
    <cellStyle name="Normal 4 10 2 5" xfId="5195" xr:uid="{4C483B6D-F99C-4B05-A1C7-57FA01DAB4FE}"/>
    <cellStyle name="Normal 4 10 2 5 2" xfId="28295" xr:uid="{FEBE1B3F-2BA5-47F7-BDDB-4A373A169525}"/>
    <cellStyle name="Normal 4 10 2 5 3" xfId="14492" xr:uid="{47A2088D-36D2-43B9-BB01-2CE873797F06}"/>
    <cellStyle name="Normal 4 10 2 5 4" xfId="30538" xr:uid="{EDC76BEF-1799-409D-A0EB-45773FC0F6DC}"/>
    <cellStyle name="Normal 4 10 2 6" xfId="6945" xr:uid="{1812DBF2-AC43-42C8-BB06-3A4BCCF931A4}"/>
    <cellStyle name="Normal 4 10 2 6 2" xfId="17325" xr:uid="{BD41452F-9AA6-46CE-9258-469684009A0E}"/>
    <cellStyle name="Normal 4 10 2 6 3" xfId="30274" xr:uid="{D536ED05-AB07-4ED5-92B3-F603556D2AD9}"/>
    <cellStyle name="Normal 4 10 2 6 4" xfId="30684" xr:uid="{AFB5FC1E-7822-416B-91C6-F193F0EA7630}"/>
    <cellStyle name="Normal 4 10 2 7" xfId="9778" xr:uid="{38551E4C-25A5-4760-BDFD-02D162B85D0F}"/>
    <cellStyle name="Normal 4 10 2 7 2" xfId="20158" xr:uid="{FCFD3159-8091-4CAA-9037-3A42E64BE277}"/>
    <cellStyle name="Normal 4 10 2 8" xfId="23611" xr:uid="{7F941E2A-5B00-435A-803E-7194FC9FD7CA}"/>
    <cellStyle name="Normal 4 10 2 9" xfId="12737" xr:uid="{9CDAF916-CA42-4BCB-898B-C40C959CFE87}"/>
    <cellStyle name="Normal 4 10 3" xfId="891" xr:uid="{00000000-0005-0000-0000-00002D050000}"/>
    <cellStyle name="Normal 4 10 3 2" xfId="4503" xr:uid="{6D16362C-AFEA-486B-8920-367F7420926C}"/>
    <cellStyle name="Normal 4 10 3 2 2" xfId="9275" xr:uid="{99780004-FDCD-4A0B-8152-2B60D64E3786}"/>
    <cellStyle name="Normal 4 10 3 2 2 2" xfId="29258" xr:uid="{2F30D234-DB78-4265-8658-4B0C0ACB0F03}"/>
    <cellStyle name="Normal 4 10 3 2 2 3" xfId="19655" xr:uid="{B1679AD5-1DD9-4259-88D7-6A9BEE476E54}"/>
    <cellStyle name="Normal 4 10 3 2 3" xfId="12108" xr:uid="{50409475-3339-438E-80D2-61FED637081C}"/>
    <cellStyle name="Normal 4 10 3 2 3 2" xfId="22488" xr:uid="{F584AAFA-DE45-43FC-AAB2-E438922775AE}"/>
    <cellStyle name="Normal 4 10 3 2 4" xfId="22876" xr:uid="{997B49FD-8D98-4B16-80E4-A50EDD2F2198}"/>
    <cellStyle name="Normal 4 10 3 2 5" xfId="16822" xr:uid="{ABF2F5DB-F94C-4116-9E2C-9D552532713D}"/>
    <cellStyle name="Normal 4 10 3 3" xfId="5197" xr:uid="{B1CC3607-94B5-4810-A1F3-7395FF18D1D6}"/>
    <cellStyle name="Normal 4 10 3 3 2" xfId="26813" xr:uid="{DF47A49C-0534-4116-AF38-6B71D8670BF1}"/>
    <cellStyle name="Normal 4 10 3 3 3" xfId="28469" xr:uid="{444FA6A7-6F81-48B9-A252-972A6C01D4C5}"/>
    <cellStyle name="Normal 4 10 3 3 4" xfId="14494" xr:uid="{0A2C7E0F-5ACA-417E-80A8-ECD75776F153}"/>
    <cellStyle name="Normal 4 10 3 4" xfId="6947" xr:uid="{4CF10D0D-797B-4C01-A8B0-EA55739C4E27}"/>
    <cellStyle name="Normal 4 10 3 4 2" xfId="25988" xr:uid="{D21D2495-EC4E-44BB-94AE-D83A4A64BA0B}"/>
    <cellStyle name="Normal 4 10 3 4 3" xfId="27106" xr:uid="{D70869A4-D7A0-4CD3-B673-5D493D3B83D5}"/>
    <cellStyle name="Normal 4 10 3 4 4" xfId="17327" xr:uid="{9BAD3453-D6AB-4662-8C5A-2F959146F325}"/>
    <cellStyle name="Normal 4 10 3 5" xfId="9780" xr:uid="{31153C1E-094A-4FAD-A2C8-AED2E6C459AA}"/>
    <cellStyle name="Normal 4 10 3 5 2" xfId="29408" xr:uid="{4DE15F0B-35BB-4D38-A351-1ACED23A656C}"/>
    <cellStyle name="Normal 4 10 3 5 3" xfId="20160" xr:uid="{FD4E44EC-FD3D-4838-A3BF-0409A06AAEAC}"/>
    <cellStyle name="Normal 4 10 3 6" xfId="22990" xr:uid="{909C1C0E-4459-460F-951C-D2504AD3D7ED}"/>
    <cellStyle name="Normal 4 10 3 7" xfId="13820" xr:uid="{78C8ED3A-E916-42F1-9E5C-77BEA5976622}"/>
    <cellStyle name="Normal 4 10 4" xfId="892" xr:uid="{00000000-0005-0000-0000-00002E050000}"/>
    <cellStyle name="Normal 4 10 4 2" xfId="5198" xr:uid="{29225B61-10D6-49E4-B689-7DA29A6BC097}"/>
    <cellStyle name="Normal 4 10 4 2 2" xfId="24956" xr:uid="{AEE2E6C1-3E49-4E6D-88C0-09DAAF73B352}"/>
    <cellStyle name="Normal 4 10 4 2 3" xfId="26659" xr:uid="{A8DEA6AF-CFB8-44D7-88A6-3CE79EA9FEB1}"/>
    <cellStyle name="Normal 4 10 4 2 4" xfId="14495" xr:uid="{67D78960-714B-470E-9828-13225757EC63}"/>
    <cellStyle name="Normal 4 10 4 3" xfId="6948" xr:uid="{3512A52E-2E69-4AEB-A4C3-1CFB7C727ABA}"/>
    <cellStyle name="Normal 4 10 4 3 2" xfId="26558" xr:uid="{BDC09E19-A8DC-4F8A-839B-81911E093972}"/>
    <cellStyle name="Normal 4 10 4 3 3" xfId="17328" xr:uid="{65139410-F264-46EF-B0CB-80BB4D5CA6DD}"/>
    <cellStyle name="Normal 4 10 4 4" xfId="9781" xr:uid="{9A037222-1BFE-4570-BCCA-F6B2B6A7F055}"/>
    <cellStyle name="Normal 4 10 4 4 2" xfId="20161" xr:uid="{6F7FF800-D959-46B1-8723-FBFEA0A67264}"/>
    <cellStyle name="Normal 4 10 4 5" xfId="25038" xr:uid="{23F471A2-23CF-485A-9470-EB8A1B60AB72}"/>
    <cellStyle name="Normal 4 10 4 6" xfId="13435" xr:uid="{CF48DE48-ED86-4D90-A8D2-8D05C52D06FF}"/>
    <cellStyle name="Normal 4 10 5" xfId="2566" xr:uid="{00000000-0005-0000-0000-000034050000}"/>
    <cellStyle name="Normal 4 10 5 2" xfId="5835" xr:uid="{C063FE69-F0E2-4D45-A560-F5030001885F}"/>
    <cellStyle name="Normal 4 10 5 2 2" xfId="27254" xr:uid="{D2E07114-4D43-403F-A8D1-6F81A59FAB76}"/>
    <cellStyle name="Normal 4 10 5 2 3" xfId="15238" xr:uid="{D834FF16-A543-4408-8F3B-37AD9D7D2200}"/>
    <cellStyle name="Normal 4 10 5 3" xfId="7691" xr:uid="{2C1D8F17-BEC3-43B3-8BDF-5F14666295EC}"/>
    <cellStyle name="Normal 4 10 5 3 2" xfId="18071" xr:uid="{2B470397-D95B-4E23-BB26-A2E974794C44}"/>
    <cellStyle name="Normal 4 10 5 4" xfId="10524" xr:uid="{067679B1-BCB4-410A-8AA3-E3D744CAAEFF}"/>
    <cellStyle name="Normal 4 10 5 4 2" xfId="20904" xr:uid="{10588034-D425-43C5-89B9-4325837A8516}"/>
    <cellStyle name="Normal 4 10 5 5" xfId="23394" xr:uid="{2F2F2D2C-FA05-499B-AC2D-4792A25519FF}"/>
    <cellStyle name="Normal 4 10 5 6" xfId="12954" xr:uid="{229E4CD9-6EB7-4CD6-A1B1-887CC1AE238F}"/>
    <cellStyle name="Normal 4 10 6" xfId="2345" xr:uid="{00000000-0005-0000-0000-00002E050000}"/>
    <cellStyle name="Normal 4 10 6 2" xfId="7472" xr:uid="{4C75DB08-23F8-4CAF-ABBC-50AD2AC7055B}"/>
    <cellStyle name="Normal 4 10 6 2 2" xfId="28667" xr:uid="{3A3895A9-3B5F-45D0-A0E2-D3A24D46753B}"/>
    <cellStyle name="Normal 4 10 6 2 3" xfId="17852" xr:uid="{1B249912-E446-4B58-99F3-1998A4168EE2}"/>
    <cellStyle name="Normal 4 10 6 3" xfId="10305" xr:uid="{019AA4D4-5DAF-44D6-AC54-157997CAA51B}"/>
    <cellStyle name="Normal 4 10 6 3 2" xfId="20685" xr:uid="{BFE40670-4102-4F76-B79E-BD0D3BEDD483}"/>
    <cellStyle name="Normal 4 10 6 4" xfId="23919" xr:uid="{AFB31ABC-E8BD-41CA-A82D-D9A333DD9C47}"/>
    <cellStyle name="Normal 4 10 6 5" xfId="15019" xr:uid="{BEB35555-2A89-47A1-9F06-ED7C9DB51EF0}"/>
    <cellStyle name="Normal 4 10 7" xfId="3965" xr:uid="{B398D8AF-AF4D-4953-A867-252CD87A368E}"/>
    <cellStyle name="Normal 4 10 7 2" xfId="8789" xr:uid="{8009325E-848F-44CF-8CE7-93567544C7F0}"/>
    <cellStyle name="Normal 4 10 7 2 2" xfId="19169" xr:uid="{F9015C3A-97F9-40AC-AB6E-36EC3FAA1859}"/>
    <cellStyle name="Normal 4 10 7 3" xfId="11622" xr:uid="{3B9E4398-FE99-49EB-BEBD-84478FB70F66}"/>
    <cellStyle name="Normal 4 10 7 3 2" xfId="22002" xr:uid="{F1D371AA-EE04-4AC1-936E-CABB6B6751A1}"/>
    <cellStyle name="Normal 4 10 7 4" xfId="26388" xr:uid="{8DF31F90-53E0-4729-BD5F-E35C09717A45}"/>
    <cellStyle name="Normal 4 10 7 5" xfId="16336" xr:uid="{A15950AC-AE0A-4B55-ABE7-98852093A5BE}"/>
    <cellStyle name="Normal 4 10 8" xfId="5194" xr:uid="{28570514-D5C4-4905-B43B-63E1E8E56905}"/>
    <cellStyle name="Normal 4 10 8 2" xfId="14491" xr:uid="{50DA1219-777D-49E6-9D7E-F5CD8917938C}"/>
    <cellStyle name="Normal 4 10 9" xfId="6944" xr:uid="{5E75A7EC-434D-4DBD-819F-AAC90135CA2A}"/>
    <cellStyle name="Normal 4 10 9 2" xfId="17324" xr:uid="{3784540D-38F1-4BA6-9FE3-DFA0FD8CD5D0}"/>
    <cellStyle name="Normal 4 11" xfId="893" xr:uid="{00000000-0005-0000-0000-00002F050000}"/>
    <cellStyle name="Normal 4 11 10" xfId="23938" xr:uid="{A29A5C35-9497-4456-94B7-96B69D98276A}"/>
    <cellStyle name="Normal 4 11 11" xfId="12580" xr:uid="{6D83FB98-F686-4977-84D3-7788A74DA022}"/>
    <cellStyle name="Normal 4 11 2" xfId="894" xr:uid="{00000000-0005-0000-0000-000030050000}"/>
    <cellStyle name="Normal 4 11 2 2" xfId="3270" xr:uid="{00000000-0005-0000-0000-000037050000}"/>
    <cellStyle name="Normal 4 11 2 2 2" xfId="6328" xr:uid="{422257B6-64B6-4FD2-9169-C308AC37E45B}"/>
    <cellStyle name="Normal 4 11 2 2 2 2" xfId="27125" xr:uid="{F46424DB-376F-4411-A9D8-5605D89B692E}"/>
    <cellStyle name="Normal 4 11 2 2 2 3" xfId="26633" xr:uid="{DD024171-1188-40BE-8A31-1FE665EDBEA7}"/>
    <cellStyle name="Normal 4 11 2 2 2 4" xfId="15897" xr:uid="{97A83557-1579-438A-BFE1-094E8A17055E}"/>
    <cellStyle name="Normal 4 11 2 2 3" xfId="8350" xr:uid="{4569C23E-23A8-48A1-9133-B6C5EA369EA8}"/>
    <cellStyle name="Normal 4 11 2 2 3 2" xfId="28894" xr:uid="{BCF56927-59AB-4D53-A564-B32C950163A7}"/>
    <cellStyle name="Normal 4 11 2 2 3 3" xfId="18730" xr:uid="{C19E651D-1BFC-49D5-9552-22C808F0466F}"/>
    <cellStyle name="Normal 4 11 2 2 4" xfId="11183" xr:uid="{CC767DF2-F9B1-4098-924A-07048EBA91A7}"/>
    <cellStyle name="Normal 4 11 2 2 4 2" xfId="21563" xr:uid="{2CD66983-92E9-4B98-85FC-BBC62957B6BE}"/>
    <cellStyle name="Normal 4 11 2 2 5" xfId="24395" xr:uid="{AC710497-B596-40CF-B1B6-07673D4BCB8A}"/>
    <cellStyle name="Normal 4 11 2 2 6" xfId="13821" xr:uid="{9D6D4C85-F89E-4BAD-909D-3CEEAEE3060E}"/>
    <cellStyle name="Normal 4 11 2 3" xfId="4178" xr:uid="{A3D9FC9E-C884-4182-99A1-15D851A03328}"/>
    <cellStyle name="Normal 4 11 2 3 2" xfId="8950" xr:uid="{C7D67904-A6B5-4E58-A37E-C61881918787}"/>
    <cellStyle name="Normal 4 11 2 3 2 2" xfId="29040" xr:uid="{11405609-5EB2-410C-B25F-19EA09DFA030}"/>
    <cellStyle name="Normal 4 11 2 3 2 3" xfId="19330" xr:uid="{6AE5F748-CAC3-448E-B693-7E762FA3B88C}"/>
    <cellStyle name="Normal 4 11 2 3 3" xfId="11783" xr:uid="{7656FD9F-4FAD-40CE-A345-FB3061CF248B}"/>
    <cellStyle name="Normal 4 11 2 3 3 2" xfId="22163" xr:uid="{A54CC9F8-27FF-48D5-9D56-9F66588D7148}"/>
    <cellStyle name="Normal 4 11 2 3 4" xfId="25441" xr:uid="{BE5BA760-5708-4590-9737-59AD92AAA8C0}"/>
    <cellStyle name="Normal 4 11 2 3 5" xfId="16497" xr:uid="{EDA214D0-3AC0-41E4-B616-F2DF26D4EADC}"/>
    <cellStyle name="Normal 4 11 2 4" xfId="5200" xr:uid="{EF58BE6A-9D74-4955-A514-6CA8700A9761}"/>
    <cellStyle name="Normal 4 11 2 4 2" xfId="27748" xr:uid="{69DE0498-5475-4844-A90A-D921B160EFC8}"/>
    <cellStyle name="Normal 4 11 2 4 3" xfId="26361" xr:uid="{E6DE96F4-08A3-4961-9CB4-43EBCB6DE24A}"/>
    <cellStyle name="Normal 4 11 2 4 4" xfId="14497" xr:uid="{C972E08F-E1D7-4653-AD82-C092706F6C00}"/>
    <cellStyle name="Normal 4 11 2 5" xfId="6950" xr:uid="{007FB6E7-99CC-45B7-ACD4-30A70BB9F5BC}"/>
    <cellStyle name="Normal 4 11 2 5 2" xfId="28220" xr:uid="{FB989381-3645-4DDC-9DE2-E0E023733860}"/>
    <cellStyle name="Normal 4 11 2 5 3" xfId="17330" xr:uid="{471B6248-D563-42FC-A1C8-9DB1B363A447}"/>
    <cellStyle name="Normal 4 11 2 5 4" xfId="30765" xr:uid="{0A89F52C-4104-4792-A5E7-6FCDDD347DB0}"/>
    <cellStyle name="Normal 4 11 2 6" xfId="9783" xr:uid="{98266657-D830-4610-8642-E34883EA72F7}"/>
    <cellStyle name="Normal 4 11 2 6 2" xfId="20163" xr:uid="{49BA9DDC-07D8-4507-AF2B-3F39882F6F56}"/>
    <cellStyle name="Normal 4 11 2 7" xfId="25481" xr:uid="{ECF008C8-FC1C-4156-9A22-45B511EE75F9}"/>
    <cellStyle name="Normal 4 11 2 8" xfId="12738" xr:uid="{CE750F0B-A59A-4848-8DA5-C2DA04F39545}"/>
    <cellStyle name="Normal 4 11 3" xfId="895" xr:uid="{00000000-0005-0000-0000-000031050000}"/>
    <cellStyle name="Normal 4 11 3 2" xfId="5201" xr:uid="{2E1820E0-DE5F-4951-BE40-AF1BF1A5D85C}"/>
    <cellStyle name="Normal 4 11 3 2 2" xfId="24248" xr:uid="{C3DCA927-B467-4C00-A75E-43B6B016A296}"/>
    <cellStyle name="Normal 4 11 3 2 3" xfId="27242" xr:uid="{6E42BF50-B2C1-4048-8C98-9746AA620B1F}"/>
    <cellStyle name="Normal 4 11 3 2 4" xfId="14498" xr:uid="{663F1602-3A8D-4050-9CB9-361C7838F1F8}"/>
    <cellStyle name="Normal 4 11 3 3" xfId="6951" xr:uid="{973B1C10-A9BC-4745-B24D-13C25E42E6D2}"/>
    <cellStyle name="Normal 4 11 3 3 2" xfId="26571" xr:uid="{1DAFE79A-FE64-4642-B880-E98401DB157E}"/>
    <cellStyle name="Normal 4 11 3 3 3" xfId="28711" xr:uid="{75F174E4-2B25-4693-A6D5-871A4C36939D}"/>
    <cellStyle name="Normal 4 11 3 3 4" xfId="17331" xr:uid="{FEC46F4D-76FF-4B41-8C9D-7F4B291D7522}"/>
    <cellStyle name="Normal 4 11 3 4" xfId="9784" xr:uid="{EC7D2FDD-2E66-42A9-AC23-21C61A1E8C9A}"/>
    <cellStyle name="Normal 4 11 3 4 2" xfId="27752" xr:uid="{F3C55A00-23B5-4E74-9342-14BB92757CAF}"/>
    <cellStyle name="Normal 4 11 3 4 3" xfId="29409" xr:uid="{23CECA96-2D78-4419-AADB-1FA77B4D92E3}"/>
    <cellStyle name="Normal 4 11 3 4 4" xfId="20164" xr:uid="{FF34C308-F182-4723-B386-56478E6A88EF}"/>
    <cellStyle name="Normal 4 11 3 5" xfId="24593" xr:uid="{DF4D5370-9363-4815-A144-5ED2EF678EC5}"/>
    <cellStyle name="Normal 4 11 3 6" xfId="27721" xr:uid="{237FAA27-9CA0-450E-9D6F-0C0AB50910A1}"/>
    <cellStyle name="Normal 4 11 3 7" xfId="13436" xr:uid="{A0E6ECE3-32F4-42B3-A9FE-51B01B004F69}"/>
    <cellStyle name="Normal 4 11 4" xfId="2760" xr:uid="{00000000-0005-0000-0000-000039050000}"/>
    <cellStyle name="Normal 4 11 4 2" xfId="5978" xr:uid="{87A430AB-7C63-4393-8C18-8DE595F89E92}"/>
    <cellStyle name="Normal 4 11 4 2 2" xfId="28308" xr:uid="{31479A3D-AA0F-433C-B726-845ECA7A4BC0}"/>
    <cellStyle name="Normal 4 11 4 2 3" xfId="15431" xr:uid="{75316486-30EA-4BAD-8A8A-4DB3E06AE648}"/>
    <cellStyle name="Normal 4 11 4 3" xfId="7884" xr:uid="{59D3A377-8E3F-490C-AFC1-D62BE1481183}"/>
    <cellStyle name="Normal 4 11 4 3 2" xfId="18264" xr:uid="{7674B51C-0A1C-4E03-ABDF-45DA282D52AB}"/>
    <cellStyle name="Normal 4 11 4 4" xfId="10717" xr:uid="{C782FBDC-F705-474F-8D14-AA325DD20226}"/>
    <cellStyle name="Normal 4 11 4 4 2" xfId="21097" xr:uid="{600158EB-E64C-439A-929E-ACD4D2F9D856}"/>
    <cellStyle name="Normal 4 11 4 5" xfId="24950" xr:uid="{7FF11B45-EE3F-4E2E-9A33-BF5853286B4F}"/>
    <cellStyle name="Normal 4 11 4 6" xfId="13206" xr:uid="{460D5277-D7C3-45F0-8C8B-3F5DBB214757}"/>
    <cellStyle name="Normal 4 11 5" xfId="2346" xr:uid="{00000000-0005-0000-0000-000035050000}"/>
    <cellStyle name="Normal 4 11 5 2" xfId="7473" xr:uid="{A7C97C58-31CC-48D5-BFB5-342305988F1C}"/>
    <cellStyle name="Normal 4 11 5 2 2" xfId="26211" xr:uid="{A2A640B7-60A5-49CF-BE18-57135DF6ECC8}"/>
    <cellStyle name="Normal 4 11 5 2 3" xfId="17853" xr:uid="{DEF1BADF-27BA-40D9-9927-23D01BD0883B}"/>
    <cellStyle name="Normal 4 11 5 3" xfId="10306" xr:uid="{9E9C59F0-0F99-4144-8617-DC0696ED2F12}"/>
    <cellStyle name="Normal 4 11 5 3 2" xfId="20686" xr:uid="{0C5B0B88-29E2-46B6-9CA2-37732EDBCBE4}"/>
    <cellStyle name="Normal 4 11 5 4" xfId="25363" xr:uid="{81C3F1E4-9E0A-4E0A-A47A-CBC1B9184618}"/>
    <cellStyle name="Normal 4 11 5 5" xfId="15020" xr:uid="{DB74DC40-0A53-4821-AE60-5974F9179CC8}"/>
    <cellStyle name="Normal 4 11 6" xfId="3966" xr:uid="{D703879A-933B-41A7-9664-DAA4B46FCA44}"/>
    <cellStyle name="Normal 4 11 6 2" xfId="8790" xr:uid="{0149D366-A63E-4BD8-B369-D310338AE810}"/>
    <cellStyle name="Normal 4 11 6 2 2" xfId="28983" xr:uid="{62A53759-9DD3-459A-AB38-1EF4A4B0B2DA}"/>
    <cellStyle name="Normal 4 11 6 2 3" xfId="19170" xr:uid="{C3D1823F-54EF-4F86-84D8-24599B1B7392}"/>
    <cellStyle name="Normal 4 11 6 3" xfId="11623" xr:uid="{9C84C254-5ADB-4981-A58D-3707101C53F7}"/>
    <cellStyle name="Normal 4 11 6 3 2" xfId="22003" xr:uid="{C6B4FB51-3192-4CB1-83D5-9EA7767ED264}"/>
    <cellStyle name="Normal 4 11 6 4" xfId="26956" xr:uid="{ACEEAE4C-42A7-46E1-8B88-C05C490ABBA1}"/>
    <cellStyle name="Normal 4 11 6 5" xfId="16337" xr:uid="{6C119AF7-4A86-4498-8290-777197E2AC60}"/>
    <cellStyle name="Normal 4 11 7" xfId="5199" xr:uid="{FD4783AB-79C3-462C-A7FF-FAEA4D5C2554}"/>
    <cellStyle name="Normal 4 11 7 2" xfId="28179" xr:uid="{1653654F-B952-43C3-8408-1156CECA0D2A}"/>
    <cellStyle name="Normal 4 11 7 3" xfId="14496" xr:uid="{2C7E8C08-4106-4B1D-86AC-6D30513B53E4}"/>
    <cellStyle name="Normal 4 11 8" xfId="6949" xr:uid="{2D3ADE6F-1842-4DCA-B659-5658EE21816A}"/>
    <cellStyle name="Normal 4 11 8 2" xfId="17329" xr:uid="{09F1D264-CA33-4FD5-8177-CD4AC8AC82D8}"/>
    <cellStyle name="Normal 4 11 9" xfId="9782" xr:uid="{5CC4D5CD-5FF7-4908-8DE7-35F60A6F9315}"/>
    <cellStyle name="Normal 4 11 9 2" xfId="20162" xr:uid="{E34969DE-2D7D-4AB6-A25A-9CB7EBA817FC}"/>
    <cellStyle name="Normal 4 12" xfId="896" xr:uid="{00000000-0005-0000-0000-000032050000}"/>
    <cellStyle name="Normal 4 12 10" xfId="12581" xr:uid="{DCABE360-45B6-4EA3-B5F4-36017D22F2CC}"/>
    <cellStyle name="Normal 4 12 2" xfId="897" xr:uid="{00000000-0005-0000-0000-000033050000}"/>
    <cellStyle name="Normal 4 12 2 2" xfId="2924" xr:uid="{00000000-0005-0000-0000-00003C050000}"/>
    <cellStyle name="Normal 4 12 2 2 2" xfId="6104" xr:uid="{634A1D84-B3FF-4062-B730-9391367CEA8B}"/>
    <cellStyle name="Normal 4 12 2 2 2 2" xfId="27168" xr:uid="{6CEFEC1B-9FDD-49AE-9D25-3A2253BCED70}"/>
    <cellStyle name="Normal 4 12 2 2 2 3" xfId="28747" xr:uid="{1D2F5DE6-BEA4-4A5C-B0C7-7D184973EF21}"/>
    <cellStyle name="Normal 4 12 2 2 2 4" xfId="15582" xr:uid="{27B295EA-F7A8-45B4-AB68-556507B428EA}"/>
    <cellStyle name="Normal 4 12 2 2 3" xfId="8035" xr:uid="{616C26B3-947A-49FA-BD36-3B2A420356CF}"/>
    <cellStyle name="Normal 4 12 2 2 3 2" xfId="28459" xr:uid="{05AA4C15-B790-495B-8255-79ED4BFB713F}"/>
    <cellStyle name="Normal 4 12 2 2 3 3" xfId="18415" xr:uid="{7403AFF8-7A6D-4366-8E7B-04CB4DA435BF}"/>
    <cellStyle name="Normal 4 12 2 2 4" xfId="10868" xr:uid="{0B66BEA1-2DA0-4971-AF66-14DA741A6ABA}"/>
    <cellStyle name="Normal 4 12 2 2 4 2" xfId="21248" xr:uid="{9A9A3C3E-A45C-4BB5-AD82-E772F9CC6453}"/>
    <cellStyle name="Normal 4 12 2 2 5" xfId="24515" xr:uid="{04AB7646-A1EF-4009-8334-09BD6D6CBC7F}"/>
    <cellStyle name="Normal 4 12 2 2 6" xfId="13437" xr:uid="{625EDEB5-736B-4FA7-9D86-01E759B994F5}"/>
    <cellStyle name="Normal 4 12 2 3" xfId="5203" xr:uid="{B217F201-1C7B-45FA-A90D-4F20461B5B19}"/>
    <cellStyle name="Normal 4 12 2 3 2" xfId="25722" xr:uid="{AA7395DA-514E-4EC9-B956-A8C021B2863E}"/>
    <cellStyle name="Normal 4 12 2 3 3" xfId="28389" xr:uid="{64F7476D-DA2B-4C85-830C-601C77AECF00}"/>
    <cellStyle name="Normal 4 12 2 3 4" xfId="14500" xr:uid="{26027C43-C40B-400B-AE4D-8C8B51EBBF56}"/>
    <cellStyle name="Normal 4 12 2 4" xfId="6953" xr:uid="{2DF026E7-287B-46D0-B40E-31BC81BB5547}"/>
    <cellStyle name="Normal 4 12 2 4 2" xfId="26894" xr:uid="{285CBFB0-56D2-43FA-9CDA-49B0387CB8AB}"/>
    <cellStyle name="Normal 4 12 2 4 3" xfId="26340" xr:uid="{F75AB44A-7251-4C39-8A84-FF4B43878775}"/>
    <cellStyle name="Normal 4 12 2 4 4" xfId="17333" xr:uid="{ADE3DD7F-7755-4823-9BD2-920113558A47}"/>
    <cellStyle name="Normal 4 12 2 5" xfId="9786" xr:uid="{9F0D8B6E-82C2-41E7-B057-8D66EF34F6CA}"/>
    <cellStyle name="Normal 4 12 2 5 2" xfId="29410" xr:uid="{183E9DC0-EE97-4D29-A17B-EFFA4F49DFB9}"/>
    <cellStyle name="Normal 4 12 2 5 3" xfId="20166" xr:uid="{5592E532-6E39-4B49-BE7D-5AD8AD3151C4}"/>
    <cellStyle name="Normal 4 12 2 5 4" xfId="30725" xr:uid="{6F750704-B939-4CE7-BA62-9B3792238342}"/>
    <cellStyle name="Normal 4 12 2 6" xfId="23953" xr:uid="{EE0AA853-C38D-4770-A55C-847C9BC23139}"/>
    <cellStyle name="Normal 4 12 2 7" xfId="12739" xr:uid="{98562FE7-8A01-4979-A47E-9D928F196E2D}"/>
    <cellStyle name="Normal 4 12 2 8" xfId="30347" xr:uid="{AAE66070-74FD-408A-81DE-873ED4ADD9BD}"/>
    <cellStyle name="Normal 4 12 3" xfId="898" xr:uid="{00000000-0005-0000-0000-000034050000}"/>
    <cellStyle name="Normal 4 12 3 2" xfId="5204" xr:uid="{CD64FA4D-5C8C-4AAF-9645-E09F3284E44B}"/>
    <cellStyle name="Normal 4 12 3 2 2" xfId="26741" xr:uid="{E5D20643-BFEE-45D2-B711-C150E749A21F}"/>
    <cellStyle name="Normal 4 12 3 2 3" xfId="26210" xr:uid="{3D2A3F0B-3F2B-4DA2-BD81-0958B9476F82}"/>
    <cellStyle name="Normal 4 12 3 2 4" xfId="14501" xr:uid="{267076F1-174C-4F9E-91BC-8AC70DB875E3}"/>
    <cellStyle name="Normal 4 12 3 3" xfId="6954" xr:uid="{CCF2BDA1-E7FE-4016-B600-01C32C5F9F63}"/>
    <cellStyle name="Normal 4 12 3 3 2" xfId="28627" xr:uid="{016B5C70-6D14-4500-B488-0CBAA4F7952F}"/>
    <cellStyle name="Normal 4 12 3 3 3" xfId="27124" xr:uid="{8695EB15-05C1-4107-80DB-8ABED91F2CFA}"/>
    <cellStyle name="Normal 4 12 3 3 4" xfId="17334" xr:uid="{46A2F113-93FC-4F7A-85D5-26AF1CF23737}"/>
    <cellStyle name="Normal 4 12 3 4" xfId="9787" xr:uid="{DE57C4DF-BE71-4218-B83D-48C5AFE60B98}"/>
    <cellStyle name="Normal 4 12 3 4 2" xfId="29411" xr:uid="{45DDAEE3-5E62-49C3-95DD-4C3223D521A4}"/>
    <cellStyle name="Normal 4 12 3 4 3" xfId="20167" xr:uid="{85DC60C8-A7EE-48C4-9507-C530C54A7198}"/>
    <cellStyle name="Normal 4 12 3 5" xfId="25021" xr:uid="{CEE429F4-2DEE-4700-A91D-D56E10462C09}"/>
    <cellStyle name="Normal 4 12 3 6" xfId="13207" xr:uid="{72AB36CC-13CA-44A9-8D88-F8D15F095357}"/>
    <cellStyle name="Normal 4 12 4" xfId="2347" xr:uid="{00000000-0005-0000-0000-00003A050000}"/>
    <cellStyle name="Normal 4 12 4 2" xfId="7474" xr:uid="{7C3BF43B-8669-497C-BFB5-14A2ECFB945C}"/>
    <cellStyle name="Normal 4 12 4 2 2" xfId="27277" xr:uid="{1A352666-929F-4969-ACBD-A3F9BE3A52DC}"/>
    <cellStyle name="Normal 4 12 4 2 3" xfId="17854" xr:uid="{70C770E9-C532-4702-8143-601419A1FBB6}"/>
    <cellStyle name="Normal 4 12 4 3" xfId="10307" xr:uid="{1769F406-21D2-4352-B632-41BA7F254E85}"/>
    <cellStyle name="Normal 4 12 4 3 2" xfId="20687" xr:uid="{C3EC5278-2AEB-4E7D-AE2A-7D13C0631397}"/>
    <cellStyle name="Normal 4 12 4 4" xfId="24205" xr:uid="{7EA7E858-9348-4727-8A46-7F661803DF3D}"/>
    <cellStyle name="Normal 4 12 4 5" xfId="15021" xr:uid="{18E7A2D1-2F0E-4D38-9A05-EF980972580D}"/>
    <cellStyle name="Normal 4 12 5" xfId="3967" xr:uid="{E45DB84D-C2E0-41C1-9817-A5A46BDFB000}"/>
    <cellStyle name="Normal 4 12 5 2" xfId="8791" xr:uid="{F2BE4F5B-71C8-4D96-ABD8-802C9C633C70}"/>
    <cellStyle name="Normal 4 12 5 2 2" xfId="28984" xr:uid="{92BDFB93-1FD9-434E-8573-AF9736FCD7A7}"/>
    <cellStyle name="Normal 4 12 5 2 3" xfId="19171" xr:uid="{BD863C3A-8279-4A1E-B14C-0410FBE9F500}"/>
    <cellStyle name="Normal 4 12 5 3" xfId="11624" xr:uid="{BBCEF7F9-6A49-4FB3-86B4-02ADBA6CD554}"/>
    <cellStyle name="Normal 4 12 5 3 2" xfId="22004" xr:uid="{07DBF146-159A-4C15-B659-0C96044AC077}"/>
    <cellStyle name="Normal 4 12 5 4" xfId="25644" xr:uid="{A5F3C60B-AED3-4A29-9B95-F4A30F1DF929}"/>
    <cellStyle name="Normal 4 12 5 5" xfId="16338" xr:uid="{A77CB27A-ACC2-4C79-AB61-710C18F409EB}"/>
    <cellStyle name="Normal 4 12 6" xfId="5202" xr:uid="{EC53401F-CAAA-4867-B8ED-56C47D0610B5}"/>
    <cellStyle name="Normal 4 12 6 2" xfId="26059" xr:uid="{C281C420-68F2-4658-9DF6-CB6D0F13247C}"/>
    <cellStyle name="Normal 4 12 6 3" xfId="28422" xr:uid="{53F68093-9E82-42A7-A119-0A0FDA27C4BD}"/>
    <cellStyle name="Normal 4 12 6 4" xfId="14499" xr:uid="{9CE49185-622B-4EE6-BA94-468245DBE3FA}"/>
    <cellStyle name="Normal 4 12 7" xfId="6952" xr:uid="{AB12BA99-8CB8-4001-822E-D3382C3B3961}"/>
    <cellStyle name="Normal 4 12 7 2" xfId="27258" xr:uid="{FE51C0DF-1F95-404A-8CDD-AEC36234FE02}"/>
    <cellStyle name="Normal 4 12 7 3" xfId="17332" xr:uid="{C06A5309-1141-4736-99C1-5A24C3FBE809}"/>
    <cellStyle name="Normal 4 12 8" xfId="9785" xr:uid="{3B503EFA-B53C-4520-AACE-13B0CFC6C78C}"/>
    <cellStyle name="Normal 4 12 8 2" xfId="20165" xr:uid="{F415702A-119B-45E9-A42F-CF6408FB0FCA}"/>
    <cellStyle name="Normal 4 12 9" xfId="23519" xr:uid="{51DA6533-86E2-4A52-81E2-09E783706291}"/>
    <cellStyle name="Normal 4 13" xfId="899" xr:uid="{00000000-0005-0000-0000-000035050000}"/>
    <cellStyle name="Normal 4 13 10" xfId="12500" xr:uid="{6B604244-E829-40F9-98FE-4ACF87DC7CC1}"/>
    <cellStyle name="Normal 4 13 2" xfId="3271" xr:uid="{00000000-0005-0000-0000-00003F050000}"/>
    <cellStyle name="Normal 4 13 2 2" xfId="6329" xr:uid="{87E1E428-F807-4D64-81F2-955CE5B9B15F}"/>
    <cellStyle name="Normal 4 13 2 2 2" xfId="23792" xr:uid="{D59CB827-DA22-4C9A-A52B-E8F689D31C7B}"/>
    <cellStyle name="Normal 4 13 2 2 3" xfId="27011" xr:uid="{EDEDC26E-BB3C-4921-9AD1-63E35B5FC1BD}"/>
    <cellStyle name="Normal 4 13 2 2 4" xfId="15898" xr:uid="{5EC8B708-034C-491D-8D80-3CB801241982}"/>
    <cellStyle name="Normal 4 13 2 3" xfId="8351" xr:uid="{A5932099-57E5-46AA-ADFF-147C9F815D1D}"/>
    <cellStyle name="Normal 4 13 2 3 2" xfId="26724" xr:uid="{D5472A88-48DB-4A92-AE76-CA0D4820680B}"/>
    <cellStyle name="Normal 4 13 2 3 3" xfId="28895" xr:uid="{68A91AF3-5B81-42F6-B542-E4A668378359}"/>
    <cellStyle name="Normal 4 13 2 3 4" xfId="18731" xr:uid="{2A7B73D7-2DA6-467E-B0F7-59DB2FDA1F45}"/>
    <cellStyle name="Normal 4 13 2 4" xfId="11184" xr:uid="{E6522B3F-B534-46BD-B1F8-E54B81978DEC}"/>
    <cellStyle name="Normal 4 13 2 4 2" xfId="29479" xr:uid="{C1EB1113-6F91-497D-8098-6077F7CA659F}"/>
    <cellStyle name="Normal 4 13 2 4 3" xfId="21564" xr:uid="{FFF1C304-F737-4899-85FF-4F64A82DC472}"/>
    <cellStyle name="Normal 4 13 2 5" xfId="25426" xr:uid="{5491DF8B-C668-47D9-9220-D57FC8C467BC}"/>
    <cellStyle name="Normal 4 13 2 6" xfId="13822" xr:uid="{19879D26-6E15-4A92-9AB5-6B1E4BA4702D}"/>
    <cellStyle name="Normal 4 13 3" xfId="2758" xr:uid="{00000000-0005-0000-0000-000040050000}"/>
    <cellStyle name="Normal 4 13 3 2" xfId="5976" xr:uid="{C5EBFA5E-4319-4D3B-9BA4-DA655EC302A5}"/>
    <cellStyle name="Normal 4 13 3 2 2" xfId="28296" xr:uid="{61B746F0-A0A8-49EA-A38A-D7E02619383E}"/>
    <cellStyle name="Normal 4 13 3 2 3" xfId="15429" xr:uid="{49E07FAD-520C-461D-BF81-97ACCA028A04}"/>
    <cellStyle name="Normal 4 13 3 3" xfId="7882" xr:uid="{F15A2016-2E3F-4981-9D85-2509551721D6}"/>
    <cellStyle name="Normal 4 13 3 3 2" xfId="18262" xr:uid="{59689636-9CA9-4DD4-AF26-D903B88C20A7}"/>
    <cellStyle name="Normal 4 13 3 4" xfId="10715" xr:uid="{87267858-A412-47D6-B81C-F9291A8BD5CE}"/>
    <cellStyle name="Normal 4 13 3 4 2" xfId="21095" xr:uid="{E59208FE-AB0D-4A91-8D81-DB6EC642A5C0}"/>
    <cellStyle name="Normal 4 13 3 5" xfId="24496" xr:uid="{292F3C2C-45F5-41AC-9A63-9806C86405F1}"/>
    <cellStyle name="Normal 4 13 3 6" xfId="13204" xr:uid="{CBDD1BC2-019F-46E0-922C-A5BAA6699982}"/>
    <cellStyle name="Normal 4 13 4" xfId="2268" xr:uid="{00000000-0005-0000-0000-00003E050000}"/>
    <cellStyle name="Normal 4 13 4 2" xfId="7395" xr:uid="{CC8487F6-CCB4-41CE-835A-BEEA09CABA5E}"/>
    <cellStyle name="Normal 4 13 4 2 2" xfId="27476" xr:uid="{9F4BE9A4-3425-45F5-8DAE-7C5BF41D0AEB}"/>
    <cellStyle name="Normal 4 13 4 2 3" xfId="17775" xr:uid="{FF1AF18A-B797-44D2-B284-F8888F5A911F}"/>
    <cellStyle name="Normal 4 13 4 3" xfId="10228" xr:uid="{2C42D95E-B991-44DF-9601-FDADFC4CABDB}"/>
    <cellStyle name="Normal 4 13 4 3 2" xfId="20608" xr:uid="{974A8033-DFF9-459A-9D5D-8EF269D2436D}"/>
    <cellStyle name="Normal 4 13 4 4" xfId="23138" xr:uid="{2FD6C9DA-8D5F-4F13-B981-BAEBE4081DE2}"/>
    <cellStyle name="Normal 4 13 4 5" xfId="14942" xr:uid="{53A7D4DD-540F-4215-BED1-BF79C1505C0B}"/>
    <cellStyle name="Normal 4 13 5" xfId="3964" xr:uid="{D16F06B3-A21C-479B-BEAB-1C1F90798DCF}"/>
    <cellStyle name="Normal 4 13 5 2" xfId="8788" xr:uid="{7D2EC6B6-27CF-415C-877B-93F017867EA0}"/>
    <cellStyle name="Normal 4 13 5 2 2" xfId="19168" xr:uid="{3403774A-C847-42DD-A15B-97CBD1BB539B}"/>
    <cellStyle name="Normal 4 13 5 3" xfId="11621" xr:uid="{4A67412A-AE8F-47B8-86EC-E986A2B0F1AB}"/>
    <cellStyle name="Normal 4 13 5 3 2" xfId="22001" xr:uid="{4AA1970C-3286-43D8-BE64-B700185DED2E}"/>
    <cellStyle name="Normal 4 13 5 4" xfId="27541" xr:uid="{5495F43B-CA44-4C8E-A854-BBEA35C4B19E}"/>
    <cellStyle name="Normal 4 13 5 5" xfId="16335" xr:uid="{06ECD207-B95A-4CFB-B99F-29EF69CE1FE3}"/>
    <cellStyle name="Normal 4 13 6" xfId="5205" xr:uid="{C458F4C8-14E2-4929-AFBF-06E395360C9E}"/>
    <cellStyle name="Normal 4 13 6 2" xfId="14502" xr:uid="{98CBFEFC-BE88-4A48-A09D-64FA5D3C9D98}"/>
    <cellStyle name="Normal 4 13 7" xfId="6955" xr:uid="{6171A00A-3FDF-4AC1-A965-8F0260EEC5A4}"/>
    <cellStyle name="Normal 4 13 7 2" xfId="17335" xr:uid="{6013EC13-8117-47F8-92F3-8A0922204AA6}"/>
    <cellStyle name="Normal 4 13 8" xfId="9788" xr:uid="{7A79EDC7-8CDC-4DA3-B8F3-F5218C551A8A}"/>
    <cellStyle name="Normal 4 13 8 2" xfId="20168" xr:uid="{2977E316-911C-4135-90C7-F85F921695AA}"/>
    <cellStyle name="Normal 4 13 9" xfId="23188" xr:uid="{0049094B-652F-4256-9DD1-5AC18D12FCB3}"/>
    <cellStyle name="Normal 4 14" xfId="900" xr:uid="{00000000-0005-0000-0000-000036050000}"/>
    <cellStyle name="Normal 4 14 2" xfId="3272" xr:uid="{00000000-0005-0000-0000-000042050000}"/>
    <cellStyle name="Normal 4 14 2 2" xfId="6330" xr:uid="{EBF0C4C7-22BC-4678-943F-7A8954364E8B}"/>
    <cellStyle name="Normal 4 14 2 2 2" xfId="25709" xr:uid="{24A5C626-BB17-41A5-8763-466C638DF9F5}"/>
    <cellStyle name="Normal 4 14 2 2 3" xfId="25945" xr:uid="{031FE5C5-FD31-45B2-B65F-D7A409591BBF}"/>
    <cellStyle name="Normal 4 14 2 2 4" xfId="15899" xr:uid="{C4139796-D729-47B9-A9EE-0C56577F82F1}"/>
    <cellStyle name="Normal 4 14 2 3" xfId="8352" xr:uid="{D18C4476-9EE3-4274-8EC9-41510C85EED9}"/>
    <cellStyle name="Normal 4 14 2 3 2" xfId="28896" xr:uid="{31EDBDC0-1C01-448C-80A3-0C1102463E42}"/>
    <cellStyle name="Normal 4 14 2 3 3" xfId="18732" xr:uid="{116CE884-36E6-458B-8EBF-0CF878CCB78D}"/>
    <cellStyle name="Normal 4 14 2 4" xfId="11185" xr:uid="{FF23DBB9-B391-4C40-8E22-DDB496BA0E70}"/>
    <cellStyle name="Normal 4 14 2 4 2" xfId="21565" xr:uid="{1D06F5B9-AC29-459C-8496-1E6985E6C505}"/>
    <cellStyle name="Normal 4 14 2 5" xfId="23443" xr:uid="{03ADCF2E-14D6-4252-BF04-660ECEFE52F0}"/>
    <cellStyle name="Normal 4 14 2 6" xfId="13823" xr:uid="{C9B8FDAE-C790-45AE-AF63-31AFDC27CD8A}"/>
    <cellStyle name="Normal 4 14 3" xfId="2867" xr:uid="{00000000-0005-0000-0000-000043050000}"/>
    <cellStyle name="Normal 4 14 3 2" xfId="6075" xr:uid="{2B80869F-2692-405E-B16B-761108533BDA}"/>
    <cellStyle name="Normal 4 14 3 2 2" xfId="28590" xr:uid="{2E8A635F-9F23-4FFE-A72D-8675581E8DF5}"/>
    <cellStyle name="Normal 4 14 3 2 3" xfId="15531" xr:uid="{66BD48B7-5DAA-4A82-8221-6527E8424D69}"/>
    <cellStyle name="Normal 4 14 3 3" xfId="7984" xr:uid="{446A1E6B-8CE3-4D2B-BFE0-178AE7CA6D15}"/>
    <cellStyle name="Normal 4 14 3 3 2" xfId="18364" xr:uid="{4E2B77D4-8D83-4DF2-90FA-F834308F4915}"/>
    <cellStyle name="Normal 4 14 3 4" xfId="10817" xr:uid="{BD86AA57-322F-4C1B-B018-62F6EACC4910}"/>
    <cellStyle name="Normal 4 14 3 4 2" xfId="21197" xr:uid="{0504E1B0-AD3F-4389-9F56-F5429C40419E}"/>
    <cellStyle name="Normal 4 14 3 5" xfId="24736" xr:uid="{AC9459C8-51C0-4A5B-A344-3EC32A48C7BC}"/>
    <cellStyle name="Normal 4 14 3 6" xfId="13352" xr:uid="{65544E5E-2E80-4374-94E1-E4633750314F}"/>
    <cellStyle name="Normal 4 14 4" xfId="4115" xr:uid="{614CDF0E-3883-47E3-B9E2-FC75AA6846B9}"/>
    <cellStyle name="Normal 4 14 4 2" xfId="8887" xr:uid="{CE0D2979-3CC2-4E16-99A1-E495EE2BF7BB}"/>
    <cellStyle name="Normal 4 14 4 2 2" xfId="29002" xr:uid="{02DC788F-D4EF-4769-90C2-42EE0E81F1C9}"/>
    <cellStyle name="Normal 4 14 4 2 3" xfId="19267" xr:uid="{34D3EBDB-64A3-49E2-8A69-EBE888B3B041}"/>
    <cellStyle name="Normal 4 14 4 3" xfId="11720" xr:uid="{CEC56EE9-02B4-4DAB-892F-AB3794B969BF}"/>
    <cellStyle name="Normal 4 14 4 3 2" xfId="22100" xr:uid="{2554EE88-C67C-4BCF-8418-02565EE91145}"/>
    <cellStyle name="Normal 4 14 4 4" xfId="23381" xr:uid="{0077080F-BFF5-424B-B2CB-B34D7942044F}"/>
    <cellStyle name="Normal 4 14 4 5" xfId="16434" xr:uid="{3A6C3A53-5140-4FDC-A0C3-5329963CFD37}"/>
    <cellStyle name="Normal 4 14 5" xfId="5206" xr:uid="{A457423E-1DF2-41DC-A4B5-DBB724771767}"/>
    <cellStyle name="Normal 4 14 5 2" xfId="26351" xr:uid="{B9924351-25AD-4A91-AF05-C171052E973F}"/>
    <cellStyle name="Normal 4 14 5 3" xfId="14503" xr:uid="{6FEBAEFD-D88F-4EB7-B72C-78789019A780}"/>
    <cellStyle name="Normal 4 14 5 4" xfId="30704" xr:uid="{1FB1D000-E4F1-45A4-98AE-AED04E954362}"/>
    <cellStyle name="Normal 4 14 6" xfId="6956" xr:uid="{CF72D73A-0632-421B-BDE2-E5D27A6E7A5A}"/>
    <cellStyle name="Normal 4 14 6 2" xfId="17336" xr:uid="{B4D81D25-1620-47CB-B9AF-15F441DD38DC}"/>
    <cellStyle name="Normal 4 14 7" xfId="9789" xr:uid="{BEDF55D9-9FFB-448B-833B-BBF689AE81E0}"/>
    <cellStyle name="Normal 4 14 7 2" xfId="20169" xr:uid="{4D3BEF02-6CB7-43D0-AB6B-141BC70CEAA7}"/>
    <cellStyle name="Normal 4 14 8" xfId="24097" xr:uid="{A6114E6A-4694-4940-BCA7-3B1717FB1401}"/>
    <cellStyle name="Normal 4 14 9" xfId="12658" xr:uid="{4B4642A6-DBBF-4669-8C69-8BCA481779DA}"/>
    <cellStyle name="Normal 4 15" xfId="901" xr:uid="{00000000-0005-0000-0000-000037050000}"/>
    <cellStyle name="Normal 4 15 2" xfId="5207" xr:uid="{2152EC8C-061D-420B-9D6B-B58F12C90A49}"/>
    <cellStyle name="Normal 4 15 2 2" xfId="24363" xr:uid="{4DDE4A4D-5F2B-4F7F-A5BA-15ADDE58C8FC}"/>
    <cellStyle name="Normal 4 15 2 3" xfId="27478" xr:uid="{32D9C258-AB46-44AB-8C29-2E03E7D079E8}"/>
    <cellStyle name="Normal 4 15 2 4" xfId="14504" xr:uid="{0D8F390E-A323-4C57-A1F7-8CBC2BB21E12}"/>
    <cellStyle name="Normal 4 15 3" xfId="6957" xr:uid="{6F949056-3DA3-4A4D-905A-8E552E3BD423}"/>
    <cellStyle name="Normal 4 15 3 2" xfId="25310" xr:uid="{D3F1DA03-AAD8-427C-9A93-A07E7808BF9D}"/>
    <cellStyle name="Normal 4 15 3 3" xfId="28385" xr:uid="{FA57FE5A-D7CC-482F-93E0-9A985B1546BB}"/>
    <cellStyle name="Normal 4 15 3 4" xfId="17337" xr:uid="{B2F5535D-F7D8-46A1-9426-87745292EA13}"/>
    <cellStyle name="Normal 4 15 4" xfId="9790" xr:uid="{7EFFA494-332C-4FF7-A18A-C4360C8277FD}"/>
    <cellStyle name="Normal 4 15 4 2" xfId="23556" xr:uid="{F8920579-D83A-4A1C-ACCE-0CFDA508B5D8}"/>
    <cellStyle name="Normal 4 15 4 3" xfId="20170" xr:uid="{A1DA45D1-08B2-44C7-B81E-B11857218F7E}"/>
    <cellStyle name="Normal 4 15 4 4" xfId="30706" xr:uid="{80000CAA-847B-40C9-8D50-5ABE56ED723D}"/>
    <cellStyle name="Normal 4 15 5" xfId="23966" xr:uid="{8CE3825A-C4F9-42C0-9621-05B76667C1F6}"/>
    <cellStyle name="Normal 4 15 6" xfId="13356" xr:uid="{A4669137-42CE-4AC9-95A3-3115BD22BB14}"/>
    <cellStyle name="Normal 4 15 7" xfId="30430" xr:uid="{174014B7-AB62-4577-915E-1398B24AF9A2}"/>
    <cellStyle name="Normal 4 16" xfId="902" xr:uid="{00000000-0005-0000-0000-000038050000}"/>
    <cellStyle name="Normal 4 16 2" xfId="5208" xr:uid="{FED3D8FC-DAFF-40C4-8DD7-BDE8EFB0E59C}"/>
    <cellStyle name="Normal 4 16 2 2" xfId="25769" xr:uid="{A75464D4-4AA7-42A5-BE86-C487126C1AC8}"/>
    <cellStyle name="Normal 4 16 2 3" xfId="14505" xr:uid="{6F1450C7-6852-41A6-99A6-860D40DDC944}"/>
    <cellStyle name="Normal 4 16 3" xfId="6958" xr:uid="{32BD0D16-5F5E-4167-A5E7-3E9B6E5A12B2}"/>
    <cellStyle name="Normal 4 16 3 2" xfId="25721" xr:uid="{BE9FDC77-A0F5-49B4-ACAB-A6AC91492FDD}"/>
    <cellStyle name="Normal 4 16 3 3" xfId="17338" xr:uid="{5FFB2571-FC61-46DC-AED1-B16F7DBA081F}"/>
    <cellStyle name="Normal 4 16 4" xfId="9791" xr:uid="{5607ABC0-E2B7-46E2-BB78-C9823B632A67}"/>
    <cellStyle name="Normal 4 16 4 2" xfId="20171" xr:uid="{AD2B9DBC-1BBE-452C-B586-31C906581171}"/>
    <cellStyle name="Normal 4 16 5" xfId="25148" xr:uid="{AE767CAC-5D02-4A93-A7AF-0BCE2601708A}"/>
    <cellStyle name="Normal 4 16 6" xfId="12817" xr:uid="{30E9AB7D-7F47-4B82-9C96-E2CA60C87215}"/>
    <cellStyle name="Normal 4 17" xfId="903" xr:uid="{00000000-0005-0000-0000-000039050000}"/>
    <cellStyle name="Normal 4 17 2" xfId="6959" xr:uid="{4A5672F2-61BE-4A26-A933-6069F299B438}"/>
    <cellStyle name="Normal 4 17 2 2" xfId="22970" xr:uid="{47BAEC2D-A30D-47E4-9F65-430C047338C1}"/>
    <cellStyle name="Normal 4 17 2 3" xfId="17339" xr:uid="{CB82390D-6283-4C29-B770-C95BE2A9E212}"/>
    <cellStyle name="Normal 4 17 3" xfId="9792" xr:uid="{F63229C1-550B-4ECA-9EA5-A392957143B7}"/>
    <cellStyle name="Normal 4 17 3 2" xfId="25671" xr:uid="{89A62B8C-B8B9-4918-BC48-D0A81FD726B1}"/>
    <cellStyle name="Normal 4 17 3 3" xfId="20172" xr:uid="{0E4FEF04-9206-48B5-B5BC-5E74285A7EC7}"/>
    <cellStyle name="Normal 4 17 4" xfId="25172" xr:uid="{401EA57A-55C0-47C2-8C89-5D0F48CD4901}"/>
    <cellStyle name="Normal 4 17 5" xfId="14506" xr:uid="{E46752DF-F9B2-4E78-B3A7-2D1EDDB35A8C}"/>
    <cellStyle name="Normal 4 18" xfId="3781" xr:uid="{498D3F45-FE58-4FFC-9753-731FB0ECD3C7}"/>
    <cellStyle name="Normal 4 18 2" xfId="8621" xr:uid="{2A84A90A-6745-4823-8323-8E280FE19B84}"/>
    <cellStyle name="Normal 4 18 2 2" xfId="25799" xr:uid="{DF47F90B-F627-44A8-A898-BE5751EC10DE}"/>
    <cellStyle name="Normal 4 18 2 3" xfId="19001" xr:uid="{F6671693-CA65-4EF4-9FDC-1C434716A144}"/>
    <cellStyle name="Normal 4 18 3" xfId="11454" xr:uid="{3D4288CC-D7A0-4E04-8090-27E9F64B29C3}"/>
    <cellStyle name="Normal 4 18 3 2" xfId="25820" xr:uid="{D49A171E-BC4A-4F1F-B755-F85082362E30}"/>
    <cellStyle name="Normal 4 18 3 3" xfId="21834" xr:uid="{EFC46C14-B2D6-475A-BCEA-D6DA30959BBB}"/>
    <cellStyle name="Normal 4 18 4" xfId="25742" xr:uid="{F7DD7180-DF6E-4610-8D3D-C1A548134F19}"/>
    <cellStyle name="Normal 4 18 5" xfId="16168" xr:uid="{E12B28AA-2ED9-4B37-A7BA-87C97A253640}"/>
    <cellStyle name="Normal 4 19" xfId="5193" xr:uid="{A7BC2BA0-0079-4964-AC4B-AEA350E58462}"/>
    <cellStyle name="Normal 4 19 2" xfId="25675" xr:uid="{DBF43541-1C55-4BB7-AD13-4C9F15C3B47E}"/>
    <cellStyle name="Normal 4 19 3" xfId="24782" xr:uid="{903C44A5-017A-4D5E-A0BB-942EB7E8D36D}"/>
    <cellStyle name="Normal 4 19 4" xfId="23923" xr:uid="{3B4CD16E-8E3C-430D-A3D8-3B182181D5ED}"/>
    <cellStyle name="Normal 4 19 5" xfId="14490" xr:uid="{13D57E3E-453D-45DA-956B-A9DC2EB73F7A}"/>
    <cellStyle name="Normal 4 2" xfId="904" xr:uid="{00000000-0005-0000-0000-00003A050000}"/>
    <cellStyle name="Normal 4 2 10" xfId="905" xr:uid="{00000000-0005-0000-0000-00003B050000}"/>
    <cellStyle name="Normal 4 2 10 10" xfId="12582" xr:uid="{1C1F3AF7-3FC1-4AF5-9260-175B9A0608D1}"/>
    <cellStyle name="Normal 4 2 10 2" xfId="906" xr:uid="{00000000-0005-0000-0000-00003C050000}"/>
    <cellStyle name="Normal 4 2 10 2 2" xfId="2925" xr:uid="{00000000-0005-0000-0000-000049050000}"/>
    <cellStyle name="Normal 4 2 10 2 2 2" xfId="6105" xr:uid="{2CD4AF38-1293-44D3-82FD-381A4547F7B7}"/>
    <cellStyle name="Normal 4 2 10 2 2 2 2" xfId="27610" xr:uid="{887708D4-A3AB-480B-98B7-F11C45DA195B}"/>
    <cellStyle name="Normal 4 2 10 2 2 2 3" xfId="27034" xr:uid="{F192572E-FA3E-4598-99B0-F88A932A5295}"/>
    <cellStyle name="Normal 4 2 10 2 2 2 4" xfId="15583" xr:uid="{15A7E389-7689-4BDC-A601-961369D4FD92}"/>
    <cellStyle name="Normal 4 2 10 2 2 3" xfId="8036" xr:uid="{828286EA-7AA6-42BA-9E2D-104102B86FF6}"/>
    <cellStyle name="Normal 4 2 10 2 2 3 2" xfId="26874" xr:uid="{381EB044-756A-4CF6-B112-722C8D9A299C}"/>
    <cellStyle name="Normal 4 2 10 2 2 3 3" xfId="18416" xr:uid="{E1C40F26-5762-414A-B56B-8AC5973DA0ED}"/>
    <cellStyle name="Normal 4 2 10 2 2 4" xfId="10869" xr:uid="{7A892757-E0BA-4BDD-8C0A-11B8DA7F1D97}"/>
    <cellStyle name="Normal 4 2 10 2 2 4 2" xfId="21249" xr:uid="{AE99E40C-C079-43E4-972C-D74167BF3429}"/>
    <cellStyle name="Normal 4 2 10 2 2 5" xfId="23954" xr:uid="{F2243CEE-2965-4A24-872D-A2AF7333F309}"/>
    <cellStyle name="Normal 4 2 10 2 2 6" xfId="13438" xr:uid="{3E22C284-E8F9-4AA6-8BAE-4DC6B7F62D90}"/>
    <cellStyle name="Normal 4 2 10 2 3" xfId="5211" xr:uid="{9E65A668-589A-46F2-A32A-A1C562E8551F}"/>
    <cellStyle name="Normal 4 2 10 2 3 2" xfId="23900" xr:uid="{E5C68282-A426-45FB-9A48-C863A41A3E5A}"/>
    <cellStyle name="Normal 4 2 10 2 3 3" xfId="28528" xr:uid="{37344D2D-FCB4-48A5-8B55-4E29C951C58C}"/>
    <cellStyle name="Normal 4 2 10 2 3 4" xfId="14509" xr:uid="{89F5FE66-9B28-4ECC-91DC-9E14D076BA8C}"/>
    <cellStyle name="Normal 4 2 10 2 4" xfId="6962" xr:uid="{F52CCE02-B732-4BA3-8AFE-DE0AF264F111}"/>
    <cellStyle name="Normal 4 2 10 2 4 2" xfId="28210" xr:uid="{FE22950C-8E64-4B3B-A5F8-003256BBE512}"/>
    <cellStyle name="Normal 4 2 10 2 4 3" xfId="26123" xr:uid="{43697AA5-C880-44F1-B32B-03B95CC3DF49}"/>
    <cellStyle name="Normal 4 2 10 2 4 4" xfId="17342" xr:uid="{43B24351-9F6E-4914-ACB2-477734EB2CCA}"/>
    <cellStyle name="Normal 4 2 10 2 5" xfId="9795" xr:uid="{28AC10B2-7BB0-4F20-825B-41B1E2AE93C8}"/>
    <cellStyle name="Normal 4 2 10 2 5 2" xfId="29412" xr:uid="{C8A3F48B-174F-4CDF-BF57-C3C2F558B252}"/>
    <cellStyle name="Normal 4 2 10 2 5 3" xfId="20175" xr:uid="{77BBB3EB-0C3C-4801-A6E3-6DFD2E77628F}"/>
    <cellStyle name="Normal 4 2 10 2 5 4" xfId="30726" xr:uid="{D2AB83CD-B192-412F-97D5-40BBF694D20F}"/>
    <cellStyle name="Normal 4 2 10 2 6" xfId="22802" xr:uid="{123F473C-911A-4770-95C8-FE7C33678C1B}"/>
    <cellStyle name="Normal 4 2 10 2 7" xfId="12740" xr:uid="{71B1A28C-A5A6-420E-82C3-2A2CD5871B5B}"/>
    <cellStyle name="Normal 4 2 10 2 8" xfId="30348" xr:uid="{D34DBC44-1614-4652-8E39-D7AC6B568F64}"/>
    <cellStyle name="Normal 4 2 10 3" xfId="907" xr:uid="{00000000-0005-0000-0000-00003D050000}"/>
    <cellStyle name="Normal 4 2 10 3 2" xfId="5212" xr:uid="{8975F72F-D0D1-4725-B25D-9618BD91B371}"/>
    <cellStyle name="Normal 4 2 10 3 2 2" xfId="26363" xr:uid="{4D41C7EA-7484-4536-8C34-C5C9B4859874}"/>
    <cellStyle name="Normal 4 2 10 3 2 3" xfId="26899" xr:uid="{86E894B8-780C-4340-8693-ADE2E5899790}"/>
    <cellStyle name="Normal 4 2 10 3 2 4" xfId="14510" xr:uid="{533CA289-1D73-4347-84A1-0DFBDDD3F8FB}"/>
    <cellStyle name="Normal 4 2 10 3 3" xfId="6963" xr:uid="{B3CA0F27-F4B7-4C63-B850-5C2CE75B6DA8}"/>
    <cellStyle name="Normal 4 2 10 3 3 2" xfId="27323" xr:uid="{1A707BEF-7010-4AE4-A4BB-FA2D06D6AA2E}"/>
    <cellStyle name="Normal 4 2 10 3 3 3" xfId="26897" xr:uid="{2AAD49CE-880D-499C-ACF2-026ED1631D1F}"/>
    <cellStyle name="Normal 4 2 10 3 3 4" xfId="17343" xr:uid="{E52061AB-851B-4536-A0F8-0B5AEE32FF85}"/>
    <cellStyle name="Normal 4 2 10 3 4" xfId="9796" xr:uid="{523F02B9-2BA8-4A3A-9530-DCCDB5AA4B06}"/>
    <cellStyle name="Normal 4 2 10 3 4 2" xfId="29413" xr:uid="{60897F67-55EC-4F07-9C22-3EA69EF53A89}"/>
    <cellStyle name="Normal 4 2 10 3 4 3" xfId="20176" xr:uid="{E526AFD1-0256-43FD-B196-BED2BF3B44C9}"/>
    <cellStyle name="Normal 4 2 10 3 5" xfId="23865" xr:uid="{D093FDC0-6426-4978-A82E-0CB54027E4C6}"/>
    <cellStyle name="Normal 4 2 10 3 6" xfId="13209" xr:uid="{C6392642-0716-4D14-82FD-0E3646BAFCE1}"/>
    <cellStyle name="Normal 4 2 10 4" xfId="2348" xr:uid="{00000000-0005-0000-0000-000047050000}"/>
    <cellStyle name="Normal 4 2 10 4 2" xfId="7475" xr:uid="{5328430A-944E-49B1-AEF6-B5C2F374381D}"/>
    <cellStyle name="Normal 4 2 10 4 2 2" xfId="26225" xr:uid="{8AD8243A-60C9-4B97-B713-D73A48CC2E83}"/>
    <cellStyle name="Normal 4 2 10 4 2 3" xfId="17855" xr:uid="{F611490C-610C-4B2B-99F6-21ED2EC5EB60}"/>
    <cellStyle name="Normal 4 2 10 4 3" xfId="10308" xr:uid="{39F63380-B06A-4B83-9287-B5BD44FC19A7}"/>
    <cellStyle name="Normal 4 2 10 4 3 2" xfId="20688" xr:uid="{9E0A6208-1AD8-4912-8171-8B69711FF9BF}"/>
    <cellStyle name="Normal 4 2 10 4 4" xfId="25313" xr:uid="{CDF812E3-72A6-4230-8038-5F24CF006DAC}"/>
    <cellStyle name="Normal 4 2 10 4 5" xfId="15022" xr:uid="{4C791D4B-FE7D-489A-8C76-E4CB6E277DEF}"/>
    <cellStyle name="Normal 4 2 10 5" xfId="3969" xr:uid="{5996B1B9-A7BD-475C-AA9E-7A83E249082B}"/>
    <cellStyle name="Normal 4 2 10 5 2" xfId="8793" xr:uid="{8F0B5B0A-F029-436A-BBAD-0CFE62AF8BD5}"/>
    <cellStyle name="Normal 4 2 10 5 2 2" xfId="28985" xr:uid="{650C1DE3-5727-426D-989E-C20D2CF3A5AA}"/>
    <cellStyle name="Normal 4 2 10 5 2 3" xfId="19173" xr:uid="{A2D633B8-973E-41F1-AA16-B3AB165CF25B}"/>
    <cellStyle name="Normal 4 2 10 5 3" xfId="11626" xr:uid="{2015F5DE-56CF-436F-AB5E-A7A6158128AB}"/>
    <cellStyle name="Normal 4 2 10 5 3 2" xfId="22006" xr:uid="{30C73229-9442-4B78-8A30-595244F9DEAD}"/>
    <cellStyle name="Normal 4 2 10 5 4" xfId="22908" xr:uid="{2583863C-D271-4D90-9F52-F208277C096D}"/>
    <cellStyle name="Normal 4 2 10 5 5" xfId="16340" xr:uid="{2C97BFC6-BB76-40E9-AD18-3C85D14907A3}"/>
    <cellStyle name="Normal 4 2 10 6" xfId="5210" xr:uid="{7459E4B8-8B62-4EAA-A827-940BFBA6FF6A}"/>
    <cellStyle name="Normal 4 2 10 6 2" xfId="27440" xr:uid="{BA04A4F7-4B2A-4328-A73E-5676854BE081}"/>
    <cellStyle name="Normal 4 2 10 6 3" xfId="26795" xr:uid="{AF87D0D5-F953-41E6-B3A6-2192A80CB766}"/>
    <cellStyle name="Normal 4 2 10 6 4" xfId="14508" xr:uid="{B695B458-2531-4728-B4B1-DCE341083A59}"/>
    <cellStyle name="Normal 4 2 10 7" xfId="6961" xr:uid="{D82B3822-C6A6-4197-9644-17BB0260DAC1}"/>
    <cellStyle name="Normal 4 2 10 7 2" xfId="27340" xr:uid="{1E33A25E-5900-4252-8E58-DED04262F6E4}"/>
    <cellStyle name="Normal 4 2 10 7 3" xfId="17341" xr:uid="{F60F3B04-A426-4F69-BD42-D9B3A45E81F0}"/>
    <cellStyle name="Normal 4 2 10 8" xfId="9794" xr:uid="{42CAC7D8-8534-4BAB-A687-1326501055A5}"/>
    <cellStyle name="Normal 4 2 10 8 2" xfId="20174" xr:uid="{1DE78D67-20A2-4EFB-8D84-458E5AAFFB0D}"/>
    <cellStyle name="Normal 4 2 10 9" xfId="24419" xr:uid="{4AB66C56-8C99-443A-99F7-92D80BCF7025}"/>
    <cellStyle name="Normal 4 2 11" xfId="908" xr:uid="{00000000-0005-0000-0000-00003E050000}"/>
    <cellStyle name="Normal 4 2 11 10" xfId="12501" xr:uid="{82FE4754-DCE8-4B64-A21E-29A06E00D4CD}"/>
    <cellStyle name="Normal 4 2 11 2" xfId="3273" xr:uid="{00000000-0005-0000-0000-00004C050000}"/>
    <cellStyle name="Normal 4 2 11 2 2" xfId="6331" xr:uid="{3C203743-DF6E-4A04-8565-9755DB1F4CA6}"/>
    <cellStyle name="Normal 4 2 11 2 2 2" xfId="23686" xr:uid="{C92B1744-22AD-4EA7-AE28-431EAA341AC6}"/>
    <cellStyle name="Normal 4 2 11 2 2 3" xfId="27085" xr:uid="{35868BFB-4865-4F17-83C6-445B51E8AC96}"/>
    <cellStyle name="Normal 4 2 11 2 2 4" xfId="15900" xr:uid="{51505143-F4E8-43E3-8E67-616BEB8A118A}"/>
    <cellStyle name="Normal 4 2 11 2 3" xfId="8353" xr:uid="{B9119ACF-DBF3-42DA-9795-7AF14DD2F561}"/>
    <cellStyle name="Normal 4 2 11 2 3 2" xfId="27973" xr:uid="{F8019C84-1CFE-4052-A5AC-1E5A131E1BB1}"/>
    <cellStyle name="Normal 4 2 11 2 3 3" xfId="28897" xr:uid="{C4FAB93F-9F72-4D0D-88BF-E4D59DA23AAF}"/>
    <cellStyle name="Normal 4 2 11 2 3 4" xfId="18733" xr:uid="{E1545138-1DF5-4929-BC30-0193935CBD6F}"/>
    <cellStyle name="Normal 4 2 11 2 4" xfId="11186" xr:uid="{B52E1FAC-3E81-4BAB-AB24-976BD2396174}"/>
    <cellStyle name="Normal 4 2 11 2 4 2" xfId="29480" xr:uid="{D6314228-13D1-48DA-9E27-0F30B8D9A2F6}"/>
    <cellStyle name="Normal 4 2 11 2 4 3" xfId="21566" xr:uid="{2451CC2A-117C-430E-9DFD-DE02DE6C3D00}"/>
    <cellStyle name="Normal 4 2 11 2 5" xfId="22874" xr:uid="{3F4E4A5F-4B50-4CDE-8F3E-536A49BDAFDD}"/>
    <cellStyle name="Normal 4 2 11 2 6" xfId="13824" xr:uid="{08AD87F2-2F3B-462B-81D3-DDD4297D05CF}"/>
    <cellStyle name="Normal 4 2 11 3" xfId="2761" xr:uid="{00000000-0005-0000-0000-00004D050000}"/>
    <cellStyle name="Normal 4 2 11 3 2" xfId="5979" xr:uid="{E778F592-8C4F-4F05-B7F8-FE05CFA5DD84}"/>
    <cellStyle name="Normal 4 2 11 3 2 2" xfId="28097" xr:uid="{E6A28BE8-67A0-436F-9730-C21C920A2F19}"/>
    <cellStyle name="Normal 4 2 11 3 2 3" xfId="15432" xr:uid="{DC4F2176-65E5-4192-BD37-E5EDE12B869B}"/>
    <cellStyle name="Normal 4 2 11 3 3" xfId="7885" xr:uid="{48A8E4B2-9E08-4646-95CF-2B2AC6C4BE97}"/>
    <cellStyle name="Normal 4 2 11 3 3 2" xfId="18265" xr:uid="{4AEFFEEF-80E6-4E04-9208-5928F5FA860F}"/>
    <cellStyle name="Normal 4 2 11 3 4" xfId="10718" xr:uid="{4A3E78A9-DA38-479D-9560-2A56A42EDE2E}"/>
    <cellStyle name="Normal 4 2 11 3 4 2" xfId="21098" xr:uid="{167E9FCA-9FBC-4FAD-9C38-9F2A59DE88BF}"/>
    <cellStyle name="Normal 4 2 11 3 5" xfId="22670" xr:uid="{A876EBD5-B8C4-4845-BA45-27AAAD52BC06}"/>
    <cellStyle name="Normal 4 2 11 3 6" xfId="13208" xr:uid="{C072739A-7930-4220-816B-56D8B9F019DF}"/>
    <cellStyle name="Normal 4 2 11 4" xfId="2269" xr:uid="{00000000-0005-0000-0000-00004B050000}"/>
    <cellStyle name="Normal 4 2 11 4 2" xfId="7396" xr:uid="{D3EBD313-E8E6-498E-9C69-81C7C91B4EF9}"/>
    <cellStyle name="Normal 4 2 11 4 2 2" xfId="26958" xr:uid="{24706F7D-8E66-4631-9E2D-73CE0996E932}"/>
    <cellStyle name="Normal 4 2 11 4 2 3" xfId="17776" xr:uid="{44BEC249-2C26-4D7D-8A7B-6EA093550D06}"/>
    <cellStyle name="Normal 4 2 11 4 3" xfId="10229" xr:uid="{37145A3E-5207-4822-9371-1701F1171EAC}"/>
    <cellStyle name="Normal 4 2 11 4 3 2" xfId="20609" xr:uid="{2648A42C-AFC5-4B2A-A487-921917475C33}"/>
    <cellStyle name="Normal 4 2 11 4 4" xfId="22720" xr:uid="{04B88765-A487-4E4C-9901-A4AFCC2BEA9D}"/>
    <cellStyle name="Normal 4 2 11 4 5" xfId="14943" xr:uid="{54722A99-E9CD-42FD-ADE5-3002164BBFB0}"/>
    <cellStyle name="Normal 4 2 11 5" xfId="3968" xr:uid="{40437C33-ED0F-4C4F-A451-25B473F93DC5}"/>
    <cellStyle name="Normal 4 2 11 5 2" xfId="8792" xr:uid="{F601A150-0B31-41E0-8DA0-B0CA702CE233}"/>
    <cellStyle name="Normal 4 2 11 5 2 2" xfId="19172" xr:uid="{C055CD5A-EEA0-4E2F-9C4C-0FFA1884F164}"/>
    <cellStyle name="Normal 4 2 11 5 3" xfId="11625" xr:uid="{18C1F18F-8736-4F0E-9183-DAE598D48C29}"/>
    <cellStyle name="Normal 4 2 11 5 3 2" xfId="22005" xr:uid="{5BD16FAA-15E3-4F97-BD1F-6159CFC80DB3}"/>
    <cellStyle name="Normal 4 2 11 5 4" xfId="28478" xr:uid="{107AD78C-92F9-4F1E-8FBC-B882481E552A}"/>
    <cellStyle name="Normal 4 2 11 5 5" xfId="16339" xr:uid="{FCFE0DAB-F5F6-45F3-A5B5-EC52EB7A7B1C}"/>
    <cellStyle name="Normal 4 2 11 6" xfId="5213" xr:uid="{B46CAF38-B055-486A-8BE3-EDDA147D0CE2}"/>
    <cellStyle name="Normal 4 2 11 6 2" xfId="14511" xr:uid="{9979028E-74D2-48FA-8DDB-B0FB662A7327}"/>
    <cellStyle name="Normal 4 2 11 7" xfId="6964" xr:uid="{2103BA03-C730-48E1-8A8E-3EA6EBE0DC67}"/>
    <cellStyle name="Normal 4 2 11 7 2" xfId="17344" xr:uid="{44ED385A-2AE5-488B-9AF7-EC162777E131}"/>
    <cellStyle name="Normal 4 2 11 8" xfId="9797" xr:uid="{3D1A39C1-0F2B-4485-8F3B-282F54907637}"/>
    <cellStyle name="Normal 4 2 11 8 2" xfId="20177" xr:uid="{1462CF82-5627-415F-A5F1-5446D590116B}"/>
    <cellStyle name="Normal 4 2 11 9" xfId="25482" xr:uid="{0AACD3D2-46F8-4DA4-BBF8-728F9B0062DF}"/>
    <cellStyle name="Normal 4 2 12" xfId="909" xr:uid="{00000000-0005-0000-0000-00003F050000}"/>
    <cellStyle name="Normal 4 2 12 2" xfId="3274" xr:uid="{00000000-0005-0000-0000-00004F050000}"/>
    <cellStyle name="Normal 4 2 12 2 2" xfId="6332" xr:uid="{57243C19-697E-473A-B248-624327C4602A}"/>
    <cellStyle name="Normal 4 2 12 2 2 2" xfId="28200" xr:uid="{7AE55AE3-FE7A-4884-B9D0-FF83A0F217D0}"/>
    <cellStyle name="Normal 4 2 12 2 2 3" xfId="15901" xr:uid="{3FE29F57-3DFD-4507-B092-AE152A169DD6}"/>
    <cellStyle name="Normal 4 2 12 2 3" xfId="8354" xr:uid="{5AD9B8F9-11BB-42FD-9C0F-B2ACEF54F25E}"/>
    <cellStyle name="Normal 4 2 12 2 3 2" xfId="18734" xr:uid="{F2D6770D-4D1C-4B5F-B4AE-F933182345A3}"/>
    <cellStyle name="Normal 4 2 12 2 4" xfId="11187" xr:uid="{22DEECCE-A0CD-40ED-AACB-44B8A1591DC2}"/>
    <cellStyle name="Normal 4 2 12 2 4 2" xfId="21567" xr:uid="{057485CF-B3AB-4D7F-A7B1-06107B4DC1A2}"/>
    <cellStyle name="Normal 4 2 12 2 5" xfId="24213" xr:uid="{A62A4FA9-8C7C-48B5-9FD5-D9DBE6429A79}"/>
    <cellStyle name="Normal 4 2 12 2 6" xfId="13825" xr:uid="{6B44576E-1ADF-4AAB-8E8F-03C03CF5113B}"/>
    <cellStyle name="Normal 4 2 12 3" xfId="4116" xr:uid="{C0E2A95B-A1C1-45B5-ABD0-12419E732CDB}"/>
    <cellStyle name="Normal 4 2 12 3 2" xfId="8888" xr:uid="{64CAA0F6-7251-41FA-B955-52C98B1D866C}"/>
    <cellStyle name="Normal 4 2 12 3 2 2" xfId="29003" xr:uid="{EAA76D94-DAD4-411C-9672-FB8590B35F01}"/>
    <cellStyle name="Normal 4 2 12 3 2 3" xfId="19268" xr:uid="{8DDE7DFE-B407-4EC4-9B14-CFB8194E7F6F}"/>
    <cellStyle name="Normal 4 2 12 3 3" xfId="11721" xr:uid="{3123DE6C-788F-444D-AB15-34EE5957B888}"/>
    <cellStyle name="Normal 4 2 12 3 3 2" xfId="22101" xr:uid="{F9A360FE-0F2C-4A6A-8E01-733B824AA1D3}"/>
    <cellStyle name="Normal 4 2 12 3 4" xfId="24660" xr:uid="{05599161-2CD7-4A59-BB2B-EC7793B7AAD8}"/>
    <cellStyle name="Normal 4 2 12 3 5" xfId="16435" xr:uid="{59BD7CDC-1EE6-43DC-846C-DEB35DC39991}"/>
    <cellStyle name="Normal 4 2 12 4" xfId="5214" xr:uid="{663F3992-2E3B-4876-9DF9-D8F9D70D6972}"/>
    <cellStyle name="Normal 4 2 12 4 2" xfId="24938" xr:uid="{545761CC-FC14-4597-9478-9D21E16AE88C}"/>
    <cellStyle name="Normal 4 2 12 4 3" xfId="26149" xr:uid="{2F7F0F47-228E-4280-8856-CE0E3D9B355A}"/>
    <cellStyle name="Normal 4 2 12 4 4" xfId="14512" xr:uid="{B29831FF-22CC-4496-B741-AED3B23604FD}"/>
    <cellStyle name="Normal 4 2 12 5" xfId="6965" xr:uid="{F9954EFB-9273-41C8-9A78-25F5E8F1288A}"/>
    <cellStyle name="Normal 4 2 12 5 2" xfId="26583" xr:uid="{03D41094-D075-4F1C-BF8B-A5362ED5EBAA}"/>
    <cellStyle name="Normal 4 2 12 5 3" xfId="17345" xr:uid="{C3F3474C-C1A6-41B5-979F-298D44083AF5}"/>
    <cellStyle name="Normal 4 2 12 5 4" xfId="30766" xr:uid="{95737197-D9B3-4CFF-A475-0E00D7ED1CB3}"/>
    <cellStyle name="Normal 4 2 12 6" xfId="9798" xr:uid="{76B95C7D-0586-474F-B8AF-B0CCFF19C26A}"/>
    <cellStyle name="Normal 4 2 12 6 2" xfId="20178" xr:uid="{7AEFD330-56B6-4B26-B329-F828984E1315}"/>
    <cellStyle name="Normal 4 2 12 7" xfId="24446" xr:uid="{58AE3336-1CE4-4012-A7DE-217525D1A1BC}"/>
    <cellStyle name="Normal 4 2 12 8" xfId="12659" xr:uid="{7F5BCED3-8E97-496B-A83E-ED562CA0D877}"/>
    <cellStyle name="Normal 4 2 13" xfId="910" xr:uid="{00000000-0005-0000-0000-000040050000}"/>
    <cellStyle name="Normal 4 2 13 2" xfId="5215" xr:uid="{B9CFA165-2251-4903-B5AF-7F91BE12455C}"/>
    <cellStyle name="Normal 4 2 13 2 2" xfId="25277" xr:uid="{683E918D-C673-4735-B0F8-FAC7A5B01144}"/>
    <cellStyle name="Normal 4 2 13 2 3" xfId="28339" xr:uid="{6051871C-D20C-4522-BEFE-D4EBAA8EA9F8}"/>
    <cellStyle name="Normal 4 2 13 2 4" xfId="14513" xr:uid="{D6AFA65F-6472-4E8B-91C1-FBAD54B3CD4F}"/>
    <cellStyle name="Normal 4 2 13 3" xfId="6966" xr:uid="{8C09D563-2893-4843-BCD4-CC10B1168477}"/>
    <cellStyle name="Normal 4 2 13 3 2" xfId="22912" xr:uid="{DCFAB4E1-ADFB-4B54-91B7-297FFF170CCE}"/>
    <cellStyle name="Normal 4 2 13 3 3" xfId="17346" xr:uid="{81640F5B-6D16-441B-9AE6-A663077F7A59}"/>
    <cellStyle name="Normal 4 2 13 4" xfId="9799" xr:uid="{9489FE99-E323-4CE2-AB84-C2870FBC4082}"/>
    <cellStyle name="Normal 4 2 13 4 2" xfId="20179" xr:uid="{EB5230F9-A7EA-4766-9CC0-A005FECC8416}"/>
    <cellStyle name="Normal 4 2 13 5" xfId="23199" xr:uid="{1F99CF31-EECD-4601-A448-FBD0619A42A1}"/>
    <cellStyle name="Normal 4 2 13 6" xfId="13357" xr:uid="{F6163DAC-A749-4C4C-BF5B-FBD5FE08AB67}"/>
    <cellStyle name="Normal 4 2 14" xfId="2431" xr:uid="{00000000-0005-0000-0000-000051050000}"/>
    <cellStyle name="Normal 4 2 14 2" xfId="5728" xr:uid="{1944C359-D1BC-4C47-8FAE-38DD4B5810C8}"/>
    <cellStyle name="Normal 4 2 14 2 2" xfId="28568" xr:uid="{ABE07BF4-324A-46E7-A17D-09E199107C54}"/>
    <cellStyle name="Normal 4 2 14 2 3" xfId="15103" xr:uid="{C59EDB31-B160-4473-BBB4-631B98FC424F}"/>
    <cellStyle name="Normal 4 2 14 3" xfId="7556" xr:uid="{0F980473-09F3-48ED-AC29-9374C6927889}"/>
    <cellStyle name="Normal 4 2 14 3 2" xfId="17936" xr:uid="{C350FC9B-C3ED-4025-BA32-18A6180B4119}"/>
    <cellStyle name="Normal 4 2 14 4" xfId="10389" xr:uid="{34FC9352-DF33-4BA8-8F66-F791B7E33A15}"/>
    <cellStyle name="Normal 4 2 14 4 2" xfId="20769" xr:uid="{6F721377-F3A7-491A-A3F2-EB95C437E24B}"/>
    <cellStyle name="Normal 4 2 14 5" xfId="23755" xr:uid="{EA0D995E-5FF6-4F57-868E-149D4A60FA02}"/>
    <cellStyle name="Normal 4 2 14 6" xfId="12818" xr:uid="{3DCF1676-21AA-4089-A749-0BE68428EC7A}"/>
    <cellStyle name="Normal 4 2 15" xfId="2158" xr:uid="{00000000-0005-0000-0000-000046050000}"/>
    <cellStyle name="Normal 4 2 15 2" xfId="7285" xr:uid="{68D389C6-B65B-4B57-8695-00107252F18A}"/>
    <cellStyle name="Normal 4 2 15 2 2" xfId="27149" xr:uid="{17A309DB-A644-477D-9B0D-A0536F0E8417}"/>
    <cellStyle name="Normal 4 2 15 2 3" xfId="17665" xr:uid="{7C4FD314-CB10-403B-83A5-8290EBEAC479}"/>
    <cellStyle name="Normal 4 2 15 3" xfId="10118" xr:uid="{CFC204A1-6795-48DE-89AF-D3D874DAFB26}"/>
    <cellStyle name="Normal 4 2 15 3 2" xfId="20498" xr:uid="{069D1D85-8652-419E-9121-EA4F3A6D8CD0}"/>
    <cellStyle name="Normal 4 2 15 4" xfId="23115" xr:uid="{0700854F-4580-478D-B6AB-331935D9045D}"/>
    <cellStyle name="Normal 4 2 15 5" xfId="14832" xr:uid="{9E532901-D255-4CD4-A05C-2D4608C4EE1A}"/>
    <cellStyle name="Normal 4 2 16" xfId="3782" xr:uid="{27CC7272-F4E2-4520-8C54-59A332157E49}"/>
    <cellStyle name="Normal 4 2 16 2" xfId="8622" xr:uid="{4EAA9704-FCEC-48C5-8844-C9B8227FEA16}"/>
    <cellStyle name="Normal 4 2 16 2 2" xfId="19002" xr:uid="{E0F32574-3B85-4CF3-BDB9-E03BC42D58A4}"/>
    <cellStyle name="Normal 4 2 16 3" xfId="11455" xr:uid="{E9BA206A-0C6C-4F83-914B-9E2E07F02FA7}"/>
    <cellStyle name="Normal 4 2 16 3 2" xfId="21835" xr:uid="{59BB904D-D1F2-4354-B67B-DE0EA2C8F00A}"/>
    <cellStyle name="Normal 4 2 16 4" xfId="25791" xr:uid="{35B12276-71AF-461C-AE9A-427A350131B5}"/>
    <cellStyle name="Normal 4 2 16 5" xfId="16169" xr:uid="{1545F333-97CF-46AF-850C-51D5368240A3}"/>
    <cellStyle name="Normal 4 2 17" xfId="5209" xr:uid="{40A45B17-08A7-429D-8BD0-7720AD32C752}"/>
    <cellStyle name="Normal 4 2 17 2" xfId="14507" xr:uid="{5B1A016E-2D09-4B3B-98B7-731CCA32B5ED}"/>
    <cellStyle name="Normal 4 2 18" xfId="6960" xr:uid="{1F9797DC-AAF9-450A-834E-2C1BBEA5DA7A}"/>
    <cellStyle name="Normal 4 2 18 2" xfId="17340" xr:uid="{30EFEE0E-5220-4048-9358-20DAC758A838}"/>
    <cellStyle name="Normal 4 2 19" xfId="9793" xr:uid="{9B414E89-376D-43A7-AFAD-BF33BE972A2C}"/>
    <cellStyle name="Normal 4 2 19 2" xfId="20173" xr:uid="{FB5A6142-9B43-46BF-9D60-43609F1B4AAD}"/>
    <cellStyle name="Normal 4 2 2" xfId="911" xr:uid="{00000000-0005-0000-0000-000041050000}"/>
    <cellStyle name="Normal 4 2 2 10" xfId="912" xr:uid="{00000000-0005-0000-0000-000042050000}"/>
    <cellStyle name="Normal 4 2 2 10 2" xfId="3275" xr:uid="{00000000-0005-0000-0000-000054050000}"/>
    <cellStyle name="Normal 4 2 2 10 2 2" xfId="6333" xr:uid="{185D5FB2-85C2-4416-AC75-4FDE5AC6B1DF}"/>
    <cellStyle name="Normal 4 2 2 10 2 2 2" xfId="26580" xr:uid="{B42086E8-B959-4099-801F-672DEC2E0025}"/>
    <cellStyle name="Normal 4 2 2 10 2 2 3" xfId="15902" xr:uid="{452F1F5D-5074-4FD2-95C9-D04823D47F33}"/>
    <cellStyle name="Normal 4 2 2 10 2 3" xfId="8355" xr:uid="{153892A2-F93F-4E14-B3F3-08E2EA9DECD7}"/>
    <cellStyle name="Normal 4 2 2 10 2 3 2" xfId="18735" xr:uid="{E97DF94D-DCCB-4B23-B8B5-E2072511C9D1}"/>
    <cellStyle name="Normal 4 2 2 10 2 4" xfId="11188" xr:uid="{132DB61E-A0F6-40EA-8A14-D18FC83EE2CE}"/>
    <cellStyle name="Normal 4 2 2 10 2 4 2" xfId="21568" xr:uid="{B16012CC-04A6-4971-91F8-10D17303B46B}"/>
    <cellStyle name="Normal 4 2 2 10 2 5" xfId="24012" xr:uid="{77E7BDF6-8B7A-4EB6-B150-4D77A6C11D38}"/>
    <cellStyle name="Normal 4 2 2 10 2 6" xfId="13826" xr:uid="{DA35EE25-1A4B-4F9B-B2C0-C383A2CD0766}"/>
    <cellStyle name="Normal 4 2 2 10 3" xfId="4179" xr:uid="{E8F62DEC-F5C8-42CD-A259-9BE651747801}"/>
    <cellStyle name="Normal 4 2 2 10 3 2" xfId="8951" xr:uid="{75BCDBA2-0158-4D5A-9CD1-5F782654B6F2}"/>
    <cellStyle name="Normal 4 2 2 10 3 2 2" xfId="29041" xr:uid="{BC5579B2-43A0-4EA1-A35A-04487637E72F}"/>
    <cellStyle name="Normal 4 2 2 10 3 2 3" xfId="19331" xr:uid="{5F984210-6810-47A9-B5F3-B59C911EC90B}"/>
    <cellStyle name="Normal 4 2 2 10 3 3" xfId="11784" xr:uid="{3339DDCC-70EA-478E-A9F8-32DBB8D883B2}"/>
    <cellStyle name="Normal 4 2 2 10 3 3 2" xfId="22164" xr:uid="{54E497B8-380D-4ACC-8784-CD20EE42FE48}"/>
    <cellStyle name="Normal 4 2 2 10 3 4" xfId="23608" xr:uid="{2C8585E0-C069-4507-BAC1-CCDE8C3D2477}"/>
    <cellStyle name="Normal 4 2 2 10 3 5" xfId="16498" xr:uid="{000A0721-BE3F-4DE6-A670-AAE937D1F561}"/>
    <cellStyle name="Normal 4 2 2 10 4" xfId="5217" xr:uid="{4EB3040A-9666-465A-9EBA-F4CF9D32B3C0}"/>
    <cellStyle name="Normal 4 2 2 10 4 2" xfId="25598" xr:uid="{203D3871-DD7E-4628-82BB-2C2F31A1BC76}"/>
    <cellStyle name="Normal 4 2 2 10 4 3" xfId="26291" xr:uid="{43B93DD7-EA6B-4238-A94D-730A91ED13F8}"/>
    <cellStyle name="Normal 4 2 2 10 4 4" xfId="14515" xr:uid="{87915702-98F2-4892-B3E9-B71660CD3F1A}"/>
    <cellStyle name="Normal 4 2 2 10 5" xfId="6968" xr:uid="{A464D24B-E40E-4838-AB46-D234D06B716F}"/>
    <cellStyle name="Normal 4 2 2 10 5 2" xfId="26301" xr:uid="{C027921C-8B3B-430A-9639-5218B95214C9}"/>
    <cellStyle name="Normal 4 2 2 10 5 3" xfId="17348" xr:uid="{B035E0E2-CAB1-4239-95B7-D4414DE2A23A}"/>
    <cellStyle name="Normal 4 2 2 10 6" xfId="9801" xr:uid="{CDFC3378-980C-472A-910D-BFCC669BD829}"/>
    <cellStyle name="Normal 4 2 2 10 6 2" xfId="20181" xr:uid="{940DF854-35D4-4CBB-9499-CA473C6DE8FA}"/>
    <cellStyle name="Normal 4 2 2 10 7" xfId="23009" xr:uid="{959DFF94-1B52-45F5-ADCF-7A6870F80A28}"/>
    <cellStyle name="Normal 4 2 2 10 8" xfId="12741" xr:uid="{C95538CA-7F08-4DE8-9100-45949CACB198}"/>
    <cellStyle name="Normal 4 2 2 11" xfId="913" xr:uid="{00000000-0005-0000-0000-000043050000}"/>
    <cellStyle name="Normal 4 2 2 11 2" xfId="5218" xr:uid="{27E7D2F7-8A58-4417-81DC-C797F66B222E}"/>
    <cellStyle name="Normal 4 2 2 11 2 2" xfId="22940" xr:uid="{E4853C26-B6A5-4022-B8BA-094D7181B69D}"/>
    <cellStyle name="Normal 4 2 2 11 2 3" xfId="28122" xr:uid="{803779A3-B52D-4DB8-9BA3-E064CEDB4EDF}"/>
    <cellStyle name="Normal 4 2 2 11 2 4" xfId="14516" xr:uid="{607B8411-1C42-495F-A5F9-E4A8C274DF3A}"/>
    <cellStyle name="Normal 4 2 2 11 3" xfId="6969" xr:uid="{5A4AC2D8-0476-44F7-850F-EBE5B9E95294}"/>
    <cellStyle name="Normal 4 2 2 11 3 2" xfId="27038" xr:uid="{EE41EE3F-7DAB-4326-8B66-E1F148D3036C}"/>
    <cellStyle name="Normal 4 2 2 11 3 3" xfId="17349" xr:uid="{E6278A32-D60F-4D6F-BA08-E494E08F2CBE}"/>
    <cellStyle name="Normal 4 2 2 11 4" xfId="9802" xr:uid="{071AFB65-363D-4AEF-8405-D54E4F6B7A51}"/>
    <cellStyle name="Normal 4 2 2 11 4 2" xfId="20182" xr:uid="{F96BCF8A-523F-4905-8DC7-50E08DFF478B}"/>
    <cellStyle name="Normal 4 2 2 11 5" xfId="23709" xr:uid="{DC3F3100-3942-4219-BF9A-89EFA33F2CAA}"/>
    <cellStyle name="Normal 4 2 2 11 6" xfId="13439" xr:uid="{25A1D4A9-1F40-41D7-995E-CD0254D7F015}"/>
    <cellStyle name="Normal 4 2 2 12" xfId="2439" xr:uid="{00000000-0005-0000-0000-000056050000}"/>
    <cellStyle name="Normal 4 2 2 12 2" xfId="5734" xr:uid="{8547517B-8782-4609-B33A-3D63C44BF131}"/>
    <cellStyle name="Normal 4 2 2 12 2 2" xfId="26015" xr:uid="{1CB25410-FC96-496C-8EB8-798C5784FD28}"/>
    <cellStyle name="Normal 4 2 2 12 2 3" xfId="15111" xr:uid="{0FE9A20C-C962-4A7A-AD94-954A69DDA6A6}"/>
    <cellStyle name="Normal 4 2 2 12 3" xfId="7564" xr:uid="{64007956-3482-47D2-9868-CCC187CEB834}"/>
    <cellStyle name="Normal 4 2 2 12 3 2" xfId="17944" xr:uid="{5606201E-E1C2-4C8B-828E-E5CB02270946}"/>
    <cellStyle name="Normal 4 2 2 12 4" xfId="10397" xr:uid="{86A3DC0E-5108-4020-8B99-37CB5341841F}"/>
    <cellStyle name="Normal 4 2 2 12 4 2" xfId="20777" xr:uid="{696A862E-EDD7-4007-BD2B-226DF2627FFB}"/>
    <cellStyle name="Normal 4 2 2 12 5" xfId="23021" xr:uid="{BAF468B8-ED33-44EA-A05D-FDAF302D77CB}"/>
    <cellStyle name="Normal 4 2 2 12 6" xfId="12826" xr:uid="{C759DABA-98F7-4310-A754-1D0D20A4DE9F}"/>
    <cellStyle name="Normal 4 2 2 13" xfId="2169" xr:uid="{00000000-0005-0000-0000-000052050000}"/>
    <cellStyle name="Normal 4 2 2 13 2" xfId="7296" xr:uid="{6FB8E346-A4FC-4EC0-B955-F22EE28F903C}"/>
    <cellStyle name="Normal 4 2 2 13 2 2" xfId="25881" xr:uid="{89DE9C29-9D64-4A61-9946-9E17F5F858CE}"/>
    <cellStyle name="Normal 4 2 2 13 2 3" xfId="17676" xr:uid="{317C0F3D-5A95-46DC-A00F-A42DFA954F0A}"/>
    <cellStyle name="Normal 4 2 2 13 3" xfId="10129" xr:uid="{008BE103-F31A-4EE0-9CE8-279CC533AB21}"/>
    <cellStyle name="Normal 4 2 2 13 3 2" xfId="20509" xr:uid="{6B6C2BA2-CE92-4379-BE26-7E3DB75D7A30}"/>
    <cellStyle name="Normal 4 2 2 13 4" xfId="25003" xr:uid="{51999392-4F95-43AF-A5E4-7A589442CCCB}"/>
    <cellStyle name="Normal 4 2 2 13 5" xfId="14843" xr:uid="{50A31E45-B226-41F3-96D7-F7AE06317ADE}"/>
    <cellStyle name="Normal 4 2 2 14" xfId="3970" xr:uid="{506337B6-E5FF-4C3A-AC3F-7F5EB249ADE2}"/>
    <cellStyle name="Normal 4 2 2 14 2" xfId="8794" xr:uid="{6816267C-CA97-4402-BD8A-30BAE9FFD2EB}"/>
    <cellStyle name="Normal 4 2 2 14 2 2" xfId="19174" xr:uid="{FEE2672A-26C4-496E-8CCD-E2CD8439F4EE}"/>
    <cellStyle name="Normal 4 2 2 14 3" xfId="11627" xr:uid="{0412BC77-676E-48C0-B280-5E17E1F24B54}"/>
    <cellStyle name="Normal 4 2 2 14 3 2" xfId="22007" xr:uid="{C47AF24F-E0E2-4DB5-8006-6E21B6128F61}"/>
    <cellStyle name="Normal 4 2 2 14 4" xfId="28255" xr:uid="{B55D04E7-6FDE-47CC-B0E4-A2E698104F39}"/>
    <cellStyle name="Normal 4 2 2 14 5" xfId="16341" xr:uid="{6FC29E5D-3ECF-4292-BEC7-408E86683948}"/>
    <cellStyle name="Normal 4 2 2 15" xfId="5216" xr:uid="{F75B133F-711A-4428-B6C2-C87F953FE4CB}"/>
    <cellStyle name="Normal 4 2 2 15 2" xfId="14514" xr:uid="{8D7CE6F0-F1F5-4E29-A5FE-BEC7F61EA2C6}"/>
    <cellStyle name="Normal 4 2 2 16" xfId="6967" xr:uid="{227B8A98-21E7-4B31-8E84-EB7743178BF0}"/>
    <cellStyle name="Normal 4 2 2 16 2" xfId="17347" xr:uid="{059F3E2E-C8A1-4492-8C20-7D394D910061}"/>
    <cellStyle name="Normal 4 2 2 17" xfId="9800" xr:uid="{A4C1941F-E307-4CEB-983A-FA32E492783F}"/>
    <cellStyle name="Normal 4 2 2 17 2" xfId="20180" xr:uid="{DB2017BF-18F0-4687-AD41-27960EC6A76F}"/>
    <cellStyle name="Normal 4 2 2 18" xfId="23650" xr:uid="{0A8A455A-A8EF-430F-92FD-55612F61147B}"/>
    <cellStyle name="Normal 4 2 2 19" xfId="12401" xr:uid="{7232607F-40C2-428E-83EC-64C6242A32AC}"/>
    <cellStyle name="Normal 4 2 2 2" xfId="914" xr:uid="{00000000-0005-0000-0000-000044050000}"/>
    <cellStyle name="Normal 4 2 2 2 10" xfId="5219" xr:uid="{364E115F-8F58-470F-8CA2-708DF92C7DC9}"/>
    <cellStyle name="Normal 4 2 2 2 10 2" xfId="14517" xr:uid="{7160F19E-8775-4FA0-900D-158F6A3203ED}"/>
    <cellStyle name="Normal 4 2 2 2 11" xfId="6970" xr:uid="{DCD49193-39B7-416C-B686-ADE5E64F7630}"/>
    <cellStyle name="Normal 4 2 2 2 11 2" xfId="17350" xr:uid="{1056EB77-8C93-489F-A457-7C6479E8980D}"/>
    <cellStyle name="Normal 4 2 2 2 12" xfId="9803" xr:uid="{0B953A81-D92E-44F0-A54A-527F8DE97B99}"/>
    <cellStyle name="Normal 4 2 2 2 12 2" xfId="20183" xr:uid="{09116E36-69EE-4EE1-AB7C-6ED61FACEDB4}"/>
    <cellStyle name="Normal 4 2 2 2 13" xfId="24789" xr:uid="{B823D996-2878-4B0A-BD9F-8035BEA5F8C9}"/>
    <cellStyle name="Normal 4 2 2 2 14" xfId="12424" xr:uid="{EF2096D0-6203-4F9D-8317-B60DD2079030}"/>
    <cellStyle name="Normal 4 2 2 2 2" xfId="915" xr:uid="{00000000-0005-0000-0000-000045050000}"/>
    <cellStyle name="Normal 4 2 2 2 2 10" xfId="6971" xr:uid="{FBFD471C-F7A4-4045-9E45-7FC9C20E281F}"/>
    <cellStyle name="Normal 4 2 2 2 2 10 2" xfId="17351" xr:uid="{81BE71D8-3FB8-45C2-9262-D46F9334548D}"/>
    <cellStyle name="Normal 4 2 2 2 2 11" xfId="9804" xr:uid="{6B2B4B35-2608-4CF9-9808-23B644968073}"/>
    <cellStyle name="Normal 4 2 2 2 2 11 2" xfId="20184" xr:uid="{4BD94397-7859-4669-8DE7-21131FC76711}"/>
    <cellStyle name="Normal 4 2 2 2 2 12" xfId="24467" xr:uid="{2675B592-A58D-4B77-8B94-8676EAB45A3C}"/>
    <cellStyle name="Normal 4 2 2 2 2 13" xfId="12484" xr:uid="{0078570A-5EDE-4ACF-8733-E2FB68784F0C}"/>
    <cellStyle name="Normal 4 2 2 2 2 2" xfId="916" xr:uid="{00000000-0005-0000-0000-000046050000}"/>
    <cellStyle name="Normal 4 2 2 2 2 2 10" xfId="13049" xr:uid="{381C7113-683D-43E6-BCCA-0D1F2EB08DFC}"/>
    <cellStyle name="Normal 4 2 2 2 2 2 2" xfId="2765" xr:uid="{00000000-0005-0000-0000-00005A050000}"/>
    <cellStyle name="Normal 4 2 2 2 2 2 2 2" xfId="3278" xr:uid="{00000000-0005-0000-0000-00005B050000}"/>
    <cellStyle name="Normal 4 2 2 2 2 2 2 2 2" xfId="6336" xr:uid="{B8ACEB30-0CE2-4173-B279-A6A7C4B74632}"/>
    <cellStyle name="Normal 4 2 2 2 2 2 2 2 2 2" xfId="27886" xr:uid="{7BD79C04-A0A8-4BF9-BA89-7647764278B8}"/>
    <cellStyle name="Normal 4 2 2 2 2 2 2 2 2 3" xfId="15905" xr:uid="{056C4EB1-52EB-49F9-8A39-8E3104E2BD69}"/>
    <cellStyle name="Normal 4 2 2 2 2 2 2 2 3" xfId="8358" xr:uid="{09D49612-BF5E-42A4-81E7-8D0CF8A45DFB}"/>
    <cellStyle name="Normal 4 2 2 2 2 2 2 2 3 2" xfId="18738" xr:uid="{A3F72BED-15B3-4F0D-B23D-DDE223D168C3}"/>
    <cellStyle name="Normal 4 2 2 2 2 2 2 2 4" xfId="11191" xr:uid="{4F15445F-E254-4744-AFD8-98DD5955A3F6}"/>
    <cellStyle name="Normal 4 2 2 2 2 2 2 2 4 2" xfId="21571" xr:uid="{5720F82A-957C-469D-B4DE-DEA634CA4FF5}"/>
    <cellStyle name="Normal 4 2 2 2 2 2 2 2 5" xfId="25448" xr:uid="{104A3E42-31B4-4435-A191-36A34B559480}"/>
    <cellStyle name="Normal 4 2 2 2 2 2 2 2 6" xfId="13829" xr:uid="{4CB194F4-5771-4E79-8CC9-8C1142B493C0}"/>
    <cellStyle name="Normal 4 2 2 2 2 2 2 3" xfId="4323" xr:uid="{F0596E22-3024-46AE-9601-D6EC0250F4CC}"/>
    <cellStyle name="Normal 4 2 2 2 2 2 2 3 2" xfId="9095" xr:uid="{BA6C2552-E7CD-45EC-8D65-1D81C7C490FD}"/>
    <cellStyle name="Normal 4 2 2 2 2 2 2 3 2 2" xfId="29138" xr:uid="{2ED4F116-AE48-4DD7-B2DC-0FA0ED7D4D2F}"/>
    <cellStyle name="Normal 4 2 2 2 2 2 2 3 2 3" xfId="19475" xr:uid="{E2B1A06E-BC42-48EB-A399-5AD1CF4AFF9A}"/>
    <cellStyle name="Normal 4 2 2 2 2 2 2 3 3" xfId="11928" xr:uid="{7B61F769-7681-4E74-8261-76194DC96EA4}"/>
    <cellStyle name="Normal 4 2 2 2 2 2 2 3 3 2" xfId="22308" xr:uid="{4B15C1DE-14C7-47ED-B545-930AF3BE57FD}"/>
    <cellStyle name="Normal 4 2 2 2 2 2 2 3 4" xfId="23971" xr:uid="{E14D23FD-4C6E-4A17-BDB4-4BC1E4323E26}"/>
    <cellStyle name="Normal 4 2 2 2 2 2 2 3 5" xfId="16642" xr:uid="{55064A3D-6723-44F9-BCAC-D31647776C51}"/>
    <cellStyle name="Normal 4 2 2 2 2 2 2 4" xfId="5983" xr:uid="{2D391F71-8852-498E-919B-1BC4D82E05D1}"/>
    <cellStyle name="Normal 4 2 2 2 2 2 2 4 2" xfId="28159" xr:uid="{47AFD2F5-31E0-4592-8088-089B9256271A}"/>
    <cellStyle name="Normal 4 2 2 2 2 2 2 4 3" xfId="15436" xr:uid="{85ED1564-DEA1-4D4E-86E0-9F3C30586B03}"/>
    <cellStyle name="Normal 4 2 2 2 2 2 2 5" xfId="7889" xr:uid="{3BEDB544-4F3A-460B-8604-4A7F80F80213}"/>
    <cellStyle name="Normal 4 2 2 2 2 2 2 5 2" xfId="18269" xr:uid="{7403030F-0C12-4503-9663-025B88F1465A}"/>
    <cellStyle name="Normal 4 2 2 2 2 2 2 6" xfId="10722" xr:uid="{D4E14310-DBD6-45F8-8432-B1F4E22B2EE9}"/>
    <cellStyle name="Normal 4 2 2 2 2 2 2 6 2" xfId="21102" xr:uid="{863C0D28-CD95-4B89-AD02-44CE4C7F79C9}"/>
    <cellStyle name="Normal 4 2 2 2 2 2 2 7" xfId="24429" xr:uid="{51103B87-10AF-43AF-9352-1EA17A854C2C}"/>
    <cellStyle name="Normal 4 2 2 2 2 2 2 8" xfId="13213" xr:uid="{8F923523-AF98-4C51-8FCF-0A238C899859}"/>
    <cellStyle name="Normal 4 2 2 2 2 2 3" xfId="3279" xr:uid="{00000000-0005-0000-0000-00005C050000}"/>
    <cellStyle name="Normal 4 2 2 2 2 2 3 2" xfId="4504" xr:uid="{C4960D59-ABB2-4263-B98F-3ADF28BD29AD}"/>
    <cellStyle name="Normal 4 2 2 2 2 2 3 2 2" xfId="9276" xr:uid="{5E2E79B0-1FA2-4ACF-9126-695F56DFD9EE}"/>
    <cellStyle name="Normal 4 2 2 2 2 2 3 2 2 2" xfId="19656" xr:uid="{FEECDFFA-5CAD-446C-B6DB-9EC0ACAF8C97}"/>
    <cellStyle name="Normal 4 2 2 2 2 2 3 2 3" xfId="12109" xr:uid="{C4879C75-18E5-4C23-8AF2-EA7F4561FCE3}"/>
    <cellStyle name="Normal 4 2 2 2 2 2 3 2 3 2" xfId="22489" xr:uid="{B343FD7E-829C-402E-B665-34829A6EF2A0}"/>
    <cellStyle name="Normal 4 2 2 2 2 2 3 2 4" xfId="26758" xr:uid="{D8DF39DE-DEBC-4B6D-BF97-3D569CC19CCF}"/>
    <cellStyle name="Normal 4 2 2 2 2 2 3 2 5" xfId="16823" xr:uid="{8D6CD8B5-B9D3-4D1A-932C-4FDA296EAACE}"/>
    <cellStyle name="Normal 4 2 2 2 2 2 3 3" xfId="6337" xr:uid="{3D22DF39-A235-4A42-AC45-2DFC73B9B481}"/>
    <cellStyle name="Normal 4 2 2 2 2 2 3 3 2" xfId="15906" xr:uid="{20EFF842-34D6-413B-A22E-5B91EEB0AD2A}"/>
    <cellStyle name="Normal 4 2 2 2 2 2 3 4" xfId="8359" xr:uid="{B62D4CB3-E43D-4F06-8BB2-4ED8C9FE06BC}"/>
    <cellStyle name="Normal 4 2 2 2 2 2 3 4 2" xfId="18739" xr:uid="{D52C76AA-AA51-4268-BE14-158A9A6BBDFF}"/>
    <cellStyle name="Normal 4 2 2 2 2 2 3 5" xfId="11192" xr:uid="{3E981503-59DE-4E02-9232-C87B1235CD5D}"/>
    <cellStyle name="Normal 4 2 2 2 2 2 3 5 2" xfId="21572" xr:uid="{44313A65-735C-4B6F-9E3D-EC1D47FD9835}"/>
    <cellStyle name="Normal 4 2 2 2 2 2 3 6" xfId="23992" xr:uid="{A66FD1E4-2484-479A-8073-731C626FE251}"/>
    <cellStyle name="Normal 4 2 2 2 2 2 3 7" xfId="13830" xr:uid="{7F59F0FA-9FEF-403D-A242-D34BDDD37F66}"/>
    <cellStyle name="Normal 4 2 2 2 2 2 4" xfId="3277" xr:uid="{00000000-0005-0000-0000-00005D050000}"/>
    <cellStyle name="Normal 4 2 2 2 2 2 4 2" xfId="6335" xr:uid="{7A735161-B8C5-44A4-A4CE-A5FEEF41D92B}"/>
    <cellStyle name="Normal 4 2 2 2 2 2 4 2 2" xfId="26631" xr:uid="{6DAB9FC2-EFC9-4B64-AED0-A9FEE05D1429}"/>
    <cellStyle name="Normal 4 2 2 2 2 2 4 2 3" xfId="15904" xr:uid="{82A4BE76-6424-490A-BAD3-E9981441ADFF}"/>
    <cellStyle name="Normal 4 2 2 2 2 2 4 3" xfId="8357" xr:uid="{C0A69965-9CE8-4AAD-90D3-8CD6D399852A}"/>
    <cellStyle name="Normal 4 2 2 2 2 2 4 3 2" xfId="18737" xr:uid="{F02D0328-7796-4150-9617-E54D067863F7}"/>
    <cellStyle name="Normal 4 2 2 2 2 2 4 4" xfId="11190" xr:uid="{DA82A739-2A85-4F7E-93B4-0A10E74E95B8}"/>
    <cellStyle name="Normal 4 2 2 2 2 2 4 4 2" xfId="21570" xr:uid="{2ADCF35A-5C13-4FBF-9683-A53E1D794BB6}"/>
    <cellStyle name="Normal 4 2 2 2 2 2 4 5" xfId="24755" xr:uid="{E3ED486C-C073-4F6D-924E-826C33313BA5}"/>
    <cellStyle name="Normal 4 2 2 2 2 2 4 6" xfId="13828" xr:uid="{D7B5A615-11BF-4D15-A925-307EF0939938}"/>
    <cellStyle name="Normal 4 2 2 2 2 2 5" xfId="4248" xr:uid="{CC6D375D-BD4D-40F5-9C57-7D2555740F5E}"/>
    <cellStyle name="Normal 4 2 2 2 2 2 5 2" xfId="9020" xr:uid="{4DC7DB8F-38A3-4B33-A67C-CF99CC9D11EE}"/>
    <cellStyle name="Normal 4 2 2 2 2 2 5 2 2" xfId="29091" xr:uid="{91B21A91-3A94-4F37-A8DC-9EB5B6AD36FC}"/>
    <cellStyle name="Normal 4 2 2 2 2 2 5 2 3" xfId="19400" xr:uid="{5CD80ABA-E1E9-4602-8258-8E1497F69587}"/>
    <cellStyle name="Normal 4 2 2 2 2 2 5 3" xfId="11853" xr:uid="{C0EF5E50-5348-49CA-B68D-21DE54DE347E}"/>
    <cellStyle name="Normal 4 2 2 2 2 2 5 3 2" xfId="22233" xr:uid="{91C55B56-521E-473A-B31D-860E68AB3DC2}"/>
    <cellStyle name="Normal 4 2 2 2 2 2 5 4" xfId="25470" xr:uid="{28BA4A29-AD1A-4A54-AE20-AEB3BC2E7175}"/>
    <cellStyle name="Normal 4 2 2 2 2 2 5 5" xfId="16567" xr:uid="{943696B2-CEE6-4E22-B067-25005356976F}"/>
    <cellStyle name="Normal 4 2 2 2 2 2 6" xfId="5221" xr:uid="{8D425C41-DB49-4C08-8292-EEBA558AED65}"/>
    <cellStyle name="Normal 4 2 2 2 2 2 6 2" xfId="26103" xr:uid="{3797F20E-714F-47D7-AABA-4F2A42BBC04D}"/>
    <cellStyle name="Normal 4 2 2 2 2 2 6 3" xfId="14519" xr:uid="{1EF54C17-758F-4721-881E-32B942577160}"/>
    <cellStyle name="Normal 4 2 2 2 2 2 7" xfId="6972" xr:uid="{4D95FE9B-573B-4455-80C7-E879AF30CE0A}"/>
    <cellStyle name="Normal 4 2 2 2 2 2 7 2" xfId="17352" xr:uid="{5E91A820-70D7-4845-B9B2-02D632E906BC}"/>
    <cellStyle name="Normal 4 2 2 2 2 2 8" xfId="9805" xr:uid="{6435EA55-4A57-4026-BBFE-853758CC3F04}"/>
    <cellStyle name="Normal 4 2 2 2 2 2 8 2" xfId="20185" xr:uid="{0040778D-3436-4031-B47B-7043A6EDC977}"/>
    <cellStyle name="Normal 4 2 2 2 2 2 9" xfId="22805" xr:uid="{405BFEED-439C-4ECB-9DD2-C937295F820A}"/>
    <cellStyle name="Normal 4 2 2 2 2 3" xfId="2764" xr:uid="{00000000-0005-0000-0000-00005E050000}"/>
    <cellStyle name="Normal 4 2 2 2 2 3 2" xfId="3280" xr:uid="{00000000-0005-0000-0000-00005F050000}"/>
    <cellStyle name="Normal 4 2 2 2 2 3 2 2" xfId="6338" xr:uid="{6F599886-50AC-44C8-BB63-387A109B2C0C}"/>
    <cellStyle name="Normal 4 2 2 2 2 3 2 2 2" xfId="28294" xr:uid="{C3D29537-2C39-45E4-9B83-9A7C9FBB291E}"/>
    <cellStyle name="Normal 4 2 2 2 2 3 2 2 3" xfId="15907" xr:uid="{12E46451-17A2-49E9-B949-BA87973F3990}"/>
    <cellStyle name="Normal 4 2 2 2 2 3 2 3" xfId="8360" xr:uid="{CAAA5857-6B10-4F1C-BD3B-47F91B744DDD}"/>
    <cellStyle name="Normal 4 2 2 2 2 3 2 3 2" xfId="18740" xr:uid="{366D2C2C-2663-4830-93C1-A3A75DC980BA}"/>
    <cellStyle name="Normal 4 2 2 2 2 3 2 4" xfId="11193" xr:uid="{AF994CEA-8DDC-4B2D-8F5B-4191DA0CEAA3}"/>
    <cellStyle name="Normal 4 2 2 2 2 3 2 4 2" xfId="21573" xr:uid="{3E972101-8543-4643-99BC-C2BC9EA6E181}"/>
    <cellStyle name="Normal 4 2 2 2 2 3 2 5" xfId="23819" xr:uid="{8317A978-06D6-47EF-A1A5-03A902BCAEFE}"/>
    <cellStyle name="Normal 4 2 2 2 2 3 2 6" xfId="13831" xr:uid="{33CB82B1-B3D6-4C39-97FB-08508AEE9FCB}"/>
    <cellStyle name="Normal 4 2 2 2 2 3 3" xfId="4322" xr:uid="{C3395475-EFDB-4698-84AF-97E8EB448CA9}"/>
    <cellStyle name="Normal 4 2 2 2 2 3 3 2" xfId="9094" xr:uid="{064CBE81-A934-4A21-A818-105ED985EC0D}"/>
    <cellStyle name="Normal 4 2 2 2 2 3 3 2 2" xfId="29137" xr:uid="{00C57CEC-F247-4291-9634-6F04CED5819E}"/>
    <cellStyle name="Normal 4 2 2 2 2 3 3 2 3" xfId="19474" xr:uid="{B03D30EE-5FE1-497E-A5A7-ADF8B01A2439}"/>
    <cellStyle name="Normal 4 2 2 2 2 3 3 3" xfId="11927" xr:uid="{E304E41F-6D35-4010-8A1E-A3B506FC073C}"/>
    <cellStyle name="Normal 4 2 2 2 2 3 3 3 2" xfId="22307" xr:uid="{1CCC0997-75C1-4453-B046-2440FA702C06}"/>
    <cellStyle name="Normal 4 2 2 2 2 3 3 4" xfId="23905" xr:uid="{331EDECF-7D60-4CE5-A477-CF6F841D8940}"/>
    <cellStyle name="Normal 4 2 2 2 2 3 3 5" xfId="16641" xr:uid="{DC8E110D-2CDC-4699-92F3-98582196137E}"/>
    <cellStyle name="Normal 4 2 2 2 2 3 4" xfId="5982" xr:uid="{82511949-F407-4787-AB88-3B911D3733BD}"/>
    <cellStyle name="Normal 4 2 2 2 2 3 4 2" xfId="28545" xr:uid="{567136AE-C2C4-4AD1-97D8-639A684F147D}"/>
    <cellStyle name="Normal 4 2 2 2 2 3 4 3" xfId="15435" xr:uid="{74A6AA41-E4EB-43E7-9C1E-5328428D32C7}"/>
    <cellStyle name="Normal 4 2 2 2 2 3 5" xfId="7888" xr:uid="{DE58D20C-2F88-4D7D-BD01-3512CBDC095E}"/>
    <cellStyle name="Normal 4 2 2 2 2 3 5 2" xfId="18268" xr:uid="{184D57AF-D37C-42E0-A9BF-D97A730CC4A5}"/>
    <cellStyle name="Normal 4 2 2 2 2 3 6" xfId="10721" xr:uid="{0B4729B8-3E78-47E4-A1D3-CC04345AB3EF}"/>
    <cellStyle name="Normal 4 2 2 2 2 3 6 2" xfId="21101" xr:uid="{3D377C8A-6FB9-41F2-BFA6-AE9A8EB3742C}"/>
    <cellStyle name="Normal 4 2 2 2 2 3 7" xfId="23862" xr:uid="{6D28C593-A7B1-439A-855E-26108A25625D}"/>
    <cellStyle name="Normal 4 2 2 2 2 3 8" xfId="13212" xr:uid="{2F74BFD1-832B-4EDB-8525-BB152BCEF047}"/>
    <cellStyle name="Normal 4 2 2 2 2 4" xfId="3281" xr:uid="{00000000-0005-0000-0000-000060050000}"/>
    <cellStyle name="Normal 4 2 2 2 2 4 2" xfId="4505" xr:uid="{A423A57F-4B31-4ABC-94E5-261B442008F4}"/>
    <cellStyle name="Normal 4 2 2 2 2 4 2 2" xfId="9277" xr:uid="{01125D3C-A911-41C1-A52A-E9713F0CA091}"/>
    <cellStyle name="Normal 4 2 2 2 2 4 2 2 2" xfId="19657" xr:uid="{4EAFBCB5-9E0A-4E27-87FE-F6B6E7A1E05A}"/>
    <cellStyle name="Normal 4 2 2 2 2 4 2 3" xfId="12110" xr:uid="{0C9A767A-4E2E-44B8-83BE-81C71939CEFE}"/>
    <cellStyle name="Normal 4 2 2 2 2 4 2 3 2" xfId="22490" xr:uid="{2A927B39-6FD2-4FF0-AB17-9AE29384958F}"/>
    <cellStyle name="Normal 4 2 2 2 2 4 2 4" xfId="27942" xr:uid="{7426BC20-4997-46FE-BA4F-2F944E01A8DB}"/>
    <cellStyle name="Normal 4 2 2 2 2 4 2 5" xfId="16824" xr:uid="{95E11B15-F74B-4978-B820-74FD92A3F434}"/>
    <cellStyle name="Normal 4 2 2 2 2 4 3" xfId="6339" xr:uid="{FF70B162-4850-4388-B5CA-EEFAEB34D3E2}"/>
    <cellStyle name="Normal 4 2 2 2 2 4 3 2" xfId="15908" xr:uid="{C215E602-59B2-4BC4-B2B0-158367296468}"/>
    <cellStyle name="Normal 4 2 2 2 2 4 4" xfId="8361" xr:uid="{A19C8D5D-4DAD-4D76-AEEE-A5DC9E9F75B7}"/>
    <cellStyle name="Normal 4 2 2 2 2 4 4 2" xfId="18741" xr:uid="{A805E533-3D68-46DF-A972-069B1DB12A96}"/>
    <cellStyle name="Normal 4 2 2 2 2 4 5" xfId="11194" xr:uid="{1E7601FC-DD29-49F5-AE25-E5EF8894E07D}"/>
    <cellStyle name="Normal 4 2 2 2 2 4 5 2" xfId="21574" xr:uid="{78D30B21-FCE6-4C62-B0A2-8757813E3BA7}"/>
    <cellStyle name="Normal 4 2 2 2 2 4 6" xfId="23534" xr:uid="{98E53F46-CB64-45E1-84CB-035C4715276C}"/>
    <cellStyle name="Normal 4 2 2 2 2 4 7" xfId="13832" xr:uid="{F6122276-2D32-4C10-8C43-5F49D34D894B}"/>
    <cellStyle name="Normal 4 2 2 2 2 5" xfId="3276" xr:uid="{00000000-0005-0000-0000-000061050000}"/>
    <cellStyle name="Normal 4 2 2 2 2 5 2" xfId="6334" xr:uid="{60F73424-790C-46E1-B5C6-885A1AF07FF6}"/>
    <cellStyle name="Normal 4 2 2 2 2 5 2 2" xfId="28000" xr:uid="{8BC18318-709F-4054-902A-E7AE5D25BFF9}"/>
    <cellStyle name="Normal 4 2 2 2 2 5 2 3" xfId="15903" xr:uid="{9C0574D4-FB05-4BD5-826A-8C05666DCD78}"/>
    <cellStyle name="Normal 4 2 2 2 2 5 3" xfId="8356" xr:uid="{CD849E83-F7D1-4A92-955F-9C1A6644143D}"/>
    <cellStyle name="Normal 4 2 2 2 2 5 3 2" xfId="18736" xr:uid="{4F487EA7-6651-4245-BF24-630B16ED073B}"/>
    <cellStyle name="Normal 4 2 2 2 2 5 4" xfId="11189" xr:uid="{D225D92F-E41F-42B4-B89D-25457A02BFCA}"/>
    <cellStyle name="Normal 4 2 2 2 2 5 4 2" xfId="21569" xr:uid="{12619C35-F315-4D9D-A84E-273D6CC5238A}"/>
    <cellStyle name="Normal 4 2 2 2 2 5 5" xfId="24252" xr:uid="{A296CF64-4476-444F-98F6-78180AB82126}"/>
    <cellStyle name="Normal 4 2 2 2 2 5 6" xfId="13827" xr:uid="{5FE98964-64C5-40FC-87C7-397116A3E87B}"/>
    <cellStyle name="Normal 4 2 2 2 2 6" xfId="2558" xr:uid="{00000000-0005-0000-0000-000062050000}"/>
    <cellStyle name="Normal 4 2 2 2 2 6 2" xfId="5828" xr:uid="{0DF684C7-764C-4AAC-8CD8-14201A6C6590}"/>
    <cellStyle name="Normal 4 2 2 2 2 6 2 2" xfId="27216" xr:uid="{0B025752-5132-41E9-99B4-38149AF0795A}"/>
    <cellStyle name="Normal 4 2 2 2 2 6 2 3" xfId="15230" xr:uid="{58068AC9-58D3-461F-BB08-9F9B2240891D}"/>
    <cellStyle name="Normal 4 2 2 2 2 6 3" xfId="7683" xr:uid="{230B2416-A2F5-44E7-8B0D-FE6882FF5675}"/>
    <cellStyle name="Normal 4 2 2 2 2 6 3 2" xfId="18063" xr:uid="{CC6576D4-B509-4518-9ED6-F821A660E7F9}"/>
    <cellStyle name="Normal 4 2 2 2 2 6 4" xfId="10516" xr:uid="{FDB8EBD0-01F4-4E5C-A1B8-6FB6E9030363}"/>
    <cellStyle name="Normal 4 2 2 2 2 6 4 2" xfId="20896" xr:uid="{7CF60288-1231-484C-BDA0-74CA89989A7F}"/>
    <cellStyle name="Normal 4 2 2 2 2 6 5" xfId="24947" xr:uid="{20493766-E88B-4D6A-BA0E-13FDFE62A073}"/>
    <cellStyle name="Normal 4 2 2 2 2 6 6" xfId="12946" xr:uid="{8A840297-6404-4D8D-BFD8-B0944E3D8CE5}"/>
    <cellStyle name="Normal 4 2 2 2 2 7" xfId="2252" xr:uid="{00000000-0005-0000-0000-000058050000}"/>
    <cellStyle name="Normal 4 2 2 2 2 7 2" xfId="7379" xr:uid="{6254E648-DD1A-4488-82E8-25A0BE964A06}"/>
    <cellStyle name="Normal 4 2 2 2 2 7 2 2" xfId="17759" xr:uid="{52AE3BC1-BB63-4E5C-BE16-6713D509A65E}"/>
    <cellStyle name="Normal 4 2 2 2 2 7 3" xfId="10212" xr:uid="{1E482F3D-96F8-440C-BE60-A80086D8B3A8}"/>
    <cellStyle name="Normal 4 2 2 2 2 7 3 2" xfId="20592" xr:uid="{6CC03342-5797-44F3-996E-B8275468CEDF}"/>
    <cellStyle name="Normal 4 2 2 2 2 7 4" xfId="22790" xr:uid="{9BCF720B-752D-48A4-9E53-8CFF0F96D762}"/>
    <cellStyle name="Normal 4 2 2 2 2 7 5" xfId="14926" xr:uid="{0FBE1125-EB6C-4287-97AB-777916CFB58B}"/>
    <cellStyle name="Normal 4 2 2 2 2 8" xfId="3803" xr:uid="{24DA41A7-685F-424A-BFC2-2BBAB9FDCAE4}"/>
    <cellStyle name="Normal 4 2 2 2 2 8 2" xfId="8639" xr:uid="{EE91C2E1-CEEC-4FA3-B153-68C755A4A508}"/>
    <cellStyle name="Normal 4 2 2 2 2 8 2 2" xfId="19019" xr:uid="{592F2261-B02C-4FA5-B080-1625E0E8FD5F}"/>
    <cellStyle name="Normal 4 2 2 2 2 8 3" xfId="11472" xr:uid="{3B65E4CB-832D-49D9-97A9-556C3AFB1965}"/>
    <cellStyle name="Normal 4 2 2 2 2 8 3 2" xfId="21852" xr:uid="{E01C12FF-0186-410A-A58F-A8D094EE9F31}"/>
    <cellStyle name="Normal 4 2 2 2 2 8 4" xfId="16186" xr:uid="{16C9592A-6A5B-4535-B26D-DF226ACE4CCA}"/>
    <cellStyle name="Normal 4 2 2 2 2 9" xfId="5220" xr:uid="{098FB361-0977-449C-A54A-751652BABDB3}"/>
    <cellStyle name="Normal 4 2 2 2 2 9 2" xfId="14518" xr:uid="{6C2C943B-1F73-4481-B253-8FC5292D5710}"/>
    <cellStyle name="Normal 4 2 2 2 3" xfId="917" xr:uid="{00000000-0005-0000-0000-000047050000}"/>
    <cellStyle name="Normal 4 2 2 2 3 10" xfId="9806" xr:uid="{47D7B61C-4B5F-48EF-AE2A-F6164E629AC3}"/>
    <cellStyle name="Normal 4 2 2 2 3 10 2" xfId="20186" xr:uid="{D188C3D8-E33C-44DA-A6D5-05210E795B88}"/>
    <cellStyle name="Normal 4 2 2 2 3 11" xfId="23765" xr:uid="{1FA630D4-DC6C-4FED-822C-365CE5A7D548}"/>
    <cellStyle name="Normal 4 2 2 2 3 12" xfId="12584" xr:uid="{56C1FD10-DAD2-4CAA-A17F-5A72D2C2C2C9}"/>
    <cellStyle name="Normal 4 2 2 2 3 2" xfId="2766" xr:uid="{00000000-0005-0000-0000-000064050000}"/>
    <cellStyle name="Normal 4 2 2 2 3 2 2" xfId="3283" xr:uid="{00000000-0005-0000-0000-000065050000}"/>
    <cellStyle name="Normal 4 2 2 2 3 2 2 2" xfId="6341" xr:uid="{23D571E8-0208-4D73-98AA-0AAC948AC8F0}"/>
    <cellStyle name="Normal 4 2 2 2 3 2 2 2 2" xfId="28086" xr:uid="{5BC5DC13-3946-4B4D-95D2-B4BCFDD9D2AE}"/>
    <cellStyle name="Normal 4 2 2 2 3 2 2 2 3" xfId="15910" xr:uid="{08EA4DAE-CBBF-42F3-991F-65568DD9D8C9}"/>
    <cellStyle name="Normal 4 2 2 2 3 2 2 3" xfId="8363" xr:uid="{5209D608-A312-4385-A725-D938A6D35EC6}"/>
    <cellStyle name="Normal 4 2 2 2 3 2 2 3 2" xfId="18743" xr:uid="{D9A02B23-C4B8-47F7-9E8B-68A9D5E2F43D}"/>
    <cellStyle name="Normal 4 2 2 2 3 2 2 4" xfId="11196" xr:uid="{9F13AB9E-7EC7-4554-AB2B-4E151B9AA314}"/>
    <cellStyle name="Normal 4 2 2 2 3 2 2 4 2" xfId="21576" xr:uid="{4EC84CC0-3C85-4F09-8318-6F62D9478C5A}"/>
    <cellStyle name="Normal 4 2 2 2 3 2 2 5" xfId="24054" xr:uid="{CB7E155F-202C-4244-8B23-502BD8CB1D41}"/>
    <cellStyle name="Normal 4 2 2 2 3 2 2 6" xfId="13834" xr:uid="{6E75D810-67ED-4B4C-8F20-A0E3D6FECAFB}"/>
    <cellStyle name="Normal 4 2 2 2 3 2 3" xfId="4324" xr:uid="{4FABEAB4-BFF2-4733-B2E3-5947C5455FC7}"/>
    <cellStyle name="Normal 4 2 2 2 3 2 3 2" xfId="9096" xr:uid="{640A9CF6-988B-43DD-9C1D-13B8166CF6A6}"/>
    <cellStyle name="Normal 4 2 2 2 3 2 3 2 2" xfId="29139" xr:uid="{ED13436E-3563-44D4-B170-08A5FAEABBCA}"/>
    <cellStyle name="Normal 4 2 2 2 3 2 3 2 3" xfId="19476" xr:uid="{DA1B4311-E792-4739-AAF3-B687F4D4F731}"/>
    <cellStyle name="Normal 4 2 2 2 3 2 3 3" xfId="11929" xr:uid="{B2075360-9661-4E49-A14A-B7FF820019B4}"/>
    <cellStyle name="Normal 4 2 2 2 3 2 3 3 2" xfId="22309" xr:uid="{3ED2E095-0567-4CF4-A874-D928FDC61044}"/>
    <cellStyle name="Normal 4 2 2 2 3 2 3 4" xfId="24002" xr:uid="{E80D8598-27AE-4BB1-93E8-53F0FDEABD7D}"/>
    <cellStyle name="Normal 4 2 2 2 3 2 3 5" xfId="16643" xr:uid="{77361467-D4BA-4CAE-AEE8-26900A67AE3F}"/>
    <cellStyle name="Normal 4 2 2 2 3 2 4" xfId="5984" xr:uid="{C72175AA-C9EA-4F44-8B5C-0438F0FD2F0B}"/>
    <cellStyle name="Normal 4 2 2 2 3 2 4 2" xfId="26192" xr:uid="{5C3FD90B-B17F-43D9-BD17-983240DFCE39}"/>
    <cellStyle name="Normal 4 2 2 2 3 2 4 3" xfId="15437" xr:uid="{27BBE414-D942-48C6-9663-F4403ACCD803}"/>
    <cellStyle name="Normal 4 2 2 2 3 2 5" xfId="7890" xr:uid="{41896ECE-885C-4CE2-8060-2565205E09B1}"/>
    <cellStyle name="Normal 4 2 2 2 3 2 5 2" xfId="18270" xr:uid="{65AEFC6B-78E4-4DB4-A21E-9056ED9F7F28}"/>
    <cellStyle name="Normal 4 2 2 2 3 2 6" xfId="10723" xr:uid="{FCBF7084-238B-4855-B8E2-AAD00D84AC09}"/>
    <cellStyle name="Normal 4 2 2 2 3 2 6 2" xfId="21103" xr:uid="{2774C62D-697B-41CD-9CAE-8906AD8BD80D}"/>
    <cellStyle name="Normal 4 2 2 2 3 2 7" xfId="24602" xr:uid="{23407B31-2950-4252-B410-1E954824E197}"/>
    <cellStyle name="Normal 4 2 2 2 3 2 8" xfId="13214" xr:uid="{8A13A376-05AC-4A95-9E3A-B70CB94A17E3}"/>
    <cellStyle name="Normal 4 2 2 2 3 3" xfId="3284" xr:uid="{00000000-0005-0000-0000-000066050000}"/>
    <cellStyle name="Normal 4 2 2 2 3 3 2" xfId="4506" xr:uid="{B51A62CE-E34A-4E74-9C18-46C2C94512CA}"/>
    <cellStyle name="Normal 4 2 2 2 3 3 2 2" xfId="9278" xr:uid="{2CCC404B-302C-4853-908C-10864B09B373}"/>
    <cellStyle name="Normal 4 2 2 2 3 3 2 2 2" xfId="29259" xr:uid="{A03F0689-EB93-4231-8FD5-B048413C71AC}"/>
    <cellStyle name="Normal 4 2 2 2 3 3 2 2 3" xfId="19658" xr:uid="{889C5688-D942-4CF4-92A9-4775679CC015}"/>
    <cellStyle name="Normal 4 2 2 2 3 3 2 3" xfId="12111" xr:uid="{9055429D-ECF7-46AB-9299-2C04CEFF549E}"/>
    <cellStyle name="Normal 4 2 2 2 3 3 2 3 2" xfId="22491" xr:uid="{B1D25EE4-F4B9-4EEE-BBE8-2F5C3345CEF8}"/>
    <cellStyle name="Normal 4 2 2 2 3 3 2 4" xfId="25060" xr:uid="{38AD75FE-55CD-4010-BCC9-A1FAA2F90A67}"/>
    <cellStyle name="Normal 4 2 2 2 3 3 2 5" xfId="16825" xr:uid="{2A67E511-EDDD-4A20-9C27-078451C900C7}"/>
    <cellStyle name="Normal 4 2 2 2 3 3 3" xfId="6342" xr:uid="{63CF34C2-9C02-4748-BD86-E2B2E19C348A}"/>
    <cellStyle name="Normal 4 2 2 2 3 3 3 2" xfId="26159" xr:uid="{8280DF36-EEE6-491A-9D09-664698192FC7}"/>
    <cellStyle name="Normal 4 2 2 2 3 3 3 3" xfId="15911" xr:uid="{34FDF884-0B17-49C1-BACF-F02E078DE7F8}"/>
    <cellStyle name="Normal 4 2 2 2 3 3 4" xfId="8364" xr:uid="{343CF02A-958B-4B44-8833-A4B600F0E7EC}"/>
    <cellStyle name="Normal 4 2 2 2 3 3 4 2" xfId="18744" xr:uid="{C508E7EE-F3B7-434D-BEF2-A9B5219E428B}"/>
    <cellStyle name="Normal 4 2 2 2 3 3 5" xfId="11197" xr:uid="{CD0BAF0A-1603-43A8-BCA6-7C56D9B4F913}"/>
    <cellStyle name="Normal 4 2 2 2 3 3 5 2" xfId="21577" xr:uid="{EF6C10FF-43B8-4280-B1FA-DF459CAE5F5E}"/>
    <cellStyle name="Normal 4 2 2 2 3 3 6" xfId="25018" xr:uid="{12EB2416-BD58-454B-9959-18E03C063F32}"/>
    <cellStyle name="Normal 4 2 2 2 3 3 7" xfId="13835" xr:uid="{CB5DEEED-B8EE-485A-9634-C2434881B8F5}"/>
    <cellStyle name="Normal 4 2 2 2 3 4" xfId="3282" xr:uid="{00000000-0005-0000-0000-000067050000}"/>
    <cellStyle name="Normal 4 2 2 2 3 4 2" xfId="6340" xr:uid="{84906B7B-D4F1-47A1-ABC3-A02A1312675E}"/>
    <cellStyle name="Normal 4 2 2 2 3 4 2 2" xfId="26647" xr:uid="{2C145300-C97C-4971-BF83-8398451F4330}"/>
    <cellStyle name="Normal 4 2 2 2 3 4 2 3" xfId="15909" xr:uid="{75841195-DF04-4BA5-82DE-9684B1D713F6}"/>
    <cellStyle name="Normal 4 2 2 2 3 4 3" xfId="8362" xr:uid="{AC708855-A337-4B62-A848-0B24072AFEEF}"/>
    <cellStyle name="Normal 4 2 2 2 3 4 3 2" xfId="18742" xr:uid="{0E1C300D-5ABE-4497-B2C7-47C2748CE773}"/>
    <cellStyle name="Normal 4 2 2 2 3 4 4" xfId="11195" xr:uid="{92CF7EB8-8E4F-4F3D-81F3-11FF89BB63E3}"/>
    <cellStyle name="Normal 4 2 2 2 3 4 4 2" xfId="21575" xr:uid="{19C844FD-E66B-4B11-A942-0C0DFBE1AA29}"/>
    <cellStyle name="Normal 4 2 2 2 3 4 5" xfId="24917" xr:uid="{11FE66E9-72D7-4C23-867F-9FD3DA77D68A}"/>
    <cellStyle name="Normal 4 2 2 2 3 4 6" xfId="13833" xr:uid="{ADE1AFF2-8C1A-4670-BFA5-266DCD9E2748}"/>
    <cellStyle name="Normal 4 2 2 2 3 5" xfId="2601" xr:uid="{00000000-0005-0000-0000-000068050000}"/>
    <cellStyle name="Normal 4 2 2 2 3 5 2" xfId="5866" xr:uid="{83688F7B-15CE-4845-A4A9-062CEA153E02}"/>
    <cellStyle name="Normal 4 2 2 2 3 5 2 2" xfId="28039" xr:uid="{66BDFECE-8E62-482C-B315-AAC3B030A9AD}"/>
    <cellStyle name="Normal 4 2 2 2 3 5 2 3" xfId="15273" xr:uid="{DA135101-8362-4D70-B2BA-A90EDCAD79F7}"/>
    <cellStyle name="Normal 4 2 2 2 3 5 3" xfId="7726" xr:uid="{722BF4E1-1CE2-4E31-B297-1429B8FCA87C}"/>
    <cellStyle name="Normal 4 2 2 2 3 5 3 2" xfId="18106" xr:uid="{B88ECCA1-EE4B-4376-B76B-EE8330706F0A}"/>
    <cellStyle name="Normal 4 2 2 2 3 5 4" xfId="10559" xr:uid="{88BE88D3-ECFE-4943-A802-391E49668A93}"/>
    <cellStyle name="Normal 4 2 2 2 3 5 4 2" xfId="20939" xr:uid="{16CB8B2A-B38A-40C8-86CD-E0877DEE8032}"/>
    <cellStyle name="Normal 4 2 2 2 3 5 5" xfId="25357" xr:uid="{0EE88708-E060-41B8-818F-1CF83BF59345}"/>
    <cellStyle name="Normal 4 2 2 2 3 5 6" xfId="12989" xr:uid="{4073137C-AB90-4AC6-B6E9-DEA045DBF4FF}"/>
    <cellStyle name="Normal 4 2 2 2 3 6" xfId="2350" xr:uid="{00000000-0005-0000-0000-000063050000}"/>
    <cellStyle name="Normal 4 2 2 2 3 6 2" xfId="7477" xr:uid="{225E50F3-147D-4227-B435-E86D71DD914B}"/>
    <cellStyle name="Normal 4 2 2 2 3 6 2 2" xfId="17857" xr:uid="{DD96CC2C-E349-4109-910F-25D613F735DA}"/>
    <cellStyle name="Normal 4 2 2 2 3 6 3" xfId="10310" xr:uid="{67DC567D-8371-4415-9382-97D6CD20ED76}"/>
    <cellStyle name="Normal 4 2 2 2 3 6 3 2" xfId="20690" xr:uid="{A9BB8DD5-D192-499E-AC36-22D30AAA30D7}"/>
    <cellStyle name="Normal 4 2 2 2 3 6 4" xfId="25412" xr:uid="{C30C510D-244E-47DB-8CD0-D58F70CF0CB9}"/>
    <cellStyle name="Normal 4 2 2 2 3 6 5" xfId="15024" xr:uid="{4657A565-7808-4B27-A1D8-8288D0C19352}"/>
    <cellStyle name="Normal 4 2 2 2 3 7" xfId="3880" xr:uid="{E15CBF60-A602-42B3-95FB-FF35C357C80E}"/>
    <cellStyle name="Normal 4 2 2 2 3 7 2" xfId="8712" xr:uid="{ECDC04D8-486B-4194-BB3F-DEAF1FC0A0BB}"/>
    <cellStyle name="Normal 4 2 2 2 3 7 2 2" xfId="19092" xr:uid="{3795D105-2DB6-4577-A405-88F1F3197116}"/>
    <cellStyle name="Normal 4 2 2 2 3 7 3" xfId="11545" xr:uid="{0789174A-1A15-4801-B531-51CDAB9C9C5E}"/>
    <cellStyle name="Normal 4 2 2 2 3 7 3 2" xfId="21925" xr:uid="{6233EBAD-153E-450C-85F9-6C2FB7690721}"/>
    <cellStyle name="Normal 4 2 2 2 3 7 4" xfId="16259" xr:uid="{E432F5C8-8152-420F-97B2-73F079D96A03}"/>
    <cellStyle name="Normal 4 2 2 2 3 8" xfId="5222" xr:uid="{86A7BF5F-C068-4C30-B73F-407DE4B95413}"/>
    <cellStyle name="Normal 4 2 2 2 3 8 2" xfId="14520" xr:uid="{9D8A3E58-18AD-4423-877D-AEAB447B1ABE}"/>
    <cellStyle name="Normal 4 2 2 2 3 9" xfId="6973" xr:uid="{728DC7B3-75EB-41E7-B869-E512F28904D9}"/>
    <cellStyle name="Normal 4 2 2 2 3 9 2" xfId="17353" xr:uid="{9727448C-8D0A-45F4-ABF5-A72216390A5E}"/>
    <cellStyle name="Normal 4 2 2 2 4" xfId="918" xr:uid="{00000000-0005-0000-0000-000048050000}"/>
    <cellStyle name="Normal 4 2 2 2 4 2" xfId="3285" xr:uid="{00000000-0005-0000-0000-00006A050000}"/>
    <cellStyle name="Normal 4 2 2 2 4 2 2" xfId="6343" xr:uid="{C4B46A48-1CA9-4BE2-8607-B3BB86308C02}"/>
    <cellStyle name="Normal 4 2 2 2 4 2 2 2" xfId="27137" xr:uid="{9F1F8244-E3A0-411C-A856-32B4C10DF939}"/>
    <cellStyle name="Normal 4 2 2 2 4 2 2 3" xfId="15912" xr:uid="{6A91B766-9518-4FD0-A550-63A3B3381BDF}"/>
    <cellStyle name="Normal 4 2 2 2 4 2 3" xfId="8365" xr:uid="{BFEB444A-B39A-427F-B850-AD955D810C96}"/>
    <cellStyle name="Normal 4 2 2 2 4 2 3 2" xfId="18745" xr:uid="{E249B219-2AFA-47BD-8707-2135478E115B}"/>
    <cellStyle name="Normal 4 2 2 2 4 2 4" xfId="11198" xr:uid="{290D993C-746C-436D-9BCC-EB5510327F57}"/>
    <cellStyle name="Normal 4 2 2 2 4 2 4 2" xfId="21578" xr:uid="{721941F7-07FA-487B-94A7-208AF6FD6CE7}"/>
    <cellStyle name="Normal 4 2 2 2 4 2 5" xfId="25409" xr:uid="{E82479EF-244A-4211-8851-32C1278A617F}"/>
    <cellStyle name="Normal 4 2 2 2 4 2 6" xfId="13836" xr:uid="{26738D8C-7092-4F23-9798-02C9AA1BC30E}"/>
    <cellStyle name="Normal 4 2 2 2 4 3" xfId="2763" xr:uid="{00000000-0005-0000-0000-00006B050000}"/>
    <cellStyle name="Normal 4 2 2 2 4 3 2" xfId="5981" xr:uid="{F98D6499-6964-458E-9AE0-1B03993E33FA}"/>
    <cellStyle name="Normal 4 2 2 2 4 3 2 2" xfId="28500" xr:uid="{04F6BEF0-094C-48B6-8107-1B362795A795}"/>
    <cellStyle name="Normal 4 2 2 2 4 3 2 3" xfId="15434" xr:uid="{D2312F29-7028-4CF6-8554-2D350BCC4FFB}"/>
    <cellStyle name="Normal 4 2 2 2 4 3 3" xfId="7887" xr:uid="{7CDFBBFC-194A-45A6-B073-04F587ED3E3F}"/>
    <cellStyle name="Normal 4 2 2 2 4 3 3 2" xfId="18267" xr:uid="{EC834A35-9453-4CAF-8950-F802DDB5DC6F}"/>
    <cellStyle name="Normal 4 2 2 2 4 3 4" xfId="10720" xr:uid="{FFBDCC92-C1E4-4C2B-AFAF-FBBADFEBAF62}"/>
    <cellStyle name="Normal 4 2 2 2 4 3 4 2" xfId="21100" xr:uid="{16B084A0-4AE6-498C-8517-15E85C982633}"/>
    <cellStyle name="Normal 4 2 2 2 4 3 5" xfId="24260" xr:uid="{D529CCF3-D1BC-4EC1-95A5-211BF8DDAEEA}"/>
    <cellStyle name="Normal 4 2 2 2 4 3 6" xfId="13211" xr:uid="{F91EB318-9735-4FC2-A7D6-63C57C1DAE43}"/>
    <cellStyle name="Normal 4 2 2 2 4 4" xfId="4180" xr:uid="{09F09E15-871D-4244-890C-93B16B2D3BE3}"/>
    <cellStyle name="Normal 4 2 2 2 4 4 2" xfId="8952" xr:uid="{3C265B06-A5BF-48AD-89A9-2D22F9A5D61E}"/>
    <cellStyle name="Normal 4 2 2 2 4 4 2 2" xfId="19332" xr:uid="{521178AC-315A-4187-A6DA-D40BCC284914}"/>
    <cellStyle name="Normal 4 2 2 2 4 4 3" xfId="11785" xr:uid="{D142966C-F984-4520-B50F-9E4FE6BA102C}"/>
    <cellStyle name="Normal 4 2 2 2 4 4 3 2" xfId="22165" xr:uid="{BDDD4821-8C01-4D78-BB38-35D03234A43C}"/>
    <cellStyle name="Normal 4 2 2 2 4 4 4" xfId="22775" xr:uid="{6B039AF2-98CF-4B6D-96D8-00C613B9D56F}"/>
    <cellStyle name="Normal 4 2 2 2 4 4 5" xfId="16499" xr:uid="{B917C92B-E32B-457D-9BDE-48FA35C389D2}"/>
    <cellStyle name="Normal 4 2 2 2 4 5" xfId="5223" xr:uid="{5C4D6AF4-82E1-41DD-BCC0-3E46B66D7E15}"/>
    <cellStyle name="Normal 4 2 2 2 4 5 2" xfId="14521" xr:uid="{B460FFE8-EBCA-443B-A0C9-5E288F9C981F}"/>
    <cellStyle name="Normal 4 2 2 2 4 6" xfId="6974" xr:uid="{C75A9B51-C5CA-4ADE-84AB-FF4ECCBA604E}"/>
    <cellStyle name="Normal 4 2 2 2 4 6 2" xfId="17354" xr:uid="{869329D5-6304-41A1-949E-A1C36BADE2D0}"/>
    <cellStyle name="Normal 4 2 2 2 4 7" xfId="9807" xr:uid="{A3D628FC-B9AB-4888-8202-144FB0F1C438}"/>
    <cellStyle name="Normal 4 2 2 2 4 7 2" xfId="20187" xr:uid="{3DB03CB8-537F-46DC-B9B9-47CADBD84AB8}"/>
    <cellStyle name="Normal 4 2 2 2 4 8" xfId="24897" xr:uid="{91E13E85-9BCB-4769-8D67-49E29F2EAF30}"/>
    <cellStyle name="Normal 4 2 2 2 4 9" xfId="12742" xr:uid="{9C685099-7178-41A6-87FD-6B656B7C8790}"/>
    <cellStyle name="Normal 4 2 2 2 5" xfId="3286" xr:uid="{00000000-0005-0000-0000-00006C050000}"/>
    <cellStyle name="Normal 4 2 2 2 5 2" xfId="4507" xr:uid="{C38558B0-20A2-4476-87DA-6BFF6065FB72}"/>
    <cellStyle name="Normal 4 2 2 2 5 2 2" xfId="9279" xr:uid="{E0806218-B591-4968-A464-B3CFC314A602}"/>
    <cellStyle name="Normal 4 2 2 2 5 2 2 2" xfId="29260" xr:uid="{CBE4C94A-BFEF-4921-B9D4-BDF3799D9EC4}"/>
    <cellStyle name="Normal 4 2 2 2 5 2 2 3" xfId="19659" xr:uid="{7F52E468-4C7D-4963-8EFE-B305532A9E98}"/>
    <cellStyle name="Normal 4 2 2 2 5 2 3" xfId="12112" xr:uid="{3FA5C244-90D7-448B-A003-E813D33AB845}"/>
    <cellStyle name="Normal 4 2 2 2 5 2 3 2" xfId="22492" xr:uid="{33C03823-B642-4C57-8C16-AAEC2EFF685B}"/>
    <cellStyle name="Normal 4 2 2 2 5 2 4" xfId="23423" xr:uid="{D869F22B-A0AF-40DB-AAF7-0AA930C414B2}"/>
    <cellStyle name="Normal 4 2 2 2 5 2 5" xfId="16826" xr:uid="{956D3CA5-05CC-4296-A22F-A38646B755B3}"/>
    <cellStyle name="Normal 4 2 2 2 5 3" xfId="6344" xr:uid="{EEC73034-AAE7-44A5-BFE4-E5EE8526D30F}"/>
    <cellStyle name="Normal 4 2 2 2 5 3 2" xfId="27664" xr:uid="{F78D3E12-E12D-48EB-9C6A-35C5A4F5082F}"/>
    <cellStyle name="Normal 4 2 2 2 5 3 3" xfId="15913" xr:uid="{D1C4BCCB-C9E7-43E1-B5D0-57A511DF6D74}"/>
    <cellStyle name="Normal 4 2 2 2 5 4" xfId="8366" xr:uid="{654E4D6B-CABE-4867-BC98-A2411752ACCC}"/>
    <cellStyle name="Normal 4 2 2 2 5 4 2" xfId="18746" xr:uid="{A97C0CFD-ACBD-4FA9-95F8-B58DB1F0A5EB}"/>
    <cellStyle name="Normal 4 2 2 2 5 5" xfId="11199" xr:uid="{0D07C26D-2E8B-4E1B-AB67-B08E32EB68DA}"/>
    <cellStyle name="Normal 4 2 2 2 5 5 2" xfId="21579" xr:uid="{DE9345F1-CDD7-4ABB-AC3F-44D7879809BD}"/>
    <cellStyle name="Normal 4 2 2 2 5 6" xfId="23626" xr:uid="{94716677-757A-4C82-AEF7-D595FF518AED}"/>
    <cellStyle name="Normal 4 2 2 2 5 7" xfId="13837" xr:uid="{F629A4FF-E862-472E-A6DE-BF2634491564}"/>
    <cellStyle name="Normal 4 2 2 2 6" xfId="2926" xr:uid="{00000000-0005-0000-0000-00006D050000}"/>
    <cellStyle name="Normal 4 2 2 2 6 2" xfId="6106" xr:uid="{EC6B6115-246A-4E2D-A4D0-BCBFD219C349}"/>
    <cellStyle name="Normal 4 2 2 2 6 2 2" xfId="27552" xr:uid="{E87F3D8D-DCB9-4655-8DE1-DCDB851F043B}"/>
    <cellStyle name="Normal 4 2 2 2 6 2 3" xfId="15584" xr:uid="{64957473-5187-4040-BCE6-86D8A7C2F96B}"/>
    <cellStyle name="Normal 4 2 2 2 6 3" xfId="8037" xr:uid="{4E390FF0-81EF-4B05-A5D5-D107E8BA8641}"/>
    <cellStyle name="Normal 4 2 2 2 6 3 2" xfId="18417" xr:uid="{4C9FF954-9B95-4E4F-94CC-9D81B58025F3}"/>
    <cellStyle name="Normal 4 2 2 2 6 4" xfId="10870" xr:uid="{C7D9EEDE-59CB-4892-A90E-D6CBAA776294}"/>
    <cellStyle name="Normal 4 2 2 2 6 4 2" xfId="21250" xr:uid="{013422BF-270B-44C7-AC44-3A278CD4DF6B}"/>
    <cellStyle name="Normal 4 2 2 2 6 5" xfId="22644" xr:uid="{E1543EFA-274E-4B41-AC5A-2033AED55C16}"/>
    <cellStyle name="Normal 4 2 2 2 6 6" xfId="13440" xr:uid="{1B856EAC-F127-4C13-9933-1ED8CDE6CD7F}"/>
    <cellStyle name="Normal 4 2 2 2 7" xfId="2498" xr:uid="{00000000-0005-0000-0000-00006E050000}"/>
    <cellStyle name="Normal 4 2 2 2 7 2" xfId="5781" xr:uid="{2155F36A-BC96-4357-8425-D920261F69FF}"/>
    <cellStyle name="Normal 4 2 2 2 7 2 2" xfId="26762" xr:uid="{ADAD11F8-F25F-4855-BAE8-EFC94FBD37D3}"/>
    <cellStyle name="Normal 4 2 2 2 7 2 3" xfId="15170" xr:uid="{E80883C3-46A1-47FD-B5AC-8A846D7591A9}"/>
    <cellStyle name="Normal 4 2 2 2 7 3" xfId="7623" xr:uid="{6DD1F1C5-4FF3-43BB-8726-56F22B3580A5}"/>
    <cellStyle name="Normal 4 2 2 2 7 3 2" xfId="18003" xr:uid="{543D6EC0-4DF1-47AB-A541-7269906FF7A8}"/>
    <cellStyle name="Normal 4 2 2 2 7 4" xfId="10456" xr:uid="{7B541D81-392E-494B-9E52-B84DFE8720F2}"/>
    <cellStyle name="Normal 4 2 2 2 7 4 2" xfId="20836" xr:uid="{9B9851DE-6809-4B6A-A05F-EFB36E3F281E}"/>
    <cellStyle name="Normal 4 2 2 2 7 5" xfId="25184" xr:uid="{1A35A034-AFBA-4F4A-875C-3A3926CBB46C}"/>
    <cellStyle name="Normal 4 2 2 2 7 6" xfId="12886" xr:uid="{973CBE25-492A-4DEE-9351-36187EA70F9D}"/>
    <cellStyle name="Normal 4 2 2 2 8" xfId="2192" xr:uid="{00000000-0005-0000-0000-000057050000}"/>
    <cellStyle name="Normal 4 2 2 2 8 2" xfId="7319" xr:uid="{202650CD-28B0-4E67-8827-41E01F03D3C2}"/>
    <cellStyle name="Normal 4 2 2 2 8 2 2" xfId="17699" xr:uid="{22E13DBB-C16D-40EB-A3AE-92B11712B437}"/>
    <cellStyle name="Normal 4 2 2 2 8 3" xfId="10152" xr:uid="{DDC1FFF8-DCB9-41A1-AD22-A544A04EC073}"/>
    <cellStyle name="Normal 4 2 2 2 8 3 2" xfId="20532" xr:uid="{282BB72D-2582-4555-8080-50D626A4473B}"/>
    <cellStyle name="Normal 4 2 2 2 8 4" xfId="22873" xr:uid="{18F331D2-7DF0-4D44-AC68-C52BAE4D538F}"/>
    <cellStyle name="Normal 4 2 2 2 8 5" xfId="14866" xr:uid="{C4251E7B-F494-4BCD-A000-9A36D0D12557}"/>
    <cellStyle name="Normal 4 2 2 2 9" xfId="3971" xr:uid="{E3924D78-0A6A-4160-954B-7BDD5285864D}"/>
    <cellStyle name="Normal 4 2 2 2 9 2" xfId="8795" xr:uid="{AB6CF9CE-B9D0-4210-B8E0-DC6533CA4258}"/>
    <cellStyle name="Normal 4 2 2 2 9 2 2" xfId="19175" xr:uid="{71695F3D-89F5-4DE4-B18F-DCFA154EECDC}"/>
    <cellStyle name="Normal 4 2 2 2 9 3" xfId="11628" xr:uid="{7AC8E88D-7772-433F-995A-E060E7D40B17}"/>
    <cellStyle name="Normal 4 2 2 2 9 3 2" xfId="22008" xr:uid="{881B4292-B64F-467F-B0F4-E3DBBC28FE57}"/>
    <cellStyle name="Normal 4 2 2 2 9 4" xfId="16342" xr:uid="{1D3749AB-17A1-4775-9954-ED2D5FA48BCC}"/>
    <cellStyle name="Normal 4 2 2 3" xfId="919" xr:uid="{00000000-0005-0000-0000-000049050000}"/>
    <cellStyle name="Normal 4 2 2 3 10" xfId="5224" xr:uid="{4C8EB03A-B9E6-4ADB-83F2-4632A0FD4A2B}"/>
    <cellStyle name="Normal 4 2 2 3 10 2" xfId="14522" xr:uid="{7B904648-2E13-475E-8929-1CAFDB91392D}"/>
    <cellStyle name="Normal 4 2 2 3 11" xfId="6975" xr:uid="{A6B2F5C6-3548-4D10-BB4C-0DD9C94E11B5}"/>
    <cellStyle name="Normal 4 2 2 3 11 2" xfId="17355" xr:uid="{81E6248D-E257-462A-8568-10D278AD3795}"/>
    <cellStyle name="Normal 4 2 2 3 12" xfId="9808" xr:uid="{27B0B000-06A1-4CF3-AE41-AC14DEA3D8C1}"/>
    <cellStyle name="Normal 4 2 2 3 12 2" xfId="20188" xr:uid="{F709525A-B072-44F6-B4E0-E5E26CF316E0}"/>
    <cellStyle name="Normal 4 2 2 3 13" xfId="23661" xr:uid="{5661E3C3-41EC-4747-A0C2-DAC047C18CE2}"/>
    <cellStyle name="Normal 4 2 2 3 14" xfId="12461" xr:uid="{45C8C42A-A7F7-4A77-9F12-E8B7335646F6}"/>
    <cellStyle name="Normal 4 2 2 3 2" xfId="920" xr:uid="{00000000-0005-0000-0000-00004A050000}"/>
    <cellStyle name="Normal 4 2 2 3 2 10" xfId="9809" xr:uid="{DE249236-C757-4834-993F-5C73C75AA67F}"/>
    <cellStyle name="Normal 4 2 2 3 2 10 2" xfId="20189" xr:uid="{F789E804-F60C-4EE6-897A-5E66BF106061}"/>
    <cellStyle name="Normal 4 2 2 3 2 11" xfId="25501" xr:uid="{CE144F7C-62F7-4442-9C6C-8946645A422A}"/>
    <cellStyle name="Normal 4 2 2 3 2 12" xfId="12585" xr:uid="{EDE6596E-3C0A-4452-99A5-DAF699009E35}"/>
    <cellStyle name="Normal 4 2 2 3 2 2" xfId="921" xr:uid="{00000000-0005-0000-0000-00004B050000}"/>
    <cellStyle name="Normal 4 2 2 3 2 2 2" xfId="3288" xr:uid="{00000000-0005-0000-0000-000072050000}"/>
    <cellStyle name="Normal 4 2 2 3 2 2 2 2" xfId="6346" xr:uid="{6A54CE14-D909-4302-97CD-DFEA3C63DEFE}"/>
    <cellStyle name="Normal 4 2 2 3 2 2 2 2 2" xfId="27288" xr:uid="{74314792-9A52-4FD3-83EA-A9758D019597}"/>
    <cellStyle name="Normal 4 2 2 3 2 2 2 2 3" xfId="26809" xr:uid="{B31CB6F5-F9A0-42C4-91F0-13935C43AE2C}"/>
    <cellStyle name="Normal 4 2 2 3 2 2 2 2 4" xfId="15915" xr:uid="{A27C0814-8A83-4DDB-8F7C-B1439C12E70C}"/>
    <cellStyle name="Normal 4 2 2 3 2 2 2 3" xfId="8368" xr:uid="{CF2509EC-CF3A-42B5-AB21-5E4FA426CA7D}"/>
    <cellStyle name="Normal 4 2 2 3 2 2 2 3 2" xfId="28898" xr:uid="{E9459B4A-E860-4D0C-B117-ECDB048044CA}"/>
    <cellStyle name="Normal 4 2 2 3 2 2 2 3 3" xfId="18748" xr:uid="{83C0937A-826D-42BF-9A56-14B96ACA789F}"/>
    <cellStyle name="Normal 4 2 2 3 2 2 2 4" xfId="11201" xr:uid="{B1333805-23F5-42D1-A06A-B10B1039CC81}"/>
    <cellStyle name="Normal 4 2 2 3 2 2 2 4 2" xfId="21581" xr:uid="{3B9F75CD-5554-435A-BE1A-EC7F02967A5D}"/>
    <cellStyle name="Normal 4 2 2 3 2 2 2 5" xfId="23527" xr:uid="{41D0B654-967F-4713-B25A-9593268AA2D9}"/>
    <cellStyle name="Normal 4 2 2 3 2 2 2 6" xfId="13839" xr:uid="{FC3937F6-94BF-45BD-BFF6-3D475EA41BE5}"/>
    <cellStyle name="Normal 4 2 2 3 2 2 3" xfId="4326" xr:uid="{B2787D4B-7961-437E-9E35-5D6DDF9D9A8E}"/>
    <cellStyle name="Normal 4 2 2 3 2 2 3 2" xfId="9098" xr:uid="{E9AC06A7-A309-4A91-99B9-7D5C2085F1AC}"/>
    <cellStyle name="Normal 4 2 2 3 2 2 3 2 2" xfId="29141" xr:uid="{75F295F7-4C31-466A-82B8-B55628C300EF}"/>
    <cellStyle name="Normal 4 2 2 3 2 2 3 2 3" xfId="19478" xr:uid="{E9EE146E-DB2D-4132-9FCC-ADA79ADCFB0B}"/>
    <cellStyle name="Normal 4 2 2 3 2 2 3 3" xfId="11931" xr:uid="{EA49450A-8459-4CB3-8CA4-26B90595B325}"/>
    <cellStyle name="Normal 4 2 2 3 2 2 3 3 2" xfId="22311" xr:uid="{86C4B435-7388-4D54-82D1-41ACDEF81221}"/>
    <cellStyle name="Normal 4 2 2 3 2 2 3 4" xfId="25508" xr:uid="{0D38197A-44CC-4C81-B138-82303A9591BC}"/>
    <cellStyle name="Normal 4 2 2 3 2 2 3 5" xfId="16645" xr:uid="{23980CF4-E09C-4D13-B87E-5CCFA853EF8E}"/>
    <cellStyle name="Normal 4 2 2 3 2 2 4" xfId="5226" xr:uid="{C90F8EC9-0711-4445-A27F-548BD7ABFFF8}"/>
    <cellStyle name="Normal 4 2 2 3 2 2 4 2" xfId="26825" xr:uid="{8A36930A-77D3-4494-8377-A6B36B48A0AA}"/>
    <cellStyle name="Normal 4 2 2 3 2 2 4 3" xfId="14524" xr:uid="{591D5692-58AF-4158-844E-AF60AA0FCE90}"/>
    <cellStyle name="Normal 4 2 2 3 2 2 5" xfId="6977" xr:uid="{E6250537-DD63-4B3A-BA35-405BF6064E52}"/>
    <cellStyle name="Normal 4 2 2 3 2 2 5 2" xfId="17357" xr:uid="{702F81DF-B704-48B8-85F6-1713D67E71D8}"/>
    <cellStyle name="Normal 4 2 2 3 2 2 6" xfId="9810" xr:uid="{C4E51B45-3297-4D8A-9EED-5C6B21E518ED}"/>
    <cellStyle name="Normal 4 2 2 3 2 2 6 2" xfId="20190" xr:uid="{1EFB45F9-AA05-429D-A87D-98B6282F9883}"/>
    <cellStyle name="Normal 4 2 2 3 2 2 7" xfId="24423" xr:uid="{CC96FF20-3507-443E-844E-77D6A8BEC4D1}"/>
    <cellStyle name="Normal 4 2 2 3 2 2 8" xfId="13216" xr:uid="{0E02A5E9-2AF7-4929-B622-2CFCBE6193BB}"/>
    <cellStyle name="Normal 4 2 2 3 2 3" xfId="3289" xr:uid="{00000000-0005-0000-0000-000073050000}"/>
    <cellStyle name="Normal 4 2 2 3 2 3 2" xfId="4508" xr:uid="{C36D94FA-6760-4288-AB2F-C8BAEE966C3F}"/>
    <cellStyle name="Normal 4 2 2 3 2 3 2 2" xfId="9280" xr:uid="{6303850A-18D2-40CD-83FF-372915C50C2A}"/>
    <cellStyle name="Normal 4 2 2 3 2 3 2 2 2" xfId="29261" xr:uid="{6EE79945-357E-4B97-8754-EA1A514ED2DD}"/>
    <cellStyle name="Normal 4 2 2 3 2 3 2 2 3" xfId="19660" xr:uid="{38C642DD-E7D8-458B-94A1-D590D07B8655}"/>
    <cellStyle name="Normal 4 2 2 3 2 3 2 3" xfId="12113" xr:uid="{B18BB930-11BE-45B0-A95D-58F13AC6782B}"/>
    <cellStyle name="Normal 4 2 2 3 2 3 2 3 2" xfId="22493" xr:uid="{5C6F0A01-4396-4DDA-817B-0CB09248E996}"/>
    <cellStyle name="Normal 4 2 2 3 2 3 2 4" xfId="24867" xr:uid="{729C037F-17CF-48D9-81BE-F87240CF6698}"/>
    <cellStyle name="Normal 4 2 2 3 2 3 2 5" xfId="16827" xr:uid="{EE1BA9C0-5CBB-4AB9-BBDE-109F29F2BBF9}"/>
    <cellStyle name="Normal 4 2 2 3 2 3 3" xfId="6347" xr:uid="{89E13BB4-452B-4B4E-B512-6F4C7AB53434}"/>
    <cellStyle name="Normal 4 2 2 3 2 3 3 2" xfId="28336" xr:uid="{41BDAC96-9A6F-49BB-8160-E581AB4DDD33}"/>
    <cellStyle name="Normal 4 2 2 3 2 3 3 3" xfId="15916" xr:uid="{61890395-B9E6-41F5-9477-2927DBD163D7}"/>
    <cellStyle name="Normal 4 2 2 3 2 3 4" xfId="8369" xr:uid="{7B3AB6B3-5718-43AF-973E-91A1BEB64A71}"/>
    <cellStyle name="Normal 4 2 2 3 2 3 4 2" xfId="18749" xr:uid="{46A5317C-FB63-4E74-8202-BFD9F96392BA}"/>
    <cellStyle name="Normal 4 2 2 3 2 3 5" xfId="11202" xr:uid="{062485BB-F023-41D3-95F6-7DFC4C3DDB9B}"/>
    <cellStyle name="Normal 4 2 2 3 2 3 5 2" xfId="21582" xr:uid="{50F5A99C-A45E-4535-B4A3-3AE894577F2B}"/>
    <cellStyle name="Normal 4 2 2 3 2 3 6" xfId="22705" xr:uid="{4B8116B2-847D-4D06-9AD9-012C0CA83F0C}"/>
    <cellStyle name="Normal 4 2 2 3 2 3 7" xfId="13840" xr:uid="{E5627E8D-234A-4478-BD39-83DA09E9BC12}"/>
    <cellStyle name="Normal 4 2 2 3 2 4" xfId="3287" xr:uid="{00000000-0005-0000-0000-000074050000}"/>
    <cellStyle name="Normal 4 2 2 3 2 4 2" xfId="6345" xr:uid="{D240B1F4-A6D0-448A-8BDF-63F85E91C8F8}"/>
    <cellStyle name="Normal 4 2 2 3 2 4 2 2" xfId="28474" xr:uid="{18314E4A-AE67-4B6F-B508-912FB11A91DB}"/>
    <cellStyle name="Normal 4 2 2 3 2 4 2 3" xfId="15914" xr:uid="{57CB71E1-FF78-4EF7-8785-8F6EDFBCB33B}"/>
    <cellStyle name="Normal 4 2 2 3 2 4 3" xfId="8367" xr:uid="{92240B2D-38C1-454D-B56E-7E3D0956F970}"/>
    <cellStyle name="Normal 4 2 2 3 2 4 3 2" xfId="18747" xr:uid="{55706EA9-509C-4177-8277-C7D144419419}"/>
    <cellStyle name="Normal 4 2 2 3 2 4 4" xfId="11200" xr:uid="{020EB1DA-255C-4C76-AB91-43E46051CB40}"/>
    <cellStyle name="Normal 4 2 2 3 2 4 4 2" xfId="21580" xr:uid="{211767A5-3246-4480-9B39-F538EC29A29B}"/>
    <cellStyle name="Normal 4 2 2 3 2 4 5" xfId="24204" xr:uid="{9082D8DB-4C96-4830-BD21-A262EBAE688D}"/>
    <cellStyle name="Normal 4 2 2 3 2 4 6" xfId="13838" xr:uid="{F70D6774-E243-4164-A7AF-951DE2E9E02A}"/>
    <cellStyle name="Normal 4 2 2 3 2 5" xfId="2535" xr:uid="{00000000-0005-0000-0000-000075050000}"/>
    <cellStyle name="Normal 4 2 2 3 2 5 2" xfId="5809" xr:uid="{FDCA5AD5-95DA-412D-8D47-258CC2B41DD1}"/>
    <cellStyle name="Normal 4 2 2 3 2 5 2 2" xfId="26978" xr:uid="{DD5C1E70-C5F2-4324-8FC2-7D920610937F}"/>
    <cellStyle name="Normal 4 2 2 3 2 5 2 3" xfId="15207" xr:uid="{80C0A50B-A75B-41D2-8A38-2CD2CE4DFE08}"/>
    <cellStyle name="Normal 4 2 2 3 2 5 3" xfId="7660" xr:uid="{4EEB0860-2372-458C-B5F9-A0CC253A1AE3}"/>
    <cellStyle name="Normal 4 2 2 3 2 5 3 2" xfId="18040" xr:uid="{EC5DD510-18CA-4DBC-A34C-F3120B2B44E6}"/>
    <cellStyle name="Normal 4 2 2 3 2 5 4" xfId="10493" xr:uid="{BA2AC357-34BA-4763-A738-292D2A44C02D}"/>
    <cellStyle name="Normal 4 2 2 3 2 5 4 2" xfId="20873" xr:uid="{97F0FD2C-82B5-497E-BD95-3C5AF1BAADE6}"/>
    <cellStyle name="Normal 4 2 2 3 2 5 5" xfId="23287" xr:uid="{AD5C5887-0803-4E20-9BB9-7BB57DB48E1C}"/>
    <cellStyle name="Normal 4 2 2 3 2 5 6" xfId="12923" xr:uid="{68E2A869-D5B2-42EE-8820-A9D0C6D71C9E}"/>
    <cellStyle name="Normal 4 2 2 3 2 6" xfId="2351" xr:uid="{00000000-0005-0000-0000-000070050000}"/>
    <cellStyle name="Normal 4 2 2 3 2 6 2" xfId="7478" xr:uid="{B3F065FD-3BF3-41C5-98FB-7285E0CEF677}"/>
    <cellStyle name="Normal 4 2 2 3 2 6 2 2" xfId="17858" xr:uid="{BDC82D49-BB9F-499F-BD8E-F48F4542180F}"/>
    <cellStyle name="Normal 4 2 2 3 2 6 3" xfId="10311" xr:uid="{7F6C7885-EA64-4EDE-A8FA-6AAF050F0977}"/>
    <cellStyle name="Normal 4 2 2 3 2 6 3 2" xfId="20691" xr:uid="{6FE03C0A-13E8-4886-927D-BBE3FE3D81F0}"/>
    <cellStyle name="Normal 4 2 2 3 2 6 4" xfId="24130" xr:uid="{E708F31D-9929-434E-A242-2DCD60721706}"/>
    <cellStyle name="Normal 4 2 2 3 2 6 5" xfId="15025" xr:uid="{DB145D00-6261-49DE-B2D9-6277AC08AB4C}"/>
    <cellStyle name="Normal 4 2 2 3 2 7" xfId="3892" xr:uid="{D96A2613-E50C-4D2C-900D-398FAFA7F405}"/>
    <cellStyle name="Normal 4 2 2 3 2 7 2" xfId="8724" xr:uid="{6B9C5CFA-735E-40A8-BC44-5B567045E3DA}"/>
    <cellStyle name="Normal 4 2 2 3 2 7 2 2" xfId="19104" xr:uid="{F878870E-6795-4137-B63C-DC6965F96EA3}"/>
    <cellStyle name="Normal 4 2 2 3 2 7 3" xfId="11557" xr:uid="{313CA58C-0C94-491D-8B0D-3F823C796A86}"/>
    <cellStyle name="Normal 4 2 2 3 2 7 3 2" xfId="21937" xr:uid="{7B76D477-D22B-41C2-AD72-52B2987A93E9}"/>
    <cellStyle name="Normal 4 2 2 3 2 7 4" xfId="16271" xr:uid="{2AF31336-C692-4258-A919-C034B70AC8E1}"/>
    <cellStyle name="Normal 4 2 2 3 2 8" xfId="5225" xr:uid="{11FEB477-B239-4E41-BF3C-424859C341A2}"/>
    <cellStyle name="Normal 4 2 2 3 2 8 2" xfId="14523" xr:uid="{1C01992E-5370-4D5F-9595-794570A6E419}"/>
    <cellStyle name="Normal 4 2 2 3 2 9" xfId="6976" xr:uid="{CD0EAC3F-8B8F-4C1C-9E73-3D82BD185AD1}"/>
    <cellStyle name="Normal 4 2 2 3 2 9 2" xfId="17356" xr:uid="{24878BB0-662F-4A83-B137-81A7CAFD42EF}"/>
    <cellStyle name="Normal 4 2 2 3 3" xfId="922" xr:uid="{00000000-0005-0000-0000-00004C050000}"/>
    <cellStyle name="Normal 4 2 2 3 3 10" xfId="24833" xr:uid="{4EECE424-3A63-471E-922A-1E15FA2706A9}"/>
    <cellStyle name="Normal 4 2 2 3 3 11" xfId="12743" xr:uid="{5741375C-0DE7-4CD2-9B1D-266696C61809}"/>
    <cellStyle name="Normal 4 2 2 3 3 2" xfId="2767" xr:uid="{00000000-0005-0000-0000-000077050000}"/>
    <cellStyle name="Normal 4 2 2 3 3 2 2" xfId="3291" xr:uid="{00000000-0005-0000-0000-000078050000}"/>
    <cellStyle name="Normal 4 2 2 3 3 2 2 2" xfId="6349" xr:uid="{434E8FF1-E3A1-4A7A-9D1D-E422117A86E0}"/>
    <cellStyle name="Normal 4 2 2 3 3 2 2 2 2" xfId="26280" xr:uid="{FB0C84E7-0B72-4918-9970-2FC3865AE175}"/>
    <cellStyle name="Normal 4 2 2 3 3 2 2 2 3" xfId="15918" xr:uid="{85CEAFD0-7320-4AB2-80CA-F5BBF7272431}"/>
    <cellStyle name="Normal 4 2 2 3 3 2 2 3" xfId="8371" xr:uid="{5658B379-62E3-4B78-A892-615E0DBF142B}"/>
    <cellStyle name="Normal 4 2 2 3 3 2 2 3 2" xfId="18751" xr:uid="{36ECC6A3-E66B-48C9-98EC-F0563C4FCFAC}"/>
    <cellStyle name="Normal 4 2 2 3 3 2 2 4" xfId="11204" xr:uid="{670C891C-FEE6-465B-9F49-17016E61A29A}"/>
    <cellStyle name="Normal 4 2 2 3 3 2 2 4 2" xfId="21584" xr:uid="{D8613B90-EF87-4E98-9B45-90E0CED13444}"/>
    <cellStyle name="Normal 4 2 2 3 3 2 2 5" xfId="24183" xr:uid="{B1BC3264-4C98-4DA8-852B-AF3043EB1577}"/>
    <cellStyle name="Normal 4 2 2 3 3 2 2 6" xfId="13842" xr:uid="{DB97B712-1A9D-4DC8-8486-4307375B2E4A}"/>
    <cellStyle name="Normal 4 2 2 3 3 2 3" xfId="4327" xr:uid="{C5AA2334-1273-4173-B3B8-B5CB37BE8962}"/>
    <cellStyle name="Normal 4 2 2 3 3 2 3 2" xfId="9099" xr:uid="{44C37417-6B57-4553-AC9B-D229E9B997B9}"/>
    <cellStyle name="Normal 4 2 2 3 3 2 3 2 2" xfId="29142" xr:uid="{D40A5EC6-241A-409E-91AE-4819692CFC03}"/>
    <cellStyle name="Normal 4 2 2 3 3 2 3 2 3" xfId="19479" xr:uid="{CEB719ED-63A8-4C8C-A753-FF73A8613B6A}"/>
    <cellStyle name="Normal 4 2 2 3 3 2 3 3" xfId="11932" xr:uid="{38255705-73A4-431D-9719-044B4F097BEE}"/>
    <cellStyle name="Normal 4 2 2 3 3 2 3 3 2" xfId="22312" xr:uid="{B81C1962-FF7F-4612-8257-B61BE007B819}"/>
    <cellStyle name="Normal 4 2 2 3 3 2 3 4" xfId="23172" xr:uid="{42F1F596-555E-403E-AB74-6EB1CAF57960}"/>
    <cellStyle name="Normal 4 2 2 3 3 2 3 5" xfId="16646" xr:uid="{86BE4334-F088-405C-A088-DDE12CDBF8A8}"/>
    <cellStyle name="Normal 4 2 2 3 3 2 4" xfId="5985" xr:uid="{6CD26D58-AE40-4F2C-9636-48FA196B1729}"/>
    <cellStyle name="Normal 4 2 2 3 3 2 4 2" xfId="26936" xr:uid="{EFA6AA2A-AF5C-45A6-A72E-1404566ABC42}"/>
    <cellStyle name="Normal 4 2 2 3 3 2 4 3" xfId="15438" xr:uid="{285B8E85-9421-4D07-9D13-478ADF68C046}"/>
    <cellStyle name="Normal 4 2 2 3 3 2 5" xfId="7891" xr:uid="{DB69350F-17D3-47EA-8934-579359DD09E7}"/>
    <cellStyle name="Normal 4 2 2 3 3 2 5 2" xfId="18271" xr:uid="{19F0100D-EDEA-431D-AC57-2928E2AF4EA9}"/>
    <cellStyle name="Normal 4 2 2 3 3 2 6" xfId="10724" xr:uid="{8D1D27BC-5F8E-4036-A1FD-5FB484E3065D}"/>
    <cellStyle name="Normal 4 2 2 3 3 2 6 2" xfId="21104" xr:uid="{8504755E-2C9A-444D-B39B-5EDE58B524F6}"/>
    <cellStyle name="Normal 4 2 2 3 3 2 7" xfId="23629" xr:uid="{6EDC3B47-764A-4865-B633-DFCF9A7B1D0B}"/>
    <cellStyle name="Normal 4 2 2 3 3 2 8" xfId="13217" xr:uid="{FE14FB89-FCA9-4C38-86FA-EE6B4E306967}"/>
    <cellStyle name="Normal 4 2 2 3 3 3" xfId="3292" xr:uid="{00000000-0005-0000-0000-000079050000}"/>
    <cellStyle name="Normal 4 2 2 3 3 3 2" xfId="4509" xr:uid="{BFC336D4-79D3-4CAA-B822-E16C2E6AE884}"/>
    <cellStyle name="Normal 4 2 2 3 3 3 2 2" xfId="9281" xr:uid="{69DB0E82-7231-4EF9-8E5F-CF704D83CF63}"/>
    <cellStyle name="Normal 4 2 2 3 3 3 2 2 2" xfId="29262" xr:uid="{0F0D3CEC-3DB5-4FAC-AC4A-01334006FD4B}"/>
    <cellStyle name="Normal 4 2 2 3 3 3 2 2 3" xfId="19661" xr:uid="{CFAF9355-601D-4DE1-89FD-013215428D57}"/>
    <cellStyle name="Normal 4 2 2 3 3 3 2 3" xfId="12114" xr:uid="{366E67AA-5270-44E8-84F4-C6842E565697}"/>
    <cellStyle name="Normal 4 2 2 3 3 3 2 3 2" xfId="22494" xr:uid="{0500BF19-E3B2-49DE-8FEF-1901F44CB56F}"/>
    <cellStyle name="Normal 4 2 2 3 3 3 2 4" xfId="25755" xr:uid="{6D702D5A-D6DB-4458-8921-97DB530C6936}"/>
    <cellStyle name="Normal 4 2 2 3 3 3 2 5" xfId="16828" xr:uid="{2923CDDE-CA22-4AEA-8B4A-88A1559BE632}"/>
    <cellStyle name="Normal 4 2 2 3 3 3 3" xfId="6350" xr:uid="{8F703B92-FDC1-4FDC-9B8E-05ACB1B45D6E}"/>
    <cellStyle name="Normal 4 2 2 3 3 3 3 2" xfId="25965" xr:uid="{3F45C47A-2625-4291-B192-E78EA09675B3}"/>
    <cellStyle name="Normal 4 2 2 3 3 3 3 3" xfId="15919" xr:uid="{A0BF842F-4A42-4357-9C5B-00165141087F}"/>
    <cellStyle name="Normal 4 2 2 3 3 3 4" xfId="8372" xr:uid="{B0888013-3562-4F65-95A4-9E67D43E46AC}"/>
    <cellStyle name="Normal 4 2 2 3 3 3 4 2" xfId="18752" xr:uid="{21D2A06D-0C57-4B89-8E20-DDF5DE4C50D7}"/>
    <cellStyle name="Normal 4 2 2 3 3 3 5" xfId="11205" xr:uid="{263D0205-7975-4EC4-A778-7A0F41CF251E}"/>
    <cellStyle name="Normal 4 2 2 3 3 3 5 2" xfId="21585" xr:uid="{C7BEB32D-BD0A-49D8-90C0-5C0856A866F3}"/>
    <cellStyle name="Normal 4 2 2 3 3 3 6" xfId="24965" xr:uid="{6E8C3C21-6818-4122-918C-BC5DFBBDDB90}"/>
    <cellStyle name="Normal 4 2 2 3 3 3 7" xfId="13843" xr:uid="{910A00BA-AC07-4195-839B-F5610560FFD8}"/>
    <cellStyle name="Normal 4 2 2 3 3 4" xfId="3290" xr:uid="{00000000-0005-0000-0000-00007A050000}"/>
    <cellStyle name="Normal 4 2 2 3 3 4 2" xfId="6348" xr:uid="{9D7252F3-DDE2-4834-AB9B-3929F2551B73}"/>
    <cellStyle name="Normal 4 2 2 3 3 4 2 2" xfId="28218" xr:uid="{F6B88384-9DF5-4FA3-A23A-94A0036F0EF3}"/>
    <cellStyle name="Normal 4 2 2 3 3 4 2 3" xfId="15917" xr:uid="{D2CFF331-E80F-464C-8BD8-60BF12FB9868}"/>
    <cellStyle name="Normal 4 2 2 3 3 4 3" xfId="8370" xr:uid="{AB962451-27B1-4F41-907F-B83B4F094BB9}"/>
    <cellStyle name="Normal 4 2 2 3 3 4 3 2" xfId="18750" xr:uid="{4E5B0C8C-151E-4AE7-979F-2824FF775781}"/>
    <cellStyle name="Normal 4 2 2 3 3 4 4" xfId="11203" xr:uid="{CCFEC741-96B6-4F2B-861C-63947B09A4A2}"/>
    <cellStyle name="Normal 4 2 2 3 3 4 4 2" xfId="21583" xr:uid="{8075C9AE-18BC-4386-A1D9-B2B11FD4B470}"/>
    <cellStyle name="Normal 4 2 2 3 3 4 5" xfId="23625" xr:uid="{820FAFF3-85BA-46F3-AAD0-40AD2B2749BE}"/>
    <cellStyle name="Normal 4 2 2 3 3 4 6" xfId="13841" xr:uid="{4DCF245E-C65B-4C56-9A5E-0585997F88EA}"/>
    <cellStyle name="Normal 4 2 2 3 3 5" xfId="2637" xr:uid="{00000000-0005-0000-0000-00007B050000}"/>
    <cellStyle name="Normal 4 2 2 3 3 5 2" xfId="5899" xr:uid="{17B37AA6-44D7-4370-98C4-D7ADFAD06DBC}"/>
    <cellStyle name="Normal 4 2 2 3 3 5 2 2" xfId="27039" xr:uid="{AB735D45-9A65-4A06-8525-2BE8A5B2CA4E}"/>
    <cellStyle name="Normal 4 2 2 3 3 5 2 3" xfId="15309" xr:uid="{03EF8E35-A3A1-40B1-A0AA-3274B08F9661}"/>
    <cellStyle name="Normal 4 2 2 3 3 5 3" xfId="7762" xr:uid="{730417C8-A719-4F27-B372-024378348F48}"/>
    <cellStyle name="Normal 4 2 2 3 3 5 3 2" xfId="18142" xr:uid="{9FF1DF2C-01F2-4D8B-9F5C-4E775CC9B449}"/>
    <cellStyle name="Normal 4 2 2 3 3 5 4" xfId="10595" xr:uid="{294E3DBE-82FE-404A-A616-C1D88ED52E16}"/>
    <cellStyle name="Normal 4 2 2 3 3 5 4 2" xfId="20975" xr:uid="{7A13C033-EFA9-4D00-9684-980FCECCD704}"/>
    <cellStyle name="Normal 4 2 2 3 3 5 5" xfId="23757" xr:uid="{432E6AD6-4EAB-492F-A35F-066FE9DD9890}"/>
    <cellStyle name="Normal 4 2 2 3 3 5 6" xfId="13026" xr:uid="{0E272F77-BD25-4C27-874E-AAC8C858BB75}"/>
    <cellStyle name="Normal 4 2 2 3 3 6" xfId="4181" xr:uid="{68A65460-D581-4268-8738-E9DAC0BA2ACE}"/>
    <cellStyle name="Normal 4 2 2 3 3 6 2" xfId="8953" xr:uid="{72870363-4ED9-436B-8DEE-F3E4DCA9B767}"/>
    <cellStyle name="Normal 4 2 2 3 3 6 2 2" xfId="19333" xr:uid="{F882F131-A388-4A1E-A9EB-7BDB8A9DEB8B}"/>
    <cellStyle name="Normal 4 2 2 3 3 6 3" xfId="11786" xr:uid="{3BE2E3DF-31AB-4D27-8776-8E7A73C85BFD}"/>
    <cellStyle name="Normal 4 2 2 3 3 6 3 2" xfId="22166" xr:uid="{3E8C096E-150E-4CA9-8FF5-55CFDBD96955}"/>
    <cellStyle name="Normal 4 2 2 3 3 6 4" xfId="25529" xr:uid="{6CC007BE-C920-424C-8722-5B87DEBD6519}"/>
    <cellStyle name="Normal 4 2 2 3 3 6 5" xfId="16500" xr:uid="{6B8E4524-C743-4582-8A35-0455456AEA2D}"/>
    <cellStyle name="Normal 4 2 2 3 3 7" xfId="5227" xr:uid="{654DADEF-5BEE-4A70-B479-EA4DF0B5269A}"/>
    <cellStyle name="Normal 4 2 2 3 3 7 2" xfId="14525" xr:uid="{214E56C4-AA70-4B46-8A87-F958FFAF30CE}"/>
    <cellStyle name="Normal 4 2 2 3 3 8" xfId="6978" xr:uid="{390F904A-24B0-4B71-B52A-F039CB888172}"/>
    <cellStyle name="Normal 4 2 2 3 3 8 2" xfId="17358" xr:uid="{FD5706EA-289E-4389-8085-F4B3DF5D361C}"/>
    <cellStyle name="Normal 4 2 2 3 3 9" xfId="9811" xr:uid="{9DAC1ADE-E604-40E8-B25C-8AE52CB94EF7}"/>
    <cellStyle name="Normal 4 2 2 3 3 9 2" xfId="20191" xr:uid="{EE60523C-88E7-4D9D-A06E-BF65E4676508}"/>
    <cellStyle name="Normal 4 2 2 3 4" xfId="923" xr:uid="{00000000-0005-0000-0000-00004D050000}"/>
    <cellStyle name="Normal 4 2 2 3 4 2" xfId="3293" xr:uid="{00000000-0005-0000-0000-00007D050000}"/>
    <cellStyle name="Normal 4 2 2 3 4 2 2" xfId="6351" xr:uid="{903EC303-10FC-411F-B382-8CA196B0FA9E}"/>
    <cellStyle name="Normal 4 2 2 3 4 2 2 2" xfId="26394" xr:uid="{2E55253E-8D44-49E1-A081-9E916C148A99}"/>
    <cellStyle name="Normal 4 2 2 3 4 2 2 3" xfId="15920" xr:uid="{A099347E-D2C8-429B-9BAA-3E2A90202DBF}"/>
    <cellStyle name="Normal 4 2 2 3 4 2 3" xfId="8373" xr:uid="{5D141035-696A-4E11-878E-EBD242DE40E9}"/>
    <cellStyle name="Normal 4 2 2 3 4 2 3 2" xfId="18753" xr:uid="{E53136B3-33EB-4D74-B5D8-661977FAD2C2}"/>
    <cellStyle name="Normal 4 2 2 3 4 2 4" xfId="11206" xr:uid="{60653EEB-44E4-4338-A45A-F98B38267337}"/>
    <cellStyle name="Normal 4 2 2 3 4 2 4 2" xfId="21586" xr:uid="{6E290F7F-7490-44E8-8D1D-849FA539D956}"/>
    <cellStyle name="Normal 4 2 2 3 4 2 5" xfId="25067" xr:uid="{4B20A928-3BF0-4131-9850-99DBE8EFBC68}"/>
    <cellStyle name="Normal 4 2 2 3 4 2 6" xfId="13844" xr:uid="{95F8A9EF-9FB0-41A9-B6CE-9892A4E3E2E1}"/>
    <cellStyle name="Normal 4 2 2 3 4 3" xfId="4325" xr:uid="{CFA2580C-8217-414C-9859-71B9E67B7CAC}"/>
    <cellStyle name="Normal 4 2 2 3 4 3 2" xfId="9097" xr:uid="{CC5DD4F7-4287-46E7-B743-0798B1E276C8}"/>
    <cellStyle name="Normal 4 2 2 3 4 3 2 2" xfId="29140" xr:uid="{A6F36CBA-F00B-4B19-A6C4-D9E5F3632040}"/>
    <cellStyle name="Normal 4 2 2 3 4 3 2 3" xfId="19477" xr:uid="{DA4AA475-C3E8-4EFE-A1B6-E2E5B8F0A4AD}"/>
    <cellStyle name="Normal 4 2 2 3 4 3 3" xfId="11930" xr:uid="{44D23ACD-5634-446E-BD46-8522CCB2B94C}"/>
    <cellStyle name="Normal 4 2 2 3 4 3 3 2" xfId="22310" xr:uid="{495D3382-AF99-4460-A947-CE81718D8307}"/>
    <cellStyle name="Normal 4 2 2 3 4 3 4" xfId="23364" xr:uid="{D1C35386-1376-4B27-B1B7-1514218E98E7}"/>
    <cellStyle name="Normal 4 2 2 3 4 3 5" xfId="16644" xr:uid="{46F62C47-74B7-4BFF-9FB8-0CA1E0F68596}"/>
    <cellStyle name="Normal 4 2 2 3 4 4" xfId="5228" xr:uid="{B06EC196-D623-41BB-9755-7F3CAFA7877F}"/>
    <cellStyle name="Normal 4 2 2 3 4 4 2" xfId="27061" xr:uid="{D2008287-8AB6-4294-98BF-F42428FDFB1F}"/>
    <cellStyle name="Normal 4 2 2 3 4 4 3" xfId="14526" xr:uid="{ED31B2A9-EB38-4D6F-B778-406C4AA72E44}"/>
    <cellStyle name="Normal 4 2 2 3 4 5" xfId="6979" xr:uid="{BCF7E8DF-2D67-4C25-AD26-C7642BF978DD}"/>
    <cellStyle name="Normal 4 2 2 3 4 5 2" xfId="17359" xr:uid="{23DFBA90-FA5C-47BC-8F39-12985AF4A672}"/>
    <cellStyle name="Normal 4 2 2 3 4 6" xfId="9812" xr:uid="{49073248-F7CD-4E09-AC9C-9F9DD844E98F}"/>
    <cellStyle name="Normal 4 2 2 3 4 6 2" xfId="20192" xr:uid="{7EF81C41-C72F-47F2-8707-1A56334CA33A}"/>
    <cellStyle name="Normal 4 2 2 3 4 7" xfId="24454" xr:uid="{DDEAE3DF-9B4E-4BFF-996F-73C4E7C1C643}"/>
    <cellStyle name="Normal 4 2 2 3 4 8" xfId="13215" xr:uid="{38D7521A-ACA3-4633-9CD1-86380A409521}"/>
    <cellStyle name="Normal 4 2 2 3 5" xfId="3294" xr:uid="{00000000-0005-0000-0000-00007E050000}"/>
    <cellStyle name="Normal 4 2 2 3 5 2" xfId="4510" xr:uid="{EDD4B0BD-21AD-4575-B0BB-6E5584BA8968}"/>
    <cellStyle name="Normal 4 2 2 3 5 2 2" xfId="9282" xr:uid="{0C10E1BC-B471-4F26-B951-4FBEE845F0BF}"/>
    <cellStyle name="Normal 4 2 2 3 5 2 2 2" xfId="29263" xr:uid="{6F325DE0-354A-4F89-BB12-BC82C49ED3C2}"/>
    <cellStyle name="Normal 4 2 2 3 5 2 2 3" xfId="19662" xr:uid="{E4450B45-E98A-494F-B564-0E51C692795D}"/>
    <cellStyle name="Normal 4 2 2 3 5 2 3" xfId="12115" xr:uid="{03F9FCD8-517E-4619-B5ED-92190ADB52B7}"/>
    <cellStyle name="Normal 4 2 2 3 5 2 3 2" xfId="22495" xr:uid="{E8762A68-8649-4416-B5BE-17AD1E4B5093}"/>
    <cellStyle name="Normal 4 2 2 3 5 2 4" xfId="23388" xr:uid="{426B393D-1C8B-46A7-948C-4EBB83DAF223}"/>
    <cellStyle name="Normal 4 2 2 3 5 2 5" xfId="16829" xr:uid="{D154F8CF-A302-4A23-9698-C405646370A4}"/>
    <cellStyle name="Normal 4 2 2 3 5 3" xfId="6352" xr:uid="{CA67D7C3-161B-41BD-8E71-FC9DC48DD57B}"/>
    <cellStyle name="Normal 4 2 2 3 5 3 2" xfId="27006" xr:uid="{AC6B385D-7441-4676-BB30-362DA48ABD73}"/>
    <cellStyle name="Normal 4 2 2 3 5 3 3" xfId="15921" xr:uid="{294CEA23-2C85-4770-89C3-EFD50B0A0C71}"/>
    <cellStyle name="Normal 4 2 2 3 5 4" xfId="8374" xr:uid="{429CF405-1390-403A-B8DD-D74AEEEE382B}"/>
    <cellStyle name="Normal 4 2 2 3 5 4 2" xfId="18754" xr:uid="{F0567FDE-6F5E-4EFC-B339-D3D8F41EAC59}"/>
    <cellStyle name="Normal 4 2 2 3 5 5" xfId="11207" xr:uid="{B4123C7D-1D5B-4683-9284-7DF1184A0883}"/>
    <cellStyle name="Normal 4 2 2 3 5 5 2" xfId="21587" xr:uid="{06EA28BA-E65A-4A86-9AA2-F77EB29C3F6B}"/>
    <cellStyle name="Normal 4 2 2 3 5 6" xfId="25322" xr:uid="{727BCEBE-3334-4D89-8771-987FA425547D}"/>
    <cellStyle name="Normal 4 2 2 3 5 7" xfId="13845" xr:uid="{DEFA00F6-18FB-427B-B130-728411644C83}"/>
    <cellStyle name="Normal 4 2 2 3 6" xfId="2927" xr:uid="{00000000-0005-0000-0000-00007F050000}"/>
    <cellStyle name="Normal 4 2 2 3 6 2" xfId="6107" xr:uid="{9F3C0357-5F61-4F3B-8096-0CF0F6AC8D66}"/>
    <cellStyle name="Normal 4 2 2 3 6 2 2" xfId="27470" xr:uid="{2E14018F-0E47-45B2-97A9-91B205A340B5}"/>
    <cellStyle name="Normal 4 2 2 3 6 2 3" xfId="15585" xr:uid="{64C90382-7B55-45A0-BEEB-8B0C1A2287BB}"/>
    <cellStyle name="Normal 4 2 2 3 6 3" xfId="8038" xr:uid="{723D2E27-132C-4556-87F6-C96E666DA9E2}"/>
    <cellStyle name="Normal 4 2 2 3 6 3 2" xfId="18418" xr:uid="{01B60CE9-C58F-40AD-B2ED-E2917838A755}"/>
    <cellStyle name="Normal 4 2 2 3 6 4" xfId="10871" xr:uid="{331A1D25-1E24-4484-BA91-7328824DCA98}"/>
    <cellStyle name="Normal 4 2 2 3 6 4 2" xfId="21251" xr:uid="{88F54577-95BD-42A6-85D4-E866A4006185}"/>
    <cellStyle name="Normal 4 2 2 3 6 5" xfId="25421" xr:uid="{8FF3C58E-8BD4-46B2-8C6F-993942D0C36F}"/>
    <cellStyle name="Normal 4 2 2 3 6 6" xfId="13441" xr:uid="{82146FBA-DF5A-403F-A8F8-AB19096A80A2}"/>
    <cellStyle name="Normal 4 2 2 3 7" xfId="2475" xr:uid="{00000000-0005-0000-0000-000080050000}"/>
    <cellStyle name="Normal 4 2 2 3 7 2" xfId="5763" xr:uid="{EC9D5935-AF72-4A26-A29D-51DAFC622B55}"/>
    <cellStyle name="Normal 4 2 2 3 7 2 2" xfId="27989" xr:uid="{E237374A-B761-4C1C-982F-F03C3356940D}"/>
    <cellStyle name="Normal 4 2 2 3 7 2 3" xfId="15147" xr:uid="{846F4005-524B-4E01-9B61-46CAB7B98D9C}"/>
    <cellStyle name="Normal 4 2 2 3 7 3" xfId="7600" xr:uid="{2DB1E442-9720-4757-BAC5-E023FA285D05}"/>
    <cellStyle name="Normal 4 2 2 3 7 3 2" xfId="17980" xr:uid="{F54C884B-2F83-4B33-B9F3-5FCE05C53621}"/>
    <cellStyle name="Normal 4 2 2 3 7 4" xfId="10433" xr:uid="{FEFE2369-68AF-434E-BCD2-AD61EC64D19A}"/>
    <cellStyle name="Normal 4 2 2 3 7 4 2" xfId="20813" xr:uid="{9C38CEA3-60C5-4E85-A799-A8CCAF3CBCF0}"/>
    <cellStyle name="Normal 4 2 2 3 7 5" xfId="23479" xr:uid="{667CD572-A39D-4242-BDBE-6BD6CBDADC26}"/>
    <cellStyle name="Normal 4 2 2 3 7 6" xfId="12863" xr:uid="{B3F4EDBB-7567-4018-802F-FF91A3DACCD9}"/>
    <cellStyle name="Normal 4 2 2 3 8" xfId="2229" xr:uid="{00000000-0005-0000-0000-00006F050000}"/>
    <cellStyle name="Normal 4 2 2 3 8 2" xfId="7356" xr:uid="{251AE1BE-6A83-459C-AEFA-B7D341745D18}"/>
    <cellStyle name="Normal 4 2 2 3 8 2 2" xfId="17736" xr:uid="{725D5F2A-A59D-4980-976E-3DAD4C780A9A}"/>
    <cellStyle name="Normal 4 2 2 3 8 3" xfId="10189" xr:uid="{CEA25CFD-DE8E-42A7-A923-AE34B8E6132F}"/>
    <cellStyle name="Normal 4 2 2 3 8 3 2" xfId="20569" xr:uid="{3701C557-99FE-4970-9E68-4ADB8F989C0B}"/>
    <cellStyle name="Normal 4 2 2 3 8 4" xfId="22664" xr:uid="{9BF09DFD-D193-4044-B1FF-E169C922CF43}"/>
    <cellStyle name="Normal 4 2 2 3 8 5" xfId="14903" xr:uid="{6ACCD0C8-4CE4-4F2E-8108-56149E92E85E}"/>
    <cellStyle name="Normal 4 2 2 3 9" xfId="3972" xr:uid="{0782F743-45C0-44C0-AEAC-8FCADDB238D7}"/>
    <cellStyle name="Normal 4 2 2 3 9 2" xfId="8796" xr:uid="{4AA8DE3C-01B3-4E95-9784-D962C9D85806}"/>
    <cellStyle name="Normal 4 2 2 3 9 2 2" xfId="19176" xr:uid="{F6E00A14-FBCC-4F12-9770-F7BEB8332FD4}"/>
    <cellStyle name="Normal 4 2 2 3 9 3" xfId="11629" xr:uid="{39C37010-AD2B-4D73-A546-B0C121666EB7}"/>
    <cellStyle name="Normal 4 2 2 3 9 3 2" xfId="22009" xr:uid="{59BB1F7F-F732-4642-B32D-D5C9FB5DAD06}"/>
    <cellStyle name="Normal 4 2 2 3 9 4" xfId="16343" xr:uid="{4EFDA8A4-00E8-4C1A-9A8D-8A09CE090A7D}"/>
    <cellStyle name="Normal 4 2 2 4" xfId="924" xr:uid="{00000000-0005-0000-0000-00004E050000}"/>
    <cellStyle name="Normal 4 2 2 4 10" xfId="6980" xr:uid="{43E72B32-F5E5-4D7A-8456-82088F87763A}"/>
    <cellStyle name="Normal 4 2 2 4 10 2" xfId="17360" xr:uid="{04BDADEE-CE3C-48F0-9BF5-EEC502683A20}"/>
    <cellStyle name="Normal 4 2 2 4 11" xfId="9813" xr:uid="{096BC897-755D-4269-9E65-AD651079D9D0}"/>
    <cellStyle name="Normal 4 2 2 4 11 2" xfId="20193" xr:uid="{A6A89815-2657-4104-BB75-987E6C39D265}"/>
    <cellStyle name="Normal 4 2 2 4 12" xfId="23878" xr:uid="{DB376193-8776-4576-A119-EDD2E75704CF}"/>
    <cellStyle name="Normal 4 2 2 4 13" xfId="12441" xr:uid="{73433729-7ABE-457A-8D58-3712B623EA70}"/>
    <cellStyle name="Normal 4 2 2 4 2" xfId="925" xr:uid="{00000000-0005-0000-0000-00004F050000}"/>
    <cellStyle name="Normal 4 2 2 4 2 10" xfId="9814" xr:uid="{74B6838E-3A0E-4581-8315-134652AC2605}"/>
    <cellStyle name="Normal 4 2 2 4 2 10 2" xfId="20194" xr:uid="{FA79C592-F3E4-45B7-8425-361543C0209D}"/>
    <cellStyle name="Normal 4 2 2 4 2 11" xfId="25135" xr:uid="{FE895F79-E79E-42EB-9468-F7EA69AAFCBD}"/>
    <cellStyle name="Normal 4 2 2 4 2 12" xfId="12586" xr:uid="{65891DFD-AC75-4EF2-BE1B-E12741DF5688}"/>
    <cellStyle name="Normal 4 2 2 4 2 2" xfId="926" xr:uid="{00000000-0005-0000-0000-000050050000}"/>
    <cellStyle name="Normal 4 2 2 4 2 2 2" xfId="3296" xr:uid="{00000000-0005-0000-0000-000084050000}"/>
    <cellStyle name="Normal 4 2 2 4 2 2 2 2" xfId="6354" xr:uid="{57213AAF-F5C4-44D0-A2B0-97F183471ECE}"/>
    <cellStyle name="Normal 4 2 2 4 2 2 2 2 2" xfId="27080" xr:uid="{FA7FA6CA-809C-434A-98F6-EFA80E8E9178}"/>
    <cellStyle name="Normal 4 2 2 4 2 2 2 2 3" xfId="27740" xr:uid="{F68157DE-0A3F-47CF-9F36-F86C136DC849}"/>
    <cellStyle name="Normal 4 2 2 4 2 2 2 2 4" xfId="15923" xr:uid="{B20FDE2B-52F5-42DE-AA97-018AFF58F137}"/>
    <cellStyle name="Normal 4 2 2 4 2 2 2 3" xfId="8376" xr:uid="{94A78240-CA92-4263-8B92-90DC69479D83}"/>
    <cellStyle name="Normal 4 2 2 4 2 2 2 3 2" xfId="28899" xr:uid="{1E60605B-AFC0-40FC-BDC4-0FBEA0E3394C}"/>
    <cellStyle name="Normal 4 2 2 4 2 2 2 3 3" xfId="18756" xr:uid="{07EB8F78-4D54-41C2-9ADD-00AC7DE8CF58}"/>
    <cellStyle name="Normal 4 2 2 4 2 2 2 4" xfId="11209" xr:uid="{7D57D94D-2B60-458D-BA6C-47C53AE0F291}"/>
    <cellStyle name="Normal 4 2 2 4 2 2 2 4 2" xfId="21589" xr:uid="{7271D98C-9040-49C3-9D7A-7C7D325CC6FB}"/>
    <cellStyle name="Normal 4 2 2 4 2 2 2 5" xfId="23384" xr:uid="{AA79B49B-DA04-48DE-850B-55B9AFF31B3F}"/>
    <cellStyle name="Normal 4 2 2 4 2 2 2 6" xfId="13847" xr:uid="{A33995DC-CE48-435F-9431-9C4EE806C447}"/>
    <cellStyle name="Normal 4 2 2 4 2 2 3" xfId="4328" xr:uid="{88AADD46-078C-4A1A-86CD-8C746649C1D3}"/>
    <cellStyle name="Normal 4 2 2 4 2 2 3 2" xfId="9100" xr:uid="{5AAA42F9-F8DA-4B91-9EB6-E9FE37649223}"/>
    <cellStyle name="Normal 4 2 2 4 2 2 3 2 2" xfId="29143" xr:uid="{B9E1C12C-87CA-4909-B0CC-617106AB27B7}"/>
    <cellStyle name="Normal 4 2 2 4 2 2 3 2 3" xfId="19480" xr:uid="{9F7414B7-8F52-4B89-BCA5-DE0EAD9F4546}"/>
    <cellStyle name="Normal 4 2 2 4 2 2 3 3" xfId="11933" xr:uid="{4502D610-E4EF-4C5E-9328-75FA8F718928}"/>
    <cellStyle name="Normal 4 2 2 4 2 2 3 3 2" xfId="22313" xr:uid="{11411F55-E273-4FE0-A186-04C1753E8C00}"/>
    <cellStyle name="Normal 4 2 2 4 2 2 3 4" xfId="25541" xr:uid="{954FFE69-45B1-4E9A-BDCD-E82D809935BA}"/>
    <cellStyle name="Normal 4 2 2 4 2 2 3 5" xfId="16647" xr:uid="{5B7A3110-2BE7-496F-AC9D-2E711862E030}"/>
    <cellStyle name="Normal 4 2 2 4 2 2 4" xfId="5231" xr:uid="{71A08C51-E181-4520-A87B-EB59AC28F586}"/>
    <cellStyle name="Normal 4 2 2 4 2 2 4 2" xfId="27675" xr:uid="{45FB5C57-856C-454C-9E6A-DB8981F59C9F}"/>
    <cellStyle name="Normal 4 2 2 4 2 2 4 3" xfId="14529" xr:uid="{9693F6C0-C7B6-4EB2-AC80-24099C13C0B3}"/>
    <cellStyle name="Normal 4 2 2 4 2 2 5" xfId="6982" xr:uid="{C34822D5-4980-4FB2-A8AB-9A66281BCD4A}"/>
    <cellStyle name="Normal 4 2 2 4 2 2 5 2" xfId="17362" xr:uid="{5B29B84B-2882-495A-A6A1-674BEE0C4A87}"/>
    <cellStyle name="Normal 4 2 2 4 2 2 6" xfId="9815" xr:uid="{B3D2A0E6-EF4F-442A-A3F6-CF3EBD577BB0}"/>
    <cellStyle name="Normal 4 2 2 4 2 2 6 2" xfId="20195" xr:uid="{8A7864B9-710E-45C3-B548-9810DBD6652D}"/>
    <cellStyle name="Normal 4 2 2 4 2 2 7" xfId="24869" xr:uid="{A3223941-99C9-4708-A4D9-962243FD31A6}"/>
    <cellStyle name="Normal 4 2 2 4 2 2 8" xfId="13219" xr:uid="{C4FAC374-CD0C-427D-9D1F-54A139A334CB}"/>
    <cellStyle name="Normal 4 2 2 4 2 3" xfId="3297" xr:uid="{00000000-0005-0000-0000-000085050000}"/>
    <cellStyle name="Normal 4 2 2 4 2 3 2" xfId="4511" xr:uid="{0818EA2E-927A-481A-859A-BCB273EFD974}"/>
    <cellStyle name="Normal 4 2 2 4 2 3 2 2" xfId="9283" xr:uid="{CCB918E8-A93E-4B16-84D4-AC3489B98F89}"/>
    <cellStyle name="Normal 4 2 2 4 2 3 2 2 2" xfId="29264" xr:uid="{EEDF7A42-8E48-4406-B6EE-1FF2A7C945F6}"/>
    <cellStyle name="Normal 4 2 2 4 2 3 2 2 3" xfId="19663" xr:uid="{AFB95E2C-728A-4693-BDBD-8364CF8A08B1}"/>
    <cellStyle name="Normal 4 2 2 4 2 3 2 3" xfId="12116" xr:uid="{93B9522D-5B6A-40E6-84CC-70C7765501C8}"/>
    <cellStyle name="Normal 4 2 2 4 2 3 2 3 2" xfId="22496" xr:uid="{67AD3FC9-E43D-458A-A5E2-6BC6C9BE5C24}"/>
    <cellStyle name="Normal 4 2 2 4 2 3 2 4" xfId="25272" xr:uid="{2DC845AD-6C37-486A-A7B8-01497128D10F}"/>
    <cellStyle name="Normal 4 2 2 4 2 3 2 5" xfId="16830" xr:uid="{0633965A-7B30-4EC2-8C0E-2C8A62B26074}"/>
    <cellStyle name="Normal 4 2 2 4 2 3 3" xfId="6355" xr:uid="{FDDB43A5-ABEA-49F9-8B54-B851083D45D7}"/>
    <cellStyle name="Normal 4 2 2 4 2 3 3 2" xfId="28219" xr:uid="{86F5E978-9FED-4FBE-BC62-5099C0089DEE}"/>
    <cellStyle name="Normal 4 2 2 4 2 3 3 3" xfId="15924" xr:uid="{55403D2F-1CF3-4059-A788-591AE8339692}"/>
    <cellStyle name="Normal 4 2 2 4 2 3 4" xfId="8377" xr:uid="{543F9E0E-EB2C-4DB4-8FC4-7742DCCA1393}"/>
    <cellStyle name="Normal 4 2 2 4 2 3 4 2" xfId="18757" xr:uid="{083473DA-79F7-4E5D-9210-F776595C2A0E}"/>
    <cellStyle name="Normal 4 2 2 4 2 3 5" xfId="11210" xr:uid="{A96EA365-06FB-400A-A0A0-F3301435CF8D}"/>
    <cellStyle name="Normal 4 2 2 4 2 3 5 2" xfId="21590" xr:uid="{2702454B-AC90-417A-B4E6-1021B0A56BC9}"/>
    <cellStyle name="Normal 4 2 2 4 2 3 6" xfId="23089" xr:uid="{DE759B16-35D1-44DC-BFF4-D8C2C2A31E68}"/>
    <cellStyle name="Normal 4 2 2 4 2 3 7" xfId="13848" xr:uid="{0ADE618F-B6AE-4C45-95BD-9B1583E34E61}"/>
    <cellStyle name="Normal 4 2 2 4 2 4" xfId="3295" xr:uid="{00000000-0005-0000-0000-000086050000}"/>
    <cellStyle name="Normal 4 2 2 4 2 4 2" xfId="6353" xr:uid="{AAF72A24-F1C6-480B-98DC-4A89960A15A5}"/>
    <cellStyle name="Normal 4 2 2 4 2 4 2 2" xfId="26249" xr:uid="{7442A6A0-3EDD-4480-B062-C50A51984114}"/>
    <cellStyle name="Normal 4 2 2 4 2 4 2 3" xfId="15922" xr:uid="{DA566C5C-2C16-4232-AE10-7BEF4D950917}"/>
    <cellStyle name="Normal 4 2 2 4 2 4 3" xfId="8375" xr:uid="{20768569-174D-40A4-9A7F-25676938BB96}"/>
    <cellStyle name="Normal 4 2 2 4 2 4 3 2" xfId="18755" xr:uid="{20CE6C7A-761A-46D0-96C2-AD0FF85A7D94}"/>
    <cellStyle name="Normal 4 2 2 4 2 4 4" xfId="11208" xr:uid="{DA374353-C8F8-4AE2-8C96-8538D52C51F7}"/>
    <cellStyle name="Normal 4 2 2 4 2 4 4 2" xfId="21588" xr:uid="{CFF0B452-282C-4DD8-9127-B61CE55EEAA7}"/>
    <cellStyle name="Normal 4 2 2 4 2 4 5" xfId="25395" xr:uid="{E892D505-0A99-41BD-8E5A-1F3F82763A3C}"/>
    <cellStyle name="Normal 4 2 2 4 2 4 6" xfId="13846" xr:uid="{06B5F8F0-3CB7-4B3F-9C0A-9D8FF13D20B1}"/>
    <cellStyle name="Normal 4 2 2 4 2 5" xfId="2618" xr:uid="{00000000-0005-0000-0000-000087050000}"/>
    <cellStyle name="Normal 4 2 2 4 2 5 2" xfId="5880" xr:uid="{171A5BF7-BC41-4681-85A6-995E693AE31B}"/>
    <cellStyle name="Normal 4 2 2 4 2 5 2 2" xfId="25852" xr:uid="{BE7B5EEC-EA53-42AF-B95F-D971A9CF9890}"/>
    <cellStyle name="Normal 4 2 2 4 2 5 2 3" xfId="15290" xr:uid="{85F14D3C-8ABE-4C7B-8EB9-96863347B539}"/>
    <cellStyle name="Normal 4 2 2 4 2 5 3" xfId="7743" xr:uid="{26A12828-DFE0-4715-9316-629A4B9DBE36}"/>
    <cellStyle name="Normal 4 2 2 4 2 5 3 2" xfId="18123" xr:uid="{AE099D59-17E4-4E4F-AA29-D90E573E0551}"/>
    <cellStyle name="Normal 4 2 2 4 2 5 4" xfId="10576" xr:uid="{3D7714DE-F127-4500-8005-EFFB419DAD0C}"/>
    <cellStyle name="Normal 4 2 2 4 2 5 4 2" xfId="20956" xr:uid="{38B96024-71F1-4D35-B8AD-4060713747C2}"/>
    <cellStyle name="Normal 4 2 2 4 2 5 5" xfId="25468" xr:uid="{39726886-B996-427D-9878-F32605EC1946}"/>
    <cellStyle name="Normal 4 2 2 4 2 5 6" xfId="13006" xr:uid="{F1E4B336-E499-4981-8108-CA3BBF41F09A}"/>
    <cellStyle name="Normal 4 2 2 4 2 6" xfId="2352" xr:uid="{00000000-0005-0000-0000-000082050000}"/>
    <cellStyle name="Normal 4 2 2 4 2 6 2" xfId="7479" xr:uid="{B1557CEC-49F6-4432-A9B6-3FA38E9ECDD5}"/>
    <cellStyle name="Normal 4 2 2 4 2 6 2 2" xfId="17859" xr:uid="{0E89E44A-523E-472B-943B-FA6A00816B8D}"/>
    <cellStyle name="Normal 4 2 2 4 2 6 3" xfId="10312" xr:uid="{8C71FD11-9122-4445-B3C1-70AB7805FDB4}"/>
    <cellStyle name="Normal 4 2 2 4 2 6 3 2" xfId="20692" xr:uid="{80D63F16-10E5-4DA3-A974-0043DAC15398}"/>
    <cellStyle name="Normal 4 2 2 4 2 6 4" xfId="24883" xr:uid="{3D4B304D-F455-457D-A90B-E2E5A08C7EA4}"/>
    <cellStyle name="Normal 4 2 2 4 2 6 5" xfId="15026" xr:uid="{B669BB6C-6997-4AD8-8732-EA1A33D9B286}"/>
    <cellStyle name="Normal 4 2 2 4 2 7" xfId="3893" xr:uid="{B1EFC525-476C-434F-9E37-E08229CCCE26}"/>
    <cellStyle name="Normal 4 2 2 4 2 7 2" xfId="8725" xr:uid="{FCE14AAF-D21D-4506-9395-355BAD6D8146}"/>
    <cellStyle name="Normal 4 2 2 4 2 7 2 2" xfId="19105" xr:uid="{F27D2E40-C611-4140-9B54-38E2E2EE971B}"/>
    <cellStyle name="Normal 4 2 2 4 2 7 3" xfId="11558" xr:uid="{AA35E4C3-6C6B-47D8-B322-4B463ED45D22}"/>
    <cellStyle name="Normal 4 2 2 4 2 7 3 2" xfId="21938" xr:uid="{23C4568E-9550-4B68-846A-7D11E933FE72}"/>
    <cellStyle name="Normal 4 2 2 4 2 7 4" xfId="16272" xr:uid="{6E29289B-C7EC-4ECC-B39D-909A5086C9CB}"/>
    <cellStyle name="Normal 4 2 2 4 2 8" xfId="5230" xr:uid="{50D16BA2-8008-491C-BC3B-413F344C97FB}"/>
    <cellStyle name="Normal 4 2 2 4 2 8 2" xfId="14528" xr:uid="{4C3EE0CF-CA2D-48BF-95C6-4BF5421807AC}"/>
    <cellStyle name="Normal 4 2 2 4 2 9" xfId="6981" xr:uid="{875A6027-B59C-4A05-9E65-B3598367CBD9}"/>
    <cellStyle name="Normal 4 2 2 4 2 9 2" xfId="17361" xr:uid="{31A635BB-04AE-4C97-823E-027693102A10}"/>
    <cellStyle name="Normal 4 2 2 4 3" xfId="927" xr:uid="{00000000-0005-0000-0000-000051050000}"/>
    <cellStyle name="Normal 4 2 2 4 3 2" xfId="3298" xr:uid="{00000000-0005-0000-0000-000089050000}"/>
    <cellStyle name="Normal 4 2 2 4 3 2 2" xfId="6356" xr:uid="{DB7ED969-706E-4EF0-8AEF-B44F27724A10}"/>
    <cellStyle name="Normal 4 2 2 4 3 2 2 2" xfId="23127" xr:uid="{9FE4B55D-C27F-4451-A7C1-C9A4141F9F8A}"/>
    <cellStyle name="Normal 4 2 2 4 3 2 2 3" xfId="27252" xr:uid="{CA430E71-5522-4843-98CF-6155ACFE8AD5}"/>
    <cellStyle name="Normal 4 2 2 4 3 2 2 4" xfId="15925" xr:uid="{C8B4B23E-964D-45F0-BD2E-16FB4962FA6A}"/>
    <cellStyle name="Normal 4 2 2 4 3 2 3" xfId="8378" xr:uid="{E71EE9B8-8A89-4351-94DC-B421A5A739E6}"/>
    <cellStyle name="Normal 4 2 2 4 3 2 3 2" xfId="28900" xr:uid="{8A9BB08A-E1CA-405D-AAF2-CCC73066E3DE}"/>
    <cellStyle name="Normal 4 2 2 4 3 2 3 3" xfId="18758" xr:uid="{39935B28-D386-4C98-8C09-EB303EB0DF92}"/>
    <cellStyle name="Normal 4 2 2 4 3 2 4" xfId="11211" xr:uid="{2C0893F6-16AC-4C83-9939-1FC44AAE1A9C}"/>
    <cellStyle name="Normal 4 2 2 4 3 2 4 2" xfId="21591" xr:uid="{A416532E-34D5-4011-986D-89B29049DD01}"/>
    <cellStyle name="Normal 4 2 2 4 3 2 5" xfId="23639" xr:uid="{ADB69F83-0DC2-4AB2-A25E-152CDECDF452}"/>
    <cellStyle name="Normal 4 2 2 4 3 2 6" xfId="13849" xr:uid="{A4050B32-F993-42F5-8D2A-3EA26B22D6A8}"/>
    <cellStyle name="Normal 4 2 2 4 3 3" xfId="2768" xr:uid="{00000000-0005-0000-0000-00008A050000}"/>
    <cellStyle name="Normal 4 2 2 4 3 3 2" xfId="5986" xr:uid="{D714554F-13C7-4848-82DA-F99578ED663A}"/>
    <cellStyle name="Normal 4 2 2 4 3 3 2 2" xfId="26168" xr:uid="{4A8A2886-3655-4331-8314-C7D89A290E72}"/>
    <cellStyle name="Normal 4 2 2 4 3 3 2 3" xfId="15439" xr:uid="{BC108CB3-8816-4F88-B024-2E3BE8906A44}"/>
    <cellStyle name="Normal 4 2 2 4 3 3 3" xfId="7892" xr:uid="{F9E1BE4C-D1B0-4252-8D15-CA52ECD0B49B}"/>
    <cellStyle name="Normal 4 2 2 4 3 3 3 2" xfId="18272" xr:uid="{9D3BCCF4-1B4A-4E65-BE42-0D0D7784F0B5}"/>
    <cellStyle name="Normal 4 2 2 4 3 3 4" xfId="10725" xr:uid="{F08D7AC6-7D0D-40B5-9DBE-C91C9CF97BB7}"/>
    <cellStyle name="Normal 4 2 2 4 3 3 4 2" xfId="21105" xr:uid="{8FB6AC6A-4B64-430D-A14E-25FF3B69A30F}"/>
    <cellStyle name="Normal 4 2 2 4 3 3 5" xfId="23730" xr:uid="{CF92C751-6CFD-4CA8-A398-128DAAC974AF}"/>
    <cellStyle name="Normal 4 2 2 4 3 3 6" xfId="13218" xr:uid="{E7F360B1-F7E5-46C2-A001-A68EAD7EDD58}"/>
    <cellStyle name="Normal 4 2 2 4 3 4" xfId="4182" xr:uid="{C41374AA-398E-49B6-93FD-E1A9331CDFBC}"/>
    <cellStyle name="Normal 4 2 2 4 3 4 2" xfId="8954" xr:uid="{2AE103A5-42BD-4788-B14D-BCB8209021C1}"/>
    <cellStyle name="Normal 4 2 2 4 3 4 2 2" xfId="29042" xr:uid="{1A00E0E5-F5CE-451B-9F9A-DA9C7B5273AD}"/>
    <cellStyle name="Normal 4 2 2 4 3 4 2 3" xfId="19334" xr:uid="{110560D6-4830-4636-B47C-84D0AA400F01}"/>
    <cellStyle name="Normal 4 2 2 4 3 4 3" xfId="11787" xr:uid="{4AB957CD-0568-492F-99FA-8AA901196C47}"/>
    <cellStyle name="Normal 4 2 2 4 3 4 3 2" xfId="22167" xr:uid="{959B2846-8940-444B-9242-3D2D882B8289}"/>
    <cellStyle name="Normal 4 2 2 4 3 4 4" xfId="23594" xr:uid="{85AB795E-D515-4FF1-B160-6B8D05B87815}"/>
    <cellStyle name="Normal 4 2 2 4 3 4 5" xfId="16501" xr:uid="{041B70B4-5B7D-41AE-8F55-49F80D50D331}"/>
    <cellStyle name="Normal 4 2 2 4 3 5" xfId="5232" xr:uid="{C79EFE5B-41C6-462D-B4AC-220D9794CBC6}"/>
    <cellStyle name="Normal 4 2 2 4 3 5 2" xfId="28285" xr:uid="{A131D15C-124D-4DEB-BDDF-DD0D370252B0}"/>
    <cellStyle name="Normal 4 2 2 4 3 5 3" xfId="14530" xr:uid="{239FF3B8-81F4-4B1E-8621-980706B91857}"/>
    <cellStyle name="Normal 4 2 2 4 3 6" xfId="6983" xr:uid="{13FAE052-AAAF-4089-9B8C-AC0A9A30A793}"/>
    <cellStyle name="Normal 4 2 2 4 3 6 2" xfId="17363" xr:uid="{798452EE-FFD2-46AE-A248-D50DB1B3F953}"/>
    <cellStyle name="Normal 4 2 2 4 3 7" xfId="9816" xr:uid="{F6094285-A40A-4F54-8464-644AB105B121}"/>
    <cellStyle name="Normal 4 2 2 4 3 7 2" xfId="20196" xr:uid="{E0FCD560-82AA-48F0-8626-A9CDB155C7F6}"/>
    <cellStyle name="Normal 4 2 2 4 3 8" xfId="23928" xr:uid="{B8BD615D-BCC6-44CB-97AB-FCFF8CC4069D}"/>
    <cellStyle name="Normal 4 2 2 4 3 9" xfId="12744" xr:uid="{EF6AB516-E6BA-436B-8008-52FF10DC7C72}"/>
    <cellStyle name="Normal 4 2 2 4 4" xfId="928" xr:uid="{00000000-0005-0000-0000-000052050000}"/>
    <cellStyle name="Normal 4 2 2 4 4 2" xfId="4512" xr:uid="{7F0BAE6F-8248-4C02-BF04-CC0E1E710B11}"/>
    <cellStyle name="Normal 4 2 2 4 4 2 2" xfId="9284" xr:uid="{C5A7C9DC-C510-4E40-89A9-1A786C2F8733}"/>
    <cellStyle name="Normal 4 2 2 4 4 2 2 2" xfId="29265" xr:uid="{9B6D7F25-F703-4899-B377-A6929FFA8706}"/>
    <cellStyle name="Normal 4 2 2 4 4 2 2 3" xfId="19664" xr:uid="{75DA1B32-F879-4F31-9D4A-AE0B31D392BA}"/>
    <cellStyle name="Normal 4 2 2 4 4 2 3" xfId="12117" xr:uid="{90B7D2CC-CB4E-4D61-8F2C-37CD29D6B66B}"/>
    <cellStyle name="Normal 4 2 2 4 4 2 3 2" xfId="22497" xr:uid="{12E16E5C-8897-4BE6-B2B0-329C403E707D}"/>
    <cellStyle name="Normal 4 2 2 4 4 2 4" xfId="25605" xr:uid="{95370623-BF1A-416E-987A-4E99F4F097B5}"/>
    <cellStyle name="Normal 4 2 2 4 4 2 5" xfId="16831" xr:uid="{5AF74597-6190-4DBE-B557-1DC9EE8ABB2C}"/>
    <cellStyle name="Normal 4 2 2 4 4 3" xfId="5233" xr:uid="{DC98DC4E-5DC0-4CF2-B1E2-0640CA7891F1}"/>
    <cellStyle name="Normal 4 2 2 4 4 3 2" xfId="25859" xr:uid="{39A713B4-432B-4920-8061-C58CD61DE077}"/>
    <cellStyle name="Normal 4 2 2 4 4 3 3" xfId="14531" xr:uid="{E125828D-806B-441F-8960-87D5B184F968}"/>
    <cellStyle name="Normal 4 2 2 4 4 4" xfId="6984" xr:uid="{B589063A-5A25-4BE9-873F-199C25D2C403}"/>
    <cellStyle name="Normal 4 2 2 4 4 4 2" xfId="17364" xr:uid="{5DA7FAB8-26C6-4D3C-AD00-27D33ACB7DE0}"/>
    <cellStyle name="Normal 4 2 2 4 4 5" xfId="9817" xr:uid="{5FDF8056-D649-42E6-86D3-515DFA2885AE}"/>
    <cellStyle name="Normal 4 2 2 4 4 5 2" xfId="20197" xr:uid="{9694BB31-BBB1-4DE5-AE33-972C3DB25A66}"/>
    <cellStyle name="Normal 4 2 2 4 4 6" xfId="22923" xr:uid="{38504A9F-730E-4AFE-84EC-6873EF8F377A}"/>
    <cellStyle name="Normal 4 2 2 4 4 7" xfId="13850" xr:uid="{48C4D6CF-5E56-4CE8-BED3-BA3B24319385}"/>
    <cellStyle name="Normal 4 2 2 4 5" xfId="2928" xr:uid="{00000000-0005-0000-0000-00008C050000}"/>
    <cellStyle name="Normal 4 2 2 4 5 2" xfId="6108" xr:uid="{94E986A0-9D03-4141-BAA9-6B86CD95BC63}"/>
    <cellStyle name="Normal 4 2 2 4 5 2 2" xfId="25713" xr:uid="{E5329199-FF78-4B4A-8B5D-D953DEA46CC1}"/>
    <cellStyle name="Normal 4 2 2 4 5 2 3" xfId="27966" xr:uid="{2BA4E496-5583-47CD-A334-E7ADA2E23914}"/>
    <cellStyle name="Normal 4 2 2 4 5 2 4" xfId="15586" xr:uid="{C60D9B1A-07BB-4E09-9939-2FD56421173C}"/>
    <cellStyle name="Normal 4 2 2 4 5 3" xfId="8039" xr:uid="{7DA0102F-5996-450F-A2F8-FD7CA9B9A43A}"/>
    <cellStyle name="Normal 4 2 2 4 5 3 2" xfId="28242" xr:uid="{4B0F276F-F12C-461C-96E8-541A24B9A97B}"/>
    <cellStyle name="Normal 4 2 2 4 5 3 3" xfId="18419" xr:uid="{66C3041F-BB06-46A9-8916-6826EF97BC08}"/>
    <cellStyle name="Normal 4 2 2 4 5 4" xfId="10872" xr:uid="{D17C5C4B-F940-4D53-86D1-51EE1CD3A322}"/>
    <cellStyle name="Normal 4 2 2 4 5 4 2" xfId="21252" xr:uid="{529D701B-8938-44F3-9B41-8B7D3475A218}"/>
    <cellStyle name="Normal 4 2 2 4 5 5" xfId="25271" xr:uid="{89D46EA6-8B48-4DE6-96C0-708E1778CD65}"/>
    <cellStyle name="Normal 4 2 2 4 5 6" xfId="13442" xr:uid="{0433115D-CD86-4F97-9A69-0CD7588BD6CA}"/>
    <cellStyle name="Normal 4 2 2 4 6" xfId="2455" xr:uid="{00000000-0005-0000-0000-00008D050000}"/>
    <cellStyle name="Normal 4 2 2 4 6 2" xfId="5747" xr:uid="{6B248BF3-FE3E-4975-ACF5-E79D0C31AE6B}"/>
    <cellStyle name="Normal 4 2 2 4 6 2 2" xfId="27109" xr:uid="{6D5AABAF-7EA6-482E-A3D3-B00D19E543D5}"/>
    <cellStyle name="Normal 4 2 2 4 6 2 3" xfId="15127" xr:uid="{472856FF-6085-4563-98BB-CE62A8294F52}"/>
    <cellStyle name="Normal 4 2 2 4 6 3" xfId="7580" xr:uid="{F76A5DB4-AE73-4355-9086-9B46F7852BB8}"/>
    <cellStyle name="Normal 4 2 2 4 6 3 2" xfId="17960" xr:uid="{735D299E-C6F1-4BB1-8DDD-5D65C0A2C320}"/>
    <cellStyle name="Normal 4 2 2 4 6 4" xfId="10413" xr:uid="{9021F540-409A-4C40-A5B4-87DF8A106FF3}"/>
    <cellStyle name="Normal 4 2 2 4 6 4 2" xfId="20793" xr:uid="{7220C185-106B-4FC8-9093-434972A947E8}"/>
    <cellStyle name="Normal 4 2 2 4 6 5" xfId="22677" xr:uid="{A71608BB-3685-495F-8A97-BC62EF5BA3EA}"/>
    <cellStyle name="Normal 4 2 2 4 6 6" xfId="12843" xr:uid="{0DD415B8-547E-4632-B007-51AFF8BE85A1}"/>
    <cellStyle name="Normal 4 2 2 4 7" xfId="2209" xr:uid="{00000000-0005-0000-0000-000081050000}"/>
    <cellStyle name="Normal 4 2 2 4 7 2" xfId="7336" xr:uid="{3BF7C5D6-6D70-4BAB-9DE4-9D0AB1537E19}"/>
    <cellStyle name="Normal 4 2 2 4 7 2 2" xfId="17716" xr:uid="{A5A87725-B542-456C-8C24-5938A5086B56}"/>
    <cellStyle name="Normal 4 2 2 4 7 3" xfId="10169" xr:uid="{4DC94CEA-72D3-4462-AEBD-33D0D4D37B08}"/>
    <cellStyle name="Normal 4 2 2 4 7 3 2" xfId="20549" xr:uid="{812DAA69-B456-4A1B-A0AE-237CBC55FE00}"/>
    <cellStyle name="Normal 4 2 2 4 7 4" xfId="25097" xr:uid="{59F58065-4199-4106-9A15-BD2C5391B7B0}"/>
    <cellStyle name="Normal 4 2 2 4 7 5" xfId="14883" xr:uid="{0112D7EC-2D98-4DEC-B91B-F1F848280BB9}"/>
    <cellStyle name="Normal 4 2 2 4 8" xfId="3973" xr:uid="{0ED48F26-5E12-4166-A72C-6C4C5EBBF6E1}"/>
    <cellStyle name="Normal 4 2 2 4 8 2" xfId="8797" xr:uid="{B54FB584-BA06-4EA1-8EA4-E90091879801}"/>
    <cellStyle name="Normal 4 2 2 4 8 2 2" xfId="19177" xr:uid="{43D71011-D7FA-43E6-AE67-38BB7485609A}"/>
    <cellStyle name="Normal 4 2 2 4 8 3" xfId="11630" xr:uid="{768F07F0-1087-4E61-808E-A14C0851C388}"/>
    <cellStyle name="Normal 4 2 2 4 8 3 2" xfId="22010" xr:uid="{46234296-031E-4FFD-AB74-AEB0A33D65BC}"/>
    <cellStyle name="Normal 4 2 2 4 8 4" xfId="16344" xr:uid="{EBCA9866-59FB-4AE0-99FD-11E1A4B490BA}"/>
    <cellStyle name="Normal 4 2 2 4 9" xfId="5229" xr:uid="{141EB3B9-3DBB-46EA-A0E2-EEA3709D310A}"/>
    <cellStyle name="Normal 4 2 2 4 9 2" xfId="14527" xr:uid="{5959E2D1-4D58-4EA5-A4A4-9B85D8ADCB59}"/>
    <cellStyle name="Normal 4 2 2 5" xfId="929" xr:uid="{00000000-0005-0000-0000-000053050000}"/>
    <cellStyle name="Normal 4 2 2 5 10" xfId="9818" xr:uid="{58171749-EBE0-41BC-A70E-179CEEF4D561}"/>
    <cellStyle name="Normal 4 2 2 5 10 2" xfId="20198" xr:uid="{F2D3F1B8-6D2E-44D4-A005-7B245604EB93}"/>
    <cellStyle name="Normal 4 2 2 5 11" xfId="23640" xr:uid="{4F6A9DC8-DC4E-49AC-9523-A707C70EEC77}"/>
    <cellStyle name="Normal 4 2 2 5 12" xfId="12587" xr:uid="{4A902344-3DCA-4B79-8C03-DAFE5EFE6440}"/>
    <cellStyle name="Normal 4 2 2 5 2" xfId="930" xr:uid="{00000000-0005-0000-0000-000054050000}"/>
    <cellStyle name="Normal 4 2 2 5 2 2" xfId="931" xr:uid="{00000000-0005-0000-0000-000055050000}"/>
    <cellStyle name="Normal 4 2 2 5 2 2 2" xfId="5236" xr:uid="{BB2A55E1-3D3F-4778-BABA-3D7670BAE9A7}"/>
    <cellStyle name="Normal 4 2 2 5 2 2 2 2" xfId="24781" xr:uid="{74E8F1D5-1987-43CF-86B6-92E1C1DC5CAE}"/>
    <cellStyle name="Normal 4 2 2 5 2 2 2 3" xfId="27416" xr:uid="{91A993C5-8F2D-4A39-B491-DF055DE86D3F}"/>
    <cellStyle name="Normal 4 2 2 5 2 2 2 4" xfId="14534" xr:uid="{A58CF70A-7684-468F-AF9E-72F91CDEE923}"/>
    <cellStyle name="Normal 4 2 2 5 2 2 3" xfId="6987" xr:uid="{B06B3D5D-2FFD-47A5-9374-E7A749D7EB10}"/>
    <cellStyle name="Normal 4 2 2 5 2 2 3 2" xfId="27618" xr:uid="{686F00C0-92AF-48EF-8F7F-341E1897A390}"/>
    <cellStyle name="Normal 4 2 2 5 2 2 3 3" xfId="27355" xr:uid="{702B176F-70B9-4C22-9475-A180B82C544E}"/>
    <cellStyle name="Normal 4 2 2 5 2 2 3 4" xfId="17367" xr:uid="{7DE463CC-A07F-486F-BB45-A1F85BEC3835}"/>
    <cellStyle name="Normal 4 2 2 5 2 2 4" xfId="9820" xr:uid="{D5FE8D46-57A1-4FC6-9783-A476A8A2C32E}"/>
    <cellStyle name="Normal 4 2 2 5 2 2 4 2" xfId="29414" xr:uid="{68BE820C-826A-4F57-ADEA-F7F33A39BF0A}"/>
    <cellStyle name="Normal 4 2 2 5 2 2 4 3" xfId="20200" xr:uid="{F308CD53-9FA7-4232-AE58-24B2EA28331A}"/>
    <cellStyle name="Normal 4 2 2 5 2 2 5" xfId="24680" xr:uid="{1AB2CD9D-E3DE-4EBE-B49B-256598088DFA}"/>
    <cellStyle name="Normal 4 2 2 5 2 2 6" xfId="13851" xr:uid="{D5346BBC-C88F-434A-BAD1-F6962974956D}"/>
    <cellStyle name="Normal 4 2 2 5 2 2 7" xfId="30416" xr:uid="{25EB0313-ACDF-4DA8-9B9F-4DD018C8323E}"/>
    <cellStyle name="Normal 4 2 2 5 2 3" xfId="2769" xr:uid="{00000000-0005-0000-0000-000091050000}"/>
    <cellStyle name="Normal 4 2 2 5 2 3 2" xfId="5987" xr:uid="{4F79CE1D-FD04-4C1D-A924-F43EB3944698}"/>
    <cellStyle name="Normal 4 2 2 5 2 3 2 2" xfId="27661" xr:uid="{78AB8423-D389-4A4C-AA7F-9649141E7E78}"/>
    <cellStyle name="Normal 4 2 2 5 2 3 2 3" xfId="15440" xr:uid="{531E4F4E-25E5-4752-B345-7AB1E9CE93D1}"/>
    <cellStyle name="Normal 4 2 2 5 2 3 3" xfId="7893" xr:uid="{CF0B3C64-E9A4-45CB-A1FE-9AC51949BCF2}"/>
    <cellStyle name="Normal 4 2 2 5 2 3 3 2" xfId="18273" xr:uid="{2B965257-6DF8-4838-AC3B-96710552853B}"/>
    <cellStyle name="Normal 4 2 2 5 2 3 4" xfId="10726" xr:uid="{9D62CC09-3D0C-4422-B8FC-85CA6C106737}"/>
    <cellStyle name="Normal 4 2 2 5 2 3 4 2" xfId="21106" xr:uid="{BFCBB2F2-3BD5-4435-B291-1D9922CF1C77}"/>
    <cellStyle name="Normal 4 2 2 5 2 3 5" xfId="24431" xr:uid="{B81F789B-A9FC-42A8-8330-5722F5ED092D}"/>
    <cellStyle name="Normal 4 2 2 5 2 3 6" xfId="13220" xr:uid="{0AE12896-55C9-400E-B3AD-39B52619F1E1}"/>
    <cellStyle name="Normal 4 2 2 5 2 4" xfId="4183" xr:uid="{C65CDB0D-6C14-4C4C-87D1-96C498932E52}"/>
    <cellStyle name="Normal 4 2 2 5 2 4 2" xfId="8955" xr:uid="{AEBCDB12-132A-452C-88C9-3FC1C24CFE4E}"/>
    <cellStyle name="Normal 4 2 2 5 2 4 2 2" xfId="29043" xr:uid="{26AD6E36-E1A2-433D-A82E-BC36F2F67C15}"/>
    <cellStyle name="Normal 4 2 2 5 2 4 2 3" xfId="19335" xr:uid="{C7C432BD-09CF-4123-8F42-D072425FBBA1}"/>
    <cellStyle name="Normal 4 2 2 5 2 4 3" xfId="11788" xr:uid="{A55D2D27-6739-4D76-82E6-630FED310E41}"/>
    <cellStyle name="Normal 4 2 2 5 2 4 3 2" xfId="22168" xr:uid="{321A2C97-4639-4556-BBDC-487AF3689163}"/>
    <cellStyle name="Normal 4 2 2 5 2 4 4" xfId="25059" xr:uid="{1F29A50C-4EA9-4D04-AC66-CEF83CD20367}"/>
    <cellStyle name="Normal 4 2 2 5 2 4 5" xfId="16502" xr:uid="{440D7215-C38F-4516-A4CE-2A597E91CD6C}"/>
    <cellStyle name="Normal 4 2 2 5 2 5" xfId="5235" xr:uid="{5B25C12D-A192-48CA-AC6B-FE90824957C4}"/>
    <cellStyle name="Normal 4 2 2 5 2 5 2" xfId="26477" xr:uid="{783D4596-487B-4E3C-BB7C-A9BBBD3AC4AA}"/>
    <cellStyle name="Normal 4 2 2 5 2 5 3" xfId="14533" xr:uid="{3D001904-949B-4072-A028-E4CB6746FFCE}"/>
    <cellStyle name="Normal 4 2 2 5 2 5 4" xfId="30560" xr:uid="{34ECB4A0-286A-4CF0-8303-BE5B8AFDE3C4}"/>
    <cellStyle name="Normal 4 2 2 5 2 6" xfId="6986" xr:uid="{45EC6BC5-5E6F-4537-B521-428A8AFBB9A5}"/>
    <cellStyle name="Normal 4 2 2 5 2 6 2" xfId="17366" xr:uid="{862A1209-6E22-4B39-845A-AFB905B8255E}"/>
    <cellStyle name="Normal 4 2 2 5 2 6 3" xfId="30275" xr:uid="{255394FF-24D9-443F-B80D-38577B668F97}"/>
    <cellStyle name="Normal 4 2 2 5 2 6 4" xfId="30685" xr:uid="{1F357A0C-B744-4BFD-8C02-BE3317E0C375}"/>
    <cellStyle name="Normal 4 2 2 5 2 7" xfId="9819" xr:uid="{AAC5116F-CB34-4B2F-8E39-FFF7ED7A0A97}"/>
    <cellStyle name="Normal 4 2 2 5 2 7 2" xfId="20199" xr:uid="{7412C043-D4CC-480B-86F4-33890837420C}"/>
    <cellStyle name="Normal 4 2 2 5 2 8" xfId="24651" xr:uid="{88F5A006-EB78-4F59-BF5B-E07823D4D7C3}"/>
    <cellStyle name="Normal 4 2 2 5 2 9" xfId="12745" xr:uid="{431D2F21-2C4D-4F5F-BA8F-7DD2E2FAB5CD}"/>
    <cellStyle name="Normal 4 2 2 5 3" xfId="932" xr:uid="{00000000-0005-0000-0000-000056050000}"/>
    <cellStyle name="Normal 4 2 2 5 3 2" xfId="4513" xr:uid="{E049B8BE-D8B3-4C11-B71A-CECFADEA9B46}"/>
    <cellStyle name="Normal 4 2 2 5 3 2 2" xfId="9285" xr:uid="{59266FD9-2CBC-409D-BE2A-DADD88089D21}"/>
    <cellStyle name="Normal 4 2 2 5 3 2 2 2" xfId="29266" xr:uid="{8F65F3E8-198E-4DC9-B2F5-2F429F94C8C2}"/>
    <cellStyle name="Normal 4 2 2 5 3 2 2 3" xfId="19665" xr:uid="{171404A7-91D5-4668-BD99-3D813849E06B}"/>
    <cellStyle name="Normal 4 2 2 5 3 2 3" xfId="12118" xr:uid="{729A547F-B580-400E-A1FF-6F5B18CD426C}"/>
    <cellStyle name="Normal 4 2 2 5 3 2 3 2" xfId="22498" xr:uid="{0D8505EA-1315-4A5E-B875-2CCF2ABF7183}"/>
    <cellStyle name="Normal 4 2 2 5 3 2 4" xfId="23438" xr:uid="{05B6868B-10CB-4611-8174-C49205B1C086}"/>
    <cellStyle name="Normal 4 2 2 5 3 2 5" xfId="16832" xr:uid="{04DF7987-3D04-4196-95B7-14D3FE0348E2}"/>
    <cellStyle name="Normal 4 2 2 5 3 3" xfId="5237" xr:uid="{D0DC0D79-6B0D-42F4-8359-B63BD6B67808}"/>
    <cellStyle name="Normal 4 2 2 5 3 3 2" xfId="23030" xr:uid="{6C72D273-C781-4929-9BDC-EC14BA3726CA}"/>
    <cellStyle name="Normal 4 2 2 5 3 3 3" xfId="27283" xr:uid="{FEC6DF22-1838-4905-B289-846F6F736681}"/>
    <cellStyle name="Normal 4 2 2 5 3 3 4" xfId="14535" xr:uid="{9362DCF5-4498-4EE8-8D1C-A467273DD596}"/>
    <cellStyle name="Normal 4 2 2 5 3 4" xfId="6988" xr:uid="{901345E2-1587-469C-939D-B36370FF6A42}"/>
    <cellStyle name="Normal 4 2 2 5 3 4 2" xfId="25626" xr:uid="{3D7F0D0C-9321-4763-AD34-9EF0AE3FF06C}"/>
    <cellStyle name="Normal 4 2 2 5 3 4 3" xfId="28581" xr:uid="{63F75DC7-B827-4F4B-831E-0EB2CFD23B86}"/>
    <cellStyle name="Normal 4 2 2 5 3 4 4" xfId="17368" xr:uid="{8DCB8E37-B49A-46AC-82EB-538434DD6566}"/>
    <cellStyle name="Normal 4 2 2 5 3 5" xfId="9821" xr:uid="{22B8E61A-940A-44EF-A67B-1FEF8E888503}"/>
    <cellStyle name="Normal 4 2 2 5 3 5 2" xfId="29415" xr:uid="{8E69B30C-E9F1-4BF1-A24F-F3AC703D1500}"/>
    <cellStyle name="Normal 4 2 2 5 3 5 3" xfId="20201" xr:uid="{AC92B244-EF5E-4695-B110-FEA706E96ED0}"/>
    <cellStyle name="Normal 4 2 2 5 3 6" xfId="23037" xr:uid="{B1C54EFA-4EE1-4FC3-8C1B-3F4ED1734102}"/>
    <cellStyle name="Normal 4 2 2 5 3 7" xfId="13852" xr:uid="{BAFA886D-9DEC-4C30-B41C-4298CE465B14}"/>
    <cellStyle name="Normal 4 2 2 5 4" xfId="933" xr:uid="{00000000-0005-0000-0000-000057050000}"/>
    <cellStyle name="Normal 4 2 2 5 4 2" xfId="5238" xr:uid="{FBF7B6F4-DCA5-464C-A60C-8751E1E408E9}"/>
    <cellStyle name="Normal 4 2 2 5 4 2 2" xfId="24704" xr:uid="{C7485AA5-B669-4551-9315-FC080ED8CFEA}"/>
    <cellStyle name="Normal 4 2 2 5 4 2 3" xfId="26234" xr:uid="{6AD5F11A-EA59-4309-8090-DC567E72943C}"/>
    <cellStyle name="Normal 4 2 2 5 4 2 4" xfId="14536" xr:uid="{7ECE356E-313B-42CB-A1D3-FCC2375DFF9A}"/>
    <cellStyle name="Normal 4 2 2 5 4 3" xfId="6989" xr:uid="{E84AAD02-12D7-498D-988A-7DE82B4F9F15}"/>
    <cellStyle name="Normal 4 2 2 5 4 3 2" xfId="27046" xr:uid="{699BE569-BFB6-4A74-9F07-4D458083C0BC}"/>
    <cellStyle name="Normal 4 2 2 5 4 3 3" xfId="17369" xr:uid="{A1361F66-D4AA-4CF8-9DAD-7AD2D9E3D438}"/>
    <cellStyle name="Normal 4 2 2 5 4 4" xfId="9822" xr:uid="{BE39222B-A1CF-424C-B8B8-0E83D50105AB}"/>
    <cellStyle name="Normal 4 2 2 5 4 4 2" xfId="20202" xr:uid="{E020F430-1093-46F8-9E00-662975A4E683}"/>
    <cellStyle name="Normal 4 2 2 5 4 5" xfId="24316" xr:uid="{31FBF425-6E7C-4A0E-B0B8-02059FDD6E19}"/>
    <cellStyle name="Normal 4 2 2 5 4 6" xfId="13443" xr:uid="{1695C9F3-8203-4C46-A191-BA26B2A9EFE9}"/>
    <cellStyle name="Normal 4 2 2 5 5" xfId="2515" xr:uid="{00000000-0005-0000-0000-000094050000}"/>
    <cellStyle name="Normal 4 2 2 5 5 2" xfId="5793" xr:uid="{77BAEC64-5E37-4042-98C2-8298A57D0226}"/>
    <cellStyle name="Normal 4 2 2 5 5 2 2" xfId="27530" xr:uid="{AD85F3C9-B223-4255-90FB-AD6300F365A0}"/>
    <cellStyle name="Normal 4 2 2 5 5 2 3" xfId="15187" xr:uid="{3C121F72-D4F8-4D10-8449-508995BBCF3A}"/>
    <cellStyle name="Normal 4 2 2 5 5 3" xfId="7640" xr:uid="{F8DB22E3-7B6D-4144-802D-7AA035B0A0EE}"/>
    <cellStyle name="Normal 4 2 2 5 5 3 2" xfId="18020" xr:uid="{A4DF8C86-0048-4F64-8F80-FAD5B89C41FF}"/>
    <cellStyle name="Normal 4 2 2 5 5 4" xfId="10473" xr:uid="{8C3DC2F1-19B5-4410-B4B5-C002ABC268E2}"/>
    <cellStyle name="Normal 4 2 2 5 5 4 2" xfId="20853" xr:uid="{CF407E97-4759-4A15-ABD7-8BBA39E492D5}"/>
    <cellStyle name="Normal 4 2 2 5 5 5" xfId="24482" xr:uid="{8D7EE892-8887-495A-A9A0-AD53852F641B}"/>
    <cellStyle name="Normal 4 2 2 5 5 6" xfId="12903" xr:uid="{D6A48E63-4E4B-45EA-A18E-8440363B7741}"/>
    <cellStyle name="Normal 4 2 2 5 6" xfId="2353" xr:uid="{00000000-0005-0000-0000-00008E050000}"/>
    <cellStyle name="Normal 4 2 2 5 6 2" xfId="7480" xr:uid="{DB22DD5E-9B79-40A0-9C8D-3FA9C2E3A5B5}"/>
    <cellStyle name="Normal 4 2 2 5 6 2 2" xfId="28093" xr:uid="{71BE59F2-93C1-40BC-814A-90D10CD9E6F6}"/>
    <cellStyle name="Normal 4 2 2 5 6 2 3" xfId="17860" xr:uid="{F9370712-E4E1-4873-B0F5-71AD2E79E593}"/>
    <cellStyle name="Normal 4 2 2 5 6 3" xfId="10313" xr:uid="{EFD862F5-19BF-4263-BCA2-5A933F86B82B}"/>
    <cellStyle name="Normal 4 2 2 5 6 3 2" xfId="20693" xr:uid="{41724785-511B-42F5-800E-97FAF9D83914}"/>
    <cellStyle name="Normal 4 2 2 5 6 4" xfId="23718" xr:uid="{D1BE1319-0532-4686-98EF-6512B4ADDEDD}"/>
    <cellStyle name="Normal 4 2 2 5 6 5" xfId="15027" xr:uid="{7E22B584-62AC-47F9-A90D-CB5E498CB451}"/>
    <cellStyle name="Normal 4 2 2 5 7" xfId="3974" xr:uid="{C4ACFCEF-14B3-40AE-ABFF-B000279843F1}"/>
    <cellStyle name="Normal 4 2 2 5 7 2" xfId="8798" xr:uid="{C5D84EDB-E9B5-4072-9365-B9F8F88EE448}"/>
    <cellStyle name="Normal 4 2 2 5 7 2 2" xfId="19178" xr:uid="{9E213812-8C20-4C0B-BA78-7AFC9E58DEB3}"/>
    <cellStyle name="Normal 4 2 2 5 7 3" xfId="11631" xr:uid="{C23ADEDA-2837-47F1-9E98-FDE60199FEC2}"/>
    <cellStyle name="Normal 4 2 2 5 7 3 2" xfId="22011" xr:uid="{2254D8D2-FDA5-4C97-B63B-61350D6E97E8}"/>
    <cellStyle name="Normal 4 2 2 5 7 4" xfId="28328" xr:uid="{9E80C560-B7C3-4DF8-8EF7-1A19A15D5A9C}"/>
    <cellStyle name="Normal 4 2 2 5 7 5" xfId="16345" xr:uid="{4A3E1B43-F1F0-4F84-A199-892F3592355D}"/>
    <cellStyle name="Normal 4 2 2 5 8" xfId="5234" xr:uid="{99EDCC47-7759-4792-8EE3-30957819F237}"/>
    <cellStyle name="Normal 4 2 2 5 8 2" xfId="14532" xr:uid="{05C04DB2-3738-498B-8248-64DBEBF26A1B}"/>
    <cellStyle name="Normal 4 2 2 5 9" xfId="6985" xr:uid="{7234C7C5-2619-42B4-9EBE-929194430821}"/>
    <cellStyle name="Normal 4 2 2 5 9 2" xfId="17365" xr:uid="{5C19578B-13BB-4230-930C-8CB16E58F99E}"/>
    <cellStyle name="Normal 4 2 2 6" xfId="934" xr:uid="{00000000-0005-0000-0000-000058050000}"/>
    <cellStyle name="Normal 4 2 2 6 10" xfId="9823" xr:uid="{2561D18D-4E72-4AE6-AA97-22DF5CAF4D20}"/>
    <cellStyle name="Normal 4 2 2 6 10 2" xfId="20203" xr:uid="{DD89E622-D3D6-4B3E-B7AD-5A25DA26FF2A}"/>
    <cellStyle name="Normal 4 2 2 6 11" xfId="23591" xr:uid="{11A9B7DB-80B6-4EA4-A830-7E6CBC498292}"/>
    <cellStyle name="Normal 4 2 2 6 12" xfId="12588" xr:uid="{E2F84217-4F6D-4768-A087-B3CEB335A4E4}"/>
    <cellStyle name="Normal 4 2 2 6 2" xfId="935" xr:uid="{00000000-0005-0000-0000-000059050000}"/>
    <cellStyle name="Normal 4 2 2 6 2 2" xfId="936" xr:uid="{00000000-0005-0000-0000-00005A050000}"/>
    <cellStyle name="Normal 4 2 2 6 2 2 2" xfId="5241" xr:uid="{6F5B2623-C032-414D-8BC1-BDCFC1F6835C}"/>
    <cellStyle name="Normal 4 2 2 6 2 2 2 2" xfId="22744" xr:uid="{09CD513C-488E-4419-97B1-B67AF03D62BA}"/>
    <cellStyle name="Normal 4 2 2 6 2 2 2 3" xfId="27581" xr:uid="{DFB8FFD9-D5C8-4DA4-8614-F96625D45145}"/>
    <cellStyle name="Normal 4 2 2 6 2 2 2 4" xfId="14539" xr:uid="{A5EF2391-BEAF-477E-8940-36D03BE1E800}"/>
    <cellStyle name="Normal 4 2 2 6 2 2 3" xfId="6992" xr:uid="{95F4974A-894F-4860-8699-13AB1BEB70AB}"/>
    <cellStyle name="Normal 4 2 2 6 2 2 3 2" xfId="27619" xr:uid="{ED699511-B2B0-4ECF-BFA3-495CB59F5F4E}"/>
    <cellStyle name="Normal 4 2 2 6 2 2 3 3" xfId="26661" xr:uid="{EF9AA21E-2E22-4858-8F3D-7B1CA787E389}"/>
    <cellStyle name="Normal 4 2 2 6 2 2 3 4" xfId="17372" xr:uid="{5F93B48C-62FE-4CC8-ADE3-9E2B782D49B9}"/>
    <cellStyle name="Normal 4 2 2 6 2 2 4" xfId="9825" xr:uid="{1D8DD49B-3C79-41E4-9C8F-9484788576C5}"/>
    <cellStyle name="Normal 4 2 2 6 2 2 4 2" xfId="29416" xr:uid="{CCD0D234-5A2B-4730-A0F9-0150433F8D5E}"/>
    <cellStyle name="Normal 4 2 2 6 2 2 4 3" xfId="20205" xr:uid="{C31C3F99-CC06-43B0-A424-4AF2C4049761}"/>
    <cellStyle name="Normal 4 2 2 6 2 2 5" xfId="24362" xr:uid="{4C68074B-E687-4033-8FEB-9F77E550AE00}"/>
    <cellStyle name="Normal 4 2 2 6 2 2 6" xfId="13853" xr:uid="{DAA0A645-9EEE-48A8-AF04-A76D1DCAD4DD}"/>
    <cellStyle name="Normal 4 2 2 6 2 2 7" xfId="30417" xr:uid="{25AF3307-7679-45C6-B128-46C29A4BF45F}"/>
    <cellStyle name="Normal 4 2 2 6 2 3" xfId="2770" xr:uid="{00000000-0005-0000-0000-000098050000}"/>
    <cellStyle name="Normal 4 2 2 6 2 3 2" xfId="5988" xr:uid="{77158A41-DC44-4BAC-82C0-46E3F59185DA}"/>
    <cellStyle name="Normal 4 2 2 6 2 3 2 2" xfId="26908" xr:uid="{B6EF9791-E7B2-44FD-ACE6-D90AB1367990}"/>
    <cellStyle name="Normal 4 2 2 6 2 3 2 3" xfId="15441" xr:uid="{3320EA68-7558-45B0-AFEC-B1ADC52F4049}"/>
    <cellStyle name="Normal 4 2 2 6 2 3 3" xfId="7894" xr:uid="{44AC1D0C-A867-43BA-A801-5D1DFE078152}"/>
    <cellStyle name="Normal 4 2 2 6 2 3 3 2" xfId="18274" xr:uid="{8879CEAB-EFBF-4490-9446-1A37C0675D06}"/>
    <cellStyle name="Normal 4 2 2 6 2 3 4" xfId="10727" xr:uid="{FC74A597-35EC-4AFA-97DC-58E59BEF5AB2}"/>
    <cellStyle name="Normal 4 2 2 6 2 3 4 2" xfId="21107" xr:uid="{6F74B78A-DFE0-4366-8219-445536C6F776}"/>
    <cellStyle name="Normal 4 2 2 6 2 3 5" xfId="25359" xr:uid="{5DD0AF5D-8B3F-444E-AA6A-9DCDDE37FF46}"/>
    <cellStyle name="Normal 4 2 2 6 2 3 6" xfId="13221" xr:uid="{9A48E49D-3543-4A53-84C3-D924CEF31E0D}"/>
    <cellStyle name="Normal 4 2 2 6 2 4" xfId="4184" xr:uid="{4A600C20-B7B2-4CC1-8893-32A614127785}"/>
    <cellStyle name="Normal 4 2 2 6 2 4 2" xfId="8956" xr:uid="{EA0D9F9D-E07C-4CB9-BE3E-87351E77F228}"/>
    <cellStyle name="Normal 4 2 2 6 2 4 2 2" xfId="29044" xr:uid="{2DBA315C-5C30-47D3-A2FB-DEF876A68A13}"/>
    <cellStyle name="Normal 4 2 2 6 2 4 2 3" xfId="19336" xr:uid="{975FDC66-83DC-45C1-BC2E-40F9A9AC5561}"/>
    <cellStyle name="Normal 4 2 2 6 2 4 3" xfId="11789" xr:uid="{CA5CD5B8-C598-4FC7-9B17-45027E2B06BD}"/>
    <cellStyle name="Normal 4 2 2 6 2 4 3 2" xfId="22169" xr:uid="{A0187298-99B6-4651-BD1A-6C1C79138CB1}"/>
    <cellStyle name="Normal 4 2 2 6 2 4 4" xfId="23965" xr:uid="{388895BE-FD39-4AF5-B105-8FDC92A42E0B}"/>
    <cellStyle name="Normal 4 2 2 6 2 4 5" xfId="16503" xr:uid="{C5169F37-8B69-4859-8714-687CB20A635B}"/>
    <cellStyle name="Normal 4 2 2 6 2 5" xfId="5240" xr:uid="{662E116E-9EC3-4A06-979B-4EFE42AE6890}"/>
    <cellStyle name="Normal 4 2 2 6 2 5 2" xfId="28373" xr:uid="{70454BAD-28A9-4101-AE6B-D9ED288DDA2B}"/>
    <cellStyle name="Normal 4 2 2 6 2 5 3" xfId="14538" xr:uid="{5187D604-5B23-4136-BC05-65A19767659B}"/>
    <cellStyle name="Normal 4 2 2 6 2 5 4" xfId="30547" xr:uid="{E65010B7-24D6-4DA4-8BB8-E9FA1B271EA2}"/>
    <cellStyle name="Normal 4 2 2 6 2 6" xfId="6991" xr:uid="{FF310834-285A-481B-9925-936D55C32865}"/>
    <cellStyle name="Normal 4 2 2 6 2 6 2" xfId="17371" xr:uid="{3DB2F12C-026A-4A45-B982-D32BF14048DC}"/>
    <cellStyle name="Normal 4 2 2 6 2 6 3" xfId="30276" xr:uid="{DD7C4A16-96F7-452F-843D-7DD956F14E04}"/>
    <cellStyle name="Normal 4 2 2 6 2 6 4" xfId="30686" xr:uid="{FC933E1E-0514-41AD-A118-A586D482836F}"/>
    <cellStyle name="Normal 4 2 2 6 2 7" xfId="9824" xr:uid="{ECA44F94-06E9-4180-9BDD-88E77CCD4115}"/>
    <cellStyle name="Normal 4 2 2 6 2 7 2" xfId="20204" xr:uid="{E0440E39-4A6D-45F4-8B3C-3D4577E20CFE}"/>
    <cellStyle name="Normal 4 2 2 6 2 8" xfId="22933" xr:uid="{1FA73B3E-1D31-499C-8A57-0C8195DC023A}"/>
    <cellStyle name="Normal 4 2 2 6 2 9" xfId="12746" xr:uid="{F073804B-386A-4A13-9194-C1CB16759E4B}"/>
    <cellStyle name="Normal 4 2 2 6 3" xfId="937" xr:uid="{00000000-0005-0000-0000-00005B050000}"/>
    <cellStyle name="Normal 4 2 2 6 3 2" xfId="4514" xr:uid="{3C535D30-4F3D-46CB-AFA7-72D4C11D4890}"/>
    <cellStyle name="Normal 4 2 2 6 3 2 2" xfId="9286" xr:uid="{9A792B1F-E3F2-44F4-BC2C-B5A5BE9CC4A8}"/>
    <cellStyle name="Normal 4 2 2 6 3 2 2 2" xfId="29267" xr:uid="{8CF39A1A-A244-4345-BA53-8293D37B0FDB}"/>
    <cellStyle name="Normal 4 2 2 6 3 2 2 3" xfId="19666" xr:uid="{2A9B5CC3-3017-488E-97D0-098DAD78554D}"/>
    <cellStyle name="Normal 4 2 2 6 3 2 3" xfId="12119" xr:uid="{1A834563-6AB8-48AC-BECC-0CB2AF0093DD}"/>
    <cellStyle name="Normal 4 2 2 6 3 2 3 2" xfId="22499" xr:uid="{7C83541A-4FC0-4BB7-82C5-06FE99E97000}"/>
    <cellStyle name="Normal 4 2 2 6 3 2 4" xfId="24963" xr:uid="{F3290EC6-C128-4396-83B4-C190E6F07075}"/>
    <cellStyle name="Normal 4 2 2 6 3 2 5" xfId="16833" xr:uid="{2607B29E-3790-41F8-B887-50EC8B36D73A}"/>
    <cellStyle name="Normal 4 2 2 6 3 3" xfId="5242" xr:uid="{90D8FC7C-E81B-4DA4-BA7F-0935FFDDE95B}"/>
    <cellStyle name="Normal 4 2 2 6 3 3 2" xfId="26823" xr:uid="{4FF99E2A-6C61-4C03-ACCE-44D4D0A6E67D}"/>
    <cellStyle name="Normal 4 2 2 6 3 3 3" xfId="27487" xr:uid="{2C8E640E-2B5A-4837-A3E7-41231A33D013}"/>
    <cellStyle name="Normal 4 2 2 6 3 3 4" xfId="14540" xr:uid="{AE953FB9-649F-4C31-9347-AD2DA4997FA0}"/>
    <cellStyle name="Normal 4 2 2 6 3 4" xfId="6993" xr:uid="{3C5B5C16-8376-49F8-B0CB-5AB1F34D0DFB}"/>
    <cellStyle name="Normal 4 2 2 6 3 4 2" xfId="27286" xr:uid="{3980CFEC-2FE6-4C5C-BED4-9B7570AFD8E2}"/>
    <cellStyle name="Normal 4 2 2 6 3 4 3" xfId="27273" xr:uid="{862D206E-6C31-4D59-A121-52856B57CFD7}"/>
    <cellStyle name="Normal 4 2 2 6 3 4 4" xfId="17373" xr:uid="{550094BF-19E4-4FD0-8B2B-5979CB7F0FF3}"/>
    <cellStyle name="Normal 4 2 2 6 3 5" xfId="9826" xr:uid="{CEB9C7F4-F0A1-4722-B955-5F2C1D176CBB}"/>
    <cellStyle name="Normal 4 2 2 6 3 5 2" xfId="29417" xr:uid="{26618566-766D-4872-8583-5618A3E842C7}"/>
    <cellStyle name="Normal 4 2 2 6 3 5 3" xfId="20206" xr:uid="{B3B95895-399D-4E1D-BF34-EA2962EEC19E}"/>
    <cellStyle name="Normal 4 2 2 6 3 6" xfId="24231" xr:uid="{514BFD68-60B8-4E2A-BEBA-EB6872B3289A}"/>
    <cellStyle name="Normal 4 2 2 6 3 7" xfId="13854" xr:uid="{5C8A8026-B8CF-48C7-B291-F159243D9733}"/>
    <cellStyle name="Normal 4 2 2 6 4" xfId="938" xr:uid="{00000000-0005-0000-0000-00005C050000}"/>
    <cellStyle name="Normal 4 2 2 6 4 2" xfId="5243" xr:uid="{8B7500D1-1045-40FB-A876-21499B7F35D7}"/>
    <cellStyle name="Normal 4 2 2 6 4 2 2" xfId="23327" xr:uid="{9F3982A5-F9A4-42BF-94FD-1144EC865199}"/>
    <cellStyle name="Normal 4 2 2 6 4 2 3" xfId="26271" xr:uid="{0A351F3D-29E9-459A-BE2F-2BDA2C34C3E0}"/>
    <cellStyle name="Normal 4 2 2 6 4 2 4" xfId="14541" xr:uid="{E29ABD2C-8DF0-401D-B148-402D0B0DBC6B}"/>
    <cellStyle name="Normal 4 2 2 6 4 3" xfId="6994" xr:uid="{4F566D0D-B754-4C10-8F65-41EB9DAD07DA}"/>
    <cellStyle name="Normal 4 2 2 6 4 3 2" xfId="27220" xr:uid="{A972ADBB-CA94-4267-9428-02104DFCED14}"/>
    <cellStyle name="Normal 4 2 2 6 4 3 3" xfId="17374" xr:uid="{F7CBC127-F930-4B83-8A23-AF06F29B60B2}"/>
    <cellStyle name="Normal 4 2 2 6 4 4" xfId="9827" xr:uid="{EA920DFB-FD30-4FB8-BCE4-997A3CE84931}"/>
    <cellStyle name="Normal 4 2 2 6 4 4 2" xfId="20207" xr:uid="{FAE1C70A-5106-450B-8D57-D90B25E4D0FB}"/>
    <cellStyle name="Normal 4 2 2 6 4 5" xfId="23583" xr:uid="{ECD4C5CC-E49D-4568-8896-C362906263EC}"/>
    <cellStyle name="Normal 4 2 2 6 4 6" xfId="13444" xr:uid="{6CB2BAB9-19E6-4059-BDB0-2427D88FA990}"/>
    <cellStyle name="Normal 4 2 2 6 5" xfId="2578" xr:uid="{00000000-0005-0000-0000-00009B050000}"/>
    <cellStyle name="Normal 4 2 2 6 5 2" xfId="5843" xr:uid="{BB13DED3-5EA3-43B9-963D-8ACB59D162CF}"/>
    <cellStyle name="Normal 4 2 2 6 5 2 2" xfId="26840" xr:uid="{437FD476-A855-46B3-934E-248641D8A05B}"/>
    <cellStyle name="Normal 4 2 2 6 5 2 3" xfId="15250" xr:uid="{693E8A13-DBC6-4777-94D9-DF3033BB3255}"/>
    <cellStyle name="Normal 4 2 2 6 5 3" xfId="7703" xr:uid="{D062841D-12D1-4B74-8218-F4536D4677E6}"/>
    <cellStyle name="Normal 4 2 2 6 5 3 2" xfId="18083" xr:uid="{F8220E91-E151-48CE-B448-569CB90D494F}"/>
    <cellStyle name="Normal 4 2 2 6 5 4" xfId="10536" xr:uid="{DD7E7BC7-C813-4AA2-801A-51231DD1A7A6}"/>
    <cellStyle name="Normal 4 2 2 6 5 4 2" xfId="20916" xr:uid="{16A8D1CD-5EC0-4376-BDD5-9CC83AA89412}"/>
    <cellStyle name="Normal 4 2 2 6 5 5" xfId="24971" xr:uid="{6D93BF68-17F3-41CB-9DDA-E8C0E8DEE6BD}"/>
    <cellStyle name="Normal 4 2 2 6 5 6" xfId="12966" xr:uid="{1B54A201-D8DB-4CA1-9906-E4EF9C822C61}"/>
    <cellStyle name="Normal 4 2 2 6 6" xfId="2354" xr:uid="{00000000-0005-0000-0000-000095050000}"/>
    <cellStyle name="Normal 4 2 2 6 6 2" xfId="7481" xr:uid="{FAEF91AF-9211-4435-A837-B87E36160B8C}"/>
    <cellStyle name="Normal 4 2 2 6 6 2 2" xfId="26931" xr:uid="{5B19A4BC-3F78-4EE6-8F92-C8895AE3E6EA}"/>
    <cellStyle name="Normal 4 2 2 6 6 2 3" xfId="17861" xr:uid="{5525B37D-CB38-447D-85B6-6EE5E847F0DC}"/>
    <cellStyle name="Normal 4 2 2 6 6 3" xfId="10314" xr:uid="{DA2AEF52-F208-4F89-A091-302F21486427}"/>
    <cellStyle name="Normal 4 2 2 6 6 3 2" xfId="20694" xr:uid="{B4B6196F-62E2-4FDD-996A-245C9E1D4C98}"/>
    <cellStyle name="Normal 4 2 2 6 6 4" xfId="23032" xr:uid="{09ED6ABB-BDED-4F80-B8BB-8E7246681CA1}"/>
    <cellStyle name="Normal 4 2 2 6 6 5" xfId="15028" xr:uid="{C22F411D-7C67-4A71-B13B-8EE2229526A0}"/>
    <cellStyle name="Normal 4 2 2 6 7" xfId="3975" xr:uid="{3C44D71E-0ED7-4B64-B21F-FB171EDB30F8}"/>
    <cellStyle name="Normal 4 2 2 6 7 2" xfId="8799" xr:uid="{CDB8CAFA-399C-4118-97FE-5516055D49DA}"/>
    <cellStyle name="Normal 4 2 2 6 7 2 2" xfId="19179" xr:uid="{285168F4-5223-4535-A0CE-271C75819637}"/>
    <cellStyle name="Normal 4 2 2 6 7 3" xfId="11632" xr:uid="{A488E30D-91C2-44D5-AB3E-7785E8398C46}"/>
    <cellStyle name="Normal 4 2 2 6 7 3 2" xfId="22012" xr:uid="{F707871D-780D-4C95-B221-B241EF4E1839}"/>
    <cellStyle name="Normal 4 2 2 6 7 4" xfId="27576" xr:uid="{36575FDE-8F80-4BA2-AC5B-6CB7E45CBDEC}"/>
    <cellStyle name="Normal 4 2 2 6 7 5" xfId="16346" xr:uid="{AFC830DC-84AB-4ED2-BEE4-C2ADF3452D36}"/>
    <cellStyle name="Normal 4 2 2 6 8" xfId="5239" xr:uid="{5BDB20EC-E8E3-44DF-84B7-9AFAC17D679F}"/>
    <cellStyle name="Normal 4 2 2 6 8 2" xfId="14537" xr:uid="{7843AA79-BD79-4A07-84FF-0BAB2ADCF180}"/>
    <cellStyle name="Normal 4 2 2 6 9" xfId="6990" xr:uid="{7A743304-F793-4464-8858-A840A2C99EAD}"/>
    <cellStyle name="Normal 4 2 2 6 9 2" xfId="17370" xr:uid="{2C470E94-78DF-49F4-ADD7-DE0028853463}"/>
    <cellStyle name="Normal 4 2 2 7" xfId="939" xr:uid="{00000000-0005-0000-0000-00005D050000}"/>
    <cellStyle name="Normal 4 2 2 7 10" xfId="12589" xr:uid="{F487EBE3-2457-4BE7-A555-B738C8F4B1CC}"/>
    <cellStyle name="Normal 4 2 2 7 2" xfId="940" xr:uid="{00000000-0005-0000-0000-00005E050000}"/>
    <cellStyle name="Normal 4 2 2 7 2 2" xfId="2929" xr:uid="{00000000-0005-0000-0000-00009E050000}"/>
    <cellStyle name="Normal 4 2 2 7 2 2 2" xfId="6109" xr:uid="{57C0A4CB-A731-4894-954B-67C4835C67DD}"/>
    <cellStyle name="Normal 4 2 2 7 2 2 2 2" xfId="28551" xr:uid="{00EB9B60-60AE-47DF-87FC-A929CF3ECBC9}"/>
    <cellStyle name="Normal 4 2 2 7 2 2 2 3" xfId="28560" xr:uid="{0D04EC90-A42A-42BA-BEC8-C572A8A71233}"/>
    <cellStyle name="Normal 4 2 2 7 2 2 2 4" xfId="15587" xr:uid="{989D8687-E2BC-414E-B06B-B1EEA33901DE}"/>
    <cellStyle name="Normal 4 2 2 7 2 2 3" xfId="8040" xr:uid="{E11D03F5-4B64-441A-B3A8-AF846F4FD19D}"/>
    <cellStyle name="Normal 4 2 2 7 2 2 3 2" xfId="28546" xr:uid="{B1383DD4-151F-44B8-845C-866CCE70ABA6}"/>
    <cellStyle name="Normal 4 2 2 7 2 2 3 3" xfId="18420" xr:uid="{0D9E908E-557F-4CB0-8D4D-439C683CD112}"/>
    <cellStyle name="Normal 4 2 2 7 2 2 4" xfId="10873" xr:uid="{CD1F0151-0780-4C32-A907-04B6AC3F91C0}"/>
    <cellStyle name="Normal 4 2 2 7 2 2 4 2" xfId="21253" xr:uid="{E173457F-7059-4390-9D22-FBD5B29E91A9}"/>
    <cellStyle name="Normal 4 2 2 7 2 2 5" xfId="24335" xr:uid="{9B020136-7BA9-4ECA-901B-0B93B9691C85}"/>
    <cellStyle name="Normal 4 2 2 7 2 2 6" xfId="13445" xr:uid="{CB385DE0-E6B5-435B-8AB0-FC43CF144F09}"/>
    <cellStyle name="Normal 4 2 2 7 2 3" xfId="5245" xr:uid="{D04BEBCB-D9B3-46E7-9F67-2B62050C65D8}"/>
    <cellStyle name="Normal 4 2 2 7 2 3 2" xfId="22815" xr:uid="{6EC1EBB6-14EB-46B1-B179-3A987D46FA48}"/>
    <cellStyle name="Normal 4 2 2 7 2 3 3" xfId="27003" xr:uid="{BABBEF22-2173-49D7-B125-D2184A702964}"/>
    <cellStyle name="Normal 4 2 2 7 2 3 4" xfId="14543" xr:uid="{BD1DD18D-ADD1-4FCB-9B93-1322F539C844}"/>
    <cellStyle name="Normal 4 2 2 7 2 4" xfId="6996" xr:uid="{86F6412A-F37C-4495-A69A-3EA4E32F3A34}"/>
    <cellStyle name="Normal 4 2 2 7 2 4 2" xfId="26235" xr:uid="{FEE8BE2B-87B2-4DAA-9A76-C334EC6AE9DB}"/>
    <cellStyle name="Normal 4 2 2 7 2 4 3" xfId="28379" xr:uid="{EA9DC767-E875-4F33-9676-DFF1AE133D23}"/>
    <cellStyle name="Normal 4 2 2 7 2 4 4" xfId="17376" xr:uid="{DFCFE355-5189-466F-8882-4EDE43DCB1DD}"/>
    <cellStyle name="Normal 4 2 2 7 2 5" xfId="9829" xr:uid="{7F2563CD-AD6A-483B-8E73-61E5882B47DA}"/>
    <cellStyle name="Normal 4 2 2 7 2 5 2" xfId="29418" xr:uid="{441BBF49-982E-411F-A346-AEDD884F8C83}"/>
    <cellStyle name="Normal 4 2 2 7 2 5 3" xfId="20209" xr:uid="{7AB1868C-4F40-4E23-939E-075A2BBFBB20}"/>
    <cellStyle name="Normal 4 2 2 7 2 5 4" xfId="30727" xr:uid="{5ABD70F6-E1F0-4AB6-B717-AF2378314886}"/>
    <cellStyle name="Normal 4 2 2 7 2 6" xfId="25432" xr:uid="{31D5A380-4290-46FB-957A-611FB36B4545}"/>
    <cellStyle name="Normal 4 2 2 7 2 7" xfId="12747" xr:uid="{22704B4E-8FE0-49EF-A78F-8EA5E20E7E73}"/>
    <cellStyle name="Normal 4 2 2 7 2 8" xfId="30349" xr:uid="{2594AD32-FF8B-4D9A-86AC-F6A3BAE1EBF5}"/>
    <cellStyle name="Normal 4 2 2 7 3" xfId="941" xr:uid="{00000000-0005-0000-0000-00005F050000}"/>
    <cellStyle name="Normal 4 2 2 7 3 2" xfId="5246" xr:uid="{B40BB902-CB0E-40C3-A0CD-B7F27874C6B2}"/>
    <cellStyle name="Normal 4 2 2 7 3 2 2" xfId="27669" xr:uid="{17E9F41F-C4CD-4EDE-ABF5-8174F052771D}"/>
    <cellStyle name="Normal 4 2 2 7 3 2 3" xfId="27517" xr:uid="{FD804A08-F8CC-4A4A-A913-C66336A6B8B3}"/>
    <cellStyle name="Normal 4 2 2 7 3 2 4" xfId="14544" xr:uid="{DBF67581-FF04-4376-8D32-9033CD4C85DC}"/>
    <cellStyle name="Normal 4 2 2 7 3 3" xfId="6997" xr:uid="{43D0183A-0402-46DC-A9A6-746377F5DC85}"/>
    <cellStyle name="Normal 4 2 2 7 3 3 2" xfId="27613" xr:uid="{877A84E7-BEAE-42D5-98EC-569717F4AA35}"/>
    <cellStyle name="Normal 4 2 2 7 3 3 3" xfId="27755" xr:uid="{1AA65364-8454-410A-83E3-AA9DDBDD96C7}"/>
    <cellStyle name="Normal 4 2 2 7 3 3 4" xfId="17377" xr:uid="{BBDB9507-B01F-4BEC-AB97-141A5F057185}"/>
    <cellStyle name="Normal 4 2 2 7 3 4" xfId="9830" xr:uid="{CB5FE095-E508-4487-95A1-4C0A4FB94C21}"/>
    <cellStyle name="Normal 4 2 2 7 3 4 2" xfId="29419" xr:uid="{F8ED6E61-114B-4280-81CA-949C17B9017D}"/>
    <cellStyle name="Normal 4 2 2 7 3 4 3" xfId="20210" xr:uid="{F73018EA-2BD9-4911-861A-F3E27C3C8E03}"/>
    <cellStyle name="Normal 4 2 2 7 3 5" xfId="22781" xr:uid="{3C1090F0-CECB-4396-8D62-6EE60CEF2CBA}"/>
    <cellStyle name="Normal 4 2 2 7 3 6" xfId="13222" xr:uid="{F238A0EC-F728-491D-AB52-3CBDDEEC0F2B}"/>
    <cellStyle name="Normal 4 2 2 7 4" xfId="2355" xr:uid="{00000000-0005-0000-0000-00009C050000}"/>
    <cellStyle name="Normal 4 2 2 7 4 2" xfId="7482" xr:uid="{AF381B43-6F28-42FB-ADF6-39881F3664B6}"/>
    <cellStyle name="Normal 4 2 2 7 4 2 2" xfId="27341" xr:uid="{4C124964-6D75-43BD-87A3-DB5968AB63FC}"/>
    <cellStyle name="Normal 4 2 2 7 4 2 3" xfId="17862" xr:uid="{1AA920BF-D970-4DB5-96D4-82BE17E020E1}"/>
    <cellStyle name="Normal 4 2 2 7 4 3" xfId="10315" xr:uid="{17223411-B143-474A-9153-83094A1A8D56}"/>
    <cellStyle name="Normal 4 2 2 7 4 3 2" xfId="20695" xr:uid="{578AB773-C1CD-4F3D-AAA2-422DB0737571}"/>
    <cellStyle name="Normal 4 2 2 7 4 4" xfId="24351" xr:uid="{3E4651B1-E0F7-4322-977E-C1E96A9EB270}"/>
    <cellStyle name="Normal 4 2 2 7 4 5" xfId="15029" xr:uid="{C73873C5-A60C-4636-A163-84B1757B618D}"/>
    <cellStyle name="Normal 4 2 2 7 5" xfId="3976" xr:uid="{934EA604-89F8-4E07-B3A6-51317F9C39B3}"/>
    <cellStyle name="Normal 4 2 2 7 5 2" xfId="8800" xr:uid="{E97C1750-D686-46D2-90C1-4907475BF21F}"/>
    <cellStyle name="Normal 4 2 2 7 5 2 2" xfId="28986" xr:uid="{16F49C96-6BD1-419D-918F-631C11AFE1DC}"/>
    <cellStyle name="Normal 4 2 2 7 5 2 3" xfId="19180" xr:uid="{911759E1-9787-40A1-8AE4-7B1622E8E587}"/>
    <cellStyle name="Normal 4 2 2 7 5 3" xfId="11633" xr:uid="{3CEC2403-4157-40CA-9E59-0F5F1916D13A}"/>
    <cellStyle name="Normal 4 2 2 7 5 3 2" xfId="22013" xr:uid="{A5C5B410-8379-4663-B995-C71596118E97}"/>
    <cellStyle name="Normal 4 2 2 7 5 4" xfId="22972" xr:uid="{4BDC54B1-DED7-41CA-BED8-E15591FD4457}"/>
    <cellStyle name="Normal 4 2 2 7 5 5" xfId="16347" xr:uid="{2A1BC78A-509C-4FA4-9AE8-1B2CDACF40D9}"/>
    <cellStyle name="Normal 4 2 2 7 6" xfId="5244" xr:uid="{258B6F67-E5EF-4F01-8939-97492B16C45F}"/>
    <cellStyle name="Normal 4 2 2 7 6 2" xfId="27172" xr:uid="{4124BC3B-E978-4BFE-B8F2-6D9FFD167813}"/>
    <cellStyle name="Normal 4 2 2 7 6 3" xfId="28734" xr:uid="{58230EF1-BA5D-4231-AA59-4E83E22C59CC}"/>
    <cellStyle name="Normal 4 2 2 7 6 4" xfId="14542" xr:uid="{F4F19B9C-E86A-4A6A-B6B4-A7727EA94E00}"/>
    <cellStyle name="Normal 4 2 2 7 7" xfId="6995" xr:uid="{AA130C79-5346-4DC8-A7EA-6C1A6065897D}"/>
    <cellStyle name="Normal 4 2 2 7 7 2" xfId="26940" xr:uid="{612954AE-D8B5-49B2-89B9-2B002DFA3236}"/>
    <cellStyle name="Normal 4 2 2 7 7 3" xfId="17375" xr:uid="{A97E16E6-D345-4653-842F-738BB3BAE9E2}"/>
    <cellStyle name="Normal 4 2 2 7 8" xfId="9828" xr:uid="{184DB9DC-A051-4499-9310-FBC8AE4FAFAB}"/>
    <cellStyle name="Normal 4 2 2 7 8 2" xfId="20208" xr:uid="{0D6BC51B-4DDB-4E0B-AD2F-F96D6CB6D943}"/>
    <cellStyle name="Normal 4 2 2 7 9" xfId="23192" xr:uid="{188E0066-9312-4677-B353-400A1C65B06B}"/>
    <cellStyle name="Normal 4 2 2 8" xfId="942" xr:uid="{00000000-0005-0000-0000-000060050000}"/>
    <cellStyle name="Normal 4 2 2 8 10" xfId="12590" xr:uid="{B079923D-5E20-4831-A1EE-294B4200D102}"/>
    <cellStyle name="Normal 4 2 2 8 2" xfId="943" xr:uid="{00000000-0005-0000-0000-000061050000}"/>
    <cellStyle name="Normal 4 2 2 8 2 2" xfId="2930" xr:uid="{00000000-0005-0000-0000-0000A2050000}"/>
    <cellStyle name="Normal 4 2 2 8 2 2 2" xfId="6110" xr:uid="{09581792-6878-4251-A402-1BF73B90A971}"/>
    <cellStyle name="Normal 4 2 2 8 2 2 2 2" xfId="27835" xr:uid="{FE74F500-C292-4503-BFFC-57F6AAF580A9}"/>
    <cellStyle name="Normal 4 2 2 8 2 2 2 3" xfId="25970" xr:uid="{1EC5700D-4A61-4448-AD6F-E00583B5722B}"/>
    <cellStyle name="Normal 4 2 2 8 2 2 2 4" xfId="15588" xr:uid="{69769A35-F4BD-42E6-B479-E5B6925471AA}"/>
    <cellStyle name="Normal 4 2 2 8 2 2 3" xfId="8041" xr:uid="{64C8C9E2-9C80-4C86-96BF-735E47896E8C}"/>
    <cellStyle name="Normal 4 2 2 8 2 2 3 2" xfId="26182" xr:uid="{C1C144FB-D2B9-41FE-823D-8E407FAFD562}"/>
    <cellStyle name="Normal 4 2 2 8 2 2 3 3" xfId="18421" xr:uid="{AB733DD3-59EB-44FD-88FE-C553D0930AAA}"/>
    <cellStyle name="Normal 4 2 2 8 2 2 4" xfId="10874" xr:uid="{2EAAE8FA-6A0E-43DF-9D0F-6BE18F13AB63}"/>
    <cellStyle name="Normal 4 2 2 8 2 2 4 2" xfId="21254" xr:uid="{18E1EACE-9DC3-4EB3-AFCB-C3BB85F96F7E}"/>
    <cellStyle name="Normal 4 2 2 8 2 2 5" xfId="22785" xr:uid="{B6D41360-5303-4439-9539-3A457D6A800A}"/>
    <cellStyle name="Normal 4 2 2 8 2 2 6" xfId="13446" xr:uid="{D0DBE192-C6E1-426F-AF69-9E13AE9C728B}"/>
    <cellStyle name="Normal 4 2 2 8 2 3" xfId="5248" xr:uid="{289C0D3D-8600-4311-B6E6-04C89FA3FACF}"/>
    <cellStyle name="Normal 4 2 2 8 2 3 2" xfId="24678" xr:uid="{30638458-4653-4069-B1A0-FAB5B964E877}"/>
    <cellStyle name="Normal 4 2 2 8 2 3 3" xfId="28554" xr:uid="{52728E3E-1CE5-4205-BB37-C736E33D8CFB}"/>
    <cellStyle name="Normal 4 2 2 8 2 3 4" xfId="14546" xr:uid="{5F5559E7-9E8E-4F3C-921F-83265B2F862F}"/>
    <cellStyle name="Normal 4 2 2 8 2 4" xfId="6999" xr:uid="{98938B21-9FC9-4129-B01A-6E0E21BDE738}"/>
    <cellStyle name="Normal 4 2 2 8 2 4 2" xfId="26485" xr:uid="{DC37F2DE-BCCF-4A97-9840-6F251271A387}"/>
    <cellStyle name="Normal 4 2 2 8 2 4 3" xfId="25854" xr:uid="{77C348A3-9279-4F9E-979F-2E574ED2C001}"/>
    <cellStyle name="Normal 4 2 2 8 2 4 4" xfId="17379" xr:uid="{E33761A8-9F00-4268-951C-63294C6FA910}"/>
    <cellStyle name="Normal 4 2 2 8 2 5" xfId="9832" xr:uid="{A5738BC8-A75D-4FBB-887B-14D7995DCF5F}"/>
    <cellStyle name="Normal 4 2 2 8 2 5 2" xfId="29420" xr:uid="{F5410C9A-1AA5-45A9-AF2D-08D2E333369C}"/>
    <cellStyle name="Normal 4 2 2 8 2 5 3" xfId="20212" xr:uid="{E4AA0D4E-B5A6-4F5A-8840-62CE0C869968}"/>
    <cellStyle name="Normal 4 2 2 8 2 5 4" xfId="30728" xr:uid="{F44DA6E2-0C53-42EA-88CF-C7B531CF08E2}"/>
    <cellStyle name="Normal 4 2 2 8 2 6" xfId="23798" xr:uid="{00FC52DA-01F4-4867-AD5C-93D2839C800E}"/>
    <cellStyle name="Normal 4 2 2 8 2 7" xfId="12748" xr:uid="{94FB40D9-BF27-4CB1-A214-31A4E496E876}"/>
    <cellStyle name="Normal 4 2 2 8 2 8" xfId="30350" xr:uid="{F5961BE5-E39A-4AED-B797-A2F9E7F9A331}"/>
    <cellStyle name="Normal 4 2 2 8 3" xfId="944" xr:uid="{00000000-0005-0000-0000-000062050000}"/>
    <cellStyle name="Normal 4 2 2 8 3 2" xfId="5249" xr:uid="{4D9BC826-49DF-4AF2-88B9-97A48C6BF2E8}"/>
    <cellStyle name="Normal 4 2 2 8 3 2 2" xfId="28392" xr:uid="{3AC4B514-BA35-4187-9298-F5195983ED60}"/>
    <cellStyle name="Normal 4 2 2 8 3 2 3" xfId="27147" xr:uid="{DADAAF39-1753-4664-BB00-A256FBA3CE3B}"/>
    <cellStyle name="Normal 4 2 2 8 3 2 4" xfId="14547" xr:uid="{BFEDBC4C-51DC-489D-AFEF-2749A13AABAB}"/>
    <cellStyle name="Normal 4 2 2 8 3 3" xfId="7000" xr:uid="{7F52BAFA-DE2F-4D6A-BEE8-CD7532851F97}"/>
    <cellStyle name="Normal 4 2 2 8 3 3 2" xfId="26438" xr:uid="{0FDE18EF-223E-4F9E-BB32-181FFF94D91A}"/>
    <cellStyle name="Normal 4 2 2 8 3 3 3" xfId="26749" xr:uid="{B6B9B256-7109-4468-8C1C-C130722DBA2B}"/>
    <cellStyle name="Normal 4 2 2 8 3 3 4" xfId="17380" xr:uid="{2B25E608-5F2C-423F-8C80-1375E2FAA2E4}"/>
    <cellStyle name="Normal 4 2 2 8 3 4" xfId="9833" xr:uid="{08A94F09-7809-4B28-882D-1B0F769EEEBD}"/>
    <cellStyle name="Normal 4 2 2 8 3 4 2" xfId="29421" xr:uid="{F109C8A4-44EC-41D2-92AB-8AC5B9E76DF1}"/>
    <cellStyle name="Normal 4 2 2 8 3 4 3" xfId="20213" xr:uid="{C5866C1F-E534-4979-B683-7A6B8D29D865}"/>
    <cellStyle name="Normal 4 2 2 8 3 5" xfId="22905" xr:uid="{A1855F6E-7621-41E9-B405-D45D8B422CE2}"/>
    <cellStyle name="Normal 4 2 2 8 3 6" xfId="13223" xr:uid="{261B8577-FDAC-4371-A1E3-01F7881F1F22}"/>
    <cellStyle name="Normal 4 2 2 8 4" xfId="2356" xr:uid="{00000000-0005-0000-0000-0000A0050000}"/>
    <cellStyle name="Normal 4 2 2 8 4 2" xfId="7483" xr:uid="{78E28C14-4BF2-45E6-90B6-51A0B78E35A8}"/>
    <cellStyle name="Normal 4 2 2 8 4 2 2" xfId="27648" xr:uid="{5D9CE891-17CD-4AA8-87DC-A95426A137B3}"/>
    <cellStyle name="Normal 4 2 2 8 4 2 3" xfId="17863" xr:uid="{5EA0968A-AC38-4283-8C58-897FF3CD151A}"/>
    <cellStyle name="Normal 4 2 2 8 4 3" xfId="10316" xr:uid="{B156299D-1585-4445-91F5-30774E13C2E2}"/>
    <cellStyle name="Normal 4 2 2 8 4 3 2" xfId="20696" xr:uid="{F3E85103-AE30-4527-A3BE-52C908370154}"/>
    <cellStyle name="Normal 4 2 2 8 4 4" xfId="25494" xr:uid="{1CC4CB99-89F5-432B-B534-392FA34B5B4B}"/>
    <cellStyle name="Normal 4 2 2 8 4 5" xfId="15030" xr:uid="{8CB859D4-7AE7-42E7-8605-196CC4590EC4}"/>
    <cellStyle name="Normal 4 2 2 8 5" xfId="3977" xr:uid="{1CC1E78C-F7DE-4130-A584-0982B132CF8E}"/>
    <cellStyle name="Normal 4 2 2 8 5 2" xfId="8801" xr:uid="{BA955A1A-5670-4FC0-99AD-5A2856B5D440}"/>
    <cellStyle name="Normal 4 2 2 8 5 2 2" xfId="28987" xr:uid="{34079C3E-CB67-4FC5-806A-7653903E694E}"/>
    <cellStyle name="Normal 4 2 2 8 5 2 3" xfId="19181" xr:uid="{44DB25A4-5BF0-40DB-8D02-41DD4CB5D720}"/>
    <cellStyle name="Normal 4 2 2 8 5 3" xfId="11634" xr:uid="{7E0DE244-4DBA-4549-ACCF-6E1DACEE34DD}"/>
    <cellStyle name="Normal 4 2 2 8 5 3 2" xfId="22014" xr:uid="{FF8FDA02-F622-47D5-89FC-F44A0ED0CF69}"/>
    <cellStyle name="Normal 4 2 2 8 5 4" xfId="23983" xr:uid="{37E8991E-E7DC-475D-A227-1F381F3327D3}"/>
    <cellStyle name="Normal 4 2 2 8 5 5" xfId="16348" xr:uid="{2226C1CB-C3F7-4DA7-A464-EC9956605E01}"/>
    <cellStyle name="Normal 4 2 2 8 6" xfId="5247" xr:uid="{872CE609-91EB-4200-84DC-9E4CAEF16719}"/>
    <cellStyle name="Normal 4 2 2 8 6 2" xfId="26521" xr:uid="{E356F0AA-9DB5-42C0-A8A8-D027EA83DE7F}"/>
    <cellStyle name="Normal 4 2 2 8 6 3" xfId="27056" xr:uid="{A4791983-7DC8-4FC4-9115-A49572A6DAB9}"/>
    <cellStyle name="Normal 4 2 2 8 6 4" xfId="14545" xr:uid="{660A899C-A2B3-44D5-A0AE-70E3028FA2FC}"/>
    <cellStyle name="Normal 4 2 2 8 7" xfId="6998" xr:uid="{F5CE00E5-403B-4776-BAF1-667226287A9D}"/>
    <cellStyle name="Normal 4 2 2 8 7 2" xfId="28724" xr:uid="{75DAF2BA-C780-463B-B47B-59D04D56A534}"/>
    <cellStyle name="Normal 4 2 2 8 7 3" xfId="17378" xr:uid="{7BBB0A78-A78B-4E47-A061-57FD249F2CAB}"/>
    <cellStyle name="Normal 4 2 2 8 8" xfId="9831" xr:uid="{3FCAB39E-5391-4F05-990F-45A67FFFFF88}"/>
    <cellStyle name="Normal 4 2 2 8 8 2" xfId="20211" xr:uid="{605D1BF4-2DAB-48AE-AA26-C94C99E2D0C0}"/>
    <cellStyle name="Normal 4 2 2 8 9" xfId="23105" xr:uid="{FA722071-1ED3-40CD-A15E-0F1B6755E765}"/>
    <cellStyle name="Normal 4 2 2 9" xfId="945" xr:uid="{00000000-0005-0000-0000-000063050000}"/>
    <cellStyle name="Normal 4 2 2 9 10" xfId="12583" xr:uid="{DE514E55-F128-4711-B21D-61AFB7B8B980}"/>
    <cellStyle name="Normal 4 2 2 9 2" xfId="3299" xr:uid="{00000000-0005-0000-0000-0000A5050000}"/>
    <cellStyle name="Normal 4 2 2 9 2 2" xfId="6357" xr:uid="{6E4E1E2D-8A1F-4B24-9424-9540C19E367E}"/>
    <cellStyle name="Normal 4 2 2 9 2 2 2" xfId="24063" xr:uid="{45CEF859-7BCD-43A7-9DF0-135D1D6D9722}"/>
    <cellStyle name="Normal 4 2 2 9 2 2 3" xfId="26598" xr:uid="{9106F3BF-F128-4A95-B1CD-60CF1E93C852}"/>
    <cellStyle name="Normal 4 2 2 9 2 2 4" xfId="15926" xr:uid="{594B141C-1131-44FA-9644-D29B5916A6AA}"/>
    <cellStyle name="Normal 4 2 2 9 2 3" xfId="8379" xr:uid="{680DAFC1-10CF-4115-A50B-E062B27340DB}"/>
    <cellStyle name="Normal 4 2 2 9 2 3 2" xfId="27082" xr:uid="{F65F60EC-4525-406B-B346-1CC28797EB54}"/>
    <cellStyle name="Normal 4 2 2 9 2 3 3" xfId="28901" xr:uid="{A099C605-7E55-41EE-943A-37B7A9E230B0}"/>
    <cellStyle name="Normal 4 2 2 9 2 3 4" xfId="18759" xr:uid="{BE8CF6AF-34B7-4897-A3C5-ABCA19E9F174}"/>
    <cellStyle name="Normal 4 2 2 9 2 4" xfId="11212" xr:uid="{4A039120-EAC4-4732-B509-DF19BC2B8961}"/>
    <cellStyle name="Normal 4 2 2 9 2 4 2" xfId="29481" xr:uid="{3EECB917-46C5-426D-B71C-9CAD5E36E357}"/>
    <cellStyle name="Normal 4 2 2 9 2 4 3" xfId="21592" xr:uid="{043FC9C7-426D-49F9-9931-347D933E02D0}"/>
    <cellStyle name="Normal 4 2 2 9 2 5" xfId="23212" xr:uid="{935A0560-C5B2-4465-8504-275C632C1F9F}"/>
    <cellStyle name="Normal 4 2 2 9 2 6" xfId="13855" xr:uid="{F186F80C-532F-4235-A090-3A81DB8588C4}"/>
    <cellStyle name="Normal 4 2 2 9 3" xfId="2762" xr:uid="{00000000-0005-0000-0000-0000A6050000}"/>
    <cellStyle name="Normal 4 2 2 9 3 2" xfId="5980" xr:uid="{2AF29E17-0413-428C-BBF0-234F517D09CF}"/>
    <cellStyle name="Normal 4 2 2 9 3 2 2" xfId="26729" xr:uid="{CBD8DB94-08B9-4486-9B8A-70ABEDF9C196}"/>
    <cellStyle name="Normal 4 2 2 9 3 2 3" xfId="15433" xr:uid="{58F35442-55F3-4803-AFFB-C5B9DA17A21B}"/>
    <cellStyle name="Normal 4 2 2 9 3 3" xfId="7886" xr:uid="{AD2FD54C-B7B0-483B-84C4-9315D79E4958}"/>
    <cellStyle name="Normal 4 2 2 9 3 3 2" xfId="18266" xr:uid="{8E6CD3BB-045E-4361-A340-E92C1684F0E3}"/>
    <cellStyle name="Normal 4 2 2 9 3 4" xfId="10719" xr:uid="{22042846-8DA7-4EFF-AF99-F515EC8385E3}"/>
    <cellStyle name="Normal 4 2 2 9 3 4 2" xfId="21099" xr:uid="{B4348F17-6C32-4A25-BAB2-9572A3923888}"/>
    <cellStyle name="Normal 4 2 2 9 3 5" xfId="24452" xr:uid="{5593175C-5566-4DF7-A66F-443ED8A91F7A}"/>
    <cellStyle name="Normal 4 2 2 9 3 6" xfId="13210" xr:uid="{D542F37B-7C2B-405F-B27E-0A0D239496E8}"/>
    <cellStyle name="Normal 4 2 2 9 4" xfId="2349" xr:uid="{00000000-0005-0000-0000-0000A4050000}"/>
    <cellStyle name="Normal 4 2 2 9 4 2" xfId="7476" xr:uid="{8319465A-71C1-44B2-86C2-66BC9E2147B4}"/>
    <cellStyle name="Normal 4 2 2 9 4 2 2" xfId="28679" xr:uid="{FC39BD23-F123-4A99-81DC-DB5D583C8804}"/>
    <cellStyle name="Normal 4 2 2 9 4 2 3" xfId="17856" xr:uid="{DD2E3797-C5E2-486C-9C3E-C72BADED4EAE}"/>
    <cellStyle name="Normal 4 2 2 9 4 3" xfId="10309" xr:uid="{2202193C-5B0D-41BD-BF6A-D20065EA68DF}"/>
    <cellStyle name="Normal 4 2 2 9 4 3 2" xfId="20689" xr:uid="{E46D9796-DE38-44E1-B95E-34EA2AC7FE65}"/>
    <cellStyle name="Normal 4 2 2 9 4 4" xfId="23962" xr:uid="{E211FAC1-22F6-4376-BF8E-9B6235C4893B}"/>
    <cellStyle name="Normal 4 2 2 9 4 5" xfId="15023" xr:uid="{84A360AA-ACC9-47BE-A916-17EADE44D08D}"/>
    <cellStyle name="Normal 4 2 2 9 5" xfId="3858" xr:uid="{0DFD9279-66F4-49BF-8ABE-BC45BE9D3279}"/>
    <cellStyle name="Normal 4 2 2 9 5 2" xfId="8690" xr:uid="{22B78481-BFA1-4D5C-BE0A-88DA74F04189}"/>
    <cellStyle name="Normal 4 2 2 9 5 2 2" xfId="19070" xr:uid="{D855CF00-E479-4DC7-A6F1-A54F0034438A}"/>
    <cellStyle name="Normal 4 2 2 9 5 3" xfId="11523" xr:uid="{84137D52-6A9A-45E9-822B-5688EA979476}"/>
    <cellStyle name="Normal 4 2 2 9 5 3 2" xfId="21903" xr:uid="{57BCF616-2B4E-42BA-BADD-ED4A680DF9F5}"/>
    <cellStyle name="Normal 4 2 2 9 5 4" xfId="26843" xr:uid="{3833537E-321F-4F08-8CD8-D4323549DA52}"/>
    <cellStyle name="Normal 4 2 2 9 5 5" xfId="16237" xr:uid="{7AD6093B-7B22-41CD-B28E-14C576F4FB21}"/>
    <cellStyle name="Normal 4 2 2 9 6" xfId="5250" xr:uid="{5F5B01DA-BF19-4D3F-9F37-461CE1DBE838}"/>
    <cellStyle name="Normal 4 2 2 9 6 2" xfId="14548" xr:uid="{CD01CB4D-BD54-4DA9-A0D7-6B36D8D57A7B}"/>
    <cellStyle name="Normal 4 2 2 9 7" xfId="7001" xr:uid="{0CE4F7C6-4118-43BE-A668-888ED1884BDB}"/>
    <cellStyle name="Normal 4 2 2 9 7 2" xfId="17381" xr:uid="{75471894-3CE6-4529-BE28-CAA3D6503453}"/>
    <cellStyle name="Normal 4 2 2 9 8" xfId="9834" xr:uid="{E0C65649-4008-44CA-BB86-D5E7ACF05731}"/>
    <cellStyle name="Normal 4 2 2 9 8 2" xfId="20214" xr:uid="{C03B357F-14E5-4DE0-BF16-B52EACF1B891}"/>
    <cellStyle name="Normal 4 2 2 9 9" xfId="24588" xr:uid="{B8116788-610A-4EF1-98E6-02B0A43EF3E3}"/>
    <cellStyle name="Normal 4 2 20" xfId="24905" xr:uid="{7CC5CC8E-A63E-44A8-9265-588E7557C3B6}"/>
    <cellStyle name="Normal 4 2 21" xfId="12390" xr:uid="{DF718B35-7351-4E69-B0D4-B23D8E6301EC}"/>
    <cellStyle name="Normal 4 2 3" xfId="946" xr:uid="{00000000-0005-0000-0000-000064050000}"/>
    <cellStyle name="Normal 4 2 3 10" xfId="5251" xr:uid="{2BD7E16D-467E-4203-BADC-0CC44CE1E35D}"/>
    <cellStyle name="Normal 4 2 3 10 2" xfId="14549" xr:uid="{7E3E2729-B3B9-497B-9C2D-2A6EA9BCF7EF}"/>
    <cellStyle name="Normal 4 2 3 11" xfId="7002" xr:uid="{0F8E82CF-DA38-44A7-9BAB-8EAF0FCC0A4D}"/>
    <cellStyle name="Normal 4 2 3 11 2" xfId="17382" xr:uid="{DE1D59A2-929D-42C0-BC66-443196226E3C}"/>
    <cellStyle name="Normal 4 2 3 12" xfId="9835" xr:uid="{9EED1AAC-1B2A-4562-ACE5-EE2F4E445031}"/>
    <cellStyle name="Normal 4 2 3 12 2" xfId="20215" xr:uid="{5B5515BB-C269-49F4-B6E4-B5A0733E303D}"/>
    <cellStyle name="Normal 4 2 3 13" xfId="24783" xr:uid="{A50685D2-0C11-46DF-A4A3-25F902E1626C}"/>
    <cellStyle name="Normal 4 2 3 14" xfId="12410" xr:uid="{B9A8D04E-3872-4C08-963B-4B8410F1CD3C}"/>
    <cellStyle name="Normal 4 2 3 2" xfId="947" xr:uid="{00000000-0005-0000-0000-000065050000}"/>
    <cellStyle name="Normal 4 2 3 2 10" xfId="7003" xr:uid="{F478E16C-4463-449F-9221-67C12BABAE90}"/>
    <cellStyle name="Normal 4 2 3 2 10 2" xfId="17383" xr:uid="{C78D9F6F-5C52-48CF-B7AA-8014ADBBEB0A}"/>
    <cellStyle name="Normal 4 2 3 2 11" xfId="9836" xr:uid="{E70F5F20-0996-46D8-B0A2-42AC2D61A96F}"/>
    <cellStyle name="Normal 4 2 3 2 11 2" xfId="20216" xr:uid="{2C568235-566C-418C-BCE9-C55DC896AC01}"/>
    <cellStyle name="Normal 4 2 3 2 12" xfId="25210" xr:uid="{50186835-642E-4C8F-BE3D-DA803AC18C20}"/>
    <cellStyle name="Normal 4 2 3 2 13" xfId="12470" xr:uid="{2BC600A7-7EE7-4979-8C49-A434A72939B8}"/>
    <cellStyle name="Normal 4 2 3 2 2" xfId="948" xr:uid="{00000000-0005-0000-0000-000066050000}"/>
    <cellStyle name="Normal 4 2 3 2 2 10" xfId="9837" xr:uid="{01B031BC-6941-4B26-920C-332DEB14A125}"/>
    <cellStyle name="Normal 4 2 3 2 2 10 2" xfId="20217" xr:uid="{2C21B5A5-C225-4DEB-AA3B-DADBCFFE6C9F}"/>
    <cellStyle name="Normal 4 2 3 2 2 11" xfId="23490" xr:uid="{29759637-3DD4-4B69-9EB4-0B6F77170251}"/>
    <cellStyle name="Normal 4 2 3 2 2 12" xfId="12592" xr:uid="{882EF21D-6320-4356-B7D3-F83F9DD7C4F1}"/>
    <cellStyle name="Normal 4 2 3 2 2 2" xfId="2773" xr:uid="{00000000-0005-0000-0000-0000AA050000}"/>
    <cellStyle name="Normal 4 2 3 2 2 2 2" xfId="3301" xr:uid="{00000000-0005-0000-0000-0000AB050000}"/>
    <cellStyle name="Normal 4 2 3 2 2 2 2 2" xfId="6359" xr:uid="{89C8923C-17D9-4D31-A862-C14CE5CDE0D1}"/>
    <cellStyle name="Normal 4 2 3 2 2 2 2 2 2" xfId="27087" xr:uid="{9413C2A7-B792-46C6-B470-36EAB6526A64}"/>
    <cellStyle name="Normal 4 2 3 2 2 2 2 2 3" xfId="27368" xr:uid="{8D83968A-3E50-434B-8AD6-D9FDCBC984C3}"/>
    <cellStyle name="Normal 4 2 3 2 2 2 2 2 4" xfId="15928" xr:uid="{C58D3C4E-58B5-4615-BF7F-AB772A204B50}"/>
    <cellStyle name="Normal 4 2 3 2 2 2 2 3" xfId="8381" xr:uid="{E7C5AB54-797F-4A79-9674-94828B119DB3}"/>
    <cellStyle name="Normal 4 2 3 2 2 2 2 3 2" xfId="28902" xr:uid="{6831838B-07E0-47FC-8E04-3542DE05B01C}"/>
    <cellStyle name="Normal 4 2 3 2 2 2 2 3 3" xfId="18761" xr:uid="{CF0DDA58-F101-49AE-B8A9-46CB315448F3}"/>
    <cellStyle name="Normal 4 2 3 2 2 2 2 4" xfId="11214" xr:uid="{68A94025-047D-46F7-A5BA-D75DB98B96E7}"/>
    <cellStyle name="Normal 4 2 3 2 2 2 2 4 2" xfId="21594" xr:uid="{2C15B6F5-4265-4456-9222-C45B17C039E0}"/>
    <cellStyle name="Normal 4 2 3 2 2 2 2 5" xfId="24684" xr:uid="{C5E5FD7D-6ABB-4102-91D2-EC65BB6FFFD7}"/>
    <cellStyle name="Normal 4 2 3 2 2 2 2 6" xfId="13857" xr:uid="{5C226E65-CF46-4114-8E35-A29BF53894EB}"/>
    <cellStyle name="Normal 4 2 3 2 2 2 3" xfId="4329" xr:uid="{27964B00-F2D5-4596-8451-9BDBD56C8BA5}"/>
    <cellStyle name="Normal 4 2 3 2 2 2 3 2" xfId="9101" xr:uid="{331C5B4E-823D-40A5-9607-5D646183B846}"/>
    <cellStyle name="Normal 4 2 3 2 2 2 3 2 2" xfId="29144" xr:uid="{8B4C61EA-15E4-415C-B554-8D03E2FA2398}"/>
    <cellStyle name="Normal 4 2 3 2 2 2 3 2 3" xfId="19481" xr:uid="{A90DAA79-9986-42C1-AF04-803FAF98A659}"/>
    <cellStyle name="Normal 4 2 3 2 2 2 3 3" xfId="11934" xr:uid="{6AB7CE6B-BE9F-4E5F-9313-B4981AD8D99C}"/>
    <cellStyle name="Normal 4 2 3 2 2 2 3 3 2" xfId="22314" xr:uid="{2D89B00A-FC2B-4D78-9F4A-7403D079C90C}"/>
    <cellStyle name="Normal 4 2 3 2 2 2 3 4" xfId="24018" xr:uid="{0E925F37-F8D0-4034-9A48-975C7D9B5AC4}"/>
    <cellStyle name="Normal 4 2 3 2 2 2 3 5" xfId="16648" xr:uid="{6741DDB6-C341-459C-97DE-702DF4E29657}"/>
    <cellStyle name="Normal 4 2 3 2 2 2 4" xfId="5991" xr:uid="{2C18F543-E27B-44AB-AA06-5A23FBB080E9}"/>
    <cellStyle name="Normal 4 2 3 2 2 2 4 2" xfId="26945" xr:uid="{C72013DD-CCEE-42D1-B77D-D0BB95452F1E}"/>
    <cellStyle name="Normal 4 2 3 2 2 2 4 3" xfId="15444" xr:uid="{0172374D-8479-418D-A352-D52BDF8306D6}"/>
    <cellStyle name="Normal 4 2 3 2 2 2 5" xfId="7897" xr:uid="{BD4BBE6C-17C2-4BAD-9B37-8819241E2577}"/>
    <cellStyle name="Normal 4 2 3 2 2 2 5 2" xfId="18277" xr:uid="{C8293643-2729-45A0-BD7A-83B397918AA0}"/>
    <cellStyle name="Normal 4 2 3 2 2 2 6" xfId="10730" xr:uid="{D6A86BD5-84AE-4B43-BFB3-076C681E8B27}"/>
    <cellStyle name="Normal 4 2 3 2 2 2 6 2" xfId="21110" xr:uid="{75728E5D-5DA3-4043-B9D4-F03ABC5DC432}"/>
    <cellStyle name="Normal 4 2 3 2 2 2 7" xfId="25032" xr:uid="{4321F765-EAF6-481E-A724-328A23CA2969}"/>
    <cellStyle name="Normal 4 2 3 2 2 2 8" xfId="13226" xr:uid="{7904ED2D-EE61-4575-9F4B-C331B77A69FA}"/>
    <cellStyle name="Normal 4 2 3 2 2 3" xfId="3302" xr:uid="{00000000-0005-0000-0000-0000AC050000}"/>
    <cellStyle name="Normal 4 2 3 2 2 3 2" xfId="4515" xr:uid="{6D50011B-C532-44D6-B43D-E87F903FA790}"/>
    <cellStyle name="Normal 4 2 3 2 2 3 2 2" xfId="9287" xr:uid="{8D03004E-54FE-42EA-BBF9-DAC429B21F80}"/>
    <cellStyle name="Normal 4 2 3 2 2 3 2 2 2" xfId="29268" xr:uid="{C3570ED0-8F16-4676-A172-7EB71B59F115}"/>
    <cellStyle name="Normal 4 2 3 2 2 3 2 2 3" xfId="19667" xr:uid="{C83973C4-CA0B-4189-BF9C-4B2DF2D97896}"/>
    <cellStyle name="Normal 4 2 3 2 2 3 2 3" xfId="12120" xr:uid="{B45241BD-47E5-41DD-8F19-D2A2C33AA965}"/>
    <cellStyle name="Normal 4 2 3 2 2 3 2 3 2" xfId="22500" xr:uid="{00B22D51-F239-41D7-93A6-EDFBDBCA48CE}"/>
    <cellStyle name="Normal 4 2 3 2 2 3 2 4" xfId="27016" xr:uid="{ACAC9304-7BC3-4B7A-B5D3-8DDDC874B00D}"/>
    <cellStyle name="Normal 4 2 3 2 2 3 2 5" xfId="16834" xr:uid="{0A25D8D4-2ACB-40B7-9679-7ADBBFEE6610}"/>
    <cellStyle name="Normal 4 2 3 2 2 3 3" xfId="6360" xr:uid="{31E8356A-95F4-4A6F-8EA7-687AD58AFD19}"/>
    <cellStyle name="Normal 4 2 3 2 2 3 3 2" xfId="28321" xr:uid="{636BBC61-C6A5-426B-9BD5-D5F6145FE51D}"/>
    <cellStyle name="Normal 4 2 3 2 2 3 3 3" xfId="15929" xr:uid="{C1A5858E-96D1-4ADF-AFED-1104CA10BD0D}"/>
    <cellStyle name="Normal 4 2 3 2 2 3 4" xfId="8382" xr:uid="{F588F986-11CF-4770-8E5C-3AAFFD6146FC}"/>
    <cellStyle name="Normal 4 2 3 2 2 3 4 2" xfId="18762" xr:uid="{877D9809-B8DD-4D96-BDBB-73B4F76E6343}"/>
    <cellStyle name="Normal 4 2 3 2 2 3 5" xfId="11215" xr:uid="{6C284A0A-0DC0-41B9-AFD7-BB3873B1608C}"/>
    <cellStyle name="Normal 4 2 3 2 2 3 5 2" xfId="21595" xr:uid="{1EB8083D-F766-404A-9589-599184D0F8A6}"/>
    <cellStyle name="Normal 4 2 3 2 2 3 6" xfId="22989" xr:uid="{ABF29836-2AA1-48B7-A366-FE398257733C}"/>
    <cellStyle name="Normal 4 2 3 2 2 3 7" xfId="13858" xr:uid="{37BD2BD6-6E1C-4EA9-821F-99B055D3BA2A}"/>
    <cellStyle name="Normal 4 2 3 2 2 4" xfId="3300" xr:uid="{00000000-0005-0000-0000-0000AD050000}"/>
    <cellStyle name="Normal 4 2 3 2 2 4 2" xfId="6358" xr:uid="{C1E464F8-AD39-4D30-9CFC-7E54408ACAD2}"/>
    <cellStyle name="Normal 4 2 3 2 2 4 2 2" xfId="28148" xr:uid="{895B60BC-4B23-490E-8F89-B62CD9351C4B}"/>
    <cellStyle name="Normal 4 2 3 2 2 4 2 3" xfId="15927" xr:uid="{C3F78B7A-B76F-42F1-A0C8-740D407FEDCB}"/>
    <cellStyle name="Normal 4 2 3 2 2 4 3" xfId="8380" xr:uid="{6FA2E360-57D4-424A-A42E-97DB80382D28}"/>
    <cellStyle name="Normal 4 2 3 2 2 4 3 2" xfId="18760" xr:uid="{8E534455-B4D4-4109-80B2-D739C51C212E}"/>
    <cellStyle name="Normal 4 2 3 2 2 4 4" xfId="11213" xr:uid="{30F27D84-F851-40B0-9D8D-BA613509A3E2}"/>
    <cellStyle name="Normal 4 2 3 2 2 4 4 2" xfId="21593" xr:uid="{6FD68503-E85E-4487-AB1B-B7DF3D8B2CA8}"/>
    <cellStyle name="Normal 4 2 3 2 2 4 5" xfId="24494" xr:uid="{9398B8F6-1C04-4B30-BFD4-86091FC23EB6}"/>
    <cellStyle name="Normal 4 2 3 2 2 4 6" xfId="13856" xr:uid="{AFA105AB-BB52-4C3D-BD2F-99B293002E2D}"/>
    <cellStyle name="Normal 4 2 3 2 2 5" xfId="2646" xr:uid="{00000000-0005-0000-0000-0000AE050000}"/>
    <cellStyle name="Normal 4 2 3 2 2 5 2" xfId="5908" xr:uid="{A3FC01D2-D45A-456E-9AC5-41FF7184AB71}"/>
    <cellStyle name="Normal 4 2 3 2 2 5 2 2" xfId="28291" xr:uid="{168AFBF8-E05A-463D-9143-C9F6C7EEC90D}"/>
    <cellStyle name="Normal 4 2 3 2 2 5 2 3" xfId="15318" xr:uid="{7017F6D0-2B0F-410C-AF05-2E7D82D05083}"/>
    <cellStyle name="Normal 4 2 3 2 2 5 3" xfId="7771" xr:uid="{EC396275-686B-4429-B869-F947FD668551}"/>
    <cellStyle name="Normal 4 2 3 2 2 5 3 2" xfId="18151" xr:uid="{5805ACAA-2B3B-4747-8109-FA18F1B78B4F}"/>
    <cellStyle name="Normal 4 2 3 2 2 5 4" xfId="10604" xr:uid="{5520C602-4FB1-4F6C-980B-28E47F4C9F0D}"/>
    <cellStyle name="Normal 4 2 3 2 2 5 4 2" xfId="20984" xr:uid="{64D02580-9128-44F4-8D2A-A1D7F5788E88}"/>
    <cellStyle name="Normal 4 2 3 2 2 5 5" xfId="24694" xr:uid="{E8B465D9-82D9-4919-811F-327B99579B46}"/>
    <cellStyle name="Normal 4 2 3 2 2 5 6" xfId="13035" xr:uid="{AA6CA743-EE39-466F-B850-6BC8A8B217C6}"/>
    <cellStyle name="Normal 4 2 3 2 2 6" xfId="2358" xr:uid="{00000000-0005-0000-0000-0000A9050000}"/>
    <cellStyle name="Normal 4 2 3 2 2 6 2" xfId="7485" xr:uid="{140F805A-541E-43C4-951D-18A360B72EC2}"/>
    <cellStyle name="Normal 4 2 3 2 2 6 2 2" xfId="17865" xr:uid="{6B0A4DE7-4013-4690-A577-A913A2F03A51}"/>
    <cellStyle name="Normal 4 2 3 2 2 6 3" xfId="10318" xr:uid="{1A9B45D9-F693-4EDD-A7FC-60EABD2FDB3F}"/>
    <cellStyle name="Normal 4 2 3 2 2 6 3 2" xfId="20698" xr:uid="{B208B857-17A3-4C04-A607-D312BE9DF30A}"/>
    <cellStyle name="Normal 4 2 3 2 2 6 4" xfId="24044" xr:uid="{24AB5370-DA9D-4625-959B-D5A0319939BC}"/>
    <cellStyle name="Normal 4 2 3 2 2 6 5" xfId="15032" xr:uid="{E66AFB57-8F73-4358-A693-4779C3AE1A89}"/>
    <cellStyle name="Normal 4 2 3 2 2 7" xfId="3895" xr:uid="{201BE687-BFB5-471C-A6BF-20D48642CE65}"/>
    <cellStyle name="Normal 4 2 3 2 2 7 2" xfId="8727" xr:uid="{6B7A5A98-A6EE-4599-91CD-E248789F73D3}"/>
    <cellStyle name="Normal 4 2 3 2 2 7 2 2" xfId="19107" xr:uid="{28446D4C-D83B-4EF5-99AE-7D201A018481}"/>
    <cellStyle name="Normal 4 2 3 2 2 7 3" xfId="11560" xr:uid="{5E360618-2024-470E-8639-5E6E01524EF8}"/>
    <cellStyle name="Normal 4 2 3 2 2 7 3 2" xfId="21940" xr:uid="{38436333-B084-437E-89B5-61DA0343ED2B}"/>
    <cellStyle name="Normal 4 2 3 2 2 7 4" xfId="16274" xr:uid="{E4A4DB8E-6B8E-494C-B7EE-57E61DD45AFC}"/>
    <cellStyle name="Normal 4 2 3 2 2 8" xfId="5253" xr:uid="{A0D37A58-A5CE-4436-A5BA-AA581978EEF0}"/>
    <cellStyle name="Normal 4 2 3 2 2 8 2" xfId="14551" xr:uid="{E92DD833-C60D-4522-B768-1B23C313C5C1}"/>
    <cellStyle name="Normal 4 2 3 2 2 9" xfId="7004" xr:uid="{A1A12B1C-79E2-4292-A8DF-9E447994414D}"/>
    <cellStyle name="Normal 4 2 3 2 2 9 2" xfId="17384" xr:uid="{08055018-930A-4323-A1B6-7CA228461C3D}"/>
    <cellStyle name="Normal 4 2 3 2 3" xfId="949" xr:uid="{00000000-0005-0000-0000-000067050000}"/>
    <cellStyle name="Normal 4 2 3 2 3 2" xfId="3303" xr:uid="{00000000-0005-0000-0000-0000B0050000}"/>
    <cellStyle name="Normal 4 2 3 2 3 2 2" xfId="6361" xr:uid="{1DC87285-0E28-413E-8C88-23F2F54535AE}"/>
    <cellStyle name="Normal 4 2 3 2 3 2 2 2" xfId="28334" xr:uid="{F131C03A-78F1-4AA3-803E-095AC8C2BCE5}"/>
    <cellStyle name="Normal 4 2 3 2 3 2 2 3" xfId="28340" xr:uid="{F15967C9-914A-40B1-AE8D-3A04A5D89435}"/>
    <cellStyle name="Normal 4 2 3 2 3 2 2 4" xfId="15930" xr:uid="{A0E735FF-EF44-431E-8F4A-5BEA4BBE314F}"/>
    <cellStyle name="Normal 4 2 3 2 3 2 3" xfId="8383" xr:uid="{0D16436B-43B1-4701-AE20-562C8D2723FA}"/>
    <cellStyle name="Normal 4 2 3 2 3 2 3 2" xfId="28903" xr:uid="{DC4F5CF2-0BCB-475F-8754-C18E7002E24E}"/>
    <cellStyle name="Normal 4 2 3 2 3 2 3 3" xfId="18763" xr:uid="{EB8A1894-2ECB-4438-B172-0D5CC3623BCE}"/>
    <cellStyle name="Normal 4 2 3 2 3 2 4" xfId="11216" xr:uid="{8AA50733-FEA7-44DA-A0D2-249F1802EE85}"/>
    <cellStyle name="Normal 4 2 3 2 3 2 4 2" xfId="21596" xr:uid="{AD49165A-94CF-4684-A9E8-62561DFC9419}"/>
    <cellStyle name="Normal 4 2 3 2 3 2 5" xfId="22870" xr:uid="{002A3DE3-8149-4791-9736-8E2B5599730A}"/>
    <cellStyle name="Normal 4 2 3 2 3 2 6" xfId="13859" xr:uid="{58D514D3-D6F4-41FF-B495-C30AA68E8D35}"/>
    <cellStyle name="Normal 4 2 3 2 3 3" xfId="2772" xr:uid="{00000000-0005-0000-0000-0000B1050000}"/>
    <cellStyle name="Normal 4 2 3 2 3 3 2" xfId="5990" xr:uid="{8EDC80F3-BB18-4116-839C-24DC107942DB}"/>
    <cellStyle name="Normal 4 2 3 2 3 3 2 2" xfId="26261" xr:uid="{867E8E3F-0666-4250-8DB7-7B567C4BCF8A}"/>
    <cellStyle name="Normal 4 2 3 2 3 3 2 3" xfId="15443" xr:uid="{51B34A18-73E8-4CC0-8B49-CCB35097E2D7}"/>
    <cellStyle name="Normal 4 2 3 2 3 3 3" xfId="7896" xr:uid="{56C41649-7049-4178-8B09-EA4F8628B3FF}"/>
    <cellStyle name="Normal 4 2 3 2 3 3 3 2" xfId="18276" xr:uid="{73B3F451-57B1-4100-BC37-6E7BF8770B14}"/>
    <cellStyle name="Normal 4 2 3 2 3 3 4" xfId="10729" xr:uid="{9E0578E9-AC8C-442E-8BBD-318D8230F97F}"/>
    <cellStyle name="Normal 4 2 3 2 3 3 4 2" xfId="21109" xr:uid="{A455727F-EC3B-477D-AA65-D9F9B6D3A6D7}"/>
    <cellStyle name="Normal 4 2 3 2 3 3 5" xfId="23976" xr:uid="{71D7DFB1-FD17-45FC-9DAF-7EEBC8A1FDF0}"/>
    <cellStyle name="Normal 4 2 3 2 3 3 6" xfId="13225" xr:uid="{0125291F-2C52-47D9-B6FF-93F5D4843EBA}"/>
    <cellStyle name="Normal 4 2 3 2 3 4" xfId="4186" xr:uid="{1DEFBAE0-A0A3-432C-A9F0-42580848E4E3}"/>
    <cellStyle name="Normal 4 2 3 2 3 4 2" xfId="8958" xr:uid="{2CE25E94-B24F-47E3-B36F-915FC78AF815}"/>
    <cellStyle name="Normal 4 2 3 2 3 4 2 2" xfId="29046" xr:uid="{56B3A386-38B6-4496-A9F5-076351356B47}"/>
    <cellStyle name="Normal 4 2 3 2 3 4 2 3" xfId="19338" xr:uid="{52C3D09E-D789-46D0-AF42-8DADEA265E27}"/>
    <cellStyle name="Normal 4 2 3 2 3 4 3" xfId="11791" xr:uid="{E4AA35A6-6AA7-4362-9E90-6C2936F3F133}"/>
    <cellStyle name="Normal 4 2 3 2 3 4 3 2" xfId="22171" xr:uid="{EF60385F-7448-4608-871D-B3FFAF694B51}"/>
    <cellStyle name="Normal 4 2 3 2 3 4 4" xfId="24949" xr:uid="{A4C522DF-B142-4EDE-8BF4-D44C81DAD4B8}"/>
    <cellStyle name="Normal 4 2 3 2 3 4 5" xfId="16505" xr:uid="{66085C31-CC84-4EB7-AB8A-120650E692A0}"/>
    <cellStyle name="Normal 4 2 3 2 3 5" xfId="5254" xr:uid="{9CEF59E5-F63B-43F6-8764-B25EF6C72324}"/>
    <cellStyle name="Normal 4 2 3 2 3 5 2" xfId="26862" xr:uid="{D0D7369A-B1F8-49C2-BF13-4CE12D00315A}"/>
    <cellStyle name="Normal 4 2 3 2 3 5 3" xfId="14552" xr:uid="{407CB54E-EC64-446F-8A2E-79F52CB746A4}"/>
    <cellStyle name="Normal 4 2 3 2 3 6" xfId="7005" xr:uid="{D036AE8A-60CC-4471-B10D-D2D5F097C2E2}"/>
    <cellStyle name="Normal 4 2 3 2 3 6 2" xfId="17385" xr:uid="{312546B7-C2EE-4F4D-9E26-9827A40EDFC1}"/>
    <cellStyle name="Normal 4 2 3 2 3 7" xfId="9838" xr:uid="{9E5AA68B-6EF3-4A19-B637-4A7F39B6DD8A}"/>
    <cellStyle name="Normal 4 2 3 2 3 7 2" xfId="20218" xr:uid="{BF15622C-D1C2-4A1D-913D-74CA0331F1F5}"/>
    <cellStyle name="Normal 4 2 3 2 3 8" xfId="25281" xr:uid="{D1F3FED7-DA20-4543-9147-972C7FD1A832}"/>
    <cellStyle name="Normal 4 2 3 2 3 9" xfId="12750" xr:uid="{A7A86424-DB42-45CE-9B3C-4830D0D72C9E}"/>
    <cellStyle name="Normal 4 2 3 2 4" xfId="3304" xr:uid="{00000000-0005-0000-0000-0000B2050000}"/>
    <cellStyle name="Normal 4 2 3 2 4 2" xfId="4516" xr:uid="{CC245521-A2AC-4403-9DBB-2B958F5DD097}"/>
    <cellStyle name="Normal 4 2 3 2 4 2 2" xfId="9288" xr:uid="{08FDC34A-6A5C-4A47-8F82-5B4324C8952A}"/>
    <cellStyle name="Normal 4 2 3 2 4 2 2 2" xfId="29269" xr:uid="{F55B0AE7-0F44-4986-B904-EB5A6313EDFA}"/>
    <cellStyle name="Normal 4 2 3 2 4 2 2 3" xfId="19668" xr:uid="{D7C76DF2-C637-432C-A52F-A79C20205DCE}"/>
    <cellStyle name="Normal 4 2 3 2 4 2 3" xfId="12121" xr:uid="{C904939E-AA7A-4366-B7AE-0EC5A39F67DE}"/>
    <cellStyle name="Normal 4 2 3 2 4 2 3 2" xfId="22501" xr:uid="{E01C7A6A-D51A-41E0-9D6A-16388F585402}"/>
    <cellStyle name="Normal 4 2 3 2 4 2 4" xfId="23346" xr:uid="{8BD4559B-4551-4936-92B9-C1B49A254CE3}"/>
    <cellStyle name="Normal 4 2 3 2 4 2 5" xfId="16835" xr:uid="{A66A5541-0154-492A-A1DF-3DEB613431E2}"/>
    <cellStyle name="Normal 4 2 3 2 4 3" xfId="6362" xr:uid="{EFA12493-F5FD-40B4-922B-403F198A4304}"/>
    <cellStyle name="Normal 4 2 3 2 4 3 2" xfId="26371" xr:uid="{6821BBD7-193D-49E1-A55A-C90B2C39E0B1}"/>
    <cellStyle name="Normal 4 2 3 2 4 3 3" xfId="15931" xr:uid="{1225C357-DC62-4259-90D6-E17258668A84}"/>
    <cellStyle name="Normal 4 2 3 2 4 4" xfId="8384" xr:uid="{C8CC2FE3-0278-4EBA-A280-6ECBA6B8B0A2}"/>
    <cellStyle name="Normal 4 2 3 2 4 4 2" xfId="18764" xr:uid="{B3567CBE-B310-4F26-A778-B9771B386D27}"/>
    <cellStyle name="Normal 4 2 3 2 4 5" xfId="11217" xr:uid="{1BB41705-20E0-409C-BD64-ABB46268D385}"/>
    <cellStyle name="Normal 4 2 3 2 4 5 2" xfId="21597" xr:uid="{BDFBD6A6-3646-4816-935F-631C49FCFD95}"/>
    <cellStyle name="Normal 4 2 3 2 4 6" xfId="24826" xr:uid="{AE3AA3E4-9541-4B09-9F86-C5D934D3E664}"/>
    <cellStyle name="Normal 4 2 3 2 4 7" xfId="13860" xr:uid="{72206FC7-0B96-4509-889B-0E5EF82238B5}"/>
    <cellStyle name="Normal 4 2 3 2 5" xfId="2932" xr:uid="{00000000-0005-0000-0000-0000B3050000}"/>
    <cellStyle name="Normal 4 2 3 2 5 2" xfId="6112" xr:uid="{EF13CB29-EC77-4A1D-88AE-CAE52F2FC3B3}"/>
    <cellStyle name="Normal 4 2 3 2 5 2 2" xfId="28661" xr:uid="{7FDDA227-0F7C-4717-8083-31E3C4B59D6B}"/>
    <cellStyle name="Normal 4 2 3 2 5 2 3" xfId="27366" xr:uid="{F83B9E79-4EF2-4F17-8A88-6CB3A0D6F5C5}"/>
    <cellStyle name="Normal 4 2 3 2 5 2 4" xfId="15590" xr:uid="{53CFB214-7340-4827-9A6F-BDE0BF13CBB9}"/>
    <cellStyle name="Normal 4 2 3 2 5 3" xfId="8043" xr:uid="{347405AE-F7E2-4DD0-BA1B-F9A73032B4C7}"/>
    <cellStyle name="Normal 4 2 3 2 5 3 2" xfId="28306" xr:uid="{75F39DE5-DF17-4FE6-AF6E-915A60CB5CC9}"/>
    <cellStyle name="Normal 4 2 3 2 5 3 3" xfId="18423" xr:uid="{1FFD5126-76AE-472E-A6C8-2CD846D10A2E}"/>
    <cellStyle name="Normal 4 2 3 2 5 4" xfId="10876" xr:uid="{A21240A8-3425-459D-AF7A-C9D596F96081}"/>
    <cellStyle name="Normal 4 2 3 2 5 4 2" xfId="21256" xr:uid="{0B0B6316-5ECB-4927-A0F0-F4C72259B9D7}"/>
    <cellStyle name="Normal 4 2 3 2 5 5" xfId="24258" xr:uid="{B62637BC-DF2E-4927-89BE-19F4E21E80B3}"/>
    <cellStyle name="Normal 4 2 3 2 5 6" xfId="13448" xr:uid="{00C74991-E7D3-4282-85AC-90BD2FEBBDC3}"/>
    <cellStyle name="Normal 4 2 3 2 6" xfId="2544" xr:uid="{00000000-0005-0000-0000-0000B4050000}"/>
    <cellStyle name="Normal 4 2 3 2 6 2" xfId="5816" xr:uid="{293E0C98-CA98-4DC3-95C7-2B18B15748A0}"/>
    <cellStyle name="Normal 4 2 3 2 6 2 2" xfId="26774" xr:uid="{9A034F82-9F94-4ECB-859C-CEA7A0663522}"/>
    <cellStyle name="Normal 4 2 3 2 6 2 3" xfId="15216" xr:uid="{8760C568-CBB1-4F6B-93C2-E327735E125D}"/>
    <cellStyle name="Normal 4 2 3 2 6 3" xfId="7669" xr:uid="{ECD6D6BF-7F36-4DC7-9056-51D43448CFF4}"/>
    <cellStyle name="Normal 4 2 3 2 6 3 2" xfId="18049" xr:uid="{EDC4F534-B97F-4705-BBC8-F6DFD30BAFE9}"/>
    <cellStyle name="Normal 4 2 3 2 6 4" xfId="10502" xr:uid="{B8CB40EC-3BE5-425D-B580-8F666E98AC96}"/>
    <cellStyle name="Normal 4 2 3 2 6 4 2" xfId="20882" xr:uid="{FE33DD13-8CD9-453C-9183-1343E8CB61AB}"/>
    <cellStyle name="Normal 4 2 3 2 6 5" xfId="22678" xr:uid="{EB2771FF-83DB-4BE8-A70D-8195FE8EBA09}"/>
    <cellStyle name="Normal 4 2 3 2 6 6" xfId="12932" xr:uid="{D8998256-A5DA-4B45-ADDC-1254E901F31A}"/>
    <cellStyle name="Normal 4 2 3 2 7" xfId="2238" xr:uid="{00000000-0005-0000-0000-0000A8050000}"/>
    <cellStyle name="Normal 4 2 3 2 7 2" xfId="7365" xr:uid="{8972484A-F219-462A-B65C-E92E4BCE5B24}"/>
    <cellStyle name="Normal 4 2 3 2 7 2 2" xfId="17745" xr:uid="{5400C91C-C59A-4A59-BFAE-AD35B9953A4B}"/>
    <cellStyle name="Normal 4 2 3 2 7 3" xfId="10198" xr:uid="{1834C5A4-DF54-4ACD-B293-AA63E8F7B8A8}"/>
    <cellStyle name="Normal 4 2 3 2 7 3 2" xfId="20578" xr:uid="{4EFD0C23-D13F-4498-9E25-5DFA90E608A0}"/>
    <cellStyle name="Normal 4 2 3 2 7 4" xfId="25079" xr:uid="{2AC24674-5A1C-4C89-9E80-72D1B23C7B66}"/>
    <cellStyle name="Normal 4 2 3 2 7 5" xfId="14912" xr:uid="{D54D9855-96DB-4DFE-9369-CBFBE4A30470}"/>
    <cellStyle name="Normal 4 2 3 2 8" xfId="3979" xr:uid="{46C4FFC8-6B57-4E1D-9AB5-47E04C856F6C}"/>
    <cellStyle name="Normal 4 2 3 2 8 2" xfId="8803" xr:uid="{4249F5BD-5F3F-4FD7-9E7A-C74EFE76F35D}"/>
    <cellStyle name="Normal 4 2 3 2 8 2 2" xfId="19183" xr:uid="{BAF09C08-6348-4832-B716-BB9E0DEEF79D}"/>
    <cellStyle name="Normal 4 2 3 2 8 3" xfId="11636" xr:uid="{CF34461F-5565-4C10-9587-05B8EA19FE1E}"/>
    <cellStyle name="Normal 4 2 3 2 8 3 2" xfId="22016" xr:uid="{20FCD6BC-C0B5-4954-B835-407699632997}"/>
    <cellStyle name="Normal 4 2 3 2 8 4" xfId="16350" xr:uid="{16C5E8BC-4143-47D9-9547-8053EA412692}"/>
    <cellStyle name="Normal 4 2 3 2 9" xfId="5252" xr:uid="{C4DC83C7-5871-4468-8486-F18B902F0D8C}"/>
    <cellStyle name="Normal 4 2 3 2 9 2" xfId="14550" xr:uid="{06E05F03-E05C-4EE0-B763-08078DB2805A}"/>
    <cellStyle name="Normal 4 2 3 3" xfId="950" xr:uid="{00000000-0005-0000-0000-000068050000}"/>
    <cellStyle name="Normal 4 2 3 3 10" xfId="9839" xr:uid="{25EC58C3-493E-406E-9427-BDB78C0B423E}"/>
    <cellStyle name="Normal 4 2 3 3 10 2" xfId="20219" xr:uid="{58AA0474-729E-4792-A811-73D61CB923D0}"/>
    <cellStyle name="Normal 4 2 3 3 11" xfId="24420" xr:uid="{E5DA6052-0696-452F-B06B-5C15C8DF8469}"/>
    <cellStyle name="Normal 4 2 3 3 12" xfId="12591" xr:uid="{3473E772-2AF7-46BA-A18B-3FBEDCDF24EE}"/>
    <cellStyle name="Normal 4 2 3 3 2" xfId="2774" xr:uid="{00000000-0005-0000-0000-0000B6050000}"/>
    <cellStyle name="Normal 4 2 3 3 2 2" xfId="3306" xr:uid="{00000000-0005-0000-0000-0000B7050000}"/>
    <cellStyle name="Normal 4 2 3 3 2 2 2" xfId="6364" xr:uid="{1CD81F59-7311-4C80-8F59-FA3959D45C6D}"/>
    <cellStyle name="Normal 4 2 3 3 2 2 2 2" xfId="26838" xr:uid="{729D81C3-FBFE-4689-A24D-F8590F273366}"/>
    <cellStyle name="Normal 4 2 3 3 2 2 2 3" xfId="26512" xr:uid="{A3A5386B-1A73-44F3-83F4-93626DC275F4}"/>
    <cellStyle name="Normal 4 2 3 3 2 2 2 4" xfId="15933" xr:uid="{00B7F0D6-92A1-4ED3-92F7-88BA358D614F}"/>
    <cellStyle name="Normal 4 2 3 3 2 2 3" xfId="8386" xr:uid="{748B9053-2A21-47A1-984C-38961D1872F4}"/>
    <cellStyle name="Normal 4 2 3 3 2 2 3 2" xfId="28904" xr:uid="{5852EDAE-9229-44E9-9A01-E6402EBC8D99}"/>
    <cellStyle name="Normal 4 2 3 3 2 2 3 3" xfId="18766" xr:uid="{27E3F9E4-1B75-4C4B-AA8D-3A9730581E47}"/>
    <cellStyle name="Normal 4 2 3 3 2 2 4" xfId="11219" xr:uid="{EA7DAFF5-A74A-426B-8108-9FB71F75132A}"/>
    <cellStyle name="Normal 4 2 3 3 2 2 4 2" xfId="21599" xr:uid="{7EDEEF2A-3542-4197-8FD6-9FA4B3BC94A7}"/>
    <cellStyle name="Normal 4 2 3 3 2 2 5" xfId="24426" xr:uid="{621059D3-C646-4807-9D3C-53A7E5B31D1B}"/>
    <cellStyle name="Normal 4 2 3 3 2 2 6" xfId="13862" xr:uid="{CEAF4B72-FBA7-454E-8D40-FD66885426E4}"/>
    <cellStyle name="Normal 4 2 3 3 2 3" xfId="4330" xr:uid="{05CAFDE6-C50A-4589-AD93-6071FC671BE7}"/>
    <cellStyle name="Normal 4 2 3 3 2 3 2" xfId="9102" xr:uid="{53504C1E-5403-49B7-885A-7F774A86E723}"/>
    <cellStyle name="Normal 4 2 3 3 2 3 2 2" xfId="29145" xr:uid="{221F318D-85CC-436E-B3FC-9C23CB56A426}"/>
    <cellStyle name="Normal 4 2 3 3 2 3 2 3" xfId="19482" xr:uid="{7AA7ABA4-CF2E-4DC2-9BFB-C7D2BBBE2E34}"/>
    <cellStyle name="Normal 4 2 3 3 2 3 3" xfId="11935" xr:uid="{855938AF-DA06-4CBF-8344-B869F971499C}"/>
    <cellStyle name="Normal 4 2 3 3 2 3 3 2" xfId="22315" xr:uid="{DCE2DCA2-3880-4FDD-A21B-992878DB8C8C}"/>
    <cellStyle name="Normal 4 2 3 3 2 3 4" xfId="24631" xr:uid="{31BFE68F-5225-47AC-B413-6F9B1FA70CB6}"/>
    <cellStyle name="Normal 4 2 3 3 2 3 5" xfId="16649" xr:uid="{C8E3014B-3479-4810-A4B6-11EFC4FC6373}"/>
    <cellStyle name="Normal 4 2 3 3 2 4" xfId="5992" xr:uid="{4A083A20-F2B9-4B42-9C6C-2B5F9C35C786}"/>
    <cellStyle name="Normal 4 2 3 3 2 4 2" xfId="28530" xr:uid="{6509E96D-230F-4003-8AFF-B9FDDB608DA4}"/>
    <cellStyle name="Normal 4 2 3 3 2 4 3" xfId="15445" xr:uid="{6C00E0FF-7983-403D-ADDB-8492E9A85854}"/>
    <cellStyle name="Normal 4 2 3 3 2 5" xfId="7898" xr:uid="{FA3EA1E6-DF14-446C-8C6A-7F6484382840}"/>
    <cellStyle name="Normal 4 2 3 3 2 5 2" xfId="18278" xr:uid="{C88802F8-DB09-441A-8344-7FFE42018A16}"/>
    <cellStyle name="Normal 4 2 3 3 2 6" xfId="10731" xr:uid="{D226724E-27D9-46CA-8390-7EF0A1056DF1}"/>
    <cellStyle name="Normal 4 2 3 3 2 6 2" xfId="21111" xr:uid="{D4B45722-41BB-4EB2-87B5-9BF3F3D98ADA}"/>
    <cellStyle name="Normal 4 2 3 3 2 7" xfId="23778" xr:uid="{72E4F31F-6C76-4827-B67C-DE9FFF561400}"/>
    <cellStyle name="Normal 4 2 3 3 2 8" xfId="13227" xr:uid="{10621F8B-1202-4589-B35D-FC72626CA259}"/>
    <cellStyle name="Normal 4 2 3 3 3" xfId="3307" xr:uid="{00000000-0005-0000-0000-0000B8050000}"/>
    <cellStyle name="Normal 4 2 3 3 3 2" xfId="4517" xr:uid="{6A4DCA90-A371-4656-9F2C-A2BDC2A6E07E}"/>
    <cellStyle name="Normal 4 2 3 3 3 2 2" xfId="9289" xr:uid="{6696BC9B-BBBD-4529-A2F4-FA8F579DD210}"/>
    <cellStyle name="Normal 4 2 3 3 3 2 2 2" xfId="29270" xr:uid="{E1FBAC63-15C8-410D-A466-36AF06B1ABAB}"/>
    <cellStyle name="Normal 4 2 3 3 3 2 2 3" xfId="19669" xr:uid="{5ED27F23-74DC-4247-875C-17F5FF39ACD8}"/>
    <cellStyle name="Normal 4 2 3 3 3 2 3" xfId="12122" xr:uid="{70A5F0E8-F95E-43FC-A12A-136F0DCD80A2}"/>
    <cellStyle name="Normal 4 2 3 3 3 2 3 2" xfId="22502" xr:uid="{5C352434-C6EA-430B-BB36-DE50FA1E7877}"/>
    <cellStyle name="Normal 4 2 3 3 3 2 4" xfId="25766" xr:uid="{5D5807B8-C6E2-4DDA-8FB4-D0E1EAD322A2}"/>
    <cellStyle name="Normal 4 2 3 3 3 2 5" xfId="16836" xr:uid="{E457555B-79B1-4831-A149-E9AD6EBAD87E}"/>
    <cellStyle name="Normal 4 2 3 3 3 3" xfId="6365" xr:uid="{D742FCCB-FC4F-41F2-BB18-70C256890AC6}"/>
    <cellStyle name="Normal 4 2 3 3 3 3 2" xfId="28739" xr:uid="{FB0F97AE-4E29-46C0-9017-9E207224AAF9}"/>
    <cellStyle name="Normal 4 2 3 3 3 3 3" xfId="15934" xr:uid="{B8B4A67E-5B91-47B3-8FEB-6941B5C87163}"/>
    <cellStyle name="Normal 4 2 3 3 3 4" xfId="8387" xr:uid="{6160E50C-8FB4-4FCC-BCCC-76AAA6C492E0}"/>
    <cellStyle name="Normal 4 2 3 3 3 4 2" xfId="18767" xr:uid="{13F72318-6A94-4295-83EA-AD682ED409AB}"/>
    <cellStyle name="Normal 4 2 3 3 3 5" xfId="11220" xr:uid="{A367C1C9-3790-43E4-8419-1CC1DE1B226C}"/>
    <cellStyle name="Normal 4 2 3 3 3 5 2" xfId="21600" xr:uid="{EAA6C400-7A9E-40E3-A705-620CD434DCBF}"/>
    <cellStyle name="Normal 4 2 3 3 3 6" xfId="22746" xr:uid="{E1F60546-EC14-433B-9FDD-85E285577137}"/>
    <cellStyle name="Normal 4 2 3 3 3 7" xfId="13863" xr:uid="{D936FFB1-B32F-4448-955D-C731B03C3AE5}"/>
    <cellStyle name="Normal 4 2 3 3 4" xfId="3305" xr:uid="{00000000-0005-0000-0000-0000B9050000}"/>
    <cellStyle name="Normal 4 2 3 3 4 2" xfId="6363" xr:uid="{30C827C5-2CB7-4BC0-BFD5-76805C33FFE3}"/>
    <cellStyle name="Normal 4 2 3 3 4 2 2" xfId="26649" xr:uid="{02E9A7EC-19AB-41B7-81E7-5CC820E9A12C}"/>
    <cellStyle name="Normal 4 2 3 3 4 2 3" xfId="15932" xr:uid="{3F283C22-AD3C-4861-B3F9-958A11C50E18}"/>
    <cellStyle name="Normal 4 2 3 3 4 3" xfId="8385" xr:uid="{BA647B05-0B4A-478B-A3C2-83934F5B1711}"/>
    <cellStyle name="Normal 4 2 3 3 4 3 2" xfId="18765" xr:uid="{2DA0F929-F647-4B86-BDA4-3941F920FF48}"/>
    <cellStyle name="Normal 4 2 3 3 4 4" xfId="11218" xr:uid="{314E0CC9-533F-4CE4-90BB-D31C8E9329D9}"/>
    <cellStyle name="Normal 4 2 3 3 4 4 2" xfId="21598" xr:uid="{1EA1C35A-8471-4577-B748-62F55A1B3D00}"/>
    <cellStyle name="Normal 4 2 3 3 4 5" xfId="25458" xr:uid="{73B82462-F451-4208-880C-A1F4B204F064}"/>
    <cellStyle name="Normal 4 2 3 3 4 6" xfId="13861" xr:uid="{E7BD0201-9B39-48E2-9735-4501A70B220C}"/>
    <cellStyle name="Normal 4 2 3 3 5" xfId="2587" xr:uid="{00000000-0005-0000-0000-0000BA050000}"/>
    <cellStyle name="Normal 4 2 3 3 5 2" xfId="5852" xr:uid="{8600F437-F318-40A9-853F-30090BC6E1B0}"/>
    <cellStyle name="Normal 4 2 3 3 5 2 2" xfId="28345" xr:uid="{02921BA6-4E50-482B-9BD4-81F5B53598B8}"/>
    <cellStyle name="Normal 4 2 3 3 5 2 3" xfId="15259" xr:uid="{18221306-AFAC-4DA7-B87A-9C58515CB900}"/>
    <cellStyle name="Normal 4 2 3 3 5 3" xfId="7712" xr:uid="{5F2B10FC-B0EA-42A9-9A6A-313FFA47B160}"/>
    <cellStyle name="Normal 4 2 3 3 5 3 2" xfId="18092" xr:uid="{88A28A0F-5B43-43B2-8BDD-3EE9879C34E4}"/>
    <cellStyle name="Normal 4 2 3 3 5 4" xfId="10545" xr:uid="{A1424A49-014E-4746-A827-C11BAA5DE421}"/>
    <cellStyle name="Normal 4 2 3 3 5 4 2" xfId="20925" xr:uid="{C4B02CBA-BBA7-446F-9367-3CABF4C2E6A1}"/>
    <cellStyle name="Normal 4 2 3 3 5 5" xfId="25528" xr:uid="{283AA715-620D-45CA-8179-4D82E62BE102}"/>
    <cellStyle name="Normal 4 2 3 3 5 6" xfId="12975" xr:uid="{BA51BFBE-5042-4DFB-8D87-728311F73588}"/>
    <cellStyle name="Normal 4 2 3 3 6" xfId="2357" xr:uid="{00000000-0005-0000-0000-0000B5050000}"/>
    <cellStyle name="Normal 4 2 3 3 6 2" xfId="7484" xr:uid="{CFCE80E9-BE88-44D5-94F3-67D08275F55A}"/>
    <cellStyle name="Normal 4 2 3 3 6 2 2" xfId="17864" xr:uid="{8B93EE89-852A-4CEA-A44F-44CE7F43AFFC}"/>
    <cellStyle name="Normal 4 2 3 3 6 3" xfId="10317" xr:uid="{42D561D3-C464-42ED-B3E6-9BD5E46FBCE1}"/>
    <cellStyle name="Normal 4 2 3 3 6 3 2" xfId="20697" xr:uid="{2F9CC1EE-1342-43F7-A6F0-B696DB089CA9}"/>
    <cellStyle name="Normal 4 2 3 3 6 4" xfId="23179" xr:uid="{CF85037C-BA88-49FF-94D5-224F9ACE17E7}"/>
    <cellStyle name="Normal 4 2 3 3 6 5" xfId="15031" xr:uid="{524619C0-8F27-4B96-ADCA-377414F4603C}"/>
    <cellStyle name="Normal 4 2 3 3 7" xfId="3894" xr:uid="{9FA658B2-0CD2-44BB-93CB-908D10C28D28}"/>
    <cellStyle name="Normal 4 2 3 3 7 2" xfId="8726" xr:uid="{0027EAC9-44D8-40A9-B4C2-10D13AE413C5}"/>
    <cellStyle name="Normal 4 2 3 3 7 2 2" xfId="19106" xr:uid="{B2C7124D-EEFF-4D90-9921-5B7E5FF6CB40}"/>
    <cellStyle name="Normal 4 2 3 3 7 3" xfId="11559" xr:uid="{85C81E62-23DD-4DBB-90AF-911629682FB0}"/>
    <cellStyle name="Normal 4 2 3 3 7 3 2" xfId="21939" xr:uid="{747F3EE8-D18B-4691-AF48-12BF0211BB3A}"/>
    <cellStyle name="Normal 4 2 3 3 7 4" xfId="16273" xr:uid="{B4975713-7DDF-4D95-A163-79EEBF40DD73}"/>
    <cellStyle name="Normal 4 2 3 3 8" xfId="5255" xr:uid="{C825A153-7A6F-448C-BD12-5CD9A2172765}"/>
    <cellStyle name="Normal 4 2 3 3 8 2" xfId="14553" xr:uid="{6FF81324-D179-4090-971F-FA778C240155}"/>
    <cellStyle name="Normal 4 2 3 3 9" xfId="7006" xr:uid="{0F80BCE5-D41C-4C50-9E02-DC90E42D3A42}"/>
    <cellStyle name="Normal 4 2 3 3 9 2" xfId="17386" xr:uid="{9DB66723-671B-4FA2-82E4-F01D3F77FABC}"/>
    <cellStyle name="Normal 4 2 3 4" xfId="951" xr:uid="{00000000-0005-0000-0000-000069050000}"/>
    <cellStyle name="Normal 4 2 3 4 2" xfId="3308" xr:uid="{00000000-0005-0000-0000-0000BC050000}"/>
    <cellStyle name="Normal 4 2 3 4 2 2" xfId="6366" xr:uid="{15885116-FA71-4A90-A75B-3F076EA644CD}"/>
    <cellStyle name="Normal 4 2 3 4 2 2 2" xfId="23393" xr:uid="{66009578-905B-4570-A71A-3FD44C5C0E5C}"/>
    <cellStyle name="Normal 4 2 3 4 2 2 3" xfId="26051" xr:uid="{F3B831F5-176A-4CB0-B3CF-DF8EA10CC7D8}"/>
    <cellStyle name="Normal 4 2 3 4 2 2 4" xfId="15935" xr:uid="{2F9AD8D0-D03E-4CD9-9C68-0AC8D31E95B6}"/>
    <cellStyle name="Normal 4 2 3 4 2 3" xfId="8388" xr:uid="{7764CF8C-0268-4BB4-972C-E444BCA261A8}"/>
    <cellStyle name="Normal 4 2 3 4 2 3 2" xfId="28905" xr:uid="{D36AFA7C-32FB-4232-A06E-892CD04B86A6}"/>
    <cellStyle name="Normal 4 2 3 4 2 3 3" xfId="18768" xr:uid="{8D9D8AA9-35A1-4D8D-88E4-9F8EEDB17C57}"/>
    <cellStyle name="Normal 4 2 3 4 2 4" xfId="11221" xr:uid="{9EFA8B02-449A-49EC-A945-AD1EE6AB5C80}"/>
    <cellStyle name="Normal 4 2 3 4 2 4 2" xfId="21601" xr:uid="{EB21F535-F292-4B26-A798-028930C99D81}"/>
    <cellStyle name="Normal 4 2 3 4 2 5" xfId="23072" xr:uid="{F8FFBBA4-8152-47B0-9D71-FEA29ABDAEAE}"/>
    <cellStyle name="Normal 4 2 3 4 2 6" xfId="13864" xr:uid="{21A75129-1CE7-427E-8DF6-1A9767C2842D}"/>
    <cellStyle name="Normal 4 2 3 4 3" xfId="2771" xr:uid="{00000000-0005-0000-0000-0000BD050000}"/>
    <cellStyle name="Normal 4 2 3 4 3 2" xfId="5989" xr:uid="{E2680F38-B585-4DC0-B2C6-9A27103D3997}"/>
    <cellStyle name="Normal 4 2 3 4 3 2 2" xfId="26824" xr:uid="{18882200-BFC7-42E2-88CF-85BD31EEE036}"/>
    <cellStyle name="Normal 4 2 3 4 3 2 3" xfId="15442" xr:uid="{38C3E382-4FB3-4F4C-B2DB-ED232731AE46}"/>
    <cellStyle name="Normal 4 2 3 4 3 3" xfId="7895" xr:uid="{41E82A28-46F4-449C-BD43-86E81CD4F6E1}"/>
    <cellStyle name="Normal 4 2 3 4 3 3 2" xfId="18275" xr:uid="{781466C1-8E2B-4D70-A405-474B6799E0AE}"/>
    <cellStyle name="Normal 4 2 3 4 3 4" xfId="10728" xr:uid="{FF171E7E-21DD-4186-BFA0-C0FDC4F1D159}"/>
    <cellStyle name="Normal 4 2 3 4 3 4 2" xfId="21108" xr:uid="{A88CFF59-1E1E-4C8D-9D05-B6D999DB226E}"/>
    <cellStyle name="Normal 4 2 3 4 3 5" xfId="22892" xr:uid="{74F1C319-2A39-4A13-BD63-641BD69B3F50}"/>
    <cellStyle name="Normal 4 2 3 4 3 6" xfId="13224" xr:uid="{35154037-21B1-4EFD-9FE0-89D44781CB67}"/>
    <cellStyle name="Normal 4 2 3 4 4" xfId="4185" xr:uid="{677A8D55-C78B-4372-9CCE-17A940B9914E}"/>
    <cellStyle name="Normal 4 2 3 4 4 2" xfId="8957" xr:uid="{7E885884-59BB-4B78-B243-9D257FF8CC04}"/>
    <cellStyle name="Normal 4 2 3 4 4 2 2" xfId="29045" xr:uid="{61A6C1D5-8F16-4CC6-9D49-5014EC7A95B3}"/>
    <cellStyle name="Normal 4 2 3 4 4 2 3" xfId="19337" xr:uid="{406E4F20-38A8-478E-82AB-991C1FDD3868}"/>
    <cellStyle name="Normal 4 2 3 4 4 3" xfId="11790" xr:uid="{DA45C73A-14CB-473A-9D6C-EBAFC3F9EDD8}"/>
    <cellStyle name="Normal 4 2 3 4 4 3 2" xfId="22170" xr:uid="{0D04C51E-441E-4B20-B961-65F8017070B8}"/>
    <cellStyle name="Normal 4 2 3 4 4 4" xfId="24708" xr:uid="{2261FEC8-4A5A-4445-9FE4-C5A480F122B5}"/>
    <cellStyle name="Normal 4 2 3 4 4 5" xfId="16504" xr:uid="{214CB978-CEDA-4045-A914-8AAF6B152B01}"/>
    <cellStyle name="Normal 4 2 3 4 5" xfId="5256" xr:uid="{6B7659AE-173E-427E-80E3-F83930005EB9}"/>
    <cellStyle name="Normal 4 2 3 4 5 2" xfId="26197" xr:uid="{C4CD90A9-9AC9-4AAA-9DD5-66469D0F5C02}"/>
    <cellStyle name="Normal 4 2 3 4 5 3" xfId="14554" xr:uid="{CA229418-26F0-4924-99F4-B7745655967E}"/>
    <cellStyle name="Normal 4 2 3 4 6" xfId="7007" xr:uid="{4A190C7E-CA6F-4FDD-9C9D-9E6AF75E39F4}"/>
    <cellStyle name="Normal 4 2 3 4 6 2" xfId="17387" xr:uid="{8BCECC1B-C486-4F49-AAEA-FE27C8A84A4A}"/>
    <cellStyle name="Normal 4 2 3 4 7" xfId="9840" xr:uid="{6B4666AB-6BD3-45FE-988D-A4432552852B}"/>
    <cellStyle name="Normal 4 2 3 4 7 2" xfId="20220" xr:uid="{2AB87C0F-0D72-46BE-B503-049391DECB0B}"/>
    <cellStyle name="Normal 4 2 3 4 8" xfId="24045" xr:uid="{8496056C-5F7A-4783-BE4F-4D1CDE1E88A8}"/>
    <cellStyle name="Normal 4 2 3 4 9" xfId="12749" xr:uid="{D879B53D-03A7-421F-926A-7C7F27CFB1EB}"/>
    <cellStyle name="Normal 4 2 3 5" xfId="952" xr:uid="{00000000-0005-0000-0000-00006A050000}"/>
    <cellStyle name="Normal 4 2 3 5 2" xfId="4518" xr:uid="{4656EF47-2BD5-4483-8BFA-04B1850E55AE}"/>
    <cellStyle name="Normal 4 2 3 5 2 2" xfId="9290" xr:uid="{2B386E9D-B1B9-4E1D-BA7C-01B1EDFB051A}"/>
    <cellStyle name="Normal 4 2 3 5 2 2 2" xfId="29271" xr:uid="{A7637314-6F51-4FED-819F-042454F4C41F}"/>
    <cellStyle name="Normal 4 2 3 5 2 2 3" xfId="19670" xr:uid="{51701C86-A7D7-4F9C-9536-1B7BA0A22FD5}"/>
    <cellStyle name="Normal 4 2 3 5 2 3" xfId="12123" xr:uid="{573B4A00-59BC-47E7-B6BB-4C2F67C2A1F4}"/>
    <cellStyle name="Normal 4 2 3 5 2 3 2" xfId="22503" xr:uid="{30C8EF28-C1F2-4282-981B-CD5A597746E1}"/>
    <cellStyle name="Normal 4 2 3 5 2 4" xfId="24715" xr:uid="{2A754CB1-007A-4F5B-91B5-EED4802A381E}"/>
    <cellStyle name="Normal 4 2 3 5 2 5" xfId="16837" xr:uid="{4FF1ABBF-2E9E-42E5-8193-FC78B514B1B4}"/>
    <cellStyle name="Normal 4 2 3 5 3" xfId="5257" xr:uid="{0F54D9FF-DC19-49A4-8495-82236AB0606A}"/>
    <cellStyle name="Normal 4 2 3 5 3 2" xfId="27585" xr:uid="{525EDE61-2BC9-4F10-B427-4CE0CD04B50F}"/>
    <cellStyle name="Normal 4 2 3 5 3 3" xfId="14555" xr:uid="{35796630-1041-4014-9D5A-87EB276C3477}"/>
    <cellStyle name="Normal 4 2 3 5 4" xfId="7008" xr:uid="{8CF81234-63BF-40BF-9EA6-1CDFD899DB31}"/>
    <cellStyle name="Normal 4 2 3 5 4 2" xfId="17388" xr:uid="{BA189343-9CA4-4276-9188-1B3B861D1F3B}"/>
    <cellStyle name="Normal 4 2 3 5 5" xfId="9841" xr:uid="{1D591E55-031E-4F44-B24C-F11C9D68E9B2}"/>
    <cellStyle name="Normal 4 2 3 5 5 2" xfId="20221" xr:uid="{8E5CDEBF-5808-4D1C-90FB-14AA86F96FA6}"/>
    <cellStyle name="Normal 4 2 3 5 6" xfId="23040" xr:uid="{E2B3C8B6-91D6-4008-8B66-921D62637234}"/>
    <cellStyle name="Normal 4 2 3 5 7" xfId="13865" xr:uid="{14965001-C387-42B6-836B-8AFE06586FE5}"/>
    <cellStyle name="Normal 4 2 3 6" xfId="2931" xr:uid="{00000000-0005-0000-0000-0000BF050000}"/>
    <cellStyle name="Normal 4 2 3 6 2" xfId="6111" xr:uid="{446165BE-328B-44C8-BC15-FB79F76ED3D9}"/>
    <cellStyle name="Normal 4 2 3 6 2 2" xfId="25665" xr:uid="{83A359C9-2336-419C-AED0-B1E6C7ADE2E8}"/>
    <cellStyle name="Normal 4 2 3 6 2 3" xfId="28261" xr:uid="{B0AD0ECD-F641-4279-B08F-41B1D1038CE9}"/>
    <cellStyle name="Normal 4 2 3 6 2 4" xfId="15589" xr:uid="{0E0ED630-CABF-4DD8-ABA9-CEF30DFEA6BF}"/>
    <cellStyle name="Normal 4 2 3 6 3" xfId="8042" xr:uid="{FDEF862E-B81A-41E9-8BE9-99343B878974}"/>
    <cellStyle name="Normal 4 2 3 6 3 2" xfId="26107" xr:uid="{C978C064-4C7E-4CED-9004-622384883182}"/>
    <cellStyle name="Normal 4 2 3 6 3 3" xfId="18422" xr:uid="{D90FBCF7-0408-4492-8E8B-05AC1B94A270}"/>
    <cellStyle name="Normal 4 2 3 6 4" xfId="10875" xr:uid="{6BC091B2-B780-4BC4-A5AF-BA3A2D12F4F8}"/>
    <cellStyle name="Normal 4 2 3 6 4 2" xfId="21255" xr:uid="{05D21080-D7B8-4B54-9613-D0E1C1F22DD4}"/>
    <cellStyle name="Normal 4 2 3 6 5" xfId="24677" xr:uid="{38FC6B86-80D9-4670-960F-8730C0CFC4C4}"/>
    <cellStyle name="Normal 4 2 3 6 6" xfId="13447" xr:uid="{16A609A2-FE49-43CB-BB3E-F2262B30A475}"/>
    <cellStyle name="Normal 4 2 3 7" xfId="2484" xr:uid="{00000000-0005-0000-0000-0000C0050000}"/>
    <cellStyle name="Normal 4 2 3 7 2" xfId="5770" xr:uid="{F4A12FC9-BED2-42A5-BCFE-7B22AB063CA7}"/>
    <cellStyle name="Normal 4 2 3 7 2 2" xfId="28123" xr:uid="{2E024300-D0E0-41D1-91A3-3749EA92F464}"/>
    <cellStyle name="Normal 4 2 3 7 2 3" xfId="15156" xr:uid="{5FDF95AF-F9CB-4C85-8ED8-1E7BFACCB765}"/>
    <cellStyle name="Normal 4 2 3 7 3" xfId="7609" xr:uid="{F335C29A-EA68-4417-BE03-E7024A1ADE71}"/>
    <cellStyle name="Normal 4 2 3 7 3 2" xfId="17989" xr:uid="{CDE19C8D-7B38-483D-B4BF-2E34F83D91F9}"/>
    <cellStyle name="Normal 4 2 3 7 4" xfId="10442" xr:uid="{C0DFBBA3-8AC1-44DE-941A-9074A9D381B9}"/>
    <cellStyle name="Normal 4 2 3 7 4 2" xfId="20822" xr:uid="{08D247D1-525B-4DBB-9278-847036D3334D}"/>
    <cellStyle name="Normal 4 2 3 7 5" xfId="22676" xr:uid="{E59BC248-21DD-4CA6-8C42-120C4A42E3D2}"/>
    <cellStyle name="Normal 4 2 3 7 6" xfId="12872" xr:uid="{0914C74F-D3F8-4A3C-8F28-E02E0FA47CA2}"/>
    <cellStyle name="Normal 4 2 3 8" xfId="2178" xr:uid="{00000000-0005-0000-0000-0000A7050000}"/>
    <cellStyle name="Normal 4 2 3 8 2" xfId="7305" xr:uid="{EF585BE3-52CF-4A9C-B6EB-C56CD98A4930}"/>
    <cellStyle name="Normal 4 2 3 8 2 2" xfId="17685" xr:uid="{05F10ABB-C7A8-4DAF-B37D-4495F74C9B2E}"/>
    <cellStyle name="Normal 4 2 3 8 3" xfId="10138" xr:uid="{17119CE7-9826-4EB9-A82D-A92672FF273E}"/>
    <cellStyle name="Normal 4 2 3 8 3 2" xfId="20518" xr:uid="{90BBE726-0B56-42FB-963E-A2DB570C4DAC}"/>
    <cellStyle name="Normal 4 2 3 8 4" xfId="24122" xr:uid="{6A19462F-AFFE-4E51-9668-9EDB2B36017B}"/>
    <cellStyle name="Normal 4 2 3 8 5" xfId="14852" xr:uid="{EED6880F-F7E4-4B99-8530-CBEB91354EB0}"/>
    <cellStyle name="Normal 4 2 3 9" xfId="3978" xr:uid="{7818914E-813A-42B3-A95F-7A98C3EB8C89}"/>
    <cellStyle name="Normal 4 2 3 9 2" xfId="8802" xr:uid="{5B3B7504-11EE-438E-99B2-7CC4C7B6A29C}"/>
    <cellStyle name="Normal 4 2 3 9 2 2" xfId="19182" xr:uid="{EB5EC1D6-71C1-4505-B131-A9764C468763}"/>
    <cellStyle name="Normal 4 2 3 9 3" xfId="11635" xr:uid="{0231D9F0-98E3-48FE-A32C-E5F266DB8F08}"/>
    <cellStyle name="Normal 4 2 3 9 3 2" xfId="22015" xr:uid="{02F3A305-D4E3-402F-A954-D00A09EA835A}"/>
    <cellStyle name="Normal 4 2 3 9 4" xfId="16349" xr:uid="{15FFFFCF-8FC4-4468-AC0B-775E7AB98BF2}"/>
    <cellStyle name="Normal 4 2 4" xfId="953" xr:uid="{00000000-0005-0000-0000-00006B050000}"/>
    <cellStyle name="Normal 4 2 4 10" xfId="5258" xr:uid="{92557A2A-6922-415A-915C-DC7EBA6DC24E}"/>
    <cellStyle name="Normal 4 2 4 10 2" xfId="14556" xr:uid="{4DA1E953-C235-4F77-811B-235A94CD7C1C}"/>
    <cellStyle name="Normal 4 2 4 11" xfId="7009" xr:uid="{E287E4C4-88A8-4146-9B3E-DEAB030FA39B}"/>
    <cellStyle name="Normal 4 2 4 11 2" xfId="17389" xr:uid="{5D3E21C3-6CB3-4E3A-9BDF-15A54915CED8}"/>
    <cellStyle name="Normal 4 2 4 12" xfId="9842" xr:uid="{53F88A13-5143-45C1-8FE3-AA389BB93023}"/>
    <cellStyle name="Normal 4 2 4 12 2" xfId="20222" xr:uid="{DFEBD4B4-3DC5-4B4C-AC56-D72D0D9DC9F6}"/>
    <cellStyle name="Normal 4 2 4 13" xfId="25127" xr:uid="{914E5B49-75AF-4E14-8809-E53FB4E312D0}"/>
    <cellStyle name="Normal 4 2 4 14" xfId="12416" xr:uid="{4EC55601-18DD-4A6B-ABFF-18BC1EB06292}"/>
    <cellStyle name="Normal 4 2 4 2" xfId="954" xr:uid="{00000000-0005-0000-0000-00006C050000}"/>
    <cellStyle name="Normal 4 2 4 2 10" xfId="7010" xr:uid="{1B33CC15-95FC-4B88-B900-A5A070CDF8CE}"/>
    <cellStyle name="Normal 4 2 4 2 10 2" xfId="17390" xr:uid="{D9C72AD7-7534-4359-8C9D-EC3093305EF7}"/>
    <cellStyle name="Normal 4 2 4 2 11" xfId="9843" xr:uid="{327F9A4D-7C9F-4596-A209-3C53C77B10F7}"/>
    <cellStyle name="Normal 4 2 4 2 11 2" xfId="20223" xr:uid="{ED97466E-5897-48B5-A257-A8C01C9B7D3D}"/>
    <cellStyle name="Normal 4 2 4 2 12" xfId="25405" xr:uid="{7BE420BF-B3C3-49CC-8877-309657D14EC0}"/>
    <cellStyle name="Normal 4 2 4 2 13" xfId="12476" xr:uid="{9AAAE6D2-BDFE-4D25-A37D-C614586DC883}"/>
    <cellStyle name="Normal 4 2 4 2 2" xfId="955" xr:uid="{00000000-0005-0000-0000-00006D050000}"/>
    <cellStyle name="Normal 4 2 4 2 2 10" xfId="13041" xr:uid="{0518ADBA-EAE1-44C9-BD9C-5C095DBC040B}"/>
    <cellStyle name="Normal 4 2 4 2 2 2" xfId="2777" xr:uid="{00000000-0005-0000-0000-0000C4050000}"/>
    <cellStyle name="Normal 4 2 4 2 2 2 2" xfId="3311" xr:uid="{00000000-0005-0000-0000-0000C5050000}"/>
    <cellStyle name="Normal 4 2 4 2 2 2 2 2" xfId="6369" xr:uid="{F7F46212-965D-443A-BC2B-8EF3D4E7B6E4}"/>
    <cellStyle name="Normal 4 2 4 2 2 2 2 2 2" xfId="28489" xr:uid="{F27A126C-BAC6-4865-B2A7-C59E5C630FC1}"/>
    <cellStyle name="Normal 4 2 4 2 2 2 2 2 3" xfId="15938" xr:uid="{CF796483-6C59-458A-B0D3-CF3607D2D278}"/>
    <cellStyle name="Normal 4 2 4 2 2 2 2 3" xfId="8391" xr:uid="{02B35389-3627-4F92-8F2E-F4E26D2545B4}"/>
    <cellStyle name="Normal 4 2 4 2 2 2 2 3 2" xfId="18771" xr:uid="{72A46A02-D935-4C9F-A630-70B89D1277EA}"/>
    <cellStyle name="Normal 4 2 4 2 2 2 2 4" xfId="11224" xr:uid="{D6261DBD-B929-4065-B8D2-98236B18BA5D}"/>
    <cellStyle name="Normal 4 2 4 2 2 2 2 4 2" xfId="21604" xr:uid="{E0D20DC9-2DD0-47EB-8B99-FA7962417642}"/>
    <cellStyle name="Normal 4 2 4 2 2 2 2 5" xfId="25287" xr:uid="{79B17386-25AF-4533-BB2D-E27F54B6F6C9}"/>
    <cellStyle name="Normal 4 2 4 2 2 2 2 6" xfId="13868" xr:uid="{F35C7E5F-69FA-446D-9166-6E3F72F158FB}"/>
    <cellStyle name="Normal 4 2 4 2 2 2 3" xfId="4332" xr:uid="{962AEA59-F20B-410D-B9C7-AE0EB4985D35}"/>
    <cellStyle name="Normal 4 2 4 2 2 2 3 2" xfId="9104" xr:uid="{D6825B2B-352F-463F-BF6B-9A946D68C952}"/>
    <cellStyle name="Normal 4 2 4 2 2 2 3 2 2" xfId="29147" xr:uid="{748526D6-91CD-4708-BEEB-DF016A2128D5}"/>
    <cellStyle name="Normal 4 2 4 2 2 2 3 2 3" xfId="19484" xr:uid="{32966831-1FDA-4A3F-A819-3B84E1552744}"/>
    <cellStyle name="Normal 4 2 4 2 2 2 3 3" xfId="11937" xr:uid="{4E76D198-2015-488C-8EDD-AECFC07D6198}"/>
    <cellStyle name="Normal 4 2 4 2 2 2 3 3 2" xfId="22317" xr:uid="{C7D158B7-F744-434B-A515-35CADF5090FC}"/>
    <cellStyle name="Normal 4 2 4 2 2 2 3 4" xfId="23288" xr:uid="{24CDC4A8-6E19-4F8C-B89D-82F45A458965}"/>
    <cellStyle name="Normal 4 2 4 2 2 2 3 5" xfId="16651" xr:uid="{746A0C6C-721F-41CB-B94D-A0F160F2C2B5}"/>
    <cellStyle name="Normal 4 2 4 2 2 2 4" xfId="5995" xr:uid="{0C60D263-E577-4612-B43C-D2384F51FA2A}"/>
    <cellStyle name="Normal 4 2 4 2 2 2 4 2" xfId="27101" xr:uid="{D3ED555A-8C77-4222-A8A7-6D61AB6ADC8B}"/>
    <cellStyle name="Normal 4 2 4 2 2 2 4 3" xfId="15448" xr:uid="{C1BE2F4E-2212-42A8-BC0B-9788EA180924}"/>
    <cellStyle name="Normal 4 2 4 2 2 2 5" xfId="7901" xr:uid="{BAECB433-03CF-4A94-8327-A5F1E50AC443}"/>
    <cellStyle name="Normal 4 2 4 2 2 2 5 2" xfId="18281" xr:uid="{AF4AACD1-6E5C-4C26-9158-465C893271F8}"/>
    <cellStyle name="Normal 4 2 4 2 2 2 6" xfId="10734" xr:uid="{7579DA1D-51EB-403F-8267-0189AEB5DC1D}"/>
    <cellStyle name="Normal 4 2 4 2 2 2 6 2" xfId="21114" xr:uid="{0E774EBC-C085-4829-821B-A528B72D724D}"/>
    <cellStyle name="Normal 4 2 4 2 2 2 7" xfId="24084" xr:uid="{73281CDE-EC60-44AC-A9D4-25E152DFDF7D}"/>
    <cellStyle name="Normal 4 2 4 2 2 2 8" xfId="13230" xr:uid="{65423134-FD4E-4F49-A63E-35B75C1BC091}"/>
    <cellStyle name="Normal 4 2 4 2 2 3" xfId="3312" xr:uid="{00000000-0005-0000-0000-0000C6050000}"/>
    <cellStyle name="Normal 4 2 4 2 2 3 2" xfId="4519" xr:uid="{8785A69D-3EE6-4D8B-93FB-1937C1B62C27}"/>
    <cellStyle name="Normal 4 2 4 2 2 3 2 2" xfId="9291" xr:uid="{0CE73404-82F4-45BB-A3C1-EE240E66AF64}"/>
    <cellStyle name="Normal 4 2 4 2 2 3 2 2 2" xfId="19671" xr:uid="{2D31876F-5C19-471D-9CB3-84A3016DE877}"/>
    <cellStyle name="Normal 4 2 4 2 2 3 2 3" xfId="12124" xr:uid="{EF807780-426F-4880-BB7D-7F818E4480F2}"/>
    <cellStyle name="Normal 4 2 4 2 2 3 2 3 2" xfId="22504" xr:uid="{64838BF5-17B6-4C61-A36B-832640FF7334}"/>
    <cellStyle name="Normal 4 2 4 2 2 3 2 4" xfId="26546" xr:uid="{2F8CD3E1-4934-4E26-9941-D6217A646EDC}"/>
    <cellStyle name="Normal 4 2 4 2 2 3 2 5" xfId="16838" xr:uid="{4B27BEDA-DFE1-4D06-81F0-214FA72DD545}"/>
    <cellStyle name="Normal 4 2 4 2 2 3 3" xfId="6370" xr:uid="{DE2B9C1A-7D2C-4E97-A9E9-FA07BA1D056A}"/>
    <cellStyle name="Normal 4 2 4 2 2 3 3 2" xfId="15939" xr:uid="{037C1F9C-AFAD-4BFD-8509-067930C5B2E5}"/>
    <cellStyle name="Normal 4 2 4 2 2 3 4" xfId="8392" xr:uid="{93F7310A-E24F-470B-865E-8F0FA2BDF80A}"/>
    <cellStyle name="Normal 4 2 4 2 2 3 4 2" xfId="18772" xr:uid="{0FE431C9-DEA2-4068-B33E-F71B35EA269A}"/>
    <cellStyle name="Normal 4 2 4 2 2 3 5" xfId="11225" xr:uid="{FA16BA0A-8D55-44C9-AD70-122FC48F14CE}"/>
    <cellStyle name="Normal 4 2 4 2 2 3 5 2" xfId="21605" xr:uid="{B37FAB07-9E6E-42DD-B067-BBB4D564F671}"/>
    <cellStyle name="Normal 4 2 4 2 2 3 6" xfId="23424" xr:uid="{D1976568-D927-41C7-9358-2AD2A9196E78}"/>
    <cellStyle name="Normal 4 2 4 2 2 3 7" xfId="13869" xr:uid="{4370A27A-01EB-48DE-B0CC-5E8DBC2BEFDC}"/>
    <cellStyle name="Normal 4 2 4 2 2 4" xfId="3310" xr:uid="{00000000-0005-0000-0000-0000C7050000}"/>
    <cellStyle name="Normal 4 2 4 2 2 4 2" xfId="6368" xr:uid="{7A44404F-AA80-4570-8CDB-9231464368EF}"/>
    <cellStyle name="Normal 4 2 4 2 2 4 2 2" xfId="26932" xr:uid="{B273AB90-00EF-4FBF-BE01-C8EBF67866F2}"/>
    <cellStyle name="Normal 4 2 4 2 2 4 2 3" xfId="15937" xr:uid="{28CB331E-9E5B-4D0F-988F-3C4F109C63F6}"/>
    <cellStyle name="Normal 4 2 4 2 2 4 3" xfId="8390" xr:uid="{0172FC6E-FC4E-4F13-96F8-1607BE35AEEB}"/>
    <cellStyle name="Normal 4 2 4 2 2 4 3 2" xfId="18770" xr:uid="{76737887-7890-46BC-B264-607C3D6E499B}"/>
    <cellStyle name="Normal 4 2 4 2 2 4 4" xfId="11223" xr:uid="{2D578303-F774-4DB9-A7CD-9CDC432616E6}"/>
    <cellStyle name="Normal 4 2 4 2 2 4 4 2" xfId="21603" xr:uid="{47EFD2C0-9AE5-4458-A1E1-8046DAB75A2C}"/>
    <cellStyle name="Normal 4 2 4 2 2 4 5" xfId="24015" xr:uid="{F2A8BBA6-C5D5-49B6-B0DC-99C672104553}"/>
    <cellStyle name="Normal 4 2 4 2 2 4 6" xfId="13867" xr:uid="{F836A739-A2AB-4BB8-AAF8-5D4AF36B6200}"/>
    <cellStyle name="Normal 4 2 4 2 2 5" xfId="4242" xr:uid="{080A2A35-79CB-43D1-BE90-8CDF17E2F6E3}"/>
    <cellStyle name="Normal 4 2 4 2 2 5 2" xfId="9014" xr:uid="{DAAFFD7E-0CCD-49A9-942D-210CFCF066B2}"/>
    <cellStyle name="Normal 4 2 4 2 2 5 2 2" xfId="29085" xr:uid="{042BA6CC-D052-4310-B171-689D1E606A0D}"/>
    <cellStyle name="Normal 4 2 4 2 2 5 2 3" xfId="19394" xr:uid="{4822A939-ABCE-45AB-A315-428FFFB8BB69}"/>
    <cellStyle name="Normal 4 2 4 2 2 5 3" xfId="11847" xr:uid="{683F1369-E79F-46C0-AD14-15C0B0BC8D4C}"/>
    <cellStyle name="Normal 4 2 4 2 2 5 3 2" xfId="22227" xr:uid="{E5817707-8332-443A-9A27-C6DE16A5E818}"/>
    <cellStyle name="Normal 4 2 4 2 2 5 4" xfId="23877" xr:uid="{1E86306A-C4AE-4B58-9D5C-ECBA812BB9EE}"/>
    <cellStyle name="Normal 4 2 4 2 2 5 5" xfId="16561" xr:uid="{6867C43A-9BE3-4D83-AF41-2B08BA695F8D}"/>
    <cellStyle name="Normal 4 2 4 2 2 6" xfId="5260" xr:uid="{926A9510-1618-4DE8-AE32-0C9D5C1DC7BA}"/>
    <cellStyle name="Normal 4 2 4 2 2 6 2" xfId="28023" xr:uid="{C920E4B9-51D9-4B10-BFEB-0E9B2B6DD5B0}"/>
    <cellStyle name="Normal 4 2 4 2 2 6 3" xfId="14558" xr:uid="{E0B42F2F-9A83-450B-BFD0-BE9F73EBE884}"/>
    <cellStyle name="Normal 4 2 4 2 2 7" xfId="7011" xr:uid="{9C06AE77-04AE-4BE3-B528-0CD51FE2D7DA}"/>
    <cellStyle name="Normal 4 2 4 2 2 7 2" xfId="17391" xr:uid="{0D9F1507-2644-4F0F-AF87-7E6471B57AD0}"/>
    <cellStyle name="Normal 4 2 4 2 2 8" xfId="9844" xr:uid="{3BB55576-924D-46BE-B9A0-A56BE8FCAD76}"/>
    <cellStyle name="Normal 4 2 4 2 2 8 2" xfId="20224" xr:uid="{ACE81BFD-BC41-493A-B7C4-C130180CB59F}"/>
    <cellStyle name="Normal 4 2 4 2 2 9" xfId="23719" xr:uid="{D3D4FF7D-323D-45D6-90EF-54DD0DC62D32}"/>
    <cellStyle name="Normal 4 2 4 2 3" xfId="2776" xr:uid="{00000000-0005-0000-0000-0000C8050000}"/>
    <cellStyle name="Normal 4 2 4 2 3 2" xfId="3313" xr:uid="{00000000-0005-0000-0000-0000C9050000}"/>
    <cellStyle name="Normal 4 2 4 2 3 2 2" xfId="6371" xr:uid="{3034CCE6-2921-4E19-B6FD-B1D298CB8E59}"/>
    <cellStyle name="Normal 4 2 4 2 3 2 2 2" xfId="27620" xr:uid="{225BA693-0DA8-4F0B-A53B-B11194CFE94D}"/>
    <cellStyle name="Normal 4 2 4 2 3 2 2 3" xfId="15940" xr:uid="{FF16E160-FC3D-464B-B18D-4D3E46F71D68}"/>
    <cellStyle name="Normal 4 2 4 2 3 2 3" xfId="8393" xr:uid="{8FB1FC54-74E8-4DA3-8655-887DA7849E99}"/>
    <cellStyle name="Normal 4 2 4 2 3 2 3 2" xfId="18773" xr:uid="{550E4618-083D-477F-86F6-4039DA182DE9}"/>
    <cellStyle name="Normal 4 2 4 2 3 2 4" xfId="11226" xr:uid="{2FF5B702-1560-46AD-BB2C-45570E0258DF}"/>
    <cellStyle name="Normal 4 2 4 2 3 2 4 2" xfId="21606" xr:uid="{AC194AAA-EE0A-4439-93ED-269F8CCCABC7}"/>
    <cellStyle name="Normal 4 2 4 2 3 2 5" xfId="22673" xr:uid="{6623DC24-859C-4C35-A09A-414CDFD69DB4}"/>
    <cellStyle name="Normal 4 2 4 2 3 2 6" xfId="13870" xr:uid="{BDE09925-C603-461C-94CB-8A7B94EF6F41}"/>
    <cellStyle name="Normal 4 2 4 2 3 3" xfId="4331" xr:uid="{812642AA-2F67-4D04-9730-19298251B28E}"/>
    <cellStyle name="Normal 4 2 4 2 3 3 2" xfId="9103" xr:uid="{30592C62-F469-4BB5-A47B-645FDFC4B6BF}"/>
    <cellStyle name="Normal 4 2 4 2 3 3 2 2" xfId="29146" xr:uid="{A43D4E21-EA3A-4B0C-8483-C847C1CCF7CF}"/>
    <cellStyle name="Normal 4 2 4 2 3 3 2 3" xfId="19483" xr:uid="{FFE8A291-82FB-4590-9360-9D10B30EBE60}"/>
    <cellStyle name="Normal 4 2 4 2 3 3 3" xfId="11936" xr:uid="{11B5E0CA-C911-41C9-8225-BB28855B304D}"/>
    <cellStyle name="Normal 4 2 4 2 3 3 3 2" xfId="22316" xr:uid="{D0D9BE2E-E845-408F-A1FE-0975102FD49A}"/>
    <cellStyle name="Normal 4 2 4 2 3 3 4" xfId="22891" xr:uid="{92ABD060-088C-4B16-86E2-C32F8F1874F1}"/>
    <cellStyle name="Normal 4 2 4 2 3 3 5" xfId="16650" xr:uid="{32EDD925-5E33-4629-B8F7-906615A7D0D9}"/>
    <cellStyle name="Normal 4 2 4 2 3 4" xfId="5994" xr:uid="{7E0FEAE9-697D-4CAB-8C77-FE5F637AB917}"/>
    <cellStyle name="Normal 4 2 4 2 3 4 2" xfId="26418" xr:uid="{6AF32965-CB40-4E1B-A384-F6859406EF9D}"/>
    <cellStyle name="Normal 4 2 4 2 3 4 3" xfId="15447" xr:uid="{E4AB833E-CC38-4790-9DF9-373431051397}"/>
    <cellStyle name="Normal 4 2 4 2 3 5" xfId="7900" xr:uid="{CEA57206-BF81-4A5C-B62A-E54E6CF77200}"/>
    <cellStyle name="Normal 4 2 4 2 3 5 2" xfId="18280" xr:uid="{2486CE3D-79C5-4516-99C1-FD27BC917075}"/>
    <cellStyle name="Normal 4 2 4 2 3 6" xfId="10733" xr:uid="{50EE12FB-49FF-476E-BE79-8D8770D0E190}"/>
    <cellStyle name="Normal 4 2 4 2 3 6 2" xfId="21113" xr:uid="{AF64C935-7421-4998-8763-FC34486390AD}"/>
    <cellStyle name="Normal 4 2 4 2 3 7" xfId="22649" xr:uid="{ED92971D-D461-49A0-A131-B7FD85763F17}"/>
    <cellStyle name="Normal 4 2 4 2 3 8" xfId="13229" xr:uid="{A611D601-F0E9-425F-AB32-0EA5A12CFE9A}"/>
    <cellStyle name="Normal 4 2 4 2 4" xfId="3314" xr:uid="{00000000-0005-0000-0000-0000CA050000}"/>
    <cellStyle name="Normal 4 2 4 2 4 2" xfId="4520" xr:uid="{EBF02899-363D-4B62-A808-B3044BC09E29}"/>
    <cellStyle name="Normal 4 2 4 2 4 2 2" xfId="9292" xr:uid="{7ACC878A-16A9-4172-977D-81BF61D19206}"/>
    <cellStyle name="Normal 4 2 4 2 4 2 2 2" xfId="19672" xr:uid="{D1872F77-AB94-42A4-84AE-EDBC51F3A6E0}"/>
    <cellStyle name="Normal 4 2 4 2 4 2 3" xfId="12125" xr:uid="{569EAB24-B76E-46E9-B726-5291FDA0C70C}"/>
    <cellStyle name="Normal 4 2 4 2 4 2 3 2" xfId="22505" xr:uid="{061AF932-B759-4066-8606-FAF0806E618A}"/>
    <cellStyle name="Normal 4 2 4 2 4 2 4" xfId="28075" xr:uid="{EA672EFD-D258-430E-937C-4BC693A8DE0C}"/>
    <cellStyle name="Normal 4 2 4 2 4 2 5" xfId="16839" xr:uid="{0631AB2A-381A-4A8C-9275-1424D19CBF58}"/>
    <cellStyle name="Normal 4 2 4 2 4 3" xfId="6372" xr:uid="{2ACB0DEE-7F68-473F-B9E7-87CE39C00104}"/>
    <cellStyle name="Normal 4 2 4 2 4 3 2" xfId="15941" xr:uid="{E99ED3F9-6E3E-4662-B33C-DAA5B06A64E4}"/>
    <cellStyle name="Normal 4 2 4 2 4 4" xfId="8394" xr:uid="{3B6FE961-AF3D-46E2-A45B-901CD3B1A982}"/>
    <cellStyle name="Normal 4 2 4 2 4 4 2" xfId="18774" xr:uid="{C2741261-5B1E-4A3E-9111-6B97C33F7416}"/>
    <cellStyle name="Normal 4 2 4 2 4 5" xfId="11227" xr:uid="{6BC4CB2D-BD78-4E8F-8FDD-8EE21A39A908}"/>
    <cellStyle name="Normal 4 2 4 2 4 5 2" xfId="21607" xr:uid="{0024434E-5028-4B47-ACCB-860E25A35D66}"/>
    <cellStyle name="Normal 4 2 4 2 4 6" xfId="23780" xr:uid="{5546BA34-C2F9-4A3D-911A-801708B8FC18}"/>
    <cellStyle name="Normal 4 2 4 2 4 7" xfId="13871" xr:uid="{9843B0F1-36BB-4B59-AD97-144F1B1C1F0E}"/>
    <cellStyle name="Normal 4 2 4 2 5" xfId="3309" xr:uid="{00000000-0005-0000-0000-0000CB050000}"/>
    <cellStyle name="Normal 4 2 4 2 5 2" xfId="6367" xr:uid="{2902E2AC-1B99-4252-B238-5086F32D4E9D}"/>
    <cellStyle name="Normal 4 2 4 2 5 2 2" xfId="28618" xr:uid="{362A7BD1-C6C4-4B09-9554-DD0D52E657B6}"/>
    <cellStyle name="Normal 4 2 4 2 5 2 3" xfId="15936" xr:uid="{CF7AAE41-0500-49DB-8EF9-B8C509FE47E8}"/>
    <cellStyle name="Normal 4 2 4 2 5 3" xfId="8389" xr:uid="{E296C98D-5351-40B8-834F-F7AE11C3AFCC}"/>
    <cellStyle name="Normal 4 2 4 2 5 3 2" xfId="18769" xr:uid="{BDF2FD51-EECC-41A5-B8D8-A06F223DB737}"/>
    <cellStyle name="Normal 4 2 4 2 5 4" xfId="11222" xr:uid="{32C67B06-4400-4139-937F-33EA1CEA39C1}"/>
    <cellStyle name="Normal 4 2 4 2 5 4 2" xfId="21602" xr:uid="{581DDE93-88FD-41F2-9948-C412E49B9C8A}"/>
    <cellStyle name="Normal 4 2 4 2 5 5" xfId="25567" xr:uid="{FF97EFD9-CC4F-472D-98A1-329FB1323446}"/>
    <cellStyle name="Normal 4 2 4 2 5 6" xfId="13866" xr:uid="{D43EB5C4-067F-45E0-A802-03405DAC100D}"/>
    <cellStyle name="Normal 4 2 4 2 6" xfId="2550" xr:uid="{00000000-0005-0000-0000-0000CC050000}"/>
    <cellStyle name="Normal 4 2 4 2 6 2" xfId="5822" xr:uid="{425935FD-0E62-4907-911C-E41F2F006040}"/>
    <cellStyle name="Normal 4 2 4 2 6 2 2" xfId="28037" xr:uid="{A5513BCD-E24A-4DB2-AE03-44F9719771AE}"/>
    <cellStyle name="Normal 4 2 4 2 6 2 3" xfId="15222" xr:uid="{07F338FD-F839-4E3C-99C4-6AB2B21E5AED}"/>
    <cellStyle name="Normal 4 2 4 2 6 3" xfId="7675" xr:uid="{B06AE91E-263D-4B4E-AF68-43E9E5BF1265}"/>
    <cellStyle name="Normal 4 2 4 2 6 3 2" xfId="18055" xr:uid="{2EE5CE7C-94FE-46D3-A05B-B306C33CF854}"/>
    <cellStyle name="Normal 4 2 4 2 6 4" xfId="10508" xr:uid="{16FC5834-2F35-4B6E-9609-B79E58FA3039}"/>
    <cellStyle name="Normal 4 2 4 2 6 4 2" xfId="20888" xr:uid="{2F41DFA0-7255-4962-9DC0-3E2586712447}"/>
    <cellStyle name="Normal 4 2 4 2 6 5" xfId="22851" xr:uid="{D2F25CE2-2851-4F73-8812-EB629C46D578}"/>
    <cellStyle name="Normal 4 2 4 2 6 6" xfId="12938" xr:uid="{80EFA000-D408-4BDD-83A4-401B63CA3E02}"/>
    <cellStyle name="Normal 4 2 4 2 7" xfId="2244" xr:uid="{00000000-0005-0000-0000-0000C2050000}"/>
    <cellStyle name="Normal 4 2 4 2 7 2" xfId="7371" xr:uid="{F7F1B275-66AB-4022-8265-651F51F5C17B}"/>
    <cellStyle name="Normal 4 2 4 2 7 2 2" xfId="17751" xr:uid="{7074B6A5-E76B-41F1-A4ED-D6E1DA724EE7}"/>
    <cellStyle name="Normal 4 2 4 2 7 3" xfId="10204" xr:uid="{AA56B796-9B68-4D2F-A740-E2B35951BE7A}"/>
    <cellStyle name="Normal 4 2 4 2 7 3 2" xfId="20584" xr:uid="{45CB5D69-4C00-4515-AA34-2C35CD5498F3}"/>
    <cellStyle name="Normal 4 2 4 2 7 4" xfId="25382" xr:uid="{5C36B8E6-AD19-4220-8F11-1089BFCC3729}"/>
    <cellStyle name="Normal 4 2 4 2 7 5" xfId="14918" xr:uid="{89F83DB4-8451-40E4-880F-82AA340D582C}"/>
    <cellStyle name="Normal 4 2 4 2 8" xfId="3797" xr:uid="{92B94B7A-8A75-4181-A5F0-12A617A71729}"/>
    <cellStyle name="Normal 4 2 4 2 8 2" xfId="8633" xr:uid="{3295DEAA-3E4C-40F1-94A6-40A5E974671F}"/>
    <cellStyle name="Normal 4 2 4 2 8 2 2" xfId="19013" xr:uid="{A4A7CBC2-6FB2-4F80-8CCB-A189AA545466}"/>
    <cellStyle name="Normal 4 2 4 2 8 3" xfId="11466" xr:uid="{092FD2DF-FDAA-4AFC-ADD4-54A07F16BDDE}"/>
    <cellStyle name="Normal 4 2 4 2 8 3 2" xfId="21846" xr:uid="{CF964CEC-DF7C-4824-9B75-8E453D2C7A6C}"/>
    <cellStyle name="Normal 4 2 4 2 8 4" xfId="16180" xr:uid="{708598F8-338C-40AB-9EBB-E35B994521DF}"/>
    <cellStyle name="Normal 4 2 4 2 9" xfId="5259" xr:uid="{19C31006-CBFA-424E-879C-38FA46CC37EE}"/>
    <cellStyle name="Normal 4 2 4 2 9 2" xfId="14557" xr:uid="{198AD25B-9C39-4DCE-B323-71648C5F7486}"/>
    <cellStyle name="Normal 4 2 4 3" xfId="956" xr:uid="{00000000-0005-0000-0000-00006E050000}"/>
    <cellStyle name="Normal 4 2 4 3 10" xfId="9845" xr:uid="{7980634C-EEAA-4B39-8FFA-914BAAF0CC29}"/>
    <cellStyle name="Normal 4 2 4 3 10 2" xfId="20225" xr:uid="{6B728514-C6A1-40AB-99FD-B709BFEBC66E}"/>
    <cellStyle name="Normal 4 2 4 3 11" xfId="23247" xr:uid="{2890303F-A444-48F4-997B-2BDA5BBD2609}"/>
    <cellStyle name="Normal 4 2 4 3 12" xfId="12593" xr:uid="{EB4DE55D-FA03-4AD2-9DA8-31FB62808FAF}"/>
    <cellStyle name="Normal 4 2 4 3 2" xfId="2778" xr:uid="{00000000-0005-0000-0000-0000CE050000}"/>
    <cellStyle name="Normal 4 2 4 3 2 2" xfId="3316" xr:uid="{00000000-0005-0000-0000-0000CF050000}"/>
    <cellStyle name="Normal 4 2 4 3 2 2 2" xfId="6374" xr:uid="{E50A07B0-BEE2-489E-9328-83695D23809A}"/>
    <cellStyle name="Normal 4 2 4 3 2 2 2 2" xfId="25842" xr:uid="{472F1B4B-D996-42A5-AE97-D0B5975D1982}"/>
    <cellStyle name="Normal 4 2 4 3 2 2 2 3" xfId="15943" xr:uid="{F4A97B65-CBBB-4D81-840C-1203349D4D8C}"/>
    <cellStyle name="Normal 4 2 4 3 2 2 3" xfId="8396" xr:uid="{61B68C81-9A57-46C7-AC09-69E53D88C48D}"/>
    <cellStyle name="Normal 4 2 4 3 2 2 3 2" xfId="18776" xr:uid="{68B13D81-919E-4D55-800C-81439CD569C6}"/>
    <cellStyle name="Normal 4 2 4 3 2 2 4" xfId="11229" xr:uid="{0BD21476-923E-4824-AE68-1108E11C47D3}"/>
    <cellStyle name="Normal 4 2 4 3 2 2 4 2" xfId="21609" xr:uid="{4BD11946-4B3B-4DC7-9A8B-1A09CDDBFB32}"/>
    <cellStyle name="Normal 4 2 4 3 2 2 5" xfId="22995" xr:uid="{20FBB001-AEB4-4236-8AE0-B9172F175F21}"/>
    <cellStyle name="Normal 4 2 4 3 2 2 6" xfId="13873" xr:uid="{BEA246CD-FA76-4EEA-BA5E-0099DC825D91}"/>
    <cellStyle name="Normal 4 2 4 3 2 3" xfId="4333" xr:uid="{70FD9E69-BE70-4E32-ADCD-F26EF1031737}"/>
    <cellStyle name="Normal 4 2 4 3 2 3 2" xfId="9105" xr:uid="{100E7661-CCFA-499C-BB8E-570D9B3A707D}"/>
    <cellStyle name="Normal 4 2 4 3 2 3 2 2" xfId="29148" xr:uid="{29E033BA-1F02-4D6D-814F-B5190BB6A064}"/>
    <cellStyle name="Normal 4 2 4 3 2 3 2 3" xfId="19485" xr:uid="{A6C3521C-E9B0-4EFC-A02D-68BCB64C3270}"/>
    <cellStyle name="Normal 4 2 4 3 2 3 3" xfId="11938" xr:uid="{7D859E24-DC83-412D-A9F2-3B346F54493F}"/>
    <cellStyle name="Normal 4 2 4 3 2 3 3 2" xfId="22318" xr:uid="{51A16266-628D-4559-8096-4A7C5716C82E}"/>
    <cellStyle name="Normal 4 2 4 3 2 3 4" xfId="25252" xr:uid="{8DA9FE6F-EC62-464D-9C2A-257FAB75C469}"/>
    <cellStyle name="Normal 4 2 4 3 2 3 5" xfId="16652" xr:uid="{3CF6BB31-513A-4429-A908-3D4465B49ACF}"/>
    <cellStyle name="Normal 4 2 4 3 2 4" xfId="5996" xr:uid="{C585EE5C-0C7E-4E8A-9EBC-9D4EF2C48856}"/>
    <cellStyle name="Normal 4 2 4 3 2 4 2" xfId="26670" xr:uid="{47545DB1-A879-44A8-A9D7-C66E01693FF4}"/>
    <cellStyle name="Normal 4 2 4 3 2 4 3" xfId="15449" xr:uid="{8FA7142E-13FD-4095-B363-FEBBA079393F}"/>
    <cellStyle name="Normal 4 2 4 3 2 5" xfId="7902" xr:uid="{E59910C0-C8CE-45D7-8BB1-921365E4C248}"/>
    <cellStyle name="Normal 4 2 4 3 2 5 2" xfId="18282" xr:uid="{61889791-4194-436A-AFA4-EA738B9CB93A}"/>
    <cellStyle name="Normal 4 2 4 3 2 6" xfId="10735" xr:uid="{FFB2F7C2-6EE7-42F3-9FF2-8DC2D385AAA6}"/>
    <cellStyle name="Normal 4 2 4 3 2 6 2" xfId="21115" xr:uid="{8A2E294C-E80C-446E-89C6-617A1C88DD9E}"/>
    <cellStyle name="Normal 4 2 4 3 2 7" xfId="25368" xr:uid="{3C979E4B-0444-4BCB-8C20-F21BF7A98A39}"/>
    <cellStyle name="Normal 4 2 4 3 2 8" xfId="13231" xr:uid="{6955B6A0-96C5-49EC-AECE-9F1DC348D231}"/>
    <cellStyle name="Normal 4 2 4 3 3" xfId="3317" xr:uid="{00000000-0005-0000-0000-0000D0050000}"/>
    <cellStyle name="Normal 4 2 4 3 3 2" xfId="4521" xr:uid="{452F2669-B5DC-43ED-B942-D6EBDB042C62}"/>
    <cellStyle name="Normal 4 2 4 3 3 2 2" xfId="9293" xr:uid="{3FBD5F5F-665F-452F-93EF-157A2DBBF1A6}"/>
    <cellStyle name="Normal 4 2 4 3 3 2 2 2" xfId="29272" xr:uid="{7E93B808-D226-4A8E-B51A-B82780826BD8}"/>
    <cellStyle name="Normal 4 2 4 3 3 2 2 3" xfId="19673" xr:uid="{E694131A-4781-43A4-A698-72ABD9B8FA16}"/>
    <cellStyle name="Normal 4 2 4 3 3 2 3" xfId="12126" xr:uid="{D1BCF4B3-80F5-4106-9F87-F4DC69AC2871}"/>
    <cellStyle name="Normal 4 2 4 3 3 2 3 2" xfId="22506" xr:uid="{E7DB2DAD-96C3-4485-AD62-16D728226575}"/>
    <cellStyle name="Normal 4 2 4 3 3 2 4" xfId="24879" xr:uid="{875B205B-2264-4E6B-8CD0-E13992B167CA}"/>
    <cellStyle name="Normal 4 2 4 3 3 2 5" xfId="16840" xr:uid="{24E0BF4E-6AED-40AF-A46E-61B426B2C917}"/>
    <cellStyle name="Normal 4 2 4 3 3 3" xfId="6375" xr:uid="{ECA3A690-95F0-4B75-B420-41EDABD93669}"/>
    <cellStyle name="Normal 4 2 4 3 3 3 2" xfId="26693" xr:uid="{B3F5872F-FD91-4319-B1D5-D871FE0E9206}"/>
    <cellStyle name="Normal 4 2 4 3 3 3 3" xfId="15944" xr:uid="{47A21E3D-874D-401A-9839-50F84F8E920E}"/>
    <cellStyle name="Normal 4 2 4 3 3 4" xfId="8397" xr:uid="{F19C02D7-8DC5-4E0D-BA09-0471247CCC2C}"/>
    <cellStyle name="Normal 4 2 4 3 3 4 2" xfId="18777" xr:uid="{543CCA03-FCB4-473C-AA4F-B71195258A1A}"/>
    <cellStyle name="Normal 4 2 4 3 3 5" xfId="11230" xr:uid="{48AC09F0-BAB9-4B80-A3CE-E17B4D1C7BA0}"/>
    <cellStyle name="Normal 4 2 4 3 3 5 2" xfId="21610" xr:uid="{8E76B7AC-06C0-4221-981D-E581F58FC62F}"/>
    <cellStyle name="Normal 4 2 4 3 3 6" xfId="23896" xr:uid="{7BF36CE9-B073-43AB-9892-A0943BCB676A}"/>
    <cellStyle name="Normal 4 2 4 3 3 7" xfId="13874" xr:uid="{8029D831-5042-4AD6-A5E1-0CED18B1F5B1}"/>
    <cellStyle name="Normal 4 2 4 3 4" xfId="3315" xr:uid="{00000000-0005-0000-0000-0000D1050000}"/>
    <cellStyle name="Normal 4 2 4 3 4 2" xfId="6373" xr:uid="{9DFC3F29-3736-430A-B542-2324A0EA1F82}"/>
    <cellStyle name="Normal 4 2 4 3 4 2 2" xfId="27826" xr:uid="{0A4B0E17-AEFA-4D43-9BC3-A991821EE378}"/>
    <cellStyle name="Normal 4 2 4 3 4 2 3" xfId="15942" xr:uid="{EAF7A55A-280E-4753-905E-BC552F1928D2}"/>
    <cellStyle name="Normal 4 2 4 3 4 3" xfId="8395" xr:uid="{E86F7CF2-CD6F-4DB7-9ABB-E9E1EEFC979F}"/>
    <cellStyle name="Normal 4 2 4 3 4 3 2" xfId="18775" xr:uid="{7A4A18A8-B832-4AEB-8D35-C27912FCFA5B}"/>
    <cellStyle name="Normal 4 2 4 3 4 4" xfId="11228" xr:uid="{3A26AD30-EC9F-463E-A463-C23AF88236A3}"/>
    <cellStyle name="Normal 4 2 4 3 4 4 2" xfId="21608" xr:uid="{4BEE525C-BAEF-4447-8C43-4AD1DBBC7ABF}"/>
    <cellStyle name="Normal 4 2 4 3 4 5" xfId="23204" xr:uid="{387481E8-0217-4D9E-ACC1-0A0134F28288}"/>
    <cellStyle name="Normal 4 2 4 3 4 6" xfId="13872" xr:uid="{B3D46E0D-F9A7-4D5A-8CE8-D2AAB8E1B247}"/>
    <cellStyle name="Normal 4 2 4 3 5" xfId="2593" xr:uid="{00000000-0005-0000-0000-0000D2050000}"/>
    <cellStyle name="Normal 4 2 4 3 5 2" xfId="5858" xr:uid="{6540DA4C-6EF8-475E-B40F-063D43474F28}"/>
    <cellStyle name="Normal 4 2 4 3 5 2 2" xfId="25909" xr:uid="{BE00B786-DECC-4F16-B902-A37A54F38A67}"/>
    <cellStyle name="Normal 4 2 4 3 5 2 3" xfId="15265" xr:uid="{02D90CFF-227E-4DA4-89FB-D4473886255B}"/>
    <cellStyle name="Normal 4 2 4 3 5 3" xfId="7718" xr:uid="{73D32EFB-44BA-467F-89E4-C29677B39BEE}"/>
    <cellStyle name="Normal 4 2 4 3 5 3 2" xfId="18098" xr:uid="{2D339902-8E18-40CA-AB08-92129A3BFFB9}"/>
    <cellStyle name="Normal 4 2 4 3 5 4" xfId="10551" xr:uid="{69470CF8-E37E-47CF-B505-27957D5B8C8C}"/>
    <cellStyle name="Normal 4 2 4 3 5 4 2" xfId="20931" xr:uid="{4AA63951-640B-4C91-AC44-4D9057252DB3}"/>
    <cellStyle name="Normal 4 2 4 3 5 5" xfId="24572" xr:uid="{5574917E-5A39-4BAB-89DC-E95C233A8071}"/>
    <cellStyle name="Normal 4 2 4 3 5 6" xfId="12981" xr:uid="{A5A747CE-AD30-4B2E-AC5B-55284CF6B1FF}"/>
    <cellStyle name="Normal 4 2 4 3 6" xfId="2359" xr:uid="{00000000-0005-0000-0000-0000CD050000}"/>
    <cellStyle name="Normal 4 2 4 3 6 2" xfId="7486" xr:uid="{258536EB-589C-4882-95FC-7FE7C3FB078A}"/>
    <cellStyle name="Normal 4 2 4 3 6 2 2" xfId="17866" xr:uid="{78D6E1BC-F4AD-471C-869D-9B211C8274AD}"/>
    <cellStyle name="Normal 4 2 4 3 6 3" xfId="10319" xr:uid="{1795E98D-1858-4E51-8516-5CA312E08E91}"/>
    <cellStyle name="Normal 4 2 4 3 6 3 2" xfId="20699" xr:uid="{BFFF2118-A297-4E22-8250-8D3F309BBCDC}"/>
    <cellStyle name="Normal 4 2 4 3 6 4" xfId="24042" xr:uid="{4B2ECA22-7162-4B4E-9675-47FF2997767C}"/>
    <cellStyle name="Normal 4 2 4 3 6 5" xfId="15033" xr:uid="{2E5F23A7-93B1-46BB-B5A6-52CF70AFEEC1}"/>
    <cellStyle name="Normal 4 2 4 3 7" xfId="3896" xr:uid="{407F759E-344C-46F4-B726-31C28228A117}"/>
    <cellStyle name="Normal 4 2 4 3 7 2" xfId="8728" xr:uid="{29F472D2-E110-4D88-9F61-E13E5FA9C81B}"/>
    <cellStyle name="Normal 4 2 4 3 7 2 2" xfId="19108" xr:uid="{2284EC89-07AC-411D-82FE-34F09DF7D6CB}"/>
    <cellStyle name="Normal 4 2 4 3 7 3" xfId="11561" xr:uid="{CD4DEB1D-45A5-48C7-9769-59B46F61D03D}"/>
    <cellStyle name="Normal 4 2 4 3 7 3 2" xfId="21941" xr:uid="{770ADE17-99E5-4AFE-B579-1A98EE501125}"/>
    <cellStyle name="Normal 4 2 4 3 7 4" xfId="16275" xr:uid="{6FB5E671-849F-4DE7-8BF9-30A2B731599F}"/>
    <cellStyle name="Normal 4 2 4 3 8" xfId="5261" xr:uid="{5AB2208D-2ECB-46B1-A1AD-1C10EFA86D2C}"/>
    <cellStyle name="Normal 4 2 4 3 8 2" xfId="14559" xr:uid="{4386F813-09E8-4B41-BDF4-20EFB92A3414}"/>
    <cellStyle name="Normal 4 2 4 3 9" xfId="7012" xr:uid="{789A5CDE-7332-4F6B-BBF3-E319B9A8D71B}"/>
    <cellStyle name="Normal 4 2 4 3 9 2" xfId="17392" xr:uid="{0280FBB0-A649-4BD5-9490-08CDC4E0C773}"/>
    <cellStyle name="Normal 4 2 4 4" xfId="957" xr:uid="{00000000-0005-0000-0000-00006F050000}"/>
    <cellStyle name="Normal 4 2 4 4 2" xfId="3318" xr:uid="{00000000-0005-0000-0000-0000D4050000}"/>
    <cellStyle name="Normal 4 2 4 4 2 2" xfId="6376" xr:uid="{8F0A29D2-D7B3-4E56-8B87-AD49C0CD0FE5}"/>
    <cellStyle name="Normal 4 2 4 4 2 2 2" xfId="28145" xr:uid="{15F7E190-0EFB-4B46-AA08-B9FC031F951D}"/>
    <cellStyle name="Normal 4 2 4 4 2 2 3" xfId="15945" xr:uid="{487857BB-B8D6-44AB-AAD0-1E227A507C31}"/>
    <cellStyle name="Normal 4 2 4 4 2 3" xfId="8398" xr:uid="{3C143CBE-B596-4111-8A73-325C4AE99A01}"/>
    <cellStyle name="Normal 4 2 4 4 2 3 2" xfId="18778" xr:uid="{E3F37898-0DDA-4A76-BB45-32C1418C3704}"/>
    <cellStyle name="Normal 4 2 4 4 2 4" xfId="11231" xr:uid="{E3F73AD3-0682-43FA-B6BE-B1AC0C81098B}"/>
    <cellStyle name="Normal 4 2 4 4 2 4 2" xfId="21611" xr:uid="{A4317B59-8ACE-4D43-99A5-700EF431C073}"/>
    <cellStyle name="Normal 4 2 4 4 2 5" xfId="23511" xr:uid="{5D01FDC3-A29C-4A13-BF5E-B5E597BBEDD5}"/>
    <cellStyle name="Normal 4 2 4 4 2 6" xfId="13875" xr:uid="{EF4703E9-A033-4E67-A333-D632E5176286}"/>
    <cellStyle name="Normal 4 2 4 4 3" xfId="2775" xr:uid="{00000000-0005-0000-0000-0000D5050000}"/>
    <cellStyle name="Normal 4 2 4 4 3 2" xfId="5993" xr:uid="{E39637DE-8B66-4185-BED9-6C2E3B488169}"/>
    <cellStyle name="Normal 4 2 4 4 3 2 2" xfId="26672" xr:uid="{4E299BC9-8DB1-4608-9829-A2D535EA19CC}"/>
    <cellStyle name="Normal 4 2 4 4 3 2 3" xfId="15446" xr:uid="{A86BE9B4-5BF6-4AC2-845B-0F93735DE431}"/>
    <cellStyle name="Normal 4 2 4 4 3 3" xfId="7899" xr:uid="{49FB707D-5367-445B-843A-C1E85E660FEB}"/>
    <cellStyle name="Normal 4 2 4 4 3 3 2" xfId="18279" xr:uid="{CB8FFE37-A4C6-48A6-96A9-2AF7AF0CA451}"/>
    <cellStyle name="Normal 4 2 4 4 3 4" xfId="10732" xr:uid="{3CC66CFE-E550-4D08-A1AB-2B1B4982A0A6}"/>
    <cellStyle name="Normal 4 2 4 4 3 4 2" xfId="21112" xr:uid="{7E5A6ECD-BFCC-41EB-82DF-4C12E332DF0E}"/>
    <cellStyle name="Normal 4 2 4 4 3 5" xfId="23582" xr:uid="{D9A6BF4D-F8C7-42C0-8A5E-D7AA8EA7777E}"/>
    <cellStyle name="Normal 4 2 4 4 3 6" xfId="13228" xr:uid="{A90A061A-B369-4680-847B-0A783306D795}"/>
    <cellStyle name="Normal 4 2 4 4 4" xfId="4187" xr:uid="{37541807-A374-4414-A8FC-CA3014A4BA8C}"/>
    <cellStyle name="Normal 4 2 4 4 4 2" xfId="8959" xr:uid="{E638087D-DBF0-408F-9269-238EAE4FDAD1}"/>
    <cellStyle name="Normal 4 2 4 4 4 2 2" xfId="19339" xr:uid="{82C4527E-C1FD-4226-B7E8-DBAACF9A92D8}"/>
    <cellStyle name="Normal 4 2 4 4 4 3" xfId="11792" xr:uid="{C2E290E2-01AD-4948-8E08-B7B63F83A8DE}"/>
    <cellStyle name="Normal 4 2 4 4 4 3 2" xfId="22172" xr:uid="{C48759BE-054B-4476-9F46-1DE0B3D590AF}"/>
    <cellStyle name="Normal 4 2 4 4 4 4" xfId="23088" xr:uid="{49F7775F-FA77-45F2-A31A-5733512B8D0F}"/>
    <cellStyle name="Normal 4 2 4 4 4 5" xfId="16506" xr:uid="{602C9A63-5940-4C18-8981-5534B09B89AD}"/>
    <cellStyle name="Normal 4 2 4 4 5" xfId="5262" xr:uid="{1319BDE0-2551-4B68-9802-4AF23C378265}"/>
    <cellStyle name="Normal 4 2 4 4 5 2" xfId="14560" xr:uid="{506F6334-74C2-4EB3-B6D2-460CE5A593E1}"/>
    <cellStyle name="Normal 4 2 4 4 6" xfId="7013" xr:uid="{1FD27AA7-1AC6-427C-87A2-0A63C3C06FDA}"/>
    <cellStyle name="Normal 4 2 4 4 6 2" xfId="17393" xr:uid="{B84107C5-AF48-4DF1-B84D-7E20783158E9}"/>
    <cellStyle name="Normal 4 2 4 4 7" xfId="9846" xr:uid="{F632BA21-DE08-4DDC-BDE3-5FFF9D26B162}"/>
    <cellStyle name="Normal 4 2 4 4 7 2" xfId="20226" xr:uid="{BDE3FB14-5D7D-4075-8FDC-057441F77C7D}"/>
    <cellStyle name="Normal 4 2 4 4 8" xfId="23799" xr:uid="{4AD55E4F-86CD-4A1A-86B9-10820CEB76B6}"/>
    <cellStyle name="Normal 4 2 4 4 9" xfId="12751" xr:uid="{DC1691DB-C08E-4886-BA52-B7506B2A424A}"/>
    <cellStyle name="Normal 4 2 4 5" xfId="3319" xr:uid="{00000000-0005-0000-0000-0000D6050000}"/>
    <cellStyle name="Normal 4 2 4 5 2" xfId="4522" xr:uid="{0E8E5B39-AFE5-4CA4-91C7-A3464D3F00BB}"/>
    <cellStyle name="Normal 4 2 4 5 2 2" xfId="9294" xr:uid="{D591BF78-F04D-47D5-928F-52D8E541F8AB}"/>
    <cellStyle name="Normal 4 2 4 5 2 2 2" xfId="29273" xr:uid="{E258C256-3FE8-4006-AD74-D535CAB304C6}"/>
    <cellStyle name="Normal 4 2 4 5 2 2 3" xfId="19674" xr:uid="{F7F64A4D-2122-45F6-82E2-5BE09EFD026C}"/>
    <cellStyle name="Normal 4 2 4 5 2 3" xfId="12127" xr:uid="{5847B0E9-E996-4C29-941D-70FE8A368C53}"/>
    <cellStyle name="Normal 4 2 4 5 2 3 2" xfId="22507" xr:uid="{B14B6018-F271-4684-8764-3ACE4519415E}"/>
    <cellStyle name="Normal 4 2 4 5 2 4" xfId="23307" xr:uid="{CCA219FC-92C2-4C0C-BF3E-6F6BEBE0DE9F}"/>
    <cellStyle name="Normal 4 2 4 5 2 5" xfId="16841" xr:uid="{CF25A3E3-5418-4DC1-9C6E-A406DC03D001}"/>
    <cellStyle name="Normal 4 2 4 5 3" xfId="6377" xr:uid="{256B6FAA-C2C9-4ACE-B9C7-6FC9B51CDB96}"/>
    <cellStyle name="Normal 4 2 4 5 3 2" xfId="27142" xr:uid="{70BFEA5C-4E6C-4F46-95C9-B5C80A30C9F4}"/>
    <cellStyle name="Normal 4 2 4 5 3 3" xfId="15946" xr:uid="{743BA6B8-A56E-4CBB-9753-736E70BD010B}"/>
    <cellStyle name="Normal 4 2 4 5 4" xfId="8399" xr:uid="{3570482D-F52B-470B-89CD-2CD3F4ABBB04}"/>
    <cellStyle name="Normal 4 2 4 5 4 2" xfId="18779" xr:uid="{2BC47C64-585F-462F-AF3E-C7AF3A226651}"/>
    <cellStyle name="Normal 4 2 4 5 5" xfId="11232" xr:uid="{1C6947AC-084A-43D7-9915-2206CA974BD9}"/>
    <cellStyle name="Normal 4 2 4 5 5 2" xfId="21612" xr:uid="{559AE209-05D8-4985-B557-0D438344104A}"/>
    <cellStyle name="Normal 4 2 4 5 6" xfId="23981" xr:uid="{664207EE-4914-4965-9834-53028B4545F1}"/>
    <cellStyle name="Normal 4 2 4 5 7" xfId="13876" xr:uid="{0277DFB1-73A2-4180-A054-EB5BD2A38890}"/>
    <cellStyle name="Normal 4 2 4 6" xfId="2933" xr:uid="{00000000-0005-0000-0000-0000D7050000}"/>
    <cellStyle name="Normal 4 2 4 6 2" xfId="6113" xr:uid="{C3DED480-E875-415D-B2C5-2357CB13D6CB}"/>
    <cellStyle name="Normal 4 2 4 6 2 2" xfId="28597" xr:uid="{E6CCCEB0-5E6C-474F-83E3-B0858B991066}"/>
    <cellStyle name="Normal 4 2 4 6 2 3" xfId="15591" xr:uid="{4E4B3070-74E1-4F0F-AA9D-7F9455C98DCE}"/>
    <cellStyle name="Normal 4 2 4 6 3" xfId="8044" xr:uid="{CF045047-FE2E-438C-A3AF-36CFCCD81394}"/>
    <cellStyle name="Normal 4 2 4 6 3 2" xfId="18424" xr:uid="{6974ED14-239E-4C96-B588-6D4C3D4FAC53}"/>
    <cellStyle name="Normal 4 2 4 6 4" xfId="10877" xr:uid="{271A16A4-2E4D-4EDB-B60B-F37169EF597F}"/>
    <cellStyle name="Normal 4 2 4 6 4 2" xfId="21257" xr:uid="{E48D12CF-779A-4ED9-8B8B-FF952051B37A}"/>
    <cellStyle name="Normal 4 2 4 6 5" xfId="24062" xr:uid="{B8F51B56-D343-4566-AA4C-10BF28E83B0A}"/>
    <cellStyle name="Normal 4 2 4 6 6" xfId="13449" xr:uid="{77F5DE15-377E-43E2-AD6E-5E17F1ADD0A4}"/>
    <cellStyle name="Normal 4 2 4 7" xfId="2490" xr:uid="{00000000-0005-0000-0000-0000D8050000}"/>
    <cellStyle name="Normal 4 2 4 7 2" xfId="5775" xr:uid="{F018ECED-5A6F-4447-9A54-9EE76DDBE63F}"/>
    <cellStyle name="Normal 4 2 4 7 2 2" xfId="26494" xr:uid="{20CD0C60-F007-4614-9B70-9A17FB6DFF1D}"/>
    <cellStyle name="Normal 4 2 4 7 2 3" xfId="15162" xr:uid="{E1E7917D-0F93-4527-AE06-FB2AF4482F01}"/>
    <cellStyle name="Normal 4 2 4 7 3" xfId="7615" xr:uid="{6514BE92-1F04-4928-8709-D85A419C7015}"/>
    <cellStyle name="Normal 4 2 4 7 3 2" xfId="17995" xr:uid="{9CEE5451-D453-4DDB-9594-21DEED4014B7}"/>
    <cellStyle name="Normal 4 2 4 7 4" xfId="10448" xr:uid="{38B26B3D-726D-459F-AF2C-ECD1E29A4E39}"/>
    <cellStyle name="Normal 4 2 4 7 4 2" xfId="20828" xr:uid="{1E7E024D-C69D-493A-99B3-BA694475E263}"/>
    <cellStyle name="Normal 4 2 4 7 5" xfId="23758" xr:uid="{3E8674F5-2E40-4193-BA4B-289E887374FE}"/>
    <cellStyle name="Normal 4 2 4 7 6" xfId="12878" xr:uid="{36D69116-BF77-4B1C-AEC5-5834A30DC7E7}"/>
    <cellStyle name="Normal 4 2 4 8" xfId="2184" xr:uid="{00000000-0005-0000-0000-0000C1050000}"/>
    <cellStyle name="Normal 4 2 4 8 2" xfId="7311" xr:uid="{F12A16AD-7B72-415C-9FDB-084D86B3C010}"/>
    <cellStyle name="Normal 4 2 4 8 2 2" xfId="17691" xr:uid="{5429233F-C9A4-4E27-A5B1-9C96FFE0F1DC}"/>
    <cellStyle name="Normal 4 2 4 8 3" xfId="10144" xr:uid="{81ABF9DE-FCB1-4960-BBE8-9EDEB58738B3}"/>
    <cellStyle name="Normal 4 2 4 8 3 2" xfId="20524" xr:uid="{CEF406A1-D7FF-40FB-86B1-E3777551BBAD}"/>
    <cellStyle name="Normal 4 2 4 8 4" xfId="23696" xr:uid="{991D425F-ED78-4AF1-A784-690BB22855BD}"/>
    <cellStyle name="Normal 4 2 4 8 5" xfId="14858" xr:uid="{F13E48C5-0826-4DBF-9B5F-E3424307332A}"/>
    <cellStyle name="Normal 4 2 4 9" xfId="3980" xr:uid="{45AF6E9E-6287-4168-9448-70EA475F6D56}"/>
    <cellStyle name="Normal 4 2 4 9 2" xfId="8804" xr:uid="{96A98EB3-8991-4181-A17C-6603F625A4A6}"/>
    <cellStyle name="Normal 4 2 4 9 2 2" xfId="19184" xr:uid="{8BBAFF3B-41EF-46F1-A4FD-B9358D20F12A}"/>
    <cellStyle name="Normal 4 2 4 9 3" xfId="11637" xr:uid="{23034033-ACF7-4415-A7E9-1BCB1E9700BD}"/>
    <cellStyle name="Normal 4 2 4 9 3 2" xfId="22017" xr:uid="{B28099F8-D03B-4A07-9886-76653D588664}"/>
    <cellStyle name="Normal 4 2 4 9 4" xfId="16351" xr:uid="{A710A958-0260-4144-B2F9-F9DE1EBA01CF}"/>
    <cellStyle name="Normal 4 2 5" xfId="958" xr:uid="{00000000-0005-0000-0000-000070050000}"/>
    <cellStyle name="Normal 4 2 5 10" xfId="5263" xr:uid="{0CBE73A5-7193-4D2C-A908-00C86B036AD4}"/>
    <cellStyle name="Normal 4 2 5 10 2" xfId="14561" xr:uid="{A731E1B3-3F9F-4889-B99A-0145435E747A}"/>
    <cellStyle name="Normal 4 2 5 11" xfId="7014" xr:uid="{3967B753-E8EF-48AC-83DE-54B8730320A3}"/>
    <cellStyle name="Normal 4 2 5 11 2" xfId="17394" xr:uid="{490C3C79-1905-444B-A011-4DBCF704CF26}"/>
    <cellStyle name="Normal 4 2 5 12" xfId="9847" xr:uid="{33654FB9-4B74-41A2-813A-B8AE1BDE3AB7}"/>
    <cellStyle name="Normal 4 2 5 12 2" xfId="20227" xr:uid="{5AF73625-CF6A-48A5-916A-015C667A23E4}"/>
    <cellStyle name="Normal 4 2 5 13" xfId="25430" xr:uid="{8BAE80AC-F656-4AEE-B7FB-D550FE15D202}"/>
    <cellStyle name="Normal 4 2 5 14" xfId="12450" xr:uid="{146E16A4-1DDA-401D-A374-6B4A02EC93AD}"/>
    <cellStyle name="Normal 4 2 5 2" xfId="959" xr:uid="{00000000-0005-0000-0000-000071050000}"/>
    <cellStyle name="Normal 4 2 5 2 10" xfId="9848" xr:uid="{B26CF3D7-1113-434C-8C60-5E5772F9ADCC}"/>
    <cellStyle name="Normal 4 2 5 2 10 2" xfId="20228" xr:uid="{15613978-8531-43E1-8060-4069E3668F7C}"/>
    <cellStyle name="Normal 4 2 5 2 11" xfId="23551" xr:uid="{E140D3AB-46F1-4E88-94C1-1F97E001E18E}"/>
    <cellStyle name="Normal 4 2 5 2 12" xfId="12594" xr:uid="{3E88260C-B2CB-41BC-91B2-A4DF1C1B4BA0}"/>
    <cellStyle name="Normal 4 2 5 2 2" xfId="960" xr:uid="{00000000-0005-0000-0000-000072050000}"/>
    <cellStyle name="Normal 4 2 5 2 2 2" xfId="3321" xr:uid="{00000000-0005-0000-0000-0000DC050000}"/>
    <cellStyle name="Normal 4 2 5 2 2 2 2" xfId="6379" xr:uid="{B770ADED-9101-408A-83A1-B924951FF274}"/>
    <cellStyle name="Normal 4 2 5 2 2 2 2 2" xfId="28266" xr:uid="{C74EC279-60EC-4E28-A305-0DCD07AF538C}"/>
    <cellStyle name="Normal 4 2 5 2 2 2 2 3" xfId="26684" xr:uid="{C3478ABA-1720-4FAC-8FED-923AEB8466D0}"/>
    <cellStyle name="Normal 4 2 5 2 2 2 2 4" xfId="15948" xr:uid="{7C2475F4-8D89-4CA3-8E9E-C24BB1B3C501}"/>
    <cellStyle name="Normal 4 2 5 2 2 2 3" xfId="8401" xr:uid="{C22CFE14-56FC-4F3C-AF93-DD42ECF197AC}"/>
    <cellStyle name="Normal 4 2 5 2 2 2 3 2" xfId="28906" xr:uid="{57FFE5EE-767B-4502-97BB-CDFC96E7FA7D}"/>
    <cellStyle name="Normal 4 2 5 2 2 2 3 3" xfId="18781" xr:uid="{EC3C5B6E-4CC2-4105-9791-A067BF9E0F15}"/>
    <cellStyle name="Normal 4 2 5 2 2 2 4" xfId="11234" xr:uid="{E2E5DE9D-117A-48A6-81CD-2FA1A7C81124}"/>
    <cellStyle name="Normal 4 2 5 2 2 2 4 2" xfId="21614" xr:uid="{2AA75FDA-06FB-4904-BDD8-843D86CA359A}"/>
    <cellStyle name="Normal 4 2 5 2 2 2 5" xfId="22738" xr:uid="{BE7C205A-0BA3-4733-A7F0-821BF620A085}"/>
    <cellStyle name="Normal 4 2 5 2 2 2 6" xfId="13878" xr:uid="{D2F893E2-3F1E-4A3F-9EB0-404D65F01C6D}"/>
    <cellStyle name="Normal 4 2 5 2 2 3" xfId="4335" xr:uid="{5BE6B68A-7B10-4B7E-854E-6FFB4FFE172B}"/>
    <cellStyle name="Normal 4 2 5 2 2 3 2" xfId="9107" xr:uid="{1302051A-ABE6-4175-AA37-19EB6E160850}"/>
    <cellStyle name="Normal 4 2 5 2 2 3 2 2" xfId="29150" xr:uid="{99041798-5A95-422D-AE30-E4AE237CFDBC}"/>
    <cellStyle name="Normal 4 2 5 2 2 3 2 3" xfId="19487" xr:uid="{3C106315-F70B-4A49-A801-9FBE3D5B27D2}"/>
    <cellStyle name="Normal 4 2 5 2 2 3 3" xfId="11940" xr:uid="{86EFA8A8-BEE4-47A3-AF34-8FFF9C28A589}"/>
    <cellStyle name="Normal 4 2 5 2 2 3 3 2" xfId="22320" xr:uid="{EF63205B-BB47-4CBB-BE9E-5BC10AEF294F}"/>
    <cellStyle name="Normal 4 2 5 2 2 3 4" xfId="25217" xr:uid="{19DF6725-F748-4B6D-90AD-46D9D3FFDDBE}"/>
    <cellStyle name="Normal 4 2 5 2 2 3 5" xfId="16654" xr:uid="{92D965AF-E9A9-4832-A5CA-A4A2669210C2}"/>
    <cellStyle name="Normal 4 2 5 2 2 4" xfId="5265" xr:uid="{2276ACD1-E7D6-4418-A080-980DEAE92B44}"/>
    <cellStyle name="Normal 4 2 5 2 2 4 2" xfId="25997" xr:uid="{CE44DA71-1C40-4684-8046-9C67712C9040}"/>
    <cellStyle name="Normal 4 2 5 2 2 4 3" xfId="14563" xr:uid="{EC1BC237-9119-4647-97ED-878B17EF3299}"/>
    <cellStyle name="Normal 4 2 5 2 2 5" xfId="7016" xr:uid="{19BD68A2-67CA-4449-AA4B-DDBA978C8675}"/>
    <cellStyle name="Normal 4 2 5 2 2 5 2" xfId="17396" xr:uid="{F9B737A5-8B7A-461F-8D10-F24CC8DCE17C}"/>
    <cellStyle name="Normal 4 2 5 2 2 6" xfId="9849" xr:uid="{1CBAEAD7-2B41-4B13-B4C6-ACEE43A54F72}"/>
    <cellStyle name="Normal 4 2 5 2 2 6 2" xfId="20229" xr:uid="{173F5588-FDB3-4B71-B930-4E0584D44597}"/>
    <cellStyle name="Normal 4 2 5 2 2 7" xfId="25503" xr:uid="{D33929E5-E0B8-4C10-91F3-31EBD339EBD4}"/>
    <cellStyle name="Normal 4 2 5 2 2 8" xfId="13233" xr:uid="{4F9CECE8-EB50-49F4-9389-259541B4B9EF}"/>
    <cellStyle name="Normal 4 2 5 2 3" xfId="3322" xr:uid="{00000000-0005-0000-0000-0000DD050000}"/>
    <cellStyle name="Normal 4 2 5 2 3 2" xfId="4523" xr:uid="{347C5674-4DFD-40C4-B12F-56BE80C5BE4E}"/>
    <cellStyle name="Normal 4 2 5 2 3 2 2" xfId="9295" xr:uid="{3F581F5C-90FA-474F-BF10-5137BEAE4725}"/>
    <cellStyle name="Normal 4 2 5 2 3 2 2 2" xfId="29274" xr:uid="{0CBB4331-0319-490B-B15B-9200E81CA6A4}"/>
    <cellStyle name="Normal 4 2 5 2 3 2 2 3" xfId="19675" xr:uid="{838DF7E9-BA6F-4FBF-B781-FB2858570C60}"/>
    <cellStyle name="Normal 4 2 5 2 3 2 3" xfId="12128" xr:uid="{7FABD496-6C93-4FDA-A3DD-F96ABDEEAAC0}"/>
    <cellStyle name="Normal 4 2 5 2 3 2 3 2" xfId="22508" xr:uid="{35BD0BB6-0B4C-4E1B-A833-D8A806597684}"/>
    <cellStyle name="Normal 4 2 5 2 3 2 4" xfId="25655" xr:uid="{F9AED57B-FB20-4B83-AFC5-9B9BF17A3DBE}"/>
    <cellStyle name="Normal 4 2 5 2 3 2 5" xfId="16842" xr:uid="{2D5ADDA7-B3A4-4C7D-939C-F6084C4E276A}"/>
    <cellStyle name="Normal 4 2 5 2 3 3" xfId="6380" xr:uid="{CD6C82C8-A74A-433D-B39F-B9C161BA02EE}"/>
    <cellStyle name="Normal 4 2 5 2 3 3 2" xfId="28290" xr:uid="{B9A18EF6-7C90-4427-ADEF-358CCBDACFD6}"/>
    <cellStyle name="Normal 4 2 5 2 3 3 3" xfId="15949" xr:uid="{BE577C5B-C10E-446F-8688-350CADE73FEF}"/>
    <cellStyle name="Normal 4 2 5 2 3 4" xfId="8402" xr:uid="{9718EDC0-0073-4EC3-B6B9-540CB1B96F41}"/>
    <cellStyle name="Normal 4 2 5 2 3 4 2" xfId="18782" xr:uid="{ACEE0FCB-F137-469D-8B77-9CB741FA1AC7}"/>
    <cellStyle name="Normal 4 2 5 2 3 5" xfId="11235" xr:uid="{5AE48A34-F6DB-4551-BA3E-857436778BD5}"/>
    <cellStyle name="Normal 4 2 5 2 3 5 2" xfId="21615" xr:uid="{A40392E5-DC6A-4C8D-8E01-AF1046A67A4D}"/>
    <cellStyle name="Normal 4 2 5 2 3 6" xfId="22757" xr:uid="{C5EB7D95-B669-4759-BF56-E246B3848CF9}"/>
    <cellStyle name="Normal 4 2 5 2 3 7" xfId="13879" xr:uid="{6DBC202F-6DB1-4F1E-A066-512B436B0C98}"/>
    <cellStyle name="Normal 4 2 5 2 4" xfId="3320" xr:uid="{00000000-0005-0000-0000-0000DE050000}"/>
    <cellStyle name="Normal 4 2 5 2 4 2" xfId="6378" xr:uid="{432CD6A6-AFDF-41D6-BFC3-3790A92C6F84}"/>
    <cellStyle name="Normal 4 2 5 2 4 2 2" xfId="26376" xr:uid="{82ABE11C-256E-4056-918B-A35B699AB672}"/>
    <cellStyle name="Normal 4 2 5 2 4 2 3" xfId="15947" xr:uid="{C37600C8-3ED2-440B-8690-8C3B3063BCDD}"/>
    <cellStyle name="Normal 4 2 5 2 4 3" xfId="8400" xr:uid="{E8E189F8-8F4B-4890-9701-B5D1C06B73F2}"/>
    <cellStyle name="Normal 4 2 5 2 4 3 2" xfId="18780" xr:uid="{5CAD051B-AFF1-400C-8267-4F53AB69DDA2}"/>
    <cellStyle name="Normal 4 2 5 2 4 4" xfId="11233" xr:uid="{FBA4F533-2B3C-4CCD-973C-9CAB932C23CE}"/>
    <cellStyle name="Normal 4 2 5 2 4 4 2" xfId="21613" xr:uid="{D2FC6275-5A85-4ECA-933B-0219857FE0FB}"/>
    <cellStyle name="Normal 4 2 5 2 4 5" xfId="24155" xr:uid="{D8002FA3-967C-4F90-ACC8-5D137DBF6F85}"/>
    <cellStyle name="Normal 4 2 5 2 4 6" xfId="13877" xr:uid="{D694F6F7-2BF7-4D7B-96A4-EED1281B6703}"/>
    <cellStyle name="Normal 4 2 5 2 5" xfId="2524" xr:uid="{00000000-0005-0000-0000-0000DF050000}"/>
    <cellStyle name="Normal 4 2 5 2 5 2" xfId="5801" xr:uid="{11D778BA-8E15-4019-B38A-8E52B38AEBF0}"/>
    <cellStyle name="Normal 4 2 5 2 5 2 2" xfId="25982" xr:uid="{6A9AA136-2BD0-4FBF-9ABB-282C03ECF6E4}"/>
    <cellStyle name="Normal 4 2 5 2 5 2 3" xfId="15196" xr:uid="{16AA72AB-A281-4DDC-AB5D-460210E2E450}"/>
    <cellStyle name="Normal 4 2 5 2 5 3" xfId="7649" xr:uid="{4A162BEF-2978-4CE7-BE45-90F48C2F33A4}"/>
    <cellStyle name="Normal 4 2 5 2 5 3 2" xfId="18029" xr:uid="{A9BED9A7-98A0-45A8-9F06-91AB686E446A}"/>
    <cellStyle name="Normal 4 2 5 2 5 4" xfId="10482" xr:uid="{FAACC862-64F7-4F79-A96E-E160C786ABCD}"/>
    <cellStyle name="Normal 4 2 5 2 5 4 2" xfId="20862" xr:uid="{F9F4DD29-D3C2-476C-AD88-BB91E3826189}"/>
    <cellStyle name="Normal 4 2 5 2 5 5" xfId="23975" xr:uid="{38614436-59D6-4DEC-8B43-2E00B0443410}"/>
    <cellStyle name="Normal 4 2 5 2 5 6" xfId="12912" xr:uid="{65572533-9279-4D9C-B564-FD495FB82F6F}"/>
    <cellStyle name="Normal 4 2 5 2 6" xfId="2360" xr:uid="{00000000-0005-0000-0000-0000DA050000}"/>
    <cellStyle name="Normal 4 2 5 2 6 2" xfId="7487" xr:uid="{6258D792-03F6-4DD9-BEBA-5118EF4C3843}"/>
    <cellStyle name="Normal 4 2 5 2 6 2 2" xfId="17867" xr:uid="{4E480B7B-420E-401D-A276-81C4402CB61A}"/>
    <cellStyle name="Normal 4 2 5 2 6 3" xfId="10320" xr:uid="{166DEC97-5528-433D-9E11-55CBE0AF026F}"/>
    <cellStyle name="Normal 4 2 5 2 6 3 2" xfId="20700" xr:uid="{A2F4F4BD-0514-452A-9200-A93BC546385A}"/>
    <cellStyle name="Normal 4 2 5 2 6 4" xfId="23308" xr:uid="{39990AC5-8C6B-4B0D-8798-96B022C2360D}"/>
    <cellStyle name="Normal 4 2 5 2 6 5" xfId="15034" xr:uid="{B2BFCC8C-E173-4385-9802-1DD47ED3D577}"/>
    <cellStyle name="Normal 4 2 5 2 7" xfId="3897" xr:uid="{CB65113C-B265-478E-9D02-6C0656EEE1BA}"/>
    <cellStyle name="Normal 4 2 5 2 7 2" xfId="8729" xr:uid="{F611B9F0-8701-45BA-A1D0-35AEA580EF9B}"/>
    <cellStyle name="Normal 4 2 5 2 7 2 2" xfId="19109" xr:uid="{8C51E9BE-0237-4151-B049-E10F9C4E50BC}"/>
    <cellStyle name="Normal 4 2 5 2 7 3" xfId="11562" xr:uid="{A087CB4F-BC5D-45D1-9053-01A720DEFB4C}"/>
    <cellStyle name="Normal 4 2 5 2 7 3 2" xfId="21942" xr:uid="{C1497DF3-61B4-49B1-BBCD-BCAC48179AF9}"/>
    <cellStyle name="Normal 4 2 5 2 7 4" xfId="16276" xr:uid="{CEADDF0D-E011-4200-AC7B-8AC418DCC36E}"/>
    <cellStyle name="Normal 4 2 5 2 8" xfId="5264" xr:uid="{20239CCB-D576-44EC-92EA-AE90C1783381}"/>
    <cellStyle name="Normal 4 2 5 2 8 2" xfId="14562" xr:uid="{EB0580DD-36D2-4FF5-95A1-7A591DC27CD8}"/>
    <cellStyle name="Normal 4 2 5 2 9" xfId="7015" xr:uid="{795DA4D6-C3B5-4D29-AFD2-CAB6BA65E474}"/>
    <cellStyle name="Normal 4 2 5 2 9 2" xfId="17395" xr:uid="{BC3F3C25-047F-4FC7-92EC-024B562BEF50}"/>
    <cellStyle name="Normal 4 2 5 3" xfId="961" xr:uid="{00000000-0005-0000-0000-000073050000}"/>
    <cellStyle name="Normal 4 2 5 3 10" xfId="23369" xr:uid="{79750114-A351-4CCB-867C-76DE717FA61F}"/>
    <cellStyle name="Normal 4 2 5 3 11" xfId="12752" xr:uid="{68D682AD-CD8A-4A06-B9ED-79FA4A5D9671}"/>
    <cellStyle name="Normal 4 2 5 3 2" xfId="2779" xr:uid="{00000000-0005-0000-0000-0000E1050000}"/>
    <cellStyle name="Normal 4 2 5 3 2 2" xfId="3324" xr:uid="{00000000-0005-0000-0000-0000E2050000}"/>
    <cellStyle name="Normal 4 2 5 3 2 2 2" xfId="6382" xr:uid="{C605AE42-8AF8-4194-BC12-7E70C5668458}"/>
    <cellStyle name="Normal 4 2 5 3 2 2 2 2" xfId="25935" xr:uid="{881930D7-1D5F-4EE7-99A4-6ED322AE55F4}"/>
    <cellStyle name="Normal 4 2 5 3 2 2 2 3" xfId="15951" xr:uid="{9C3F95C9-7282-4699-ABF6-D9D420A73124}"/>
    <cellStyle name="Normal 4 2 5 3 2 2 3" xfId="8404" xr:uid="{63265D94-9F3F-4751-862E-84A7C7425231}"/>
    <cellStyle name="Normal 4 2 5 3 2 2 3 2" xfId="18784" xr:uid="{87EB6427-0939-4666-98F2-B807DC62D3A7}"/>
    <cellStyle name="Normal 4 2 5 3 2 2 4" xfId="11237" xr:uid="{6D46F3E2-61ED-49DD-A7B0-4D3D5DE01971}"/>
    <cellStyle name="Normal 4 2 5 3 2 2 4 2" xfId="21617" xr:uid="{D9A396D4-C104-4104-8079-35ECEFA27857}"/>
    <cellStyle name="Normal 4 2 5 3 2 2 5" xfId="22733" xr:uid="{79BD1422-BA6E-495E-B773-5F7BDF605971}"/>
    <cellStyle name="Normal 4 2 5 3 2 2 6" xfId="13881" xr:uid="{ED7E36B9-4F50-4BEF-8561-30C24B6E9567}"/>
    <cellStyle name="Normal 4 2 5 3 2 3" xfId="4336" xr:uid="{39B36460-E5E2-499F-B81B-388D9582238E}"/>
    <cellStyle name="Normal 4 2 5 3 2 3 2" xfId="9108" xr:uid="{B92390C0-83F6-4DAD-BC04-EB8BF96EDE31}"/>
    <cellStyle name="Normal 4 2 5 3 2 3 2 2" xfId="29151" xr:uid="{070640E3-9208-4E43-A10C-1694F45BCA18}"/>
    <cellStyle name="Normal 4 2 5 3 2 3 2 3" xfId="19488" xr:uid="{7F818460-2C5F-4647-B0B0-F6EF4BED27A8}"/>
    <cellStyle name="Normal 4 2 5 3 2 3 3" xfId="11941" xr:uid="{945CD2CC-9CFA-4EC6-9F24-795824B1CA01}"/>
    <cellStyle name="Normal 4 2 5 3 2 3 3 2" xfId="22321" xr:uid="{22E56662-CC04-4231-9943-6BCB77BBCA11}"/>
    <cellStyle name="Normal 4 2 5 3 2 3 4" xfId="22643" xr:uid="{A0C14500-DB99-4ED6-9B7F-46A1EE961179}"/>
    <cellStyle name="Normal 4 2 5 3 2 3 5" xfId="16655" xr:uid="{10B3DEC3-B4E7-4C9B-AB4B-DB531B6D72E3}"/>
    <cellStyle name="Normal 4 2 5 3 2 4" xfId="5997" xr:uid="{1A0F0C4D-3DB7-4C15-A38C-F56B40761BAE}"/>
    <cellStyle name="Normal 4 2 5 3 2 4 2" xfId="26489" xr:uid="{29AFC224-D2C8-4CEC-9F58-60B5AC8080FC}"/>
    <cellStyle name="Normal 4 2 5 3 2 4 3" xfId="15450" xr:uid="{2DFD23E7-52D0-45DD-9860-4A74BC84B353}"/>
    <cellStyle name="Normal 4 2 5 3 2 5" xfId="7903" xr:uid="{E883D2D4-FF50-40C7-9722-8245DECE913C}"/>
    <cellStyle name="Normal 4 2 5 3 2 5 2" xfId="18283" xr:uid="{6B2F9257-DA6A-49DC-9D36-382C53D5F344}"/>
    <cellStyle name="Normal 4 2 5 3 2 6" xfId="10736" xr:uid="{A815C69A-3F68-4268-BC28-4657AC26A748}"/>
    <cellStyle name="Normal 4 2 5 3 2 6 2" xfId="21116" xr:uid="{EAC72D7D-689A-4F1C-B1FF-EC52E59BBEC3}"/>
    <cellStyle name="Normal 4 2 5 3 2 7" xfId="23623" xr:uid="{62CEBA34-760D-405C-B215-4548645090E9}"/>
    <cellStyle name="Normal 4 2 5 3 2 8" xfId="13234" xr:uid="{B446E305-1C65-492A-AE55-2E81932ACC2B}"/>
    <cellStyle name="Normal 4 2 5 3 3" xfId="3325" xr:uid="{00000000-0005-0000-0000-0000E3050000}"/>
    <cellStyle name="Normal 4 2 5 3 3 2" xfId="4524" xr:uid="{E5453EDB-7847-48AE-AA88-4DA4D08CB3CA}"/>
    <cellStyle name="Normal 4 2 5 3 3 2 2" xfId="9296" xr:uid="{594792DB-F602-4F9B-9710-0E8420CA1289}"/>
    <cellStyle name="Normal 4 2 5 3 3 2 2 2" xfId="29275" xr:uid="{5FD6E443-B487-4105-A522-1BD6A7BDFD1D}"/>
    <cellStyle name="Normal 4 2 5 3 3 2 2 3" xfId="19676" xr:uid="{00548E8E-C009-4C8F-B5E6-2C47547A9FC3}"/>
    <cellStyle name="Normal 4 2 5 3 3 2 3" xfId="12129" xr:uid="{55C2624A-BC5F-448E-89A1-BB428B91C339}"/>
    <cellStyle name="Normal 4 2 5 3 3 2 3 2" xfId="22509" xr:uid="{EF73F6D8-9102-4476-B85B-C502DAF53583}"/>
    <cellStyle name="Normal 4 2 5 3 3 2 4" xfId="23690" xr:uid="{AFEAA7CE-90A4-465C-836A-F5D5C5D436D2}"/>
    <cellStyle name="Normal 4 2 5 3 3 2 5" xfId="16843" xr:uid="{FA2F7731-E4AF-4871-9E36-71D90F3B9AF3}"/>
    <cellStyle name="Normal 4 2 5 3 3 3" xfId="6383" xr:uid="{B816879C-A5F2-4FEF-81E0-B90C1C1B71B1}"/>
    <cellStyle name="Normal 4 2 5 3 3 3 2" xfId="26304" xr:uid="{FF48CE8C-519D-4A38-88D4-DA1956A00C79}"/>
    <cellStyle name="Normal 4 2 5 3 3 3 3" xfId="15952" xr:uid="{5907614C-2626-4B8F-BDEA-CFD0E8F86ED4}"/>
    <cellStyle name="Normal 4 2 5 3 3 4" xfId="8405" xr:uid="{EA9A7BC6-C0E7-45EB-A8CF-4EBA6BADE169}"/>
    <cellStyle name="Normal 4 2 5 3 3 4 2" xfId="18785" xr:uid="{19191B56-EA36-4B20-AEED-830A10CAAD27}"/>
    <cellStyle name="Normal 4 2 5 3 3 5" xfId="11238" xr:uid="{C636646A-A91B-4460-BE67-329647A062AB}"/>
    <cellStyle name="Normal 4 2 5 3 3 5 2" xfId="21618" xr:uid="{6DA88660-B64C-4244-939E-63DEB00E3242}"/>
    <cellStyle name="Normal 4 2 5 3 3 6" xfId="22697" xr:uid="{AC4C5E30-F5D9-4B86-8D24-26742E4CF504}"/>
    <cellStyle name="Normal 4 2 5 3 3 7" xfId="13882" xr:uid="{C8DF9A62-7C81-4C4A-9EA7-7888785F30B1}"/>
    <cellStyle name="Normal 4 2 5 3 4" xfId="3323" xr:uid="{00000000-0005-0000-0000-0000E4050000}"/>
    <cellStyle name="Normal 4 2 5 3 4 2" xfId="6381" xr:uid="{387E779B-00CE-4EC3-892B-B2B90CA3EFE7}"/>
    <cellStyle name="Normal 4 2 5 3 4 2 2" xfId="26888" xr:uid="{A286A1A6-8CF2-4D80-8B25-D8F8DE6624FF}"/>
    <cellStyle name="Normal 4 2 5 3 4 2 3" xfId="15950" xr:uid="{37752C60-178A-4A20-9C24-8CC6E9C19ACC}"/>
    <cellStyle name="Normal 4 2 5 3 4 3" xfId="8403" xr:uid="{54A2113F-AA51-4487-952D-0029B2365B37}"/>
    <cellStyle name="Normal 4 2 5 3 4 3 2" xfId="18783" xr:uid="{3A1B1FB0-E466-42DE-9132-0C42DBD5D2D6}"/>
    <cellStyle name="Normal 4 2 5 3 4 4" xfId="11236" xr:uid="{0B0ACCC4-DB40-4733-81F6-2F736105CA80}"/>
    <cellStyle name="Normal 4 2 5 3 4 4 2" xfId="21616" xr:uid="{74A7B9B8-7A1A-454F-A977-76690D774C54}"/>
    <cellStyle name="Normal 4 2 5 3 4 5" xfId="24186" xr:uid="{A47BE7BA-D7F5-402A-AC36-51DDB649C961}"/>
    <cellStyle name="Normal 4 2 5 3 4 6" xfId="13880" xr:uid="{48A85F04-0BE0-47B5-B892-DE3379BFCC42}"/>
    <cellStyle name="Normal 4 2 5 3 5" xfId="2627" xr:uid="{00000000-0005-0000-0000-0000E5050000}"/>
    <cellStyle name="Normal 4 2 5 3 5 2" xfId="5889" xr:uid="{F9EB9A5C-A7DA-4DF2-8279-9B34F07990F0}"/>
    <cellStyle name="Normal 4 2 5 3 5 2 2" xfId="26989" xr:uid="{0D84CEF1-9AE5-410B-8E6D-1BA242AC0101}"/>
    <cellStyle name="Normal 4 2 5 3 5 2 3" xfId="15299" xr:uid="{0A4BA692-CC5E-4132-9D94-17C7477AC0CB}"/>
    <cellStyle name="Normal 4 2 5 3 5 3" xfId="7752" xr:uid="{25712DD4-1059-4CA5-9A3C-EFA115EC4468}"/>
    <cellStyle name="Normal 4 2 5 3 5 3 2" xfId="18132" xr:uid="{2E6B801A-C33C-4D75-9C90-F828E5EC0C3B}"/>
    <cellStyle name="Normal 4 2 5 3 5 4" xfId="10585" xr:uid="{B468A150-16E3-4D01-BBAB-E817329AD542}"/>
    <cellStyle name="Normal 4 2 5 3 5 4 2" xfId="20965" xr:uid="{BFCE8A20-96C1-4BCF-A6A5-A248B059E7A5}"/>
    <cellStyle name="Normal 4 2 5 3 5 5" xfId="22843" xr:uid="{ABB10640-FEDD-4C24-868F-7A8EA3B27B59}"/>
    <cellStyle name="Normal 4 2 5 3 5 6" xfId="13015" xr:uid="{220D344D-761E-4309-BD03-807ABD6DDB3A}"/>
    <cellStyle name="Normal 4 2 5 3 6" xfId="4188" xr:uid="{BC304B4B-82E9-4E7C-B296-6D65F062491B}"/>
    <cellStyle name="Normal 4 2 5 3 6 2" xfId="8960" xr:uid="{6903D274-2589-436F-A52D-2707B23AF46A}"/>
    <cellStyle name="Normal 4 2 5 3 6 2 2" xfId="19340" xr:uid="{D9D5D96A-E195-4626-94D0-384CD033A3BF}"/>
    <cellStyle name="Normal 4 2 5 3 6 3" xfId="11793" xr:uid="{C1F6140E-B44B-4175-86C0-F6252E1D6231}"/>
    <cellStyle name="Normal 4 2 5 3 6 3 2" xfId="22173" xr:uid="{34510711-65CB-48FB-8757-F6F2AA6CFE45}"/>
    <cellStyle name="Normal 4 2 5 3 6 4" xfId="24607" xr:uid="{F66BF6C3-8931-40E4-85D4-741BA5B42733}"/>
    <cellStyle name="Normal 4 2 5 3 6 5" xfId="16507" xr:uid="{8C4F2945-644E-48C4-A252-2306264F717A}"/>
    <cellStyle name="Normal 4 2 5 3 7" xfId="5266" xr:uid="{C09DB10E-1F2D-449E-B56E-05130914761F}"/>
    <cellStyle name="Normal 4 2 5 3 7 2" xfId="14564" xr:uid="{F33A083D-51F9-40EF-9E9E-66C1606CF4B3}"/>
    <cellStyle name="Normal 4 2 5 3 8" xfId="7017" xr:uid="{53721B6D-FBE2-43DF-BCCD-E6655CA3DD99}"/>
    <cellStyle name="Normal 4 2 5 3 8 2" xfId="17397" xr:uid="{072A331F-596B-4952-8436-15C6FFD85F80}"/>
    <cellStyle name="Normal 4 2 5 3 9" xfId="9850" xr:uid="{A24F73A7-1478-4E03-B26A-41F723577305}"/>
    <cellStyle name="Normal 4 2 5 3 9 2" xfId="20230" xr:uid="{66E85D27-4E42-4EE3-87C0-78058182270B}"/>
    <cellStyle name="Normal 4 2 5 4" xfId="962" xr:uid="{00000000-0005-0000-0000-000074050000}"/>
    <cellStyle name="Normal 4 2 5 4 2" xfId="3326" xr:uid="{00000000-0005-0000-0000-0000E7050000}"/>
    <cellStyle name="Normal 4 2 5 4 2 2" xfId="6384" xr:uid="{2D8A9C61-8F07-4BE3-B6CB-92BA97D88958}"/>
    <cellStyle name="Normal 4 2 5 4 2 2 2" xfId="26262" xr:uid="{FFE65A06-3AB4-4919-A981-6F99564EA57D}"/>
    <cellStyle name="Normal 4 2 5 4 2 2 3" xfId="15953" xr:uid="{BB3D1C01-5747-4DAE-B9BD-95C9518332E1}"/>
    <cellStyle name="Normal 4 2 5 4 2 3" xfId="8406" xr:uid="{C8EA9E31-80AB-44C4-A0ED-22532E9C6E9A}"/>
    <cellStyle name="Normal 4 2 5 4 2 3 2" xfId="18786" xr:uid="{6C8F56C3-F9D8-4581-A2A6-9B795558E906}"/>
    <cellStyle name="Normal 4 2 5 4 2 4" xfId="11239" xr:uid="{6658D817-0906-49C9-A476-79B6586D018E}"/>
    <cellStyle name="Normal 4 2 5 4 2 4 2" xfId="21619" xr:uid="{40772340-F376-4654-B687-93962604834C}"/>
    <cellStyle name="Normal 4 2 5 4 2 5" xfId="23350" xr:uid="{A7470EB6-7774-4F99-ADA4-26A6B94C1DE6}"/>
    <cellStyle name="Normal 4 2 5 4 2 6" xfId="13883" xr:uid="{2F51F388-9219-431B-84AF-102469B74FD8}"/>
    <cellStyle name="Normal 4 2 5 4 3" xfId="4334" xr:uid="{F79196D7-441F-4273-8A49-2B180DFCA0FD}"/>
    <cellStyle name="Normal 4 2 5 4 3 2" xfId="9106" xr:uid="{CEE77492-61F9-4417-BAFD-C519B7073992}"/>
    <cellStyle name="Normal 4 2 5 4 3 2 2" xfId="29149" xr:uid="{5DF036F2-C522-4BE5-89DB-31C26EA17703}"/>
    <cellStyle name="Normal 4 2 5 4 3 2 3" xfId="19486" xr:uid="{C968488D-217B-48EF-8AB1-EE20461C5AB5}"/>
    <cellStyle name="Normal 4 2 5 4 3 3" xfId="11939" xr:uid="{DC646F8A-CF8E-4E4C-AABB-920E1ABA1CAC}"/>
    <cellStyle name="Normal 4 2 5 4 3 3 2" xfId="22319" xr:uid="{90E7123E-3C95-4430-B5F5-CAEF48BF0651}"/>
    <cellStyle name="Normal 4 2 5 4 3 4" xfId="24549" xr:uid="{B08EFD12-EDA2-48E2-8B12-53A8A0C19493}"/>
    <cellStyle name="Normal 4 2 5 4 3 5" xfId="16653" xr:uid="{FC7ABEB3-79E1-40C6-809F-C09973868853}"/>
    <cellStyle name="Normal 4 2 5 4 4" xfId="5267" xr:uid="{90636868-3CBD-43CF-9E0C-16942A9F471A}"/>
    <cellStyle name="Normal 4 2 5 4 4 2" xfId="27536" xr:uid="{9BB7A04A-111A-48BD-950A-D4021D2D8F4B}"/>
    <cellStyle name="Normal 4 2 5 4 4 3" xfId="14565" xr:uid="{F358DA77-44A8-4EA2-97FD-95B69369D8E1}"/>
    <cellStyle name="Normal 4 2 5 4 5" xfId="7018" xr:uid="{180F0E22-7AF7-42B8-9CAF-B98E3A758FB0}"/>
    <cellStyle name="Normal 4 2 5 4 5 2" xfId="17398" xr:uid="{E5377EE4-82A2-4E2C-B29F-B7FAA78461F2}"/>
    <cellStyle name="Normal 4 2 5 4 6" xfId="9851" xr:uid="{EE520D22-54F9-4A56-882D-EDD964009DA5}"/>
    <cellStyle name="Normal 4 2 5 4 6 2" xfId="20231" xr:uid="{3E91A0AC-E69E-438A-BEC3-6BC5C92BA4B4}"/>
    <cellStyle name="Normal 4 2 5 4 7" xfId="23687" xr:uid="{F8AB6D34-FDEA-4429-8542-10CAF464858D}"/>
    <cellStyle name="Normal 4 2 5 4 8" xfId="13232" xr:uid="{52DFCB45-735F-4B62-8392-014FB9CBE2FC}"/>
    <cellStyle name="Normal 4 2 5 5" xfId="3327" xr:uid="{00000000-0005-0000-0000-0000E8050000}"/>
    <cellStyle name="Normal 4 2 5 5 2" xfId="4525" xr:uid="{6D8784FB-DF71-4A83-8BDB-B3BDE7149BF9}"/>
    <cellStyle name="Normal 4 2 5 5 2 2" xfId="9297" xr:uid="{939521D8-ADC4-43CB-94FA-F0819C3406E9}"/>
    <cellStyle name="Normal 4 2 5 5 2 2 2" xfId="29276" xr:uid="{19DF4257-E43C-469F-9C16-B24162758384}"/>
    <cellStyle name="Normal 4 2 5 5 2 2 3" xfId="19677" xr:uid="{A5E31672-4691-46A0-B679-F339810D17C6}"/>
    <cellStyle name="Normal 4 2 5 5 2 3" xfId="12130" xr:uid="{99A63C92-0408-437E-9FB4-E8FC1C9FCFAA}"/>
    <cellStyle name="Normal 4 2 5 5 2 3 2" xfId="22510" xr:uid="{67C58881-5862-41EE-9DD7-947707FCFD34}"/>
    <cellStyle name="Normal 4 2 5 5 2 4" xfId="22986" xr:uid="{A8AA8306-3676-4E55-A536-A97B78DC1C8C}"/>
    <cellStyle name="Normal 4 2 5 5 2 5" xfId="16844" xr:uid="{F53A3395-D366-43D3-947A-A5C3B26D2711}"/>
    <cellStyle name="Normal 4 2 5 5 3" xfId="6385" xr:uid="{7B8F94D8-8887-4BA3-866C-407C1FBD36D0}"/>
    <cellStyle name="Normal 4 2 5 5 3 2" xfId="27817" xr:uid="{87681F70-42A7-43F7-8321-22E7CEF77D0C}"/>
    <cellStyle name="Normal 4 2 5 5 3 3" xfId="15954" xr:uid="{5AA64C3B-0F1C-42DE-B554-03458BE76FAC}"/>
    <cellStyle name="Normal 4 2 5 5 4" xfId="8407" xr:uid="{D8F9B07C-BF9A-4884-A50C-878839D29542}"/>
    <cellStyle name="Normal 4 2 5 5 4 2" xfId="18787" xr:uid="{7EE55C6F-078D-4EB4-97C4-E0C515C05408}"/>
    <cellStyle name="Normal 4 2 5 5 5" xfId="11240" xr:uid="{BEBAF8B2-74C4-45AF-8296-FB1ACA4054FD}"/>
    <cellStyle name="Normal 4 2 5 5 5 2" xfId="21620" xr:uid="{E8BDEB03-F972-4EEF-AED1-3CE2087889AB}"/>
    <cellStyle name="Normal 4 2 5 5 6" xfId="25326" xr:uid="{CD8F67A7-A3F0-427E-B834-3775BDAD38C0}"/>
    <cellStyle name="Normal 4 2 5 5 7" xfId="13884" xr:uid="{85D00D68-9ECF-44FF-A6D4-9D8CC9870C10}"/>
    <cellStyle name="Normal 4 2 5 6" xfId="2934" xr:uid="{00000000-0005-0000-0000-0000E9050000}"/>
    <cellStyle name="Normal 4 2 5 6 2" xfId="6114" xr:uid="{BE900F96-FEA2-4E30-92A8-CAE0953D3425}"/>
    <cellStyle name="Normal 4 2 5 6 2 2" xfId="27271" xr:uid="{14F8E04A-0425-4615-95E5-8CD6F3472A76}"/>
    <cellStyle name="Normal 4 2 5 6 2 3" xfId="15592" xr:uid="{02E86C8F-E312-4B22-A092-CD1A084F2D56}"/>
    <cellStyle name="Normal 4 2 5 6 3" xfId="8045" xr:uid="{FDB47C98-6356-471F-B78F-D9589B434C33}"/>
    <cellStyle name="Normal 4 2 5 6 3 2" xfId="18425" xr:uid="{ACB89726-CBF0-487C-A098-8B8203A24883}"/>
    <cellStyle name="Normal 4 2 5 6 4" xfId="10878" xr:uid="{D467590A-68A2-4185-81DF-CE6DFE8C83CB}"/>
    <cellStyle name="Normal 4 2 5 6 4 2" xfId="21258" xr:uid="{C6486E78-3A73-4F03-8C3B-96DFCE1ED896}"/>
    <cellStyle name="Normal 4 2 5 6 5" xfId="23649" xr:uid="{8E98ABBA-56EF-4EB2-8C80-C71F3B7F9032}"/>
    <cellStyle name="Normal 4 2 5 6 6" xfId="13450" xr:uid="{A84DE8E5-B24F-4345-923E-B3A2D97ACC76}"/>
    <cellStyle name="Normal 4 2 5 7" xfId="2464" xr:uid="{00000000-0005-0000-0000-0000EA050000}"/>
    <cellStyle name="Normal 4 2 5 7 2" xfId="5755" xr:uid="{B3C0D14B-390F-41E4-BDFD-0922C0DFF1F0}"/>
    <cellStyle name="Normal 4 2 5 7 2 2" xfId="27790" xr:uid="{B73C931D-43BD-471E-82AB-D8E8B2765E0C}"/>
    <cellStyle name="Normal 4 2 5 7 2 3" xfId="15136" xr:uid="{434BEB20-E85A-4B68-8FD8-E53101751DE4}"/>
    <cellStyle name="Normal 4 2 5 7 3" xfId="7589" xr:uid="{98097413-696C-4D6B-B43B-A312583BFC60}"/>
    <cellStyle name="Normal 4 2 5 7 3 2" xfId="17969" xr:uid="{91808D4E-F3DA-4DE1-806C-2787AF64E39E}"/>
    <cellStyle name="Normal 4 2 5 7 4" xfId="10422" xr:uid="{C7695EA6-FCC5-46B3-8581-BABB751203C3}"/>
    <cellStyle name="Normal 4 2 5 7 4 2" xfId="20802" xr:uid="{C91687E2-92DF-49FB-83E1-C765A8EEDC20}"/>
    <cellStyle name="Normal 4 2 5 7 5" xfId="23071" xr:uid="{47CF11B8-F3BB-4AAE-920F-7AD967892354}"/>
    <cellStyle name="Normal 4 2 5 7 6" xfId="12852" xr:uid="{A38FCE37-52D1-467C-BFAB-9EB57318F51A}"/>
    <cellStyle name="Normal 4 2 5 8" xfId="2218" xr:uid="{00000000-0005-0000-0000-0000D9050000}"/>
    <cellStyle name="Normal 4 2 5 8 2" xfId="7345" xr:uid="{4572ABC9-1896-420C-86A5-CA9F76DFAD18}"/>
    <cellStyle name="Normal 4 2 5 8 2 2" xfId="17725" xr:uid="{38E23D4E-CAE6-422B-9F2C-0834EA8B1317}"/>
    <cellStyle name="Normal 4 2 5 8 3" xfId="10178" xr:uid="{3DE857B0-E18A-4932-8D4C-3AFD4D4E0790}"/>
    <cellStyle name="Normal 4 2 5 8 3 2" xfId="20558" xr:uid="{D5152B89-6BA3-4F88-8144-44DA55D45D7C}"/>
    <cellStyle name="Normal 4 2 5 8 4" xfId="22679" xr:uid="{BF7C7BED-1E09-48AF-BDAE-3B31DE56324F}"/>
    <cellStyle name="Normal 4 2 5 8 5" xfId="14892" xr:uid="{D71B3A97-AF0F-4824-915F-65B51B64D8FB}"/>
    <cellStyle name="Normal 4 2 5 9" xfId="3981" xr:uid="{02D1CB85-E6A3-4145-AB9C-27FB597ED793}"/>
    <cellStyle name="Normal 4 2 5 9 2" xfId="8805" xr:uid="{D0323B9F-1984-415E-B9FC-A3EA0A4AA7C1}"/>
    <cellStyle name="Normal 4 2 5 9 2 2" xfId="19185" xr:uid="{7F24D07F-AB6C-4885-B430-C8903F1F7EDB}"/>
    <cellStyle name="Normal 4 2 5 9 3" xfId="11638" xr:uid="{5809E595-3478-4878-8122-F05D934B4A9B}"/>
    <cellStyle name="Normal 4 2 5 9 3 2" xfId="22018" xr:uid="{B97DDBE7-F401-4CF7-89ED-4BA7425BFDC2}"/>
    <cellStyle name="Normal 4 2 5 9 4" xfId="16352" xr:uid="{06C86599-A475-46F6-813F-4124D8A04094}"/>
    <cellStyle name="Normal 4 2 6" xfId="963" xr:uid="{00000000-0005-0000-0000-000075050000}"/>
    <cellStyle name="Normal 4 2 6 10" xfId="7019" xr:uid="{DEFFBE65-696A-4203-9BDA-4690425232DD}"/>
    <cellStyle name="Normal 4 2 6 10 2" xfId="17399" xr:uid="{0291D174-1953-4046-9ED3-0F6455134A09}"/>
    <cellStyle name="Normal 4 2 6 11" xfId="9852" xr:uid="{2DFF8B14-F295-4A73-9C97-CE02457F3E60}"/>
    <cellStyle name="Normal 4 2 6 11 2" xfId="20232" xr:uid="{DF6BB936-6B5B-4984-BAD0-AF167AF2B481}"/>
    <cellStyle name="Normal 4 2 6 12" xfId="23291" xr:uid="{0A0B5212-006E-47FF-824A-9A325E4E6528}"/>
    <cellStyle name="Normal 4 2 6 13" xfId="12433" xr:uid="{DCA0F383-9FD0-412D-95B2-3029A322B4DD}"/>
    <cellStyle name="Normal 4 2 6 2" xfId="964" xr:uid="{00000000-0005-0000-0000-000076050000}"/>
    <cellStyle name="Normal 4 2 6 2 10" xfId="9853" xr:uid="{AAF76A15-98AD-4B4E-B884-BCF135D9E71E}"/>
    <cellStyle name="Normal 4 2 6 2 10 2" xfId="20233" xr:uid="{D322F266-7F4C-4A30-80C0-03EC2326BB7A}"/>
    <cellStyle name="Normal 4 2 6 2 11" xfId="25490" xr:uid="{93B5B837-D4AE-458F-909D-9852DE494C60}"/>
    <cellStyle name="Normal 4 2 6 2 12" xfId="12595" xr:uid="{70D1879F-DFEE-439A-8114-F9F951CC7F53}"/>
    <cellStyle name="Normal 4 2 6 2 2" xfId="965" xr:uid="{00000000-0005-0000-0000-000077050000}"/>
    <cellStyle name="Normal 4 2 6 2 2 2" xfId="3329" xr:uid="{00000000-0005-0000-0000-0000EE050000}"/>
    <cellStyle name="Normal 4 2 6 2 2 2 2" xfId="6387" xr:uid="{BAC233AC-A810-4E84-B638-9230A1EF5733}"/>
    <cellStyle name="Normal 4 2 6 2 2 2 2 2" xfId="27437" xr:uid="{01FEDD6C-50A2-42AD-BAEA-5B3F2BA9B97A}"/>
    <cellStyle name="Normal 4 2 6 2 2 2 2 3" xfId="25892" xr:uid="{D370D220-E45B-4428-804E-88C734B5BA41}"/>
    <cellStyle name="Normal 4 2 6 2 2 2 2 4" xfId="15956" xr:uid="{B86B1128-6148-4733-AA93-440790B6DAC6}"/>
    <cellStyle name="Normal 4 2 6 2 2 2 3" xfId="8409" xr:uid="{13F54889-9A2A-4EAE-9E4D-B98CA4578160}"/>
    <cellStyle name="Normal 4 2 6 2 2 2 3 2" xfId="28907" xr:uid="{23A09F88-3BC4-4005-89B4-928F9EB03608}"/>
    <cellStyle name="Normal 4 2 6 2 2 2 3 3" xfId="18789" xr:uid="{FBBABA64-E424-4A9F-AA21-7B14DA85B7DB}"/>
    <cellStyle name="Normal 4 2 6 2 2 2 4" xfId="11242" xr:uid="{7408C84E-0E61-492E-ACF8-C9C3926B6747}"/>
    <cellStyle name="Normal 4 2 6 2 2 2 4 2" xfId="21622" xr:uid="{E053CD8D-E533-488E-B006-84049A8B0B14}"/>
    <cellStyle name="Normal 4 2 6 2 2 2 5" xfId="23776" xr:uid="{F2768962-D32F-4F2C-B61F-D72571688E4C}"/>
    <cellStyle name="Normal 4 2 6 2 2 2 6" xfId="13886" xr:uid="{0B2A3A0F-5995-44D1-B366-34381A1C7D8E}"/>
    <cellStyle name="Normal 4 2 6 2 2 3" xfId="4337" xr:uid="{857F86B8-95F4-4D78-8DC8-9C82D2E1F62A}"/>
    <cellStyle name="Normal 4 2 6 2 2 3 2" xfId="9109" xr:uid="{1F71B0AA-B07E-4E1B-B426-81E8CE243CCB}"/>
    <cellStyle name="Normal 4 2 6 2 2 3 2 2" xfId="29152" xr:uid="{1E8BF86F-831C-480C-922A-037576019845}"/>
    <cellStyle name="Normal 4 2 6 2 2 3 2 3" xfId="19489" xr:uid="{7D3B6463-E4B3-4766-BC1A-4E297A722C8A}"/>
    <cellStyle name="Normal 4 2 6 2 2 3 3" xfId="11942" xr:uid="{BE966F00-1B64-4BBB-9425-77D4C0A09E5B}"/>
    <cellStyle name="Normal 4 2 6 2 2 3 3 2" xfId="22322" xr:uid="{0FFB036E-9636-4239-8BEA-C670967D3303}"/>
    <cellStyle name="Normal 4 2 6 2 2 3 4" xfId="25209" xr:uid="{E1531264-CDA4-4A91-86DD-32418CD92D27}"/>
    <cellStyle name="Normal 4 2 6 2 2 3 5" xfId="16656" xr:uid="{26BB06FE-C18D-48A2-88D1-79ACDB3FEBE0}"/>
    <cellStyle name="Normal 4 2 6 2 2 4" xfId="5270" xr:uid="{845432CD-F2D3-4D76-907D-D59FA9CD2874}"/>
    <cellStyle name="Normal 4 2 6 2 2 4 2" xfId="27715" xr:uid="{A445EB11-AC63-43BA-9DB2-5C1783F44351}"/>
    <cellStyle name="Normal 4 2 6 2 2 4 3" xfId="14568" xr:uid="{A512F79D-014F-4042-B953-7D07D24825A3}"/>
    <cellStyle name="Normal 4 2 6 2 2 5" xfId="7021" xr:uid="{D760C8EB-0D87-4AC0-8888-2BA1C8E6609F}"/>
    <cellStyle name="Normal 4 2 6 2 2 5 2" xfId="17401" xr:uid="{9F4F324B-1C74-4189-84AD-6C60919BC47C}"/>
    <cellStyle name="Normal 4 2 6 2 2 6" xfId="9854" xr:uid="{1C183A3C-01F1-47A9-99F4-EA098027F5B3}"/>
    <cellStyle name="Normal 4 2 6 2 2 6 2" xfId="20234" xr:uid="{BAF14791-1445-4BFD-BB71-EA245F0BD374}"/>
    <cellStyle name="Normal 4 2 6 2 2 7" xfId="24662" xr:uid="{715982D8-8CCD-4DB3-A321-1023E28E91DD}"/>
    <cellStyle name="Normal 4 2 6 2 2 8" xfId="13236" xr:uid="{AE4511A6-6A37-451D-9339-1781BCD0E6C2}"/>
    <cellStyle name="Normal 4 2 6 2 3" xfId="3330" xr:uid="{00000000-0005-0000-0000-0000EF050000}"/>
    <cellStyle name="Normal 4 2 6 2 3 2" xfId="4526" xr:uid="{3B4A1E04-19F3-4BAC-8FB4-223D8C385833}"/>
    <cellStyle name="Normal 4 2 6 2 3 2 2" xfId="9298" xr:uid="{2643789D-BFF3-4FDE-89AE-576DAE0B7112}"/>
    <cellStyle name="Normal 4 2 6 2 3 2 2 2" xfId="29277" xr:uid="{ADC3726D-943B-4422-AA3B-312D33597F2D}"/>
    <cellStyle name="Normal 4 2 6 2 3 2 2 3" xfId="19678" xr:uid="{7F045121-FE28-46D2-8BD9-F2FD593D591E}"/>
    <cellStyle name="Normal 4 2 6 2 3 2 3" xfId="12131" xr:uid="{0E3A85B9-3D67-49A3-AC4A-3F0B11D3BE28}"/>
    <cellStyle name="Normal 4 2 6 2 3 2 3 2" xfId="22511" xr:uid="{A532BA39-5A27-49FF-B9D0-60AB1D2FC30C}"/>
    <cellStyle name="Normal 4 2 6 2 3 2 4" xfId="25730" xr:uid="{D479B867-F913-46C3-8BC5-AD701191ADBD}"/>
    <cellStyle name="Normal 4 2 6 2 3 2 5" xfId="16845" xr:uid="{5D574386-622A-4518-AF71-2749C6E6758C}"/>
    <cellStyle name="Normal 4 2 6 2 3 3" xfId="6388" xr:uid="{E3EC29E1-6B29-4691-AB1C-9E9E1E6D1FED}"/>
    <cellStyle name="Normal 4 2 6 2 3 3 2" xfId="26452" xr:uid="{EDC3EDAC-2582-499B-83E7-7013BC20D12A}"/>
    <cellStyle name="Normal 4 2 6 2 3 3 3" xfId="15957" xr:uid="{70662303-3DE4-41B2-BA67-8D3E9A6F8572}"/>
    <cellStyle name="Normal 4 2 6 2 3 4" xfId="8410" xr:uid="{BA7460BF-5E29-4C76-B10D-498E7A56FBC8}"/>
    <cellStyle name="Normal 4 2 6 2 3 4 2" xfId="18790" xr:uid="{AA8F3C40-3D91-473A-941F-906738993696}"/>
    <cellStyle name="Normal 4 2 6 2 3 5" xfId="11243" xr:uid="{895AA936-CA0C-4AD0-9B67-A23D4BBA7485}"/>
    <cellStyle name="Normal 4 2 6 2 3 5 2" xfId="21623" xr:uid="{B0D3F07F-5DD6-4BB5-8FA2-B4B5E91E4DE2}"/>
    <cellStyle name="Normal 4 2 6 2 3 6" xfId="23643" xr:uid="{FAEA117C-7D53-4795-9506-15D60D08DB14}"/>
    <cellStyle name="Normal 4 2 6 2 3 7" xfId="13887" xr:uid="{07894BF5-186F-46A5-90C3-C0E35D34DD71}"/>
    <cellStyle name="Normal 4 2 6 2 4" xfId="3328" xr:uid="{00000000-0005-0000-0000-0000F0050000}"/>
    <cellStyle name="Normal 4 2 6 2 4 2" xfId="6386" xr:uid="{1EFB95CC-F524-4CCE-B4C8-B3532779C91A}"/>
    <cellStyle name="Normal 4 2 6 2 4 2 2" xfId="27677" xr:uid="{5221F9D5-5C43-4BD8-A639-B8EAD77C4AA0}"/>
    <cellStyle name="Normal 4 2 6 2 4 2 3" xfId="15955" xr:uid="{4AA7393A-9535-46B1-AE7B-422F403D5E63}"/>
    <cellStyle name="Normal 4 2 6 2 4 3" xfId="8408" xr:uid="{BD057D78-443F-4F6A-BD3C-B805CE90C35E}"/>
    <cellStyle name="Normal 4 2 6 2 4 3 2" xfId="18788" xr:uid="{D7A8E92A-98A9-40BB-94F4-2F8B9EA5559F}"/>
    <cellStyle name="Normal 4 2 6 2 4 4" xfId="11241" xr:uid="{B77882D4-2BB8-4E51-817A-F4DFBF0C2F01}"/>
    <cellStyle name="Normal 4 2 6 2 4 4 2" xfId="21621" xr:uid="{19B015B6-C3D9-4F13-A81C-788AA33944AD}"/>
    <cellStyle name="Normal 4 2 6 2 4 5" xfId="24570" xr:uid="{9069EFC3-BB10-45D2-ACFB-9403E33DCD81}"/>
    <cellStyle name="Normal 4 2 6 2 4 6" xfId="13885" xr:uid="{4372CB72-119F-489D-BBEB-1AD6D0581791}"/>
    <cellStyle name="Normal 4 2 6 2 5" xfId="2610" xr:uid="{00000000-0005-0000-0000-0000F1050000}"/>
    <cellStyle name="Normal 4 2 6 2 5 2" xfId="5874" xr:uid="{07DD4D81-18F0-424D-AB3F-DCC8D97687DA}"/>
    <cellStyle name="Normal 4 2 6 2 5 2 2" xfId="28154" xr:uid="{0A8188F9-9BE0-4643-A3E1-78D3C7C185FA}"/>
    <cellStyle name="Normal 4 2 6 2 5 2 3" xfId="15282" xr:uid="{7DA7F9BC-5C98-4BE4-9B9A-C10CE37169CE}"/>
    <cellStyle name="Normal 4 2 6 2 5 3" xfId="7735" xr:uid="{FED3B4A8-396E-42D7-B50F-9D3B0DBCA14D}"/>
    <cellStyle name="Normal 4 2 6 2 5 3 2" xfId="18115" xr:uid="{3D2EC2C8-79D0-47C5-80A4-2811D2A4C0F5}"/>
    <cellStyle name="Normal 4 2 6 2 5 4" xfId="10568" xr:uid="{B4611E73-2207-41F3-8632-1E9574B02295}"/>
    <cellStyle name="Normal 4 2 6 2 5 4 2" xfId="20948" xr:uid="{C2CB5B8B-BB12-453B-9554-7525A2BD3805}"/>
    <cellStyle name="Normal 4 2 6 2 5 5" xfId="23500" xr:uid="{01E9226A-9A95-4F7B-B42B-1AACED1D9B86}"/>
    <cellStyle name="Normal 4 2 6 2 5 6" xfId="12998" xr:uid="{9A39D173-392B-4426-AD21-69500934C59C}"/>
    <cellStyle name="Normal 4 2 6 2 6" xfId="2361" xr:uid="{00000000-0005-0000-0000-0000EC050000}"/>
    <cellStyle name="Normal 4 2 6 2 6 2" xfId="7488" xr:uid="{36A58D09-B824-4A83-8738-F5426A950A4E}"/>
    <cellStyle name="Normal 4 2 6 2 6 2 2" xfId="17868" xr:uid="{B28F8718-5697-444D-AE82-7AF47CC92C2B}"/>
    <cellStyle name="Normal 4 2 6 2 6 3" xfId="10321" xr:uid="{3ED99E39-33F5-4F31-98CE-B9FEE95B9407}"/>
    <cellStyle name="Normal 4 2 6 2 6 3 2" xfId="20701" xr:uid="{37D94780-3B16-4555-9083-35032C5908D6}"/>
    <cellStyle name="Normal 4 2 6 2 6 4" xfId="23376" xr:uid="{1A3EA359-9DE4-4D7E-8066-FF4884B37497}"/>
    <cellStyle name="Normal 4 2 6 2 6 5" xfId="15035" xr:uid="{7F5C3E7B-8BFC-4881-9F5E-4D195B13A68F}"/>
    <cellStyle name="Normal 4 2 6 2 7" xfId="3898" xr:uid="{AA3D5DF3-B1EE-4297-AA11-BA003746AEB6}"/>
    <cellStyle name="Normal 4 2 6 2 7 2" xfId="8730" xr:uid="{53ADFC7F-9696-475D-9D78-12468888E6C4}"/>
    <cellStyle name="Normal 4 2 6 2 7 2 2" xfId="19110" xr:uid="{54C6A38B-1B82-465D-A279-513907E7CFA6}"/>
    <cellStyle name="Normal 4 2 6 2 7 3" xfId="11563" xr:uid="{6B266857-CB04-46C9-B790-0A3E49B6057C}"/>
    <cellStyle name="Normal 4 2 6 2 7 3 2" xfId="21943" xr:uid="{972EF6E0-3C28-452F-8AE8-878C81AA9467}"/>
    <cellStyle name="Normal 4 2 6 2 7 4" xfId="16277" xr:uid="{0F76F6A9-D3F2-42FB-8BF3-311F1A13DB19}"/>
    <cellStyle name="Normal 4 2 6 2 8" xfId="5269" xr:uid="{319875FB-8008-49E7-9C02-EED376AEFF7C}"/>
    <cellStyle name="Normal 4 2 6 2 8 2" xfId="14567" xr:uid="{DDF5DFE2-BAD9-4697-BDB6-C9BA65F2F991}"/>
    <cellStyle name="Normal 4 2 6 2 9" xfId="7020" xr:uid="{0F7B2D12-A05C-4F27-BE47-222BC3C4A06A}"/>
    <cellStyle name="Normal 4 2 6 2 9 2" xfId="17400" xr:uid="{CDA9802D-6A62-4039-96EA-9AB473645173}"/>
    <cellStyle name="Normal 4 2 6 3" xfId="966" xr:uid="{00000000-0005-0000-0000-000078050000}"/>
    <cellStyle name="Normal 4 2 6 3 2" xfId="3331" xr:uid="{00000000-0005-0000-0000-0000F3050000}"/>
    <cellStyle name="Normal 4 2 6 3 2 2" xfId="6389" xr:uid="{FE92993F-BAF8-4C5B-9F7C-AE05EE62D22B}"/>
    <cellStyle name="Normal 4 2 6 3 2 2 2" xfId="25677" xr:uid="{C0EE5ABE-996E-4F6B-B7AD-58B41061E466}"/>
    <cellStyle name="Normal 4 2 6 3 2 2 3" xfId="27988" xr:uid="{2F42EDBE-BC3F-4C91-BAAE-6B0948836DED}"/>
    <cellStyle name="Normal 4 2 6 3 2 2 4" xfId="15958" xr:uid="{7426F8A1-AE9F-41EA-8EA0-D58B5D52ACF8}"/>
    <cellStyle name="Normal 4 2 6 3 2 3" xfId="8411" xr:uid="{C474FC15-91E5-4D33-B0F6-A82653846DB4}"/>
    <cellStyle name="Normal 4 2 6 3 2 3 2" xfId="28908" xr:uid="{CF51905B-2ADD-40D8-A7FB-31E292C6AF88}"/>
    <cellStyle name="Normal 4 2 6 3 2 3 3" xfId="18791" xr:uid="{343A9DA3-0E4B-4C2D-9F23-ED2461D33386}"/>
    <cellStyle name="Normal 4 2 6 3 2 4" xfId="11244" xr:uid="{90FC2832-9F79-4557-BE5E-1089DDFF8350}"/>
    <cellStyle name="Normal 4 2 6 3 2 4 2" xfId="21624" xr:uid="{8DA32EF5-1CEB-4CC4-BC92-F33A8B50D9F0}"/>
    <cellStyle name="Normal 4 2 6 3 2 5" xfId="24311" xr:uid="{B6AAD285-E742-4B62-B4ED-57D839C9066F}"/>
    <cellStyle name="Normal 4 2 6 3 2 6" xfId="13888" xr:uid="{1B2BD6CC-67ED-4A93-99E0-2748B9D2A540}"/>
    <cellStyle name="Normal 4 2 6 3 3" xfId="2780" xr:uid="{00000000-0005-0000-0000-0000F4050000}"/>
    <cellStyle name="Normal 4 2 6 3 3 2" xfId="5998" xr:uid="{1684FD6E-1C2D-4B92-B5D1-821C8B9D5A9C}"/>
    <cellStyle name="Normal 4 2 6 3 3 2 2" xfId="28343" xr:uid="{7C3DF070-E185-4A69-87FA-43E27DBE019C}"/>
    <cellStyle name="Normal 4 2 6 3 3 2 3" xfId="15451" xr:uid="{77B3597A-511B-4796-85FD-53FDBEE36A9B}"/>
    <cellStyle name="Normal 4 2 6 3 3 3" xfId="7904" xr:uid="{9A99C179-EF21-47B5-92A9-F85335778B74}"/>
    <cellStyle name="Normal 4 2 6 3 3 3 2" xfId="18284" xr:uid="{82730A57-B685-428B-A2BD-50CA72A6FBD0}"/>
    <cellStyle name="Normal 4 2 6 3 3 4" xfId="10737" xr:uid="{9F70DF0B-080C-4430-B3C0-91DD352022C6}"/>
    <cellStyle name="Normal 4 2 6 3 3 4 2" xfId="21117" xr:uid="{2466BF61-16A6-4DF7-A8C3-712F105B9071}"/>
    <cellStyle name="Normal 4 2 6 3 3 5" xfId="23880" xr:uid="{8596DDE8-CBB3-4C0D-A541-2F54AE8282B1}"/>
    <cellStyle name="Normal 4 2 6 3 3 6" xfId="13235" xr:uid="{21DE1455-38A9-4019-B32C-08D8109886B2}"/>
    <cellStyle name="Normal 4 2 6 3 4" xfId="4189" xr:uid="{40606041-DA8B-4377-AA3C-F2C00702F787}"/>
    <cellStyle name="Normal 4 2 6 3 4 2" xfId="8961" xr:uid="{C66EE141-AE82-434F-B65F-361BAD69F1E6}"/>
    <cellStyle name="Normal 4 2 6 3 4 2 2" xfId="29047" xr:uid="{9382D94B-DCB1-4011-9176-F3AC01C961F4}"/>
    <cellStyle name="Normal 4 2 6 3 4 2 3" xfId="19341" xr:uid="{23366CE6-989D-4451-AD99-E1CAB3D4CF0C}"/>
    <cellStyle name="Normal 4 2 6 3 4 3" xfId="11794" xr:uid="{6C6B874E-6267-4F5F-86D1-6C14266CB4C3}"/>
    <cellStyle name="Normal 4 2 6 3 4 3 2" xfId="22174" xr:uid="{C33C7272-BA02-473F-9F73-3E5525316369}"/>
    <cellStyle name="Normal 4 2 6 3 4 4" xfId="24916" xr:uid="{D1A430FD-F708-4F93-8B88-EB63EA560D80}"/>
    <cellStyle name="Normal 4 2 6 3 4 5" xfId="16508" xr:uid="{8609A487-7754-4F40-89C8-88528592A204}"/>
    <cellStyle name="Normal 4 2 6 3 5" xfId="5271" xr:uid="{584CF36E-63D8-4E1F-B462-50FA7D66AD92}"/>
    <cellStyle name="Normal 4 2 6 3 5 2" xfId="25936" xr:uid="{26C2E12F-6534-4FBA-A1C8-87642CD37059}"/>
    <cellStyle name="Normal 4 2 6 3 5 3" xfId="14569" xr:uid="{3B8A09C0-1692-46C5-96B7-FE928EDDD8A3}"/>
    <cellStyle name="Normal 4 2 6 3 6" xfId="7022" xr:uid="{B44D897B-9503-442F-886D-E558BAF987A4}"/>
    <cellStyle name="Normal 4 2 6 3 6 2" xfId="17402" xr:uid="{03DB9A1F-E3DC-424B-8835-C0B872E74A93}"/>
    <cellStyle name="Normal 4 2 6 3 7" xfId="9855" xr:uid="{A24C2DCE-6D31-4069-BE85-1EABC0836247}"/>
    <cellStyle name="Normal 4 2 6 3 7 2" xfId="20235" xr:uid="{16F25DB6-6C13-48F7-8EEF-F305CFA7EA75}"/>
    <cellStyle name="Normal 4 2 6 3 8" xfId="23278" xr:uid="{53F1ADCD-A2B6-443C-90D0-30C7F86D4AF5}"/>
    <cellStyle name="Normal 4 2 6 3 9" xfId="12753" xr:uid="{004352A9-0DBB-4201-B860-3A2496E83A61}"/>
    <cellStyle name="Normal 4 2 6 4" xfId="967" xr:uid="{00000000-0005-0000-0000-000079050000}"/>
    <cellStyle name="Normal 4 2 6 4 2" xfId="4527" xr:uid="{DED110EA-4FF8-44EC-81CD-282E94001006}"/>
    <cellStyle name="Normal 4 2 6 4 2 2" xfId="9299" xr:uid="{0DA1CCB9-C711-4155-A334-3C6A56E58164}"/>
    <cellStyle name="Normal 4 2 6 4 2 2 2" xfId="29278" xr:uid="{B90B2C4E-6921-4B87-9274-42B9C74AD2DF}"/>
    <cellStyle name="Normal 4 2 6 4 2 2 3" xfId="19679" xr:uid="{5D0EEA66-234D-4E46-AE98-B416CEAB992B}"/>
    <cellStyle name="Normal 4 2 6 4 2 3" xfId="12132" xr:uid="{24F307D8-4CC8-4225-993F-EB795795E782}"/>
    <cellStyle name="Normal 4 2 6 4 2 3 2" xfId="22512" xr:uid="{BFF4A2C3-5869-44F5-8885-D70070B4C538}"/>
    <cellStyle name="Normal 4 2 6 4 2 4" xfId="25433" xr:uid="{A49B63E4-FA31-42C2-BDFB-FC8FAB4DB1DA}"/>
    <cellStyle name="Normal 4 2 6 4 2 5" xfId="16846" xr:uid="{151BECC0-F259-4535-9B23-B11A73E29759}"/>
    <cellStyle name="Normal 4 2 6 4 3" xfId="5272" xr:uid="{030FAB88-72EC-442A-B69B-959D39BD510A}"/>
    <cellStyle name="Normal 4 2 6 4 3 2" xfId="28016" xr:uid="{940E6B7D-174B-42BA-9111-E86BD89D0A21}"/>
    <cellStyle name="Normal 4 2 6 4 3 3" xfId="14570" xr:uid="{7709087C-7763-4E58-9AF2-9BFC0C3F1F94}"/>
    <cellStyle name="Normal 4 2 6 4 4" xfId="7023" xr:uid="{6C011319-2626-4F1A-923C-913F15298D48}"/>
    <cellStyle name="Normal 4 2 6 4 4 2" xfId="17403" xr:uid="{9A48E7CE-7C90-447D-874F-D9D1D8BC9CEC}"/>
    <cellStyle name="Normal 4 2 6 4 5" xfId="9856" xr:uid="{4AC0B897-9F0B-4935-9EE5-C071DBF6BAB3}"/>
    <cellStyle name="Normal 4 2 6 4 5 2" xfId="20236" xr:uid="{E84A4B4A-75CD-4A59-B7DF-5D11CA0F2256}"/>
    <cellStyle name="Normal 4 2 6 4 6" xfId="23676" xr:uid="{E2572290-DD8A-4041-88A8-76E5A43C2C3E}"/>
    <cellStyle name="Normal 4 2 6 4 7" xfId="13889" xr:uid="{FDD0F8A3-0BCC-477E-BBAD-878A7FAEB041}"/>
    <cellStyle name="Normal 4 2 6 5" xfId="2935" xr:uid="{00000000-0005-0000-0000-0000F6050000}"/>
    <cellStyle name="Normal 4 2 6 5 2" xfId="6115" xr:uid="{49FD57F7-0D14-41A4-BB9A-FD686BE73B14}"/>
    <cellStyle name="Normal 4 2 6 5 2 2" xfId="25666" xr:uid="{9617A641-5376-4873-B334-0A18ACE25AF7}"/>
    <cellStyle name="Normal 4 2 6 5 2 3" xfId="26829" xr:uid="{486B707A-D64E-4F41-991E-646BFC4E3308}"/>
    <cellStyle name="Normal 4 2 6 5 2 4" xfId="15593" xr:uid="{7BC0E760-E082-469C-B346-2F2688DE3869}"/>
    <cellStyle name="Normal 4 2 6 5 3" xfId="8046" xr:uid="{04086D41-E9AD-40AE-BF3A-BADDAEFD08AE}"/>
    <cellStyle name="Normal 4 2 6 5 3 2" xfId="28753" xr:uid="{070C6FAE-E5E7-403F-BD1E-5634967E85B2}"/>
    <cellStyle name="Normal 4 2 6 5 3 3" xfId="18426" xr:uid="{0FD652B7-BF6E-46EC-AE54-2D00C96B8C57}"/>
    <cellStyle name="Normal 4 2 6 5 4" xfId="10879" xr:uid="{833C2923-73FE-445C-A9CB-EDDC2620A496}"/>
    <cellStyle name="Normal 4 2 6 5 4 2" xfId="21259" xr:uid="{3822B3BA-483E-493F-9034-8BC640CD0A99}"/>
    <cellStyle name="Normal 4 2 6 5 5" xfId="23175" xr:uid="{6E0C4EA4-0CE7-4116-B59E-5195228600A9}"/>
    <cellStyle name="Normal 4 2 6 5 6" xfId="13451" xr:uid="{99AC9C3F-479A-4003-A88D-B5EC02EAB443}"/>
    <cellStyle name="Normal 4 2 6 6" xfId="2447" xr:uid="{00000000-0005-0000-0000-0000F7050000}"/>
    <cellStyle name="Normal 4 2 6 6 2" xfId="5741" xr:uid="{E78AD926-4D52-4521-A7B9-95BD7DBAD383}"/>
    <cellStyle name="Normal 4 2 6 6 2 2" xfId="27910" xr:uid="{A90D7833-AFF6-4E69-9896-A39DF4AE1AE7}"/>
    <cellStyle name="Normal 4 2 6 6 2 3" xfId="15119" xr:uid="{2616915A-7E35-44F3-9F82-326B14B23196}"/>
    <cellStyle name="Normal 4 2 6 6 3" xfId="7572" xr:uid="{E02D6971-BBD4-4B48-851B-BCCDE6302B70}"/>
    <cellStyle name="Normal 4 2 6 6 3 2" xfId="17952" xr:uid="{1C7BCFD2-81D3-417A-A632-8DD7D1A65E82}"/>
    <cellStyle name="Normal 4 2 6 6 4" xfId="10405" xr:uid="{ECFF3D03-DFA7-4425-A720-F403C59C6701}"/>
    <cellStyle name="Normal 4 2 6 6 4 2" xfId="20785" xr:uid="{99A73FA3-7F73-437D-8071-4F5B3A3C8AF7}"/>
    <cellStyle name="Normal 4 2 6 6 5" xfId="23436" xr:uid="{37C8720F-BA41-4E79-99AA-D6470235F8D2}"/>
    <cellStyle name="Normal 4 2 6 6 6" xfId="12835" xr:uid="{570C49A3-FAF4-495A-8892-2CC6AD9653A7}"/>
    <cellStyle name="Normal 4 2 6 7" xfId="2201" xr:uid="{00000000-0005-0000-0000-0000EB050000}"/>
    <cellStyle name="Normal 4 2 6 7 2" xfId="7328" xr:uid="{EBE469A9-310C-4141-944D-1CC1B26602A5}"/>
    <cellStyle name="Normal 4 2 6 7 2 2" xfId="17708" xr:uid="{1B9B7FBB-2472-47EE-AF99-0BCDBA0F2444}"/>
    <cellStyle name="Normal 4 2 6 7 3" xfId="10161" xr:uid="{0FF57B05-FD99-4351-97BE-855AEFD9ED1D}"/>
    <cellStyle name="Normal 4 2 6 7 3 2" xfId="20541" xr:uid="{4BB541D0-49FA-4AB4-92D3-9EE0782C903D}"/>
    <cellStyle name="Normal 4 2 6 7 4" xfId="25073" xr:uid="{C021C09F-3E96-449F-BFCD-20D6CB46C1A5}"/>
    <cellStyle name="Normal 4 2 6 7 5" xfId="14875" xr:uid="{91C5B66E-C397-486B-A351-7B86C9C2CEA2}"/>
    <cellStyle name="Normal 4 2 6 8" xfId="3982" xr:uid="{39E719C9-56D6-454A-BB9F-E7BC7A19B069}"/>
    <cellStyle name="Normal 4 2 6 8 2" xfId="8806" xr:uid="{18AFC519-0509-452D-8D8A-E81B6F817390}"/>
    <cellStyle name="Normal 4 2 6 8 2 2" xfId="19186" xr:uid="{81B46A5A-09ED-45DA-A568-F500B1B04E8D}"/>
    <cellStyle name="Normal 4 2 6 8 3" xfId="11639" xr:uid="{5810BEEF-9E1E-42DF-91A4-FCAFB5433636}"/>
    <cellStyle name="Normal 4 2 6 8 3 2" xfId="22019" xr:uid="{F7A5AD6D-91FB-4763-B22A-F3CC08EE0549}"/>
    <cellStyle name="Normal 4 2 6 8 4" xfId="16353" xr:uid="{59D4C8B2-18FC-4EB9-943C-77A8A3AF0FF2}"/>
    <cellStyle name="Normal 4 2 6 9" xfId="5268" xr:uid="{2CC65B87-FEB3-4BEB-BE29-375ED386E1E2}"/>
    <cellStyle name="Normal 4 2 6 9 2" xfId="14566" xr:uid="{65D57A87-172B-4717-93B8-77D04244D815}"/>
    <cellStyle name="Normal 4 2 7" xfId="968" xr:uid="{00000000-0005-0000-0000-00007A050000}"/>
    <cellStyle name="Normal 4 2 7 10" xfId="7024" xr:uid="{C75AEBD9-7B22-4650-B68F-FC6B3EC006A0}"/>
    <cellStyle name="Normal 4 2 7 10 2" xfId="17404" xr:uid="{87CEF99F-4E84-4987-AC5A-6617EE727F05}"/>
    <cellStyle name="Normal 4 2 7 11" xfId="9857" xr:uid="{DD7630E6-64D9-45F8-BAA3-1C33580C3CC4}"/>
    <cellStyle name="Normal 4 2 7 11 2" xfId="20237" xr:uid="{2914F869-D008-4CB9-978A-74E781FD64FE}"/>
    <cellStyle name="Normal 4 2 7 12" xfId="23946" xr:uid="{EA3501E9-9971-4DAE-8CC0-9B7F32512BE8}"/>
    <cellStyle name="Normal 4 2 7 13" xfId="12495" xr:uid="{272FD9C3-2939-41EC-936A-6EFD742FF676}"/>
    <cellStyle name="Normal 4 2 7 2" xfId="969" xr:uid="{00000000-0005-0000-0000-00007B050000}"/>
    <cellStyle name="Normal 4 2 7 2 10" xfId="9858" xr:uid="{9B1E82FD-5E66-4F20-A2F0-EA31C6173BC7}"/>
    <cellStyle name="Normal 4 2 7 2 10 2" xfId="20238" xr:uid="{CDA7754F-4E62-4B5E-ACDC-34F9341A588E}"/>
    <cellStyle name="Normal 4 2 7 2 11" xfId="23335" xr:uid="{C8EDA597-C8F0-40E0-A26F-E41264E8DF50}"/>
    <cellStyle name="Normal 4 2 7 2 12" xfId="12596" xr:uid="{4FC3BA18-ABA9-4F00-9F2B-682E5BCFE915}"/>
    <cellStyle name="Normal 4 2 7 2 2" xfId="970" xr:uid="{00000000-0005-0000-0000-00007C050000}"/>
    <cellStyle name="Normal 4 2 7 2 2 2" xfId="3333" xr:uid="{00000000-0005-0000-0000-0000FB050000}"/>
    <cellStyle name="Normal 4 2 7 2 2 2 2" xfId="6391" xr:uid="{A104640B-11BD-4307-BACA-F462E8B05409}"/>
    <cellStyle name="Normal 4 2 7 2 2 2 2 2" xfId="27728" xr:uid="{538036BB-6F49-4B5A-84C5-6ECF941CE508}"/>
    <cellStyle name="Normal 4 2 7 2 2 2 2 3" xfId="28151" xr:uid="{CEC9637F-0D22-4ED5-AFD2-B7FD4F6F8D4F}"/>
    <cellStyle name="Normal 4 2 7 2 2 2 2 4" xfId="15960" xr:uid="{A2981CF7-3FE6-48D9-ACFC-DC1AF20C26CD}"/>
    <cellStyle name="Normal 4 2 7 2 2 2 3" xfId="8413" xr:uid="{76B45A79-A86F-4FDF-88DF-BD113CF49B1F}"/>
    <cellStyle name="Normal 4 2 7 2 2 2 3 2" xfId="28909" xr:uid="{6A21A0C9-778A-41D3-A142-0869BA7FE5AB}"/>
    <cellStyle name="Normal 4 2 7 2 2 2 3 3" xfId="18793" xr:uid="{8D161002-90FE-4100-A6C9-D02BC4700E68}"/>
    <cellStyle name="Normal 4 2 7 2 2 2 4" xfId="11246" xr:uid="{88C8BC9F-1286-4DEA-895C-BDF3D493CA6A}"/>
    <cellStyle name="Normal 4 2 7 2 2 2 4 2" xfId="21626" xr:uid="{9B01512E-6756-409F-80A5-11331296626B}"/>
    <cellStyle name="Normal 4 2 7 2 2 2 5" xfId="23509" xr:uid="{515FCD7A-96F3-4928-AF9E-7936EDFDB442}"/>
    <cellStyle name="Normal 4 2 7 2 2 2 6" xfId="13891" xr:uid="{5C584651-4D2E-4164-840F-CBB3F2363E79}"/>
    <cellStyle name="Normal 4 2 7 2 2 3" xfId="4338" xr:uid="{A2F0346D-0964-4489-AF9A-98C76D704BA2}"/>
    <cellStyle name="Normal 4 2 7 2 2 3 2" xfId="9110" xr:uid="{0CBE516C-84E1-4BA7-82F7-74CD1B506B4D}"/>
    <cellStyle name="Normal 4 2 7 2 2 3 2 2" xfId="29153" xr:uid="{FCA1CA00-3E69-4FEC-B15C-28A1C0FBA569}"/>
    <cellStyle name="Normal 4 2 7 2 2 3 2 3" xfId="19490" xr:uid="{F3510842-5E75-4AA4-ACED-6DCBEF17394C}"/>
    <cellStyle name="Normal 4 2 7 2 2 3 3" xfId="11943" xr:uid="{CBC68661-EB31-45DB-AA6D-FDF871813ED8}"/>
    <cellStyle name="Normal 4 2 7 2 2 3 3 2" xfId="22323" xr:uid="{EC4EDDC2-1E88-46F3-B002-8553D44B8F4D}"/>
    <cellStyle name="Normal 4 2 7 2 2 3 4" xfId="24292" xr:uid="{E6583185-FB7E-4BF1-A4F8-BE5929EDEE2F}"/>
    <cellStyle name="Normal 4 2 7 2 2 3 5" xfId="16657" xr:uid="{6380045C-725D-495C-8C15-E83B6E688C2F}"/>
    <cellStyle name="Normal 4 2 7 2 2 4" xfId="5275" xr:uid="{CF2F36A8-4210-46F0-AEF4-C136B3BC60D2}"/>
    <cellStyle name="Normal 4 2 7 2 2 4 2" xfId="26859" xr:uid="{44C835BE-4E5C-4EFB-B161-4A7B3A6435B3}"/>
    <cellStyle name="Normal 4 2 7 2 2 4 3" xfId="14573" xr:uid="{2B704AB7-BF60-4CD9-80D1-B23DB9D717E9}"/>
    <cellStyle name="Normal 4 2 7 2 2 5" xfId="7026" xr:uid="{67B594AD-469D-4118-80E6-64E604FD07BB}"/>
    <cellStyle name="Normal 4 2 7 2 2 5 2" xfId="17406" xr:uid="{F2DD9EA1-BE8D-4470-B982-6C580029D30A}"/>
    <cellStyle name="Normal 4 2 7 2 2 6" xfId="9859" xr:uid="{6A5DB13C-3DFB-4216-A525-675D4274090C}"/>
    <cellStyle name="Normal 4 2 7 2 2 6 2" xfId="20239" xr:uid="{237421BF-F932-4FFF-AB38-6B092A3E3278}"/>
    <cellStyle name="Normal 4 2 7 2 2 7" xfId="23368" xr:uid="{5144D789-F1E1-4F92-B0B6-1A55B20AE894}"/>
    <cellStyle name="Normal 4 2 7 2 2 8" xfId="13238" xr:uid="{814A08A0-E839-4E7D-857B-9695706BF099}"/>
    <cellStyle name="Normal 4 2 7 2 3" xfId="3334" xr:uid="{00000000-0005-0000-0000-0000FC050000}"/>
    <cellStyle name="Normal 4 2 7 2 3 2" xfId="4528" xr:uid="{113E0108-CA11-426D-A7AE-4C0788D53CB6}"/>
    <cellStyle name="Normal 4 2 7 2 3 2 2" xfId="9300" xr:uid="{0BFB295B-C3F7-4F36-86D6-CBDBA07D92B4}"/>
    <cellStyle name="Normal 4 2 7 2 3 2 2 2" xfId="29279" xr:uid="{39582063-3B8C-4E67-9507-ADA9A0C73728}"/>
    <cellStyle name="Normal 4 2 7 2 3 2 2 3" xfId="19680" xr:uid="{ADBD3F24-B1B1-4250-89F9-F5C959B05EFB}"/>
    <cellStyle name="Normal 4 2 7 2 3 2 3" xfId="12133" xr:uid="{1222DCB9-48E2-4AA9-842E-5EF1B5E119F0}"/>
    <cellStyle name="Normal 4 2 7 2 3 2 3 2" xfId="22513" xr:uid="{FE61A86C-E855-49B0-8C22-5164BF01611A}"/>
    <cellStyle name="Normal 4 2 7 2 3 2 4" xfId="24370" xr:uid="{34139AB0-1605-4A00-8935-FE283338C7CC}"/>
    <cellStyle name="Normal 4 2 7 2 3 2 5" xfId="16847" xr:uid="{7892A2B9-A497-431C-A7D0-1FF51ECDCB89}"/>
    <cellStyle name="Normal 4 2 7 2 3 3" xfId="6392" xr:uid="{24005D36-6C58-4A2A-AC91-27423652490B}"/>
    <cellStyle name="Normal 4 2 7 2 3 3 2" xfId="26922" xr:uid="{9FE2913F-4DF2-45FF-AA04-A1B4D2E9EA23}"/>
    <cellStyle name="Normal 4 2 7 2 3 3 3" xfId="15961" xr:uid="{0E2461BA-E4A1-420E-9D22-2B797902385B}"/>
    <cellStyle name="Normal 4 2 7 2 3 4" xfId="8414" xr:uid="{EF939839-3CEB-4523-8745-D961CA6A0D8D}"/>
    <cellStyle name="Normal 4 2 7 2 3 4 2" xfId="18794" xr:uid="{A96BBD39-090B-488A-894B-9326A5CCA39E}"/>
    <cellStyle name="Normal 4 2 7 2 3 5" xfId="11247" xr:uid="{C9992B36-10B0-4ED1-8DDD-7BF4ED461CBC}"/>
    <cellStyle name="Normal 4 2 7 2 3 5 2" xfId="21627" xr:uid="{394874BC-F433-4BF5-BD59-6F5C02316855}"/>
    <cellStyle name="Normal 4 2 7 2 3 6" xfId="24972" xr:uid="{C1B4319E-1D3B-4F63-AE06-22BBEEEA9372}"/>
    <cellStyle name="Normal 4 2 7 2 3 7" xfId="13892" xr:uid="{92B057E0-91C3-4B1B-B171-94837575EFAD}"/>
    <cellStyle name="Normal 4 2 7 2 4" xfId="3332" xr:uid="{00000000-0005-0000-0000-0000FD050000}"/>
    <cellStyle name="Normal 4 2 7 2 4 2" xfId="6390" xr:uid="{111BF01C-1114-4917-AD87-FB5B2FE55A85}"/>
    <cellStyle name="Normal 4 2 7 2 4 2 2" xfId="28654" xr:uid="{B7FA4BFC-8DF5-4D39-98F2-1F99C9FA3540}"/>
    <cellStyle name="Normal 4 2 7 2 4 2 3" xfId="15959" xr:uid="{E123A4F9-E181-44DD-B24C-B0952899D43E}"/>
    <cellStyle name="Normal 4 2 7 2 4 3" xfId="8412" xr:uid="{B30E7EE4-CD91-4910-83EA-305F60F8FAFD}"/>
    <cellStyle name="Normal 4 2 7 2 4 3 2" xfId="18792" xr:uid="{D21EB055-EE75-4725-A2C2-169E92B31C0B}"/>
    <cellStyle name="Normal 4 2 7 2 4 4" xfId="11245" xr:uid="{F76FAE72-67FD-4B53-B162-C0300C65DF8F}"/>
    <cellStyle name="Normal 4 2 7 2 4 4 2" xfId="21625" xr:uid="{C3CEF82F-8E1C-483A-B617-9BBE836DCB9A}"/>
    <cellStyle name="Normal 4 2 7 2 4 5" xfId="22915" xr:uid="{A524EB65-2F3D-4896-91AB-2D00C4E7B88E}"/>
    <cellStyle name="Normal 4 2 7 2 4 6" xfId="13890" xr:uid="{FA41583B-3916-4931-BB11-0693536E74F3}"/>
    <cellStyle name="Normal 4 2 7 2 5" xfId="2658" xr:uid="{00000000-0005-0000-0000-0000FE050000}"/>
    <cellStyle name="Normal 4 2 7 2 5 2" xfId="5918" xr:uid="{0B8E98C4-A267-4536-882E-A4447A842A72}"/>
    <cellStyle name="Normal 4 2 7 2 5 2 2" xfId="28524" xr:uid="{B360D795-95FD-463C-9900-756996F4A2B5}"/>
    <cellStyle name="Normal 4 2 7 2 5 2 3" xfId="15330" xr:uid="{74AE6123-61E8-4FD5-ADF8-771B47BB86F2}"/>
    <cellStyle name="Normal 4 2 7 2 5 3" xfId="7783" xr:uid="{34AB58B6-C80F-4279-9365-4E2AAAFAD3DC}"/>
    <cellStyle name="Normal 4 2 7 2 5 3 2" xfId="18163" xr:uid="{1E982559-A11B-4DF8-899E-505850C975CD}"/>
    <cellStyle name="Normal 4 2 7 2 5 4" xfId="10616" xr:uid="{D7B3D5ED-EF51-4FF0-A314-EE0A11BF7CCE}"/>
    <cellStyle name="Normal 4 2 7 2 5 4 2" xfId="20996" xr:uid="{DB13A2EA-6374-421D-984E-7992E4D06FE6}"/>
    <cellStyle name="Normal 4 2 7 2 5 5" xfId="23326" xr:uid="{7140C098-BC0D-4672-B2B9-EE4625B52432}"/>
    <cellStyle name="Normal 4 2 7 2 5 6" xfId="13060" xr:uid="{5131B977-8762-4AD2-B136-13B11C91F4DB}"/>
    <cellStyle name="Normal 4 2 7 2 6" xfId="2362" xr:uid="{00000000-0005-0000-0000-0000F9050000}"/>
    <cellStyle name="Normal 4 2 7 2 6 2" xfId="7489" xr:uid="{6D14173A-43EB-49FA-8F83-F337B32B1E9C}"/>
    <cellStyle name="Normal 4 2 7 2 6 2 2" xfId="17869" xr:uid="{E4CB5BC6-FF96-4E57-95EA-5649002034A5}"/>
    <cellStyle name="Normal 4 2 7 2 6 3" xfId="10322" xr:uid="{072E85DB-784C-42A4-B9B3-6D28478D462C}"/>
    <cellStyle name="Normal 4 2 7 2 6 3 2" xfId="20702" xr:uid="{97AF1658-E4E3-4AB0-B9D6-BF6C3B1E1215}"/>
    <cellStyle name="Normal 4 2 7 2 6 4" xfId="23979" xr:uid="{7E8A1A54-5878-43CD-AFD2-E284B8365121}"/>
    <cellStyle name="Normal 4 2 7 2 6 5" xfId="15036" xr:uid="{880158E5-203E-48BE-BEEE-0FCB4F074F6F}"/>
    <cellStyle name="Normal 4 2 7 2 7" xfId="3899" xr:uid="{95B3FED8-33A7-4EE0-B147-F06D67130D62}"/>
    <cellStyle name="Normal 4 2 7 2 7 2" xfId="8731" xr:uid="{9F10AB3E-B78D-4030-986E-CBE8C079A842}"/>
    <cellStyle name="Normal 4 2 7 2 7 2 2" xfId="19111" xr:uid="{F1A858DD-C3DB-4077-B8BF-B36DF118D961}"/>
    <cellStyle name="Normal 4 2 7 2 7 3" xfId="11564" xr:uid="{EB48044C-321E-41BB-B7B5-229AF60CC36C}"/>
    <cellStyle name="Normal 4 2 7 2 7 3 2" xfId="21944" xr:uid="{358D9FE7-445A-4896-A7EE-AA20328B1EEE}"/>
    <cellStyle name="Normal 4 2 7 2 7 4" xfId="16278" xr:uid="{13C88D2F-287E-4A14-B313-C8CA6C86FF4D}"/>
    <cellStyle name="Normal 4 2 7 2 8" xfId="5274" xr:uid="{237905E0-C648-4B61-B7E0-EC5463F82D93}"/>
    <cellStyle name="Normal 4 2 7 2 8 2" xfId="14572" xr:uid="{05B823AA-78FD-4DE9-BEEE-402DE116742F}"/>
    <cellStyle name="Normal 4 2 7 2 9" xfId="7025" xr:uid="{48F952B1-AD2A-4E5D-8EA9-E2F952458A23}"/>
    <cellStyle name="Normal 4 2 7 2 9 2" xfId="17405" xr:uid="{094EAE94-18DC-4BC2-864D-753A9ACBD085}"/>
    <cellStyle name="Normal 4 2 7 3" xfId="971" xr:uid="{00000000-0005-0000-0000-00007D050000}"/>
    <cellStyle name="Normal 4 2 7 3 2" xfId="3335" xr:uid="{00000000-0005-0000-0000-000000060000}"/>
    <cellStyle name="Normal 4 2 7 3 2 2" xfId="6393" xr:uid="{6894B5CC-A9EF-4A60-BDE9-95263FC21D97}"/>
    <cellStyle name="Normal 4 2 7 3 2 2 2" xfId="24619" xr:uid="{5E855E91-9205-4EEA-A6EF-2EDDC6D19AEC}"/>
    <cellStyle name="Normal 4 2 7 3 2 2 3" xfId="28411" xr:uid="{20943430-55D3-462E-BC2F-75B8BB4DA39D}"/>
    <cellStyle name="Normal 4 2 7 3 2 2 4" xfId="15962" xr:uid="{A624F227-6BF0-4751-A735-E610CB4161D9}"/>
    <cellStyle name="Normal 4 2 7 3 2 3" xfId="8415" xr:uid="{F49FB817-3E57-46EA-82E0-F65264ECE60D}"/>
    <cellStyle name="Normal 4 2 7 3 2 3 2" xfId="28910" xr:uid="{C67EA1F7-CEAB-40B8-B20E-1D6E5080FF91}"/>
    <cellStyle name="Normal 4 2 7 3 2 3 3" xfId="18795" xr:uid="{4373D8BB-E58E-429B-A6EE-2F8F0C677499}"/>
    <cellStyle name="Normal 4 2 7 3 2 4" xfId="11248" xr:uid="{94D54862-EBCD-4AB4-994D-2B7E41C49496}"/>
    <cellStyle name="Normal 4 2 7 3 2 4 2" xfId="21628" xr:uid="{83B10924-4B83-4D1E-A513-05EBC9E74FBE}"/>
    <cellStyle name="Normal 4 2 7 3 2 5" xfId="23540" xr:uid="{35D40B51-041E-45E9-826C-55A1A9E1D1AD}"/>
    <cellStyle name="Normal 4 2 7 3 2 6" xfId="13893" xr:uid="{59EEE289-60C0-4CE9-AD10-F17BDF93D2B8}"/>
    <cellStyle name="Normal 4 2 7 3 3" xfId="2781" xr:uid="{00000000-0005-0000-0000-000001060000}"/>
    <cellStyle name="Normal 4 2 7 3 3 2" xfId="5999" xr:uid="{862657B4-C8A8-4485-AD9D-2E02B17136BA}"/>
    <cellStyle name="Normal 4 2 7 3 3 2 2" xfId="26447" xr:uid="{2BD4EA99-7000-4956-8F32-99348924CBDE}"/>
    <cellStyle name="Normal 4 2 7 3 3 2 3" xfId="15452" xr:uid="{7EB9AA54-6740-4350-8021-517A5B053727}"/>
    <cellStyle name="Normal 4 2 7 3 3 3" xfId="7905" xr:uid="{561FFBA7-0444-4BE1-A885-359AA0311B2A}"/>
    <cellStyle name="Normal 4 2 7 3 3 3 2" xfId="18285" xr:uid="{FC06019D-4AA8-44CB-AE39-E5C0BEA226EB}"/>
    <cellStyle name="Normal 4 2 7 3 3 4" xfId="10738" xr:uid="{4AECFF8A-6016-43FA-BDF8-CE807158EFA1}"/>
    <cellStyle name="Normal 4 2 7 3 3 4 2" xfId="21118" xr:uid="{1270DBE3-E6EE-4E4C-AF01-1B829F41CC24}"/>
    <cellStyle name="Normal 4 2 7 3 3 5" xfId="23866" xr:uid="{5F4B6C36-E53B-4916-B805-5DDA1C345929}"/>
    <cellStyle name="Normal 4 2 7 3 3 6" xfId="13237" xr:uid="{AF5EC30D-9029-4B11-A9CD-FBECBFF08BFB}"/>
    <cellStyle name="Normal 4 2 7 3 4" xfId="4190" xr:uid="{EE098A8E-BB8D-44E9-98A5-A8DCD7678D57}"/>
    <cellStyle name="Normal 4 2 7 3 4 2" xfId="8962" xr:uid="{6D043502-6E4C-4B0F-87E4-A2DD1FC9E754}"/>
    <cellStyle name="Normal 4 2 7 3 4 2 2" xfId="29048" xr:uid="{1F7E944F-324A-4193-8BB1-22B01FABCC39}"/>
    <cellStyle name="Normal 4 2 7 3 4 2 3" xfId="19342" xr:uid="{C05A1BEC-8249-4BD2-BCD5-417BABEB63CD}"/>
    <cellStyle name="Normal 4 2 7 3 4 3" xfId="11795" xr:uid="{89D4EB9E-A9AC-4A1D-8027-0C3EC3B29DE1}"/>
    <cellStyle name="Normal 4 2 7 3 4 3 2" xfId="22175" xr:uid="{BDF2FB53-3E3B-4EA3-BE85-D79FD0004FA2}"/>
    <cellStyle name="Normal 4 2 7 3 4 4" xfId="24010" xr:uid="{DCAF9AA8-B18D-4E10-9745-AAFD5B1F7DE0}"/>
    <cellStyle name="Normal 4 2 7 3 4 5" xfId="16509" xr:uid="{A3F04144-E344-4A3A-BB98-1F3C830D127F}"/>
    <cellStyle name="Normal 4 2 7 3 5" xfId="5276" xr:uid="{A8E8EAA8-488D-4AC8-B651-AA208792813B}"/>
    <cellStyle name="Normal 4 2 7 3 5 2" xfId="27539" xr:uid="{C9D662AF-980D-43AF-BA91-F77D209B3D77}"/>
    <cellStyle name="Normal 4 2 7 3 5 3" xfId="14574" xr:uid="{9E0F34C7-04E4-4686-9E4C-C7AABA552520}"/>
    <cellStyle name="Normal 4 2 7 3 6" xfId="7027" xr:uid="{7101569A-1C52-4460-BE75-A60726303EEF}"/>
    <cellStyle name="Normal 4 2 7 3 6 2" xfId="17407" xr:uid="{73635458-58A4-4D2A-ADCA-702B8E38EC46}"/>
    <cellStyle name="Normal 4 2 7 3 7" xfId="9860" xr:uid="{5A92F21F-822C-4C88-8BEA-8D714C64FC1F}"/>
    <cellStyle name="Normal 4 2 7 3 7 2" xfId="20240" xr:uid="{C911BBDC-5203-4D2A-8C89-901D5AF5BED9}"/>
    <cellStyle name="Normal 4 2 7 3 8" xfId="25456" xr:uid="{90304659-5AF2-40EA-8466-8A49D787F88E}"/>
    <cellStyle name="Normal 4 2 7 3 9" xfId="12754" xr:uid="{67BD0219-01D4-4407-BD68-97C2F796C297}"/>
    <cellStyle name="Normal 4 2 7 4" xfId="972" xr:uid="{00000000-0005-0000-0000-00007E050000}"/>
    <cellStyle name="Normal 4 2 7 4 2" xfId="4529" xr:uid="{1E03E791-A4F0-4FB5-93A5-7A859C73DCFD}"/>
    <cellStyle name="Normal 4 2 7 4 2 2" xfId="9301" xr:uid="{43907C58-C7A7-48A0-B170-8259FB5E8ACB}"/>
    <cellStyle name="Normal 4 2 7 4 2 2 2" xfId="29280" xr:uid="{139B9E3C-FA64-4957-A942-870D28718899}"/>
    <cellStyle name="Normal 4 2 7 4 2 2 3" xfId="19681" xr:uid="{7FF9FCA9-5DAF-4A37-8A8B-FE7CAD87B57C}"/>
    <cellStyle name="Normal 4 2 7 4 2 3" xfId="12134" xr:uid="{2300D057-5705-4915-9AB1-A036255FD8A3}"/>
    <cellStyle name="Normal 4 2 7 4 2 3 2" xfId="22514" xr:uid="{EF00A232-1983-45C7-99C1-25BCFF2E7EE2}"/>
    <cellStyle name="Normal 4 2 7 4 2 4" xfId="23565" xr:uid="{BD0EB80D-CB65-46D1-B51A-AA6D713E4E69}"/>
    <cellStyle name="Normal 4 2 7 4 2 5" xfId="16848" xr:uid="{82CA5815-F667-49B8-B966-4215EB8CC32D}"/>
    <cellStyle name="Normal 4 2 7 4 3" xfId="5277" xr:uid="{22659D20-DD1F-4B09-B732-A690D86AD939}"/>
    <cellStyle name="Normal 4 2 7 4 3 2" xfId="27683" xr:uid="{7C8346FC-C56E-452B-845C-60471E2ECAC1}"/>
    <cellStyle name="Normal 4 2 7 4 3 3" xfId="14575" xr:uid="{1AC289DB-6F21-4F7A-BC7E-6DBEDD1998F8}"/>
    <cellStyle name="Normal 4 2 7 4 4" xfId="7028" xr:uid="{8416F650-4C2F-4026-8F20-CE8F217DFC58}"/>
    <cellStyle name="Normal 4 2 7 4 4 2" xfId="17408" xr:uid="{D9805223-DFCB-457D-A67F-E58230512B5E}"/>
    <cellStyle name="Normal 4 2 7 4 5" xfId="9861" xr:uid="{A724B2CB-7BED-4B8C-96C2-AD817E70DCBE}"/>
    <cellStyle name="Normal 4 2 7 4 5 2" xfId="20241" xr:uid="{50162262-81D2-40EF-A075-39283F170340}"/>
    <cellStyle name="Normal 4 2 7 4 6" xfId="23903" xr:uid="{21A97C26-5C37-4054-ACD8-665D44C1149B}"/>
    <cellStyle name="Normal 4 2 7 4 7" xfId="13894" xr:uid="{918B7820-9462-45BD-B17C-037886FBE9D2}"/>
    <cellStyle name="Normal 4 2 7 5" xfId="2936" xr:uid="{00000000-0005-0000-0000-000003060000}"/>
    <cellStyle name="Normal 4 2 7 5 2" xfId="6116" xr:uid="{4E59170C-A0D3-49D8-957B-76561BEAE973}"/>
    <cellStyle name="Normal 4 2 7 5 2 2" xfId="24513" xr:uid="{A45598E6-5926-4D21-8EB2-CE84B2657D3F}"/>
    <cellStyle name="Normal 4 2 7 5 2 3" xfId="26198" xr:uid="{AA8D113C-C45A-433D-8B8F-D20F15EF0C47}"/>
    <cellStyle name="Normal 4 2 7 5 2 4" xfId="15594" xr:uid="{6E5B6E54-4529-4FE5-8D08-C2D7262A1083}"/>
    <cellStyle name="Normal 4 2 7 5 3" xfId="8047" xr:uid="{E61B217A-FAFA-46D5-9601-820A7AB65639}"/>
    <cellStyle name="Normal 4 2 7 5 3 2" xfId="28754" xr:uid="{B33DB8FE-1A40-41F1-A5BA-6DB9326581DF}"/>
    <cellStyle name="Normal 4 2 7 5 3 3" xfId="18427" xr:uid="{9A1B3D19-05F5-4054-966C-18D7751C3232}"/>
    <cellStyle name="Normal 4 2 7 5 4" xfId="10880" xr:uid="{1A42C680-86E1-47A7-9141-E27611283B61}"/>
    <cellStyle name="Normal 4 2 7 5 4 2" xfId="21260" xr:uid="{08B6FE4A-85C6-47F0-A09E-72D4D427BDD0}"/>
    <cellStyle name="Normal 4 2 7 5 5" xfId="25297" xr:uid="{E8A4723B-7430-4152-866A-C03EA5D7A761}"/>
    <cellStyle name="Normal 4 2 7 5 6" xfId="13452" xr:uid="{3289B5C0-3A6A-4D8E-AB22-8FE956432551}"/>
    <cellStyle name="Normal 4 2 7 6" xfId="2507" xr:uid="{00000000-0005-0000-0000-000004060000}"/>
    <cellStyle name="Normal 4 2 7 6 2" xfId="5787" xr:uid="{D52005AF-2FD7-4964-8C65-E3FED5FFCA25}"/>
    <cellStyle name="Normal 4 2 7 6 2 2" xfId="27325" xr:uid="{C5AD142D-D34C-4179-BC57-4615AA9022B0}"/>
    <cellStyle name="Normal 4 2 7 6 2 3" xfId="15179" xr:uid="{E37280FA-A970-48C9-A71C-BBA6CABAD5CF}"/>
    <cellStyle name="Normal 4 2 7 6 3" xfId="7632" xr:uid="{34061503-8091-4780-87EA-093AEE054C3C}"/>
    <cellStyle name="Normal 4 2 7 6 3 2" xfId="18012" xr:uid="{D7A4ED82-176C-46F8-90D3-7040E1566BCA}"/>
    <cellStyle name="Normal 4 2 7 6 4" xfId="10465" xr:uid="{AD8D5477-D29B-41A9-AD12-DB26F66C767E}"/>
    <cellStyle name="Normal 4 2 7 6 4 2" xfId="20845" xr:uid="{DAEE3A37-A98F-44D5-93C3-F127EEC8E705}"/>
    <cellStyle name="Normal 4 2 7 6 5" xfId="25132" xr:uid="{8DAD8510-DDBC-49B2-8DEF-0977FB2DAA8B}"/>
    <cellStyle name="Normal 4 2 7 6 6" xfId="12895" xr:uid="{7276ED74-3708-442E-BAE4-517CF65E217E}"/>
    <cellStyle name="Normal 4 2 7 7" xfId="2263" xr:uid="{00000000-0005-0000-0000-0000F8050000}"/>
    <cellStyle name="Normal 4 2 7 7 2" xfId="7390" xr:uid="{EFF16FA0-9C71-493F-95AA-E397F7814545}"/>
    <cellStyle name="Normal 4 2 7 7 2 2" xfId="17770" xr:uid="{CD268DC7-A4E1-4080-A456-3EAB59D7C165}"/>
    <cellStyle name="Normal 4 2 7 7 3" xfId="10223" xr:uid="{F4D6F143-BEE0-443A-8E81-CB84D87B5788}"/>
    <cellStyle name="Normal 4 2 7 7 3 2" xfId="20603" xr:uid="{C788F3F1-2412-475C-9F43-691E266D0447}"/>
    <cellStyle name="Normal 4 2 7 7 4" xfId="23221" xr:uid="{38E5DFB3-6F3A-406F-920D-BC317E0B4430}"/>
    <cellStyle name="Normal 4 2 7 7 5" xfId="14937" xr:uid="{FB8C50A0-7E4D-42A5-B082-0D28309EE4E5}"/>
    <cellStyle name="Normal 4 2 7 8" xfId="3983" xr:uid="{894844A2-3842-4181-B8E7-16CD020B5E9F}"/>
    <cellStyle name="Normal 4 2 7 8 2" xfId="8807" xr:uid="{D83763B7-C4DB-4AAE-B760-BDE32A09BEA3}"/>
    <cellStyle name="Normal 4 2 7 8 2 2" xfId="19187" xr:uid="{BAF878A4-C149-4CDE-B6BF-0ABAEFBF5B28}"/>
    <cellStyle name="Normal 4 2 7 8 3" xfId="11640" xr:uid="{CA2EB3B0-0D40-415C-BB8F-BDE2BA540984}"/>
    <cellStyle name="Normal 4 2 7 8 3 2" xfId="22020" xr:uid="{C0E05051-576E-4D76-B98B-56BAF7B24591}"/>
    <cellStyle name="Normal 4 2 7 8 4" xfId="16354" xr:uid="{2B28B409-2F3B-4695-8596-639C2FE9F156}"/>
    <cellStyle name="Normal 4 2 7 9" xfId="5273" xr:uid="{41A31826-BDF1-4198-B72A-456F75655F7C}"/>
    <cellStyle name="Normal 4 2 7 9 2" xfId="14571" xr:uid="{DD627F48-FB14-4FDE-8D46-EF8C6AFB9050}"/>
    <cellStyle name="Normal 4 2 8" xfId="973" xr:uid="{00000000-0005-0000-0000-00007F050000}"/>
    <cellStyle name="Normal 4 2 8 10" xfId="9862" xr:uid="{75B5D47C-3C06-4BA9-BAB7-CF12BC487F82}"/>
    <cellStyle name="Normal 4 2 8 10 2" xfId="20242" xr:uid="{F2035F97-69F5-40A0-A689-99D44FA158A6}"/>
    <cellStyle name="Normal 4 2 8 11" xfId="23627" xr:uid="{C9769FB7-88D1-4C49-90B2-0DEDE9CEE586}"/>
    <cellStyle name="Normal 4 2 8 12" xfId="12597" xr:uid="{94C67E68-5FB3-4D88-B6D6-262D1A8D722D}"/>
    <cellStyle name="Normal 4 2 8 2" xfId="974" xr:uid="{00000000-0005-0000-0000-000080050000}"/>
    <cellStyle name="Normal 4 2 8 2 2" xfId="975" xr:uid="{00000000-0005-0000-0000-000081050000}"/>
    <cellStyle name="Normal 4 2 8 2 2 2" xfId="5280" xr:uid="{002BCBA6-CD3C-4A9A-96DB-18E92E45D4D5}"/>
    <cellStyle name="Normal 4 2 8 2 2 2 2" xfId="24270" xr:uid="{14820CE3-F87E-466C-80FF-9BE9231B28D8}"/>
    <cellStyle name="Normal 4 2 8 2 2 2 3" xfId="27690" xr:uid="{46442BAB-1B2C-4337-B4B3-1CF398D708A1}"/>
    <cellStyle name="Normal 4 2 8 2 2 2 4" xfId="14578" xr:uid="{4A11DA3F-6388-4B19-8DBF-84C8A00B7040}"/>
    <cellStyle name="Normal 4 2 8 2 2 3" xfId="7031" xr:uid="{2345E928-B604-4966-8111-D0A1B7B10269}"/>
    <cellStyle name="Normal 4 2 8 2 2 3 2" xfId="27629" xr:uid="{86E3D177-B74D-4433-97E5-99913C69C2F3}"/>
    <cellStyle name="Normal 4 2 8 2 2 3 3" xfId="27357" xr:uid="{E36BBA77-4B6C-459C-A521-6C8AD49668ED}"/>
    <cellStyle name="Normal 4 2 8 2 2 3 4" xfId="17411" xr:uid="{8ACBB9DF-75CC-499A-8D42-666817D0A63E}"/>
    <cellStyle name="Normal 4 2 8 2 2 4" xfId="9864" xr:uid="{0222AE8A-FA30-4B54-998A-218DFD9AECF0}"/>
    <cellStyle name="Normal 4 2 8 2 2 4 2" xfId="29422" xr:uid="{56BAF5F6-A05D-4E15-97F0-42BAF4887226}"/>
    <cellStyle name="Normal 4 2 8 2 2 4 3" xfId="20244" xr:uid="{529E0624-A9C6-42C3-B82F-FF024053C18A}"/>
    <cellStyle name="Normal 4 2 8 2 2 5" xfId="23861" xr:uid="{D643BF77-5398-43B8-AF2A-B97DC68FCA4F}"/>
    <cellStyle name="Normal 4 2 8 2 2 6" xfId="13895" xr:uid="{B116A3FE-836C-4744-AB75-B8244732AB29}"/>
    <cellStyle name="Normal 4 2 8 2 2 7" xfId="30418" xr:uid="{4CEB64FC-651C-4166-A30D-80FB0D40CAF8}"/>
    <cellStyle name="Normal 4 2 8 2 3" xfId="2782" xr:uid="{00000000-0005-0000-0000-000008060000}"/>
    <cellStyle name="Normal 4 2 8 2 3 2" xfId="6000" xr:uid="{E8246B52-2A51-4F88-AC27-87867C91476B}"/>
    <cellStyle name="Normal 4 2 8 2 3 2 2" xfId="26822" xr:uid="{B399A5AE-E54C-4055-8B1F-27845F8D9C65}"/>
    <cellStyle name="Normal 4 2 8 2 3 2 3" xfId="15453" xr:uid="{3E018943-2CD0-4769-A24D-63BF4DC0DECE}"/>
    <cellStyle name="Normal 4 2 8 2 3 3" xfId="7906" xr:uid="{81F47BCD-69A1-4897-9B7D-7E3451F84B91}"/>
    <cellStyle name="Normal 4 2 8 2 3 3 2" xfId="18286" xr:uid="{C12A5E93-74C0-46E0-BDE6-78BC8F2E9ABB}"/>
    <cellStyle name="Normal 4 2 8 2 3 4" xfId="10739" xr:uid="{E9675B84-B9EA-4486-B079-CD600A3057C6}"/>
    <cellStyle name="Normal 4 2 8 2 3 4 2" xfId="21119" xr:uid="{9E097176-4296-4319-9D0D-F40CDD27D0EE}"/>
    <cellStyle name="Normal 4 2 8 2 3 5" xfId="24391" xr:uid="{8BFC6150-DDD5-4709-BCCF-CA80D506DB04}"/>
    <cellStyle name="Normal 4 2 8 2 3 6" xfId="13239" xr:uid="{8F32D7EC-28A5-4F4A-8E4B-1800717ACCE7}"/>
    <cellStyle name="Normal 4 2 8 2 4" xfId="4191" xr:uid="{2A119F8A-9286-4A7E-B655-6A76E0F727CE}"/>
    <cellStyle name="Normal 4 2 8 2 4 2" xfId="8963" xr:uid="{4EE76E04-26A7-4DB0-A2F6-E193951983E8}"/>
    <cellStyle name="Normal 4 2 8 2 4 2 2" xfId="29049" xr:uid="{1B4FE232-DAB5-41C4-AF05-BFC09F349536}"/>
    <cellStyle name="Normal 4 2 8 2 4 2 3" xfId="19343" xr:uid="{EC4FD09F-8278-4AE5-BB20-B5D05061C366}"/>
    <cellStyle name="Normal 4 2 8 2 4 3" xfId="11796" xr:uid="{88CB058E-A897-43F8-9BE8-9308FB6D48A2}"/>
    <cellStyle name="Normal 4 2 8 2 4 3 2" xfId="22176" xr:uid="{E422BD9F-6B07-4EDE-AECE-D4090BCAF21F}"/>
    <cellStyle name="Normal 4 2 8 2 4 4" xfId="24873" xr:uid="{D2DFC07E-BC0F-4B14-B90C-7760A4F759F0}"/>
    <cellStyle name="Normal 4 2 8 2 4 5" xfId="16510" xr:uid="{C2F4B2D6-95B7-4E77-90D0-FB34BE448CB5}"/>
    <cellStyle name="Normal 4 2 8 2 5" xfId="5279" xr:uid="{A0B63C32-334A-400F-8AE8-957C2A98584E}"/>
    <cellStyle name="Normal 4 2 8 2 5 2" xfId="28503" xr:uid="{05DF3D99-40EB-4D60-9B0F-0C7BFA56CE37}"/>
    <cellStyle name="Normal 4 2 8 2 5 3" xfId="14577" xr:uid="{F60E8D24-EF7F-4A09-A8FF-33FD0DA3A323}"/>
    <cellStyle name="Normal 4 2 8 2 5 4" xfId="30539" xr:uid="{1087C8AC-2B0A-4413-BB14-122D253DE68F}"/>
    <cellStyle name="Normal 4 2 8 2 6" xfId="7030" xr:uid="{3FC9E43D-66F9-4D0D-B694-16FD46AA2275}"/>
    <cellStyle name="Normal 4 2 8 2 6 2" xfId="17410" xr:uid="{2F4FB22F-28D8-4590-B5D7-FC6875ECAB61}"/>
    <cellStyle name="Normal 4 2 8 2 6 3" xfId="30277" xr:uid="{40F90A88-240B-41E7-A82E-258B610DF12D}"/>
    <cellStyle name="Normal 4 2 8 2 6 4" xfId="30687" xr:uid="{0B824E44-211E-40B3-8DA0-ED7A00D8549A}"/>
    <cellStyle name="Normal 4 2 8 2 7" xfId="9863" xr:uid="{108CC694-574B-46C5-8649-D126581961E9}"/>
    <cellStyle name="Normal 4 2 8 2 7 2" xfId="20243" xr:uid="{CA6E0A24-F8E0-45E8-A475-93964168AAEF}"/>
    <cellStyle name="Normal 4 2 8 2 8" xfId="23429" xr:uid="{C489105B-F240-4C4D-A27A-4B04AF9510C6}"/>
    <cellStyle name="Normal 4 2 8 2 9" xfId="12755" xr:uid="{685156F6-C842-4C4E-AE35-CF03A474A500}"/>
    <cellStyle name="Normal 4 2 8 3" xfId="976" xr:uid="{00000000-0005-0000-0000-000082050000}"/>
    <cellStyle name="Normal 4 2 8 3 2" xfId="4530" xr:uid="{C776B60D-BF65-45A6-9F7F-097D3AA61C69}"/>
    <cellStyle name="Normal 4 2 8 3 2 2" xfId="9302" xr:uid="{626F593F-0981-431F-8F98-91D2430A6026}"/>
    <cellStyle name="Normal 4 2 8 3 2 2 2" xfId="29281" xr:uid="{8C33BE09-90BA-4A9D-B79D-F483669A1BC0}"/>
    <cellStyle name="Normal 4 2 8 3 2 2 3" xfId="19682" xr:uid="{AEC3E18F-3EAA-4A99-B9C5-F5C568C4CFF8}"/>
    <cellStyle name="Normal 4 2 8 3 2 3" xfId="12135" xr:uid="{6227930D-EBD1-4EDE-BD4B-0FA572848A41}"/>
    <cellStyle name="Normal 4 2 8 3 2 3 2" xfId="22515" xr:uid="{ADB20690-2F4B-426C-B993-8AAC8EABC124}"/>
    <cellStyle name="Normal 4 2 8 3 2 4" xfId="25630" xr:uid="{73FF503C-0874-4AB0-9772-E3019965A795}"/>
    <cellStyle name="Normal 4 2 8 3 2 5" xfId="16849" xr:uid="{5047CEF5-2DB8-43FD-9B18-DADA40C9C559}"/>
    <cellStyle name="Normal 4 2 8 3 3" xfId="5281" xr:uid="{EA308A1F-9E21-466B-9181-BBA1F7A7BEF0}"/>
    <cellStyle name="Normal 4 2 8 3 3 2" xfId="26831" xr:uid="{73526452-4BA8-4E4D-B954-246CF43DC764}"/>
    <cellStyle name="Normal 4 2 8 3 3 3" xfId="26084" xr:uid="{DE5FB2D0-3406-4A9B-86E1-7733C577CEAC}"/>
    <cellStyle name="Normal 4 2 8 3 3 4" xfId="14579" xr:uid="{4E1C39A6-4501-45F4-BF32-26DDC8688B75}"/>
    <cellStyle name="Normal 4 2 8 3 4" xfId="7032" xr:uid="{B01B7BF7-1BDB-47D2-BA16-EA3A3599A1B1}"/>
    <cellStyle name="Normal 4 2 8 3 4 2" xfId="27592" xr:uid="{27D5A90D-3C2E-465B-A7B7-E69A4DDE8F5A}"/>
    <cellStyle name="Normal 4 2 8 3 4 3" xfId="25880" xr:uid="{BD3B06D1-5D7C-4E88-BE62-74FC4F57D391}"/>
    <cellStyle name="Normal 4 2 8 3 4 4" xfId="17412" xr:uid="{067B1167-04F2-4B58-A44C-19BE32FA69A8}"/>
    <cellStyle name="Normal 4 2 8 3 5" xfId="9865" xr:uid="{584A9564-4815-4898-BF0C-36D2ED106056}"/>
    <cellStyle name="Normal 4 2 8 3 5 2" xfId="29423" xr:uid="{7C3D385E-C8A0-4F65-B338-1A2D9FF74FA3}"/>
    <cellStyle name="Normal 4 2 8 3 5 3" xfId="20245" xr:uid="{416B0672-457C-4CA1-AEEC-CD1B3247D0E3}"/>
    <cellStyle name="Normal 4 2 8 3 6" xfId="23273" xr:uid="{187F3FCC-75E3-4883-98CD-D692FA43E764}"/>
    <cellStyle name="Normal 4 2 8 3 7" xfId="13896" xr:uid="{5A4033B9-864B-4331-8EFB-88FA31432662}"/>
    <cellStyle name="Normal 4 2 8 4" xfId="977" xr:uid="{00000000-0005-0000-0000-000083050000}"/>
    <cellStyle name="Normal 4 2 8 4 2" xfId="5282" xr:uid="{7E5248ED-DB83-44BA-8982-5B910168DAEA}"/>
    <cellStyle name="Normal 4 2 8 4 2 2" xfId="24817" xr:uid="{7C816423-915D-482F-A730-34901DA47CB3}"/>
    <cellStyle name="Normal 4 2 8 4 2 3" xfId="27699" xr:uid="{C548D3E3-BE2C-4ADB-B55F-8F36A895B4C9}"/>
    <cellStyle name="Normal 4 2 8 4 2 4" xfId="14580" xr:uid="{8F6EFBFC-0F84-45AC-A641-ED0E255EE901}"/>
    <cellStyle name="Normal 4 2 8 4 3" xfId="7033" xr:uid="{8F6F6C15-2E1B-4DFB-B6D7-5649EF620FE1}"/>
    <cellStyle name="Normal 4 2 8 4 3 2" xfId="27527" xr:uid="{671E24FF-B631-4BD0-BC0B-D23BC6C0B1D0}"/>
    <cellStyle name="Normal 4 2 8 4 3 3" xfId="17413" xr:uid="{9239E6D0-09E5-4713-98D9-D26FF7E42A05}"/>
    <cellStyle name="Normal 4 2 8 4 4" xfId="9866" xr:uid="{E5832AE4-B69A-4E63-A369-26E8F0D5640B}"/>
    <cellStyle name="Normal 4 2 8 4 4 2" xfId="20246" xr:uid="{832710B5-4915-4486-BF68-871BDDD9F1C0}"/>
    <cellStyle name="Normal 4 2 8 4 5" xfId="25091" xr:uid="{A242D922-0156-4748-8368-BC0D5D54FB29}"/>
    <cellStyle name="Normal 4 2 8 4 6" xfId="13453" xr:uid="{18CC260C-6143-4E38-815E-E806F6423DC4}"/>
    <cellStyle name="Normal 4 2 8 5" xfId="2567" xr:uid="{00000000-0005-0000-0000-00000B060000}"/>
    <cellStyle name="Normal 4 2 8 5 2" xfId="5836" xr:uid="{2B602938-BE88-46F4-AEED-0480511D709B}"/>
    <cellStyle name="Normal 4 2 8 5 2 2" xfId="28065" xr:uid="{0AE654D7-F739-4ED1-BFDA-1BC756BA7DF0}"/>
    <cellStyle name="Normal 4 2 8 5 2 3" xfId="15239" xr:uid="{16EA463A-6ED1-4BD1-85B3-08A833DFF1D2}"/>
    <cellStyle name="Normal 4 2 8 5 3" xfId="7692" xr:uid="{F235D23B-8571-4175-AA1A-18813D62F247}"/>
    <cellStyle name="Normal 4 2 8 5 3 2" xfId="18072" xr:uid="{87371162-240D-41A4-89A2-EA13734C2C8A}"/>
    <cellStyle name="Normal 4 2 8 5 4" xfId="10525" xr:uid="{64C7662A-6B89-4E97-AE09-A82A5BE3A734}"/>
    <cellStyle name="Normal 4 2 8 5 4 2" xfId="20905" xr:uid="{1D8E848B-D2CB-469F-AD14-D24CDAAEBACF}"/>
    <cellStyle name="Normal 4 2 8 5 5" xfId="24226" xr:uid="{D93D1C32-E8A1-48DF-81B0-2813A9FDDF3C}"/>
    <cellStyle name="Normal 4 2 8 5 6" xfId="12955" xr:uid="{A1298907-49AF-4C2B-A33A-1F1253F4A8E9}"/>
    <cellStyle name="Normal 4 2 8 6" xfId="2363" xr:uid="{00000000-0005-0000-0000-000005060000}"/>
    <cellStyle name="Normal 4 2 8 6 2" xfId="7490" xr:uid="{623DA9FF-7B9B-411D-B8E0-140CD750E036}"/>
    <cellStyle name="Normal 4 2 8 6 2 2" xfId="28072" xr:uid="{7DB86C15-161B-4423-B90D-A5EA2145346E}"/>
    <cellStyle name="Normal 4 2 8 6 2 3" xfId="17870" xr:uid="{F4A2072C-9F0D-4DAF-8BA8-0DF0D6F03F70}"/>
    <cellStyle name="Normal 4 2 8 6 3" xfId="10323" xr:uid="{9F013E8F-994F-4C24-87B6-D31789EAB697}"/>
    <cellStyle name="Normal 4 2 8 6 3 2" xfId="20703" xr:uid="{4BAE5CB0-31DA-46A6-A93C-B4220F77CAB5}"/>
    <cellStyle name="Normal 4 2 8 6 4" xfId="23042" xr:uid="{727CA44D-E866-4381-906F-15827DBC514F}"/>
    <cellStyle name="Normal 4 2 8 6 5" xfId="15037" xr:uid="{DC13B300-0AAB-4FEA-924B-B41E1F402523}"/>
    <cellStyle name="Normal 4 2 8 7" xfId="3984" xr:uid="{0D503DE1-E6FB-41B9-872C-260C16FD35DF}"/>
    <cellStyle name="Normal 4 2 8 7 2" xfId="8808" xr:uid="{2238076B-17C5-4BB0-8771-7246541852C0}"/>
    <cellStyle name="Normal 4 2 8 7 2 2" xfId="19188" xr:uid="{D50F9003-10E7-4758-88F1-5489C3DD8E39}"/>
    <cellStyle name="Normal 4 2 8 7 3" xfId="11641" xr:uid="{5609E8A0-B570-4536-9E8D-EF43746CF1A3}"/>
    <cellStyle name="Normal 4 2 8 7 3 2" xfId="22021" xr:uid="{3E45361C-DB83-47CD-ACDE-DB7B2162FCDE}"/>
    <cellStyle name="Normal 4 2 8 7 4" xfId="26981" xr:uid="{A0368A9F-F8DF-48B0-8AF2-25EE521D4116}"/>
    <cellStyle name="Normal 4 2 8 7 5" xfId="16355" xr:uid="{83063297-299C-4D8E-A1EC-68A069649514}"/>
    <cellStyle name="Normal 4 2 8 8" xfId="5278" xr:uid="{F36601DD-9793-4E6C-A6F7-1BEE8586145E}"/>
    <cellStyle name="Normal 4 2 8 8 2" xfId="14576" xr:uid="{0F9B40D2-AF9E-4369-B145-F10988D4531B}"/>
    <cellStyle name="Normal 4 2 8 9" xfId="7029" xr:uid="{1EFC0CD8-F643-412B-958A-E519945578B1}"/>
    <cellStyle name="Normal 4 2 8 9 2" xfId="17409" xr:uid="{C449D1EC-A7C5-48A1-BDFF-346BD6863E2E}"/>
    <cellStyle name="Normal 4 2 9" xfId="978" xr:uid="{00000000-0005-0000-0000-000084050000}"/>
    <cellStyle name="Normal 4 2 9 10" xfId="24697" xr:uid="{1BC18EEE-28F1-4D7D-BBBE-1BB67F6215FF}"/>
    <cellStyle name="Normal 4 2 9 11" xfId="12598" xr:uid="{736C4B30-A948-4E20-A4A9-4004E479C4BA}"/>
    <cellStyle name="Normal 4 2 9 2" xfId="979" xr:uid="{00000000-0005-0000-0000-000085050000}"/>
    <cellStyle name="Normal 4 2 9 2 2" xfId="3336" xr:uid="{00000000-0005-0000-0000-00000E060000}"/>
    <cellStyle name="Normal 4 2 9 2 2 2" xfId="6394" xr:uid="{85737081-3632-4418-8D8B-482B84C5F817}"/>
    <cellStyle name="Normal 4 2 9 2 2 2 2" xfId="27958" xr:uid="{B1F2C022-8335-4926-9921-99B718CBC7A8}"/>
    <cellStyle name="Normal 4 2 9 2 2 2 3" xfId="26515" xr:uid="{17C870E6-F094-46EF-AF70-8A284D8C113A}"/>
    <cellStyle name="Normal 4 2 9 2 2 2 4" xfId="15963" xr:uid="{B2B4E031-D27B-4E61-900F-7265CAED60DE}"/>
    <cellStyle name="Normal 4 2 9 2 2 3" xfId="8416" xr:uid="{4FDCBAA5-9629-4E67-9817-0322E2190FE2}"/>
    <cellStyle name="Normal 4 2 9 2 2 3 2" xfId="28911" xr:uid="{7DB9E4D2-0ADB-4E13-8EFD-5A7E368FC6F0}"/>
    <cellStyle name="Normal 4 2 9 2 2 3 3" xfId="18796" xr:uid="{B3E3D26E-4A4A-4ABA-BA70-31CFAB7E1A7F}"/>
    <cellStyle name="Normal 4 2 9 2 2 4" xfId="11249" xr:uid="{DFFCE619-3FE1-4D27-A046-5ECDC4FED236}"/>
    <cellStyle name="Normal 4 2 9 2 2 4 2" xfId="21629" xr:uid="{71893766-D46A-4B71-92F4-42CDAFC58422}"/>
    <cellStyle name="Normal 4 2 9 2 2 5" xfId="25245" xr:uid="{9ABB1AF1-AFA9-4E59-BCBA-2CC8F3B327FF}"/>
    <cellStyle name="Normal 4 2 9 2 2 6" xfId="13897" xr:uid="{AE5C2F51-3957-42C2-B249-4FDF23092ACD}"/>
    <cellStyle name="Normal 4 2 9 2 3" xfId="4192" xr:uid="{4F4C7D3C-EC36-41C6-8F6F-636865ADBAC5}"/>
    <cellStyle name="Normal 4 2 9 2 3 2" xfId="8964" xr:uid="{B5A22BA2-6878-4F6D-96CF-A3E0B0C9D051}"/>
    <cellStyle name="Normal 4 2 9 2 3 2 2" xfId="29050" xr:uid="{31E5468C-2CC0-4D6B-9530-B5CE5EEEB8D2}"/>
    <cellStyle name="Normal 4 2 9 2 3 2 3" xfId="19344" xr:uid="{E38136C2-795B-4D28-BB2A-83F81243C71D}"/>
    <cellStyle name="Normal 4 2 9 2 3 3" xfId="11797" xr:uid="{5DA08E2F-2DFD-4E9E-B540-595FA3528708}"/>
    <cellStyle name="Normal 4 2 9 2 3 3 2" xfId="22177" xr:uid="{9A29D151-0C95-46D7-AE97-35CB67D05839}"/>
    <cellStyle name="Normal 4 2 9 2 3 4" xfId="23241" xr:uid="{D0592480-FAD9-4F74-BD50-575F47EA9966}"/>
    <cellStyle name="Normal 4 2 9 2 3 5" xfId="16511" xr:uid="{8C702828-AFCB-4120-863A-A536385D3145}"/>
    <cellStyle name="Normal 4 2 9 2 4" xfId="5284" xr:uid="{53B389DF-D682-4A0E-8BEB-331AAF4C3CEE}"/>
    <cellStyle name="Normal 4 2 9 2 4 2" xfId="26653" xr:uid="{185D022D-E2CF-4615-BB19-920BD47AA99E}"/>
    <cellStyle name="Normal 4 2 9 2 4 3" xfId="28629" xr:uid="{6A98504E-B232-4026-B271-C589E09AD7D7}"/>
    <cellStyle name="Normal 4 2 9 2 4 4" xfId="14582" xr:uid="{455BA2F0-BC97-4A95-832E-27DBD9094669}"/>
    <cellStyle name="Normal 4 2 9 2 5" xfId="7035" xr:uid="{A5B16A84-63C1-4BD0-B771-236B34CFA1D7}"/>
    <cellStyle name="Normal 4 2 9 2 5 2" xfId="27138" xr:uid="{43FC2B26-B15F-4196-9AAE-72144CDB43D5}"/>
    <cellStyle name="Normal 4 2 9 2 5 3" xfId="17415" xr:uid="{D4574702-FFA2-4546-8A44-76862B42F0C4}"/>
    <cellStyle name="Normal 4 2 9 2 5 4" xfId="30767" xr:uid="{0176CA8C-9EAB-475A-865A-3079763FCA79}"/>
    <cellStyle name="Normal 4 2 9 2 6" xfId="9868" xr:uid="{0ED17B6E-F62B-447B-A94A-5AAAE28E3315}"/>
    <cellStyle name="Normal 4 2 9 2 6 2" xfId="20248" xr:uid="{52007826-FC97-4682-B597-7143189CCC7D}"/>
    <cellStyle name="Normal 4 2 9 2 7" xfId="24989" xr:uid="{99193BA7-1C8B-4A46-A25D-4485E2BE0A4C}"/>
    <cellStyle name="Normal 4 2 9 2 8" xfId="12756" xr:uid="{59F4C902-4A6A-41B3-B2B7-E74F5E7CB393}"/>
    <cellStyle name="Normal 4 2 9 3" xfId="980" xr:uid="{00000000-0005-0000-0000-000086050000}"/>
    <cellStyle name="Normal 4 2 9 3 2" xfId="5285" xr:uid="{5A311702-84C2-47AB-A3FB-F5C8D392B100}"/>
    <cellStyle name="Normal 4 2 9 3 2 2" xfId="23740" xr:uid="{01A71D77-0373-4EB3-B9DF-80215CF7D626}"/>
    <cellStyle name="Normal 4 2 9 3 2 3" xfId="27710" xr:uid="{C37C1A31-55F7-48E1-A38A-D34EC57AB787}"/>
    <cellStyle name="Normal 4 2 9 3 2 4" xfId="14583" xr:uid="{761168BF-2B18-4C42-AC39-95747D971D35}"/>
    <cellStyle name="Normal 4 2 9 3 3" xfId="7036" xr:uid="{366C57EB-7033-4AA0-991A-DF21D35E5D57}"/>
    <cellStyle name="Normal 4 2 9 3 3 2" xfId="27630" xr:uid="{E6647535-F096-4F67-B5CE-22F93FC73584}"/>
    <cellStyle name="Normal 4 2 9 3 3 3" xfId="27204" xr:uid="{7136C924-2548-445A-8895-85C21611BDF4}"/>
    <cellStyle name="Normal 4 2 9 3 3 4" xfId="17416" xr:uid="{85577A67-3650-4B79-B56D-89F335AEBC42}"/>
    <cellStyle name="Normal 4 2 9 3 4" xfId="9869" xr:uid="{6C5704B4-FC3A-4877-AF08-7878EA373C0B}"/>
    <cellStyle name="Normal 4 2 9 3 4 2" xfId="26694" xr:uid="{B68923CF-F64F-4FE9-B16C-E0A3A0DF64EE}"/>
    <cellStyle name="Normal 4 2 9 3 4 3" xfId="29424" xr:uid="{84E1DE07-325C-41D1-AD82-DF07BFEEF52C}"/>
    <cellStyle name="Normal 4 2 9 3 4 4" xfId="20249" xr:uid="{224D8381-8C81-4F39-97B6-C28351A151A5}"/>
    <cellStyle name="Normal 4 2 9 3 5" xfId="22717" xr:uid="{3B7EF572-2B4D-4A32-8E47-ED37BAFAD9A2}"/>
    <cellStyle name="Normal 4 2 9 3 6" xfId="27773" xr:uid="{60B996DF-D627-4A20-A0F3-FD18C1023D7E}"/>
    <cellStyle name="Normal 4 2 9 3 7" xfId="13454" xr:uid="{ED6C3D71-3215-4FD4-A087-AEEF8B0E7655}"/>
    <cellStyle name="Normal 4 2 9 4" xfId="2783" xr:uid="{00000000-0005-0000-0000-000010060000}"/>
    <cellStyle name="Normal 4 2 9 4 2" xfId="6001" xr:uid="{5B23AC81-87E8-4D19-BBCC-C615337C2E49}"/>
    <cellStyle name="Normal 4 2 9 4 2 2" xfId="28612" xr:uid="{116A0CEA-2948-497B-9BD2-94F0B4CC7B1A}"/>
    <cellStyle name="Normal 4 2 9 4 2 3" xfId="15454" xr:uid="{B9396408-B53A-4678-841B-2A3CDC5033FF}"/>
    <cellStyle name="Normal 4 2 9 4 3" xfId="7907" xr:uid="{186C58AA-4B64-44FC-B2B5-3F1E3A4256B5}"/>
    <cellStyle name="Normal 4 2 9 4 3 2" xfId="18287" xr:uid="{C72F8021-8254-4869-82B8-2E95D17084B8}"/>
    <cellStyle name="Normal 4 2 9 4 4" xfId="10740" xr:uid="{C61E9972-1B7D-4D24-A78C-8DD052BDE4AE}"/>
    <cellStyle name="Normal 4 2 9 4 4 2" xfId="21120" xr:uid="{CB788F74-DDC2-42F0-AE44-6FCC5E8FD954}"/>
    <cellStyle name="Normal 4 2 9 4 5" xfId="24980" xr:uid="{B2004425-31FC-4288-8FF7-D5697CA49C00}"/>
    <cellStyle name="Normal 4 2 9 4 6" xfId="13240" xr:uid="{FB3EA9A0-28F6-49CF-A929-F194F94A4FAE}"/>
    <cellStyle name="Normal 4 2 9 5" xfId="2364" xr:uid="{00000000-0005-0000-0000-00000C060000}"/>
    <cellStyle name="Normal 4 2 9 5 2" xfId="7491" xr:uid="{AB29F732-18B8-4461-941D-8D1A560AB5C2}"/>
    <cellStyle name="Normal 4 2 9 5 2 2" xfId="27472" xr:uid="{FA8BAB30-618F-4D5E-B9DC-4BB9E35ADD12}"/>
    <cellStyle name="Normal 4 2 9 5 2 3" xfId="17871" xr:uid="{6B849158-6D64-4B4A-8AAD-2EDA30776E4F}"/>
    <cellStyle name="Normal 4 2 9 5 3" xfId="10324" xr:uid="{6552F46C-CBC0-4F33-BAE8-8F78EF5A1D08}"/>
    <cellStyle name="Normal 4 2 9 5 3 2" xfId="20704" xr:uid="{3DFE3164-85F3-428E-BC47-E7535BD0CB2F}"/>
    <cellStyle name="Normal 4 2 9 5 4" xfId="23612" xr:uid="{0C4CE829-02ED-4680-A5EC-B27FE438262D}"/>
    <cellStyle name="Normal 4 2 9 5 5" xfId="15038" xr:uid="{1C424D77-7E30-41D7-A2B0-AC375F658583}"/>
    <cellStyle name="Normal 4 2 9 6" xfId="3985" xr:uid="{2081E4A0-2A0D-472E-894C-28A332A6A6F5}"/>
    <cellStyle name="Normal 4 2 9 6 2" xfId="8809" xr:uid="{D95BEDCE-3DB6-4310-A41A-A464FB9268D6}"/>
    <cellStyle name="Normal 4 2 9 6 2 2" xfId="28988" xr:uid="{A653E288-0828-461A-AF3A-EA6DD7D1ACC1}"/>
    <cellStyle name="Normal 4 2 9 6 2 3" xfId="19189" xr:uid="{578F7CDB-B29D-4105-A45B-84C2314EF4AD}"/>
    <cellStyle name="Normal 4 2 9 6 3" xfId="11642" xr:uid="{9CA866A3-CB78-493C-B8EB-D6F3F63E18D8}"/>
    <cellStyle name="Normal 4 2 9 6 3 2" xfId="22022" xr:uid="{30F1378C-3BD4-4503-9B02-20514C361F13}"/>
    <cellStyle name="Normal 4 2 9 6 4" xfId="28484" xr:uid="{4C17BFAD-749F-47FD-8705-EC1CD83CB710}"/>
    <cellStyle name="Normal 4 2 9 6 5" xfId="16356" xr:uid="{AA4F05ED-B016-419B-A844-584D08DC2CBE}"/>
    <cellStyle name="Normal 4 2 9 7" xfId="5283" xr:uid="{85EDD228-FBD8-4AA1-B472-1931854E7F68}"/>
    <cellStyle name="Normal 4 2 9 7 2" xfId="26610" xr:uid="{C4DC5367-9F95-43B1-8EE7-48ECB31B25EF}"/>
    <cellStyle name="Normal 4 2 9 7 3" xfId="14581" xr:uid="{1E121E5D-ABF5-4EF0-B016-F171581C28C4}"/>
    <cellStyle name="Normal 4 2 9 8" xfId="7034" xr:uid="{2234AECC-897F-4F0C-8FF2-2937045B6D58}"/>
    <cellStyle name="Normal 4 2 9 8 2" xfId="17414" xr:uid="{5420E77A-C3D8-47C1-95B2-6DF6C0CC7DAE}"/>
    <cellStyle name="Normal 4 2 9 9" xfId="9867" xr:uid="{AC175359-7CA8-4095-8AEA-4603FC6D285E}"/>
    <cellStyle name="Normal 4 2 9 9 2" xfId="20247" xr:uid="{445870CE-DF3A-4EA0-A8E1-BF46B37E8949}"/>
    <cellStyle name="Normal 4 20" xfId="6943" xr:uid="{E5601753-EC59-4977-8FB5-EEB0F80A55B2}"/>
    <cellStyle name="Normal 4 20 2" xfId="25792" xr:uid="{733D533C-A0A8-4A04-88DC-892CA7B11E9A}"/>
    <cellStyle name="Normal 4 20 3" xfId="24029" xr:uid="{22F76A3A-8637-4E9C-B992-261509B13550}"/>
    <cellStyle name="Normal 4 20 4" xfId="17323" xr:uid="{5CEF4AA7-294C-443E-87C5-D24C01734031}"/>
    <cellStyle name="Normal 4 21" xfId="9776" xr:uid="{66584F7F-5120-4B7C-BA26-A2A9646FAF34}"/>
    <cellStyle name="Normal 4 21 2" xfId="23750" xr:uid="{96F41DEB-7FBA-4E04-8E58-35A3FFA8C282}"/>
    <cellStyle name="Normal 4 21 3" xfId="20156" xr:uid="{89F4FCE5-136C-4E64-82F3-9A9D86157179}"/>
    <cellStyle name="Normal 4 22" xfId="23826" xr:uid="{89B62F44-3C78-4195-9036-0186F7E268B9}"/>
    <cellStyle name="Normal 4 23" xfId="25782" xr:uid="{6F6096DE-56CA-421D-A3CC-34838D6F30D6}"/>
    <cellStyle name="Normal 4 24" xfId="23759" xr:uid="{443C657F-6607-423A-BC22-E4DD780257E1}"/>
    <cellStyle name="Normal 4 25" xfId="12389"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7" xr:uid="{00000000-0005-0000-0000-000015060000}"/>
    <cellStyle name="Normal 4 4 10 2 2" xfId="6395" xr:uid="{2B3C16A7-0299-4D00-884B-418C5FB40CB9}"/>
    <cellStyle name="Normal 4 4 10 2 2 2" xfId="27438" xr:uid="{B25B4AEB-DE57-41AC-928A-065CFEEE6CAA}"/>
    <cellStyle name="Normal 4 4 10 2 2 3" xfId="15964" xr:uid="{7879A539-78A4-448A-A87F-E92FBAEF97DC}"/>
    <cellStyle name="Normal 4 4 10 2 3" xfId="8417" xr:uid="{583422FB-6557-44D6-AB50-5D8EE6570BE5}"/>
    <cellStyle name="Normal 4 4 10 2 3 2" xfId="18797" xr:uid="{749FCA83-AC03-4587-814B-41BBBD87E1DA}"/>
    <cellStyle name="Normal 4 4 10 2 4" xfId="11250" xr:uid="{ED6D8674-A3A4-45F5-A466-51DA9A2688F7}"/>
    <cellStyle name="Normal 4 4 10 2 4 2" xfId="21630" xr:uid="{F3A80C5E-84E7-435B-9BE0-0FCC838237D5}"/>
    <cellStyle name="Normal 4 4 10 2 5" xfId="23135" xr:uid="{4773E5C8-78B3-4A69-B50A-E73FFA2FBCCF}"/>
    <cellStyle name="Normal 4 4 10 2 6" xfId="13898" xr:uid="{DC64F37C-163F-4469-88FD-03E34F86253B}"/>
    <cellStyle name="Normal 4 4 10 3" xfId="4193" xr:uid="{BA9BCFEA-7265-4417-99C4-FCCF7A9A6298}"/>
    <cellStyle name="Normal 4 4 10 3 2" xfId="8965" xr:uid="{FCE9226C-6C34-4450-AE7E-4069F92C8732}"/>
    <cellStyle name="Normal 4 4 10 3 2 2" xfId="29051" xr:uid="{04607B34-5BE2-473C-94A5-198042603CA1}"/>
    <cellStyle name="Normal 4 4 10 3 2 3" xfId="19345" xr:uid="{C227E74E-86D9-442A-A358-7EDCD5C42F03}"/>
    <cellStyle name="Normal 4 4 10 3 3" xfId="11798" xr:uid="{4D658857-33C5-4111-A534-AC3F607D2353}"/>
    <cellStyle name="Normal 4 4 10 3 3 2" xfId="22178" xr:uid="{B810C485-A883-462F-983E-B8A6B7F20A14}"/>
    <cellStyle name="Normal 4 4 10 3 4" xfId="24274" xr:uid="{48B0F57A-7D64-4953-B01F-A611DA132406}"/>
    <cellStyle name="Normal 4 4 10 3 5" xfId="16512" xr:uid="{12443884-7777-4CDA-8CA1-6F5A9B0565BD}"/>
    <cellStyle name="Normal 4 4 10 4" xfId="5287" xr:uid="{8C67447C-FE59-4471-B4BA-EDFAF1272678}"/>
    <cellStyle name="Normal 4 4 10 4 2" xfId="23733" xr:uid="{BF527957-304C-458A-90FD-A22AE275089D}"/>
    <cellStyle name="Normal 4 4 10 4 3" xfId="27391" xr:uid="{55AD940C-30E6-4902-A365-A64DF68773C4}"/>
    <cellStyle name="Normal 4 4 10 4 4" xfId="14585" xr:uid="{66285ADD-B94E-44A6-9734-A772E61513B9}"/>
    <cellStyle name="Normal 4 4 10 5" xfId="7038" xr:uid="{4E23692F-4825-41D4-987B-33F6C6BA84E7}"/>
    <cellStyle name="Normal 4 4 10 5 2" xfId="27503" xr:uid="{66B24CEC-5671-4237-8B96-DA92835B61DB}"/>
    <cellStyle name="Normal 4 4 10 5 3" xfId="17418" xr:uid="{7E1F0AF1-E2B3-4486-B108-6C288AC71D52}"/>
    <cellStyle name="Normal 4 4 10 6" xfId="9871" xr:uid="{4AAC2B23-A6C8-4572-A41A-52CE581C565E}"/>
    <cellStyle name="Normal 4 4 10 6 2" xfId="20251" xr:uid="{1B20F519-9A0D-4D39-90C2-F1CA31D4020E}"/>
    <cellStyle name="Normal 4 4 10 7" xfId="24731" xr:uid="{1F622891-86BB-47F3-BF5E-F05E5D38CFB9}"/>
    <cellStyle name="Normal 4 4 10 8" xfId="12757" xr:uid="{5706E484-CBB5-4107-881D-3B86DB21800A}"/>
    <cellStyle name="Normal 4 4 11" xfId="985" xr:uid="{00000000-0005-0000-0000-00008B050000}"/>
    <cellStyle name="Normal 4 4 11 2" xfId="5288" xr:uid="{2D01C6A3-5E13-49D3-A264-A301C24C97E9}"/>
    <cellStyle name="Normal 4 4 11 2 2" xfId="24020" xr:uid="{B7878FE6-C1FB-463C-8E21-644148B194B4}"/>
    <cellStyle name="Normal 4 4 11 2 3" xfId="26194" xr:uid="{C93C88BF-660A-4278-B197-F382EEC7D5F7}"/>
    <cellStyle name="Normal 4 4 11 2 4" xfId="14586" xr:uid="{9C93F634-F45F-427F-BBDD-237ABA4E4D74}"/>
    <cellStyle name="Normal 4 4 11 3" xfId="7039" xr:uid="{BA85FB4F-4182-4FEA-9F2D-3C1253BFF8AC}"/>
    <cellStyle name="Normal 4 4 11 3 2" xfId="28736" xr:uid="{B917CE2C-9F5A-4BE6-88C0-05B474DDDE7F}"/>
    <cellStyle name="Normal 4 4 11 3 3" xfId="17419" xr:uid="{593FFA6A-25F3-488F-B567-620550E0658E}"/>
    <cellStyle name="Normal 4 4 11 4" xfId="9872" xr:uid="{E736C63F-2AC8-40E9-B856-007691D1358D}"/>
    <cellStyle name="Normal 4 4 11 4 2" xfId="20252" xr:uid="{3DE2923C-A1D4-4A30-817B-099939583E53}"/>
    <cellStyle name="Normal 4 4 11 5" xfId="23382" xr:uid="{8753CE19-BDC1-496D-9B10-84F52A2C2977}"/>
    <cellStyle name="Normal 4 4 11 6" xfId="13455" xr:uid="{1A418053-A1DE-4ACB-B87E-72BACB563292}"/>
    <cellStyle name="Normal 4 4 12" xfId="2438" xr:uid="{00000000-0005-0000-0000-000017060000}"/>
    <cellStyle name="Normal 4 4 12 2" xfId="5733" xr:uid="{E71BE5E9-4E25-48CB-9343-145BEA0EBCC5}"/>
    <cellStyle name="Normal 4 4 12 2 2" xfId="26576" xr:uid="{21AE1773-78AE-4197-A9B0-3BBFB9C9E91E}"/>
    <cellStyle name="Normal 4 4 12 2 3" xfId="15110" xr:uid="{FC799BCE-0E7F-4FBA-92BD-CF35EA6E6931}"/>
    <cellStyle name="Normal 4 4 12 3" xfId="7563" xr:uid="{E0AD47AD-FCB9-46D2-A82B-78269D50B0CC}"/>
    <cellStyle name="Normal 4 4 12 3 2" xfId="17943" xr:uid="{F1BCDD12-3285-44A3-83BB-45A3826FA9EF}"/>
    <cellStyle name="Normal 4 4 12 4" xfId="10396" xr:uid="{0F79B491-781B-4AA5-BCCF-0ECA010CA42D}"/>
    <cellStyle name="Normal 4 4 12 4 2" xfId="20776" xr:uid="{D67BBA4C-FCB8-489E-AB99-439196C30658}"/>
    <cellStyle name="Normal 4 4 12 5" xfId="23460" xr:uid="{EA478E3F-F02C-4621-92A9-EB4311A7D3A0}"/>
    <cellStyle name="Normal 4 4 12 6" xfId="12825" xr:uid="{CB655288-B256-4B54-8734-27010C1AAA7E}"/>
    <cellStyle name="Normal 4 4 13" xfId="2168" xr:uid="{00000000-0005-0000-0000-000013060000}"/>
    <cellStyle name="Normal 4 4 13 2" xfId="7295" xr:uid="{57CB4F8B-BA01-4C5B-AB7D-D92DB9F23A1A}"/>
    <cellStyle name="Normal 4 4 13 2 2" xfId="27891" xr:uid="{268AFB25-8671-4D25-B439-C5B125B633C7}"/>
    <cellStyle name="Normal 4 4 13 2 3" xfId="17675" xr:uid="{FF2C2023-6DE8-4DD5-9ABF-6A5128AAD6C7}"/>
    <cellStyle name="Normal 4 4 13 3" xfId="10128" xr:uid="{5E6F0728-FF33-458B-A04C-3ABC0E193730}"/>
    <cellStyle name="Normal 4 4 13 3 2" xfId="20508" xr:uid="{F9EC4638-AF3D-4BC2-9A3D-B74529B7EE0F}"/>
    <cellStyle name="Normal 4 4 13 4" xfId="23827" xr:uid="{52337421-501D-41E5-AECA-1496CD97E96F}"/>
    <cellStyle name="Normal 4 4 13 5" xfId="14842" xr:uid="{7FE6E188-AC7A-4DD5-AC00-61B0300A9B35}"/>
    <cellStyle name="Normal 4 4 14" xfId="3986" xr:uid="{32463145-0242-4FD3-A3C7-1AE8BB5420B2}"/>
    <cellStyle name="Normal 4 4 14 2" xfId="8810" xr:uid="{96E81A39-F7BE-4A1A-A2D4-A37A066F9669}"/>
    <cellStyle name="Normal 4 4 14 2 2" xfId="19190" xr:uid="{36253008-536F-4BEE-84DC-4A737DA8E433}"/>
    <cellStyle name="Normal 4 4 14 3" xfId="11643" xr:uid="{2F1DDD0D-D96B-415F-809D-56D584388FF7}"/>
    <cellStyle name="Normal 4 4 14 3 2" xfId="22023" xr:uid="{383070A4-5390-471A-AD4E-826DCA4547CE}"/>
    <cellStyle name="Normal 4 4 14 4" xfId="27556" xr:uid="{744D9950-0345-4247-B848-A80C1FEA7202}"/>
    <cellStyle name="Normal 4 4 14 5" xfId="16357" xr:uid="{E8A4D107-3532-44AA-8749-422BA1D4FE1D}"/>
    <cellStyle name="Normal 4 4 15" xfId="5286" xr:uid="{C2382099-3E92-49C9-AA4B-4EABED7BD494}"/>
    <cellStyle name="Normal 4 4 15 2" xfId="14584" xr:uid="{959891F0-419E-410A-AEA5-D53342EE6FB7}"/>
    <cellStyle name="Normal 4 4 16" xfId="7037" xr:uid="{8C2EBE04-C40B-4FA8-9156-B892929DEFBD}"/>
    <cellStyle name="Normal 4 4 16 2" xfId="17417" xr:uid="{56D911EF-30F2-45D0-8E50-FFA41229358F}"/>
    <cellStyle name="Normal 4 4 17" xfId="9870" xr:uid="{995A7B1C-9591-4AA1-82E2-F53A667DBFCB}"/>
    <cellStyle name="Normal 4 4 17 2" xfId="20250" xr:uid="{01A18C04-7DF0-48CC-AA97-6996ACE26D4A}"/>
    <cellStyle name="Normal 4 4 18" xfId="24748" xr:uid="{703F48F3-BBAE-4AE8-B24A-6032927DEB6F}"/>
    <cellStyle name="Normal 4 4 19" xfId="12400" xr:uid="{A9899CC4-8D74-42E8-BCF8-C9D3A48E992D}"/>
    <cellStyle name="Normal 4 4 2" xfId="986" xr:uid="{00000000-0005-0000-0000-00008C050000}"/>
    <cellStyle name="Normal 4 4 2 10" xfId="5289" xr:uid="{C9173801-F243-4242-8E05-DC6C5B03108B}"/>
    <cellStyle name="Normal 4 4 2 10 2" xfId="14587" xr:uid="{F26842E6-D563-4B7F-8110-180DFE5C4E58}"/>
    <cellStyle name="Normal 4 4 2 11" xfId="7040" xr:uid="{C1444B38-653A-47C1-BC0B-D3D8BF26F179}"/>
    <cellStyle name="Normal 4 4 2 11 2" xfId="17420" xr:uid="{314483FD-0D38-4D7A-8265-1ED74DFD92C4}"/>
    <cellStyle name="Normal 4 4 2 12" xfId="9873" xr:uid="{A3AC162A-2DE9-4F7B-AD6A-DE6A3844C058}"/>
    <cellStyle name="Normal 4 4 2 12 2" xfId="20253" xr:uid="{59975E48-62EE-45A4-B296-82A3B2ACB754}"/>
    <cellStyle name="Normal 4 4 2 13" xfId="25535" xr:uid="{9F4800AD-9630-4E1B-AD92-F43594679442}"/>
    <cellStyle name="Normal 4 4 2 14" xfId="12423" xr:uid="{D74C7FFF-C9EB-42C1-9F53-D6CE6B1B9E77}"/>
    <cellStyle name="Normal 4 4 2 2" xfId="987" xr:uid="{00000000-0005-0000-0000-00008D050000}"/>
    <cellStyle name="Normal 4 4 2 2 10" xfId="7041" xr:uid="{0C75F5A4-51F1-48A4-A6E7-A128AD4FCE49}"/>
    <cellStyle name="Normal 4 4 2 2 10 2" xfId="17421" xr:uid="{135BC228-1136-41D3-8267-62DFD5C8E68A}"/>
    <cellStyle name="Normal 4 4 2 2 11" xfId="9874" xr:uid="{604D1C80-960E-4BFA-9D20-5FC2026C65D6}"/>
    <cellStyle name="Normal 4 4 2 2 11 2" xfId="20254" xr:uid="{E35A96B7-C2BD-43FB-BDC2-1739CB2156B3}"/>
    <cellStyle name="Normal 4 4 2 2 12" xfId="24313" xr:uid="{4A384093-1FFD-408D-922E-635A1B405B55}"/>
    <cellStyle name="Normal 4 4 2 2 13" xfId="12483" xr:uid="{175A71FC-C908-4D69-AB58-4779FA75F504}"/>
    <cellStyle name="Normal 4 4 2 2 2" xfId="988" xr:uid="{00000000-0005-0000-0000-00008E050000}"/>
    <cellStyle name="Normal 4 4 2 2 2 10" xfId="13048" xr:uid="{A6E6A654-C557-4408-A191-9785EF23F9C9}"/>
    <cellStyle name="Normal 4 4 2 2 2 2" xfId="2787" xr:uid="{00000000-0005-0000-0000-00001B060000}"/>
    <cellStyle name="Normal 4 4 2 2 2 2 2" xfId="3340" xr:uid="{00000000-0005-0000-0000-00001C060000}"/>
    <cellStyle name="Normal 4 4 2 2 2 2 2 2" xfId="6398" xr:uid="{511D1F66-3411-48B0-8203-F4A9DA2F0FDA}"/>
    <cellStyle name="Normal 4 4 2 2 2 2 2 2 2" xfId="26975" xr:uid="{CF2747F8-798C-4EE4-A498-23C0D530D462}"/>
    <cellStyle name="Normal 4 4 2 2 2 2 2 2 3" xfId="15967" xr:uid="{2496F23A-2799-4B71-A3D3-B015345047AD}"/>
    <cellStyle name="Normal 4 4 2 2 2 2 2 3" xfId="8420" xr:uid="{970E17C2-EE93-4EEC-BB27-5FEFC93133D0}"/>
    <cellStyle name="Normal 4 4 2 2 2 2 2 3 2" xfId="18800" xr:uid="{E6AD4DF1-08AE-468A-9A9E-EB0A51DD43C1}"/>
    <cellStyle name="Normal 4 4 2 2 2 2 2 4" xfId="11253" xr:uid="{DA6302FF-5F54-4CB8-8D31-2B5660D0A0D0}"/>
    <cellStyle name="Normal 4 4 2 2 2 2 2 4 2" xfId="21633" xr:uid="{3B1D8A81-8262-4551-AF7F-A106365422DE}"/>
    <cellStyle name="Normal 4 4 2 2 2 2 2 5" xfId="24646" xr:uid="{4EE14F1F-6E23-4F8C-A333-BDD37E0A2B32}"/>
    <cellStyle name="Normal 4 4 2 2 2 2 2 6" xfId="13901" xr:uid="{380085B0-B0B8-4C53-8E8D-9D2D868E11CD}"/>
    <cellStyle name="Normal 4 4 2 2 2 2 3" xfId="4340" xr:uid="{AEAE18D6-B6A2-4423-B376-EE2258BAE3B4}"/>
    <cellStyle name="Normal 4 4 2 2 2 2 3 2" xfId="9112" xr:uid="{F7CAB04E-5C88-4621-AFBE-A71D17F42617}"/>
    <cellStyle name="Normal 4 4 2 2 2 2 3 2 2" xfId="29155" xr:uid="{6A8DDABF-4C37-439B-8667-261F05E25C34}"/>
    <cellStyle name="Normal 4 4 2 2 2 2 3 2 3" xfId="19492" xr:uid="{A792F0D7-A64E-4E0E-B7F9-423078DB920D}"/>
    <cellStyle name="Normal 4 4 2 2 2 2 3 3" xfId="11945" xr:uid="{CE8EBFB3-29D4-4601-A9E4-2D7CF75189D9}"/>
    <cellStyle name="Normal 4 4 2 2 2 2 3 3 2" xfId="22325" xr:uid="{84601BE3-0C8C-4632-A8BF-59F4D773A787}"/>
    <cellStyle name="Normal 4 4 2 2 2 2 3 4" xfId="22997" xr:uid="{99EE9227-CAEB-4D8C-80C0-AE85048853AE}"/>
    <cellStyle name="Normal 4 4 2 2 2 2 3 5" xfId="16659" xr:uid="{DBE0CC71-F13E-4119-9FD5-C290E64E1003}"/>
    <cellStyle name="Normal 4 4 2 2 2 2 4" xfId="6005" xr:uid="{E29511A5-072F-46C5-9071-ECE49B5D10BB}"/>
    <cellStyle name="Normal 4 4 2 2 2 2 4 2" xfId="25960" xr:uid="{21EA62E7-FDEC-4B32-A0A4-DC9A3B600A76}"/>
    <cellStyle name="Normal 4 4 2 2 2 2 4 3" xfId="15458" xr:uid="{D612C83B-A711-4645-8E86-03E48856C23E}"/>
    <cellStyle name="Normal 4 4 2 2 2 2 5" xfId="7911" xr:uid="{5E99DD95-E668-4AC6-A724-57D53EA08726}"/>
    <cellStyle name="Normal 4 4 2 2 2 2 5 2" xfId="18291" xr:uid="{3BD3DDD6-EF27-4A7D-BAA0-A7558C56A056}"/>
    <cellStyle name="Normal 4 4 2 2 2 2 6" xfId="10744" xr:uid="{1D69AD4B-070D-42F5-9F2C-846D09B973BA}"/>
    <cellStyle name="Normal 4 4 2 2 2 2 6 2" xfId="21124" xr:uid="{A8EC71FD-2B66-42EE-A265-6214D0EAC78E}"/>
    <cellStyle name="Normal 4 4 2 2 2 2 7" xfId="25549" xr:uid="{2EB83C0E-B6E5-49D5-90F4-89EB3B468253}"/>
    <cellStyle name="Normal 4 4 2 2 2 2 8" xfId="13244" xr:uid="{97FE9524-DB6E-4184-B9C3-5EBAD2CD12E5}"/>
    <cellStyle name="Normal 4 4 2 2 2 3" xfId="3341" xr:uid="{00000000-0005-0000-0000-00001D060000}"/>
    <cellStyle name="Normal 4 4 2 2 2 3 2" xfId="4531" xr:uid="{D57982D1-20D9-4173-95B8-81B03C06454C}"/>
    <cellStyle name="Normal 4 4 2 2 2 3 2 2" xfId="9303" xr:uid="{1906EB99-6934-4261-AEAC-9930B70BD463}"/>
    <cellStyle name="Normal 4 4 2 2 2 3 2 2 2" xfId="19683" xr:uid="{1CADBF01-9C05-4A55-B9F4-3B06C0E8A9DB}"/>
    <cellStyle name="Normal 4 4 2 2 2 3 2 3" xfId="12136" xr:uid="{B1998454-18F7-4601-BEA8-E7004959746B}"/>
    <cellStyle name="Normal 4 4 2 2 2 3 2 3 2" xfId="22516" xr:uid="{5F06841B-3EAD-4DB7-A203-7E3CF23CB48B}"/>
    <cellStyle name="Normal 4 4 2 2 2 3 2 4" xfId="27163" xr:uid="{0D40DEB6-A1C5-4870-864E-B777A435FACC}"/>
    <cellStyle name="Normal 4 4 2 2 2 3 2 5" xfId="16850" xr:uid="{9305266D-298E-4E88-83D3-F06AB75B37F3}"/>
    <cellStyle name="Normal 4 4 2 2 2 3 3" xfId="6399" xr:uid="{F0F6FE15-531E-46FD-B7EC-7220C77B92AD}"/>
    <cellStyle name="Normal 4 4 2 2 2 3 3 2" xfId="15968" xr:uid="{393AECD1-A0B3-4EBC-99E7-9080A686AED5}"/>
    <cellStyle name="Normal 4 4 2 2 2 3 4" xfId="8421" xr:uid="{504702F1-FB65-4350-9EA7-4CC0BB8656F8}"/>
    <cellStyle name="Normal 4 4 2 2 2 3 4 2" xfId="18801" xr:uid="{9F5804A4-D7E8-4AC6-8592-695651461A87}"/>
    <cellStyle name="Normal 4 4 2 2 2 3 5" xfId="11254" xr:uid="{DAA82E6E-C4E8-4C7E-84D1-1D2ABE0E9881}"/>
    <cellStyle name="Normal 4 4 2 2 2 3 5 2" xfId="21634" xr:uid="{CCEC414D-7C2C-494A-BF66-DD3C43D3A7A0}"/>
    <cellStyle name="Normal 4 4 2 2 2 3 6" xfId="24483" xr:uid="{8E9E08F5-837D-4108-9E5C-415FBCA96176}"/>
    <cellStyle name="Normal 4 4 2 2 2 3 7" xfId="13902" xr:uid="{C469E6A9-5373-4DAB-812F-E339E68D49A2}"/>
    <cellStyle name="Normal 4 4 2 2 2 4" xfId="3339" xr:uid="{00000000-0005-0000-0000-00001E060000}"/>
    <cellStyle name="Normal 4 4 2 2 2 4 2" xfId="6397" xr:uid="{F81A55A4-5FE1-4013-B08F-3EABC539D636}"/>
    <cellStyle name="Normal 4 4 2 2 2 4 2 2" xfId="28322" xr:uid="{569CA92F-9FC0-4280-9EA4-DC0F7D5BD3B3}"/>
    <cellStyle name="Normal 4 4 2 2 2 4 2 3" xfId="15966" xr:uid="{26A3D037-3327-422B-B13C-C701142E81BC}"/>
    <cellStyle name="Normal 4 4 2 2 2 4 3" xfId="8419" xr:uid="{BF5ED76A-EB79-4BF6-8079-CCFD13518FC9}"/>
    <cellStyle name="Normal 4 4 2 2 2 4 3 2" xfId="18799" xr:uid="{A8F6A1F1-2A47-4B4E-A529-28F5E372A247}"/>
    <cellStyle name="Normal 4 4 2 2 2 4 4" xfId="11252" xr:uid="{A27CFCA9-37A9-487C-8559-55C0F7A213CE}"/>
    <cellStyle name="Normal 4 4 2 2 2 4 4 2" xfId="21632" xr:uid="{02BF1CB0-7FEF-4913-8B53-0ACB069F257B}"/>
    <cellStyle name="Normal 4 4 2 2 2 4 5" xfId="23066" xr:uid="{727C9D6C-675F-405D-9B22-9C4EDD2BF3FD}"/>
    <cellStyle name="Normal 4 4 2 2 2 4 6" xfId="13900" xr:uid="{8552BB07-E4B1-47A4-A0DF-E45B39E14019}"/>
    <cellStyle name="Normal 4 4 2 2 2 5" xfId="4247" xr:uid="{1B5DDFF2-700E-49C0-B6C4-9115F3C3A1FC}"/>
    <cellStyle name="Normal 4 4 2 2 2 5 2" xfId="9019" xr:uid="{E9AF53E9-8F82-4245-B39F-F5E954B3F427}"/>
    <cellStyle name="Normal 4 4 2 2 2 5 2 2" xfId="29090" xr:uid="{EFF38729-D6BC-4932-AC44-EA578773EBC7}"/>
    <cellStyle name="Normal 4 4 2 2 2 5 2 3" xfId="19399" xr:uid="{53BA4873-F7AA-46D5-984C-7D06F76CE2C6}"/>
    <cellStyle name="Normal 4 4 2 2 2 5 3" xfId="11852" xr:uid="{9484FA93-8A4D-4135-8E3C-B9DA048FEECE}"/>
    <cellStyle name="Normal 4 4 2 2 2 5 3 2" xfId="22232" xr:uid="{E714DF82-67F8-4F82-92EA-6A400075F110}"/>
    <cellStyle name="Normal 4 4 2 2 2 5 4" xfId="24203" xr:uid="{4E8C4B6F-C3D7-4D57-9485-08951DB99FBF}"/>
    <cellStyle name="Normal 4 4 2 2 2 5 5" xfId="16566" xr:uid="{1DABC36D-944F-42FD-8DE0-AA39F762EE91}"/>
    <cellStyle name="Normal 4 4 2 2 2 6" xfId="5291" xr:uid="{4E40497E-6E2A-434D-87A7-EA8E5896162A}"/>
    <cellStyle name="Normal 4 4 2 2 2 6 2" xfId="27335" xr:uid="{72415122-6861-485B-B3F3-915932AD873D}"/>
    <cellStyle name="Normal 4 4 2 2 2 6 3" xfId="14589" xr:uid="{341FD1A3-1C03-474C-B496-7F4B76F75C23}"/>
    <cellStyle name="Normal 4 4 2 2 2 7" xfId="7042" xr:uid="{A3223282-F4FF-4C25-B57C-E63E4EE3075F}"/>
    <cellStyle name="Normal 4 4 2 2 2 7 2" xfId="17422" xr:uid="{CA7AAA4B-5AC8-4800-8104-9B57188E912F}"/>
    <cellStyle name="Normal 4 4 2 2 2 8" xfId="9875" xr:uid="{AA367147-979C-4209-BE07-E247F79F9987}"/>
    <cellStyle name="Normal 4 4 2 2 2 8 2" xfId="20255" xr:uid="{E25F9F74-8F47-47F4-859D-31C44F7078A0}"/>
    <cellStyle name="Normal 4 4 2 2 2 9" xfId="24172" xr:uid="{340DEFD4-3A60-455F-B7D1-FCE635C519F5}"/>
    <cellStyle name="Normal 4 4 2 2 3" xfId="2786" xr:uid="{00000000-0005-0000-0000-00001F060000}"/>
    <cellStyle name="Normal 4 4 2 2 3 2" xfId="3342" xr:uid="{00000000-0005-0000-0000-000020060000}"/>
    <cellStyle name="Normal 4 4 2 2 3 2 2" xfId="6400" xr:uid="{69768A5D-02B3-4CE8-980B-44CE4EE92A71}"/>
    <cellStyle name="Normal 4 4 2 2 3 2 2 2" xfId="28722" xr:uid="{D78FEAF6-37AF-4F64-9E40-DDF82F1432CF}"/>
    <cellStyle name="Normal 4 4 2 2 3 2 2 3" xfId="15969" xr:uid="{200B21F8-E051-4512-9808-A4DB8CC59D82}"/>
    <cellStyle name="Normal 4 4 2 2 3 2 3" xfId="8422" xr:uid="{3466F2CD-DCA8-4546-8C86-8F3CD1535758}"/>
    <cellStyle name="Normal 4 4 2 2 3 2 3 2" xfId="18802" xr:uid="{602CFB8F-DA78-4834-BA32-7C58AC4CE0DE}"/>
    <cellStyle name="Normal 4 4 2 2 3 2 4" xfId="11255" xr:uid="{6A126DB7-D971-4949-B4D3-9A5DE6CF484A}"/>
    <cellStyle name="Normal 4 4 2 2 3 2 4 2" xfId="21635" xr:uid="{5D54963C-899E-4456-97FC-F90A8C8DDD6B}"/>
    <cellStyle name="Normal 4 4 2 2 3 2 5" xfId="24234" xr:uid="{6CC866C5-BA2D-4DAA-AD10-0FFB2AAC7F19}"/>
    <cellStyle name="Normal 4 4 2 2 3 2 6" xfId="13903" xr:uid="{A7148D7B-9C79-4FA5-BC09-D7F830210FCF}"/>
    <cellStyle name="Normal 4 4 2 2 3 3" xfId="4339" xr:uid="{6A44BF57-F8D2-4E33-BB4C-9D0E9446C87B}"/>
    <cellStyle name="Normal 4 4 2 2 3 3 2" xfId="9111" xr:uid="{79B1799D-E6E3-4844-817D-B3AC2660A494}"/>
    <cellStyle name="Normal 4 4 2 2 3 3 2 2" xfId="29154" xr:uid="{2B362ED0-5344-4B36-A5F2-DC29B4E651E2}"/>
    <cellStyle name="Normal 4 4 2 2 3 3 2 3" xfId="19491" xr:uid="{8910AE9E-9AEE-4D3D-AAB5-C1CF1E1231AC}"/>
    <cellStyle name="Normal 4 4 2 2 3 3 3" xfId="11944" xr:uid="{B582E6F3-2430-4631-8D32-76DEBB197905}"/>
    <cellStyle name="Normal 4 4 2 2 3 3 3 2" xfId="22324" xr:uid="{D543972F-32F3-49D1-A40E-9621FB165C4F}"/>
    <cellStyle name="Normal 4 4 2 2 3 3 4" xfId="24909" xr:uid="{C974BD5E-5D88-4BDE-B086-E99DF87B1C01}"/>
    <cellStyle name="Normal 4 4 2 2 3 3 5" xfId="16658" xr:uid="{F417541B-77ED-42A0-A242-4B91FFDC9C95}"/>
    <cellStyle name="Normal 4 4 2 2 3 4" xfId="6004" xr:uid="{96248991-7D51-4E9B-97A5-A5A3DE115131}"/>
    <cellStyle name="Normal 4 4 2 2 3 4 2" xfId="26937" xr:uid="{5DDB1C1B-3D0C-4DBD-8063-DDE3D7FB13FF}"/>
    <cellStyle name="Normal 4 4 2 2 3 4 3" xfId="15457" xr:uid="{FB994E50-F762-4F05-815A-55EF3687280F}"/>
    <cellStyle name="Normal 4 4 2 2 3 5" xfId="7910" xr:uid="{9EB05466-062C-4469-9947-9025F4C8A514}"/>
    <cellStyle name="Normal 4 4 2 2 3 5 2" xfId="18290" xr:uid="{8C3FAA84-6586-49A1-BE99-2CBB983CBD69}"/>
    <cellStyle name="Normal 4 4 2 2 3 6" xfId="10743" xr:uid="{47C44A2D-A4D2-4DED-A7A4-C203843BB499}"/>
    <cellStyle name="Normal 4 4 2 2 3 6 2" xfId="21123" xr:uid="{DFBB5A1F-C978-4328-A712-F706247A5CEF}"/>
    <cellStyle name="Normal 4 4 2 2 3 7" xfId="23720" xr:uid="{53983EAF-405A-4A68-B671-E39B9079E1D0}"/>
    <cellStyle name="Normal 4 4 2 2 3 8" xfId="13243" xr:uid="{7D6F806D-EC38-440D-B3AD-83353E843758}"/>
    <cellStyle name="Normal 4 4 2 2 4" xfId="3343" xr:uid="{00000000-0005-0000-0000-000021060000}"/>
    <cellStyle name="Normal 4 4 2 2 4 2" xfId="4532" xr:uid="{B295BD5D-4A86-43B3-8633-BD21E21795ED}"/>
    <cellStyle name="Normal 4 4 2 2 4 2 2" xfId="9304" xr:uid="{4AA3D06E-817C-4FE4-A047-54D579A4D61A}"/>
    <cellStyle name="Normal 4 4 2 2 4 2 2 2" xfId="19684" xr:uid="{4BF8F51E-12F7-4D38-BE3F-526DF59CA949}"/>
    <cellStyle name="Normal 4 4 2 2 4 2 3" xfId="12137" xr:uid="{42F26D03-D924-4299-9354-48DF765EA6E1}"/>
    <cellStyle name="Normal 4 4 2 2 4 2 3 2" xfId="22517" xr:uid="{C2826C7B-C340-49D4-AEB9-19C403F9D96B}"/>
    <cellStyle name="Normal 4 4 2 2 4 2 4" xfId="25861" xr:uid="{EDF842B6-3937-4137-8EAE-444882F0819C}"/>
    <cellStyle name="Normal 4 4 2 2 4 2 5" xfId="16851" xr:uid="{7F9F8C60-6B4E-4F6F-A10A-3CE6DA5F2761}"/>
    <cellStyle name="Normal 4 4 2 2 4 3" xfId="6401" xr:uid="{3940C7DE-70FB-49CF-BD1E-CC4625C42B7A}"/>
    <cellStyle name="Normal 4 4 2 2 4 3 2" xfId="15970" xr:uid="{2D54A11E-FF4C-47AC-AE13-47EB5DD75731}"/>
    <cellStyle name="Normal 4 4 2 2 4 4" xfId="8423" xr:uid="{3F679B0C-F09E-4C98-B721-4D0AB18F3AE6}"/>
    <cellStyle name="Normal 4 4 2 2 4 4 2" xfId="18803" xr:uid="{3343F9AC-DB0D-480C-A640-F8DE770B3567}"/>
    <cellStyle name="Normal 4 4 2 2 4 5" xfId="11256" xr:uid="{2302EC03-7E78-4B3A-84BC-D18671DC7463}"/>
    <cellStyle name="Normal 4 4 2 2 4 5 2" xfId="21636" xr:uid="{4E879307-37C7-4D37-AA7E-98FC66DD073C}"/>
    <cellStyle name="Normal 4 4 2 2 4 6" xfId="25391" xr:uid="{2B1BE565-3070-4CBD-A8A7-826B87398CCA}"/>
    <cellStyle name="Normal 4 4 2 2 4 7" xfId="13904" xr:uid="{A9A64EC3-4267-44C0-8F66-ADF1DBE3DA21}"/>
    <cellStyle name="Normal 4 4 2 2 5" xfId="3338" xr:uid="{00000000-0005-0000-0000-000022060000}"/>
    <cellStyle name="Normal 4 4 2 2 5 2" xfId="6396" xr:uid="{5062E618-E82E-42FB-A778-7EC3F6941EE7}"/>
    <cellStyle name="Normal 4 4 2 2 5 2 2" xfId="26529" xr:uid="{BF4A22E8-47BF-4AE4-8B06-189C61C88340}"/>
    <cellStyle name="Normal 4 4 2 2 5 2 3" xfId="15965" xr:uid="{34CFE1EC-966C-4649-BDA4-5B79ED1C886F}"/>
    <cellStyle name="Normal 4 4 2 2 5 3" xfId="8418" xr:uid="{0B715A8F-AAB0-4DFA-BAE7-20B7354D978C}"/>
    <cellStyle name="Normal 4 4 2 2 5 3 2" xfId="18798" xr:uid="{41F0A7D8-AB8E-4B60-982D-97BA8ADCC0F1}"/>
    <cellStyle name="Normal 4 4 2 2 5 4" xfId="11251" xr:uid="{85457368-CE3B-45FB-BA69-8CC85A11D34F}"/>
    <cellStyle name="Normal 4 4 2 2 5 4 2" xfId="21631" xr:uid="{193BE4AF-9649-42CB-89A7-80CFD85DE0CE}"/>
    <cellStyle name="Normal 4 4 2 2 5 5" xfId="24585" xr:uid="{9CB8F697-BCC2-40ED-847C-A67F724127DE}"/>
    <cellStyle name="Normal 4 4 2 2 5 6" xfId="13899" xr:uid="{8DD6C700-A359-472F-A44D-9D09EC1DD08E}"/>
    <cellStyle name="Normal 4 4 2 2 6" xfId="2557" xr:uid="{00000000-0005-0000-0000-000023060000}"/>
    <cellStyle name="Normal 4 4 2 2 6 2" xfId="5827" xr:uid="{DC4B1AE2-E38E-4F7D-B7F9-68E626E6D6E0}"/>
    <cellStyle name="Normal 4 4 2 2 6 2 2" xfId="28406" xr:uid="{0294B801-8558-4D60-BB1D-C74AED4ACEAA}"/>
    <cellStyle name="Normal 4 4 2 2 6 2 3" xfId="15229" xr:uid="{FCF708E1-6C2E-4FB3-B0DE-25CA0F80D6F0}"/>
    <cellStyle name="Normal 4 4 2 2 6 3" xfId="7682" xr:uid="{5ECF2951-199F-4EA0-BB10-67F9E1354813}"/>
    <cellStyle name="Normal 4 4 2 2 6 3 2" xfId="18062" xr:uid="{95620D9C-ED80-4DB4-8DD5-77F617E8DEC6}"/>
    <cellStyle name="Normal 4 4 2 2 6 4" xfId="10515" xr:uid="{2CB7DFE3-E213-4A1A-BE1A-20DE844B62D1}"/>
    <cellStyle name="Normal 4 4 2 2 6 4 2" xfId="20895" xr:uid="{C939A820-A911-45B8-861D-39CA8982E263}"/>
    <cellStyle name="Normal 4 4 2 2 6 5" xfId="25092" xr:uid="{50630A23-1783-4E8E-8EBD-8E95B5AE0135}"/>
    <cellStyle name="Normal 4 4 2 2 6 6" xfId="12945" xr:uid="{DC969C50-06CB-42DE-AAA8-B174C5A7B8E8}"/>
    <cellStyle name="Normal 4 4 2 2 7" xfId="2251" xr:uid="{00000000-0005-0000-0000-000019060000}"/>
    <cellStyle name="Normal 4 4 2 2 7 2" xfId="7378" xr:uid="{49CA78DA-20A4-4038-8506-5DDD29FC25DE}"/>
    <cellStyle name="Normal 4 4 2 2 7 2 2" xfId="17758" xr:uid="{1B2A0586-7E36-4B38-834F-A9A444B3A174}"/>
    <cellStyle name="Normal 4 4 2 2 7 3" xfId="10211" xr:uid="{572E385B-266A-46A8-9ED4-56DED6012742}"/>
    <cellStyle name="Normal 4 4 2 2 7 3 2" xfId="20591" xr:uid="{C8CD3E5D-43F1-48B5-ACE9-D6CD559183A0}"/>
    <cellStyle name="Normal 4 4 2 2 7 4" xfId="25250" xr:uid="{83230BF6-A134-4CA9-9917-EEAFA2C3B914}"/>
    <cellStyle name="Normal 4 4 2 2 7 5" xfId="14925" xr:uid="{D659C309-94E5-4BC5-B696-F22FD405B31F}"/>
    <cellStyle name="Normal 4 4 2 2 8" xfId="3802" xr:uid="{DDC15438-3D68-4FAD-9D9B-C7E2E167FEA4}"/>
    <cellStyle name="Normal 4 4 2 2 8 2" xfId="8638" xr:uid="{4C619C33-DE7C-49B8-B166-2CA910B63CFD}"/>
    <cellStyle name="Normal 4 4 2 2 8 2 2" xfId="19018" xr:uid="{44B94BF2-0CAD-4A78-B3B9-ECF987ADDE5A}"/>
    <cellStyle name="Normal 4 4 2 2 8 3" xfId="11471" xr:uid="{7B76BDC5-3EC5-42AF-8E55-BFF102FBEAC6}"/>
    <cellStyle name="Normal 4 4 2 2 8 3 2" xfId="21851" xr:uid="{34AC7D1B-4264-4C58-B0E6-F3D739E9EB6C}"/>
    <cellStyle name="Normal 4 4 2 2 8 4" xfId="16185" xr:uid="{545ED7F2-872A-448F-928C-E98B0C60218F}"/>
    <cellStyle name="Normal 4 4 2 2 9" xfId="5290" xr:uid="{4258AE63-37FA-4E3B-88C7-E1ACC51B3145}"/>
    <cellStyle name="Normal 4 4 2 2 9 2" xfId="14588" xr:uid="{28244A37-8FC1-4209-BC34-54CFE44D5963}"/>
    <cellStyle name="Normal 4 4 2 3" xfId="989" xr:uid="{00000000-0005-0000-0000-00008F050000}"/>
    <cellStyle name="Normal 4 4 2 3 10" xfId="9876" xr:uid="{B1AD3C3B-E4EF-4540-8370-CA00C891082A}"/>
    <cellStyle name="Normal 4 4 2 3 10 2" xfId="20256" xr:uid="{4960A5F0-C12E-4B12-AC3D-EEDB6B8C464C}"/>
    <cellStyle name="Normal 4 4 2 3 11" xfId="25424" xr:uid="{0AB0255F-72B3-4885-B9E1-813751B34C02}"/>
    <cellStyle name="Normal 4 4 2 3 12" xfId="12600" xr:uid="{CA292A13-D5E7-41FE-9B23-465F582E343E}"/>
    <cellStyle name="Normal 4 4 2 3 2" xfId="2788" xr:uid="{00000000-0005-0000-0000-000025060000}"/>
    <cellStyle name="Normal 4 4 2 3 2 2" xfId="3345" xr:uid="{00000000-0005-0000-0000-000026060000}"/>
    <cellStyle name="Normal 4 4 2 3 2 2 2" xfId="6403" xr:uid="{343E5849-A095-4356-A6E4-AA28C144EC79}"/>
    <cellStyle name="Normal 4 4 2 3 2 2 2 2" xfId="28617" xr:uid="{9F7BCF5F-F784-4400-B20C-6A8977FADB81}"/>
    <cellStyle name="Normal 4 4 2 3 2 2 2 3" xfId="15972" xr:uid="{591177A3-FFCB-4982-BC14-F6A0916A77D9}"/>
    <cellStyle name="Normal 4 4 2 3 2 2 3" xfId="8425" xr:uid="{C2FF869B-A854-4C88-816D-6510E892D87D}"/>
    <cellStyle name="Normal 4 4 2 3 2 2 3 2" xfId="18805" xr:uid="{7FFBDEA1-A1E4-4C6D-AE1C-A491E9D3ABD1}"/>
    <cellStyle name="Normal 4 4 2 3 2 2 4" xfId="11258" xr:uid="{CD8E96AA-81A3-461E-A843-965AE1CC3170}"/>
    <cellStyle name="Normal 4 4 2 3 2 2 4 2" xfId="21638" xr:uid="{77235E0C-8C7F-4FA5-9A70-8801406D4A23}"/>
    <cellStyle name="Normal 4 4 2 3 2 2 5" xfId="25543" xr:uid="{7E2DF8E2-5082-41B1-A468-00E7FFC3BF73}"/>
    <cellStyle name="Normal 4 4 2 3 2 2 6" xfId="13906" xr:uid="{B88B7EB3-9F60-4C35-8B12-3E2052EF28BE}"/>
    <cellStyle name="Normal 4 4 2 3 2 3" xfId="4341" xr:uid="{74B3D252-263A-4214-BAD9-6E1714328469}"/>
    <cellStyle name="Normal 4 4 2 3 2 3 2" xfId="9113" xr:uid="{DB4B5A45-226D-48AB-B1C4-D080C1D639FB}"/>
    <cellStyle name="Normal 4 4 2 3 2 3 2 2" xfId="29156" xr:uid="{77C2008E-03E2-4F0C-8CD8-F2962237139D}"/>
    <cellStyle name="Normal 4 4 2 3 2 3 2 3" xfId="19493" xr:uid="{F109FBB9-64BD-468A-9BC6-6BCA65B9F0D5}"/>
    <cellStyle name="Normal 4 4 2 3 2 3 3" xfId="11946" xr:uid="{44FA4A1B-9B44-4CF4-832E-40967D5F0FCA}"/>
    <cellStyle name="Normal 4 4 2 3 2 3 3 2" xfId="22326" xr:uid="{FA817901-995B-4402-B4DD-318F52720169}"/>
    <cellStyle name="Normal 4 4 2 3 2 3 4" xfId="24399" xr:uid="{64414920-5AB8-4F86-809F-DC5AA7D433CB}"/>
    <cellStyle name="Normal 4 4 2 3 2 3 5" xfId="16660" xr:uid="{8F21A49A-4D31-4E84-B3AA-8FFCA76483E1}"/>
    <cellStyle name="Normal 4 4 2 3 2 4" xfId="6006" xr:uid="{9ED9DD77-8200-4D6A-8D46-C6657E276F95}"/>
    <cellStyle name="Normal 4 4 2 3 2 4 2" xfId="27779" xr:uid="{AE5FCA32-9F15-45B6-9EEB-C0AFB6BF84CE}"/>
    <cellStyle name="Normal 4 4 2 3 2 4 3" xfId="15459" xr:uid="{0F694240-3902-4780-8B9A-3D5321D5FECC}"/>
    <cellStyle name="Normal 4 4 2 3 2 5" xfId="7912" xr:uid="{E3EE78A6-E101-42FF-AEEA-BFEBB2AF86C3}"/>
    <cellStyle name="Normal 4 4 2 3 2 5 2" xfId="18292" xr:uid="{C1E16FBA-FE8E-4A54-B65B-A50FA1CAC283}"/>
    <cellStyle name="Normal 4 4 2 3 2 6" xfId="10745" xr:uid="{0FFF8D92-EAD0-434C-BD7F-BD069BCCF53A}"/>
    <cellStyle name="Normal 4 4 2 3 2 6 2" xfId="21125" xr:uid="{5EB6700C-27A8-4AD6-876E-4973B72CA798}"/>
    <cellStyle name="Normal 4 4 2 3 2 7" xfId="24692" xr:uid="{D52FFB66-82B9-4586-B744-665C9F32E133}"/>
    <cellStyle name="Normal 4 4 2 3 2 8" xfId="13245" xr:uid="{A24D2BD8-95B1-4F46-A668-2EE59A1BDC03}"/>
    <cellStyle name="Normal 4 4 2 3 3" xfId="3346" xr:uid="{00000000-0005-0000-0000-000027060000}"/>
    <cellStyle name="Normal 4 4 2 3 3 2" xfId="4533" xr:uid="{B667C967-0561-4C42-8BC5-90F59086EA4F}"/>
    <cellStyle name="Normal 4 4 2 3 3 2 2" xfId="9305" xr:uid="{5D054F46-D740-4D54-A354-11CE584B8EC4}"/>
    <cellStyle name="Normal 4 4 2 3 3 2 2 2" xfId="29282" xr:uid="{4D6ACDE4-B724-4058-B0EB-6FD435DC408F}"/>
    <cellStyle name="Normal 4 4 2 3 3 2 2 3" xfId="19685" xr:uid="{AD9CB9B7-9155-4620-BD89-267FF7E163A2}"/>
    <cellStyle name="Normal 4 4 2 3 3 2 3" xfId="12138" xr:uid="{B1CEB952-4071-4AA7-B3E2-61A45C9196DF}"/>
    <cellStyle name="Normal 4 4 2 3 3 2 3 2" xfId="22518" xr:uid="{CA3F5B6B-0FB8-40ED-95B1-0404A707E6EF}"/>
    <cellStyle name="Normal 4 4 2 3 3 2 4" xfId="25828" xr:uid="{B557E776-EDB1-4F38-8179-39D0DD17A096}"/>
    <cellStyle name="Normal 4 4 2 3 3 2 5" xfId="16852" xr:uid="{0AC8B89C-7AF6-4A8E-88EC-20BF3A4E2B09}"/>
    <cellStyle name="Normal 4 4 2 3 3 3" xfId="6404" xr:uid="{3E03D1E4-46FB-4EA6-A55D-6CE5D746A0FA}"/>
    <cellStyle name="Normal 4 4 2 3 3 3 2" xfId="27086" xr:uid="{AF6B99DB-4970-44F9-83F8-550353C549F2}"/>
    <cellStyle name="Normal 4 4 2 3 3 3 3" xfId="15973" xr:uid="{05546C51-7A74-4DC9-A123-D32CCF69BB41}"/>
    <cellStyle name="Normal 4 4 2 3 3 4" xfId="8426" xr:uid="{47DC54E8-D290-438B-A9F6-0A176AE63C6C}"/>
    <cellStyle name="Normal 4 4 2 3 3 4 2" xfId="18806" xr:uid="{E1755450-EC70-4494-BA45-A16E3958D2BB}"/>
    <cellStyle name="Normal 4 4 2 3 3 5" xfId="11259" xr:uid="{A6D1E6E4-5971-4942-887A-43650AFFEA0C}"/>
    <cellStyle name="Normal 4 4 2 3 3 5 2" xfId="21639" xr:uid="{B6280641-65D5-4190-AE7B-601DF9196AC1}"/>
    <cellStyle name="Normal 4 4 2 3 3 6" xfId="25562" xr:uid="{A8C4EC16-EA7A-4861-A0BB-F346D7F4F3D0}"/>
    <cellStyle name="Normal 4 4 2 3 3 7" xfId="13907" xr:uid="{02D88B39-740F-4D60-9A15-9A15A8A2BCB9}"/>
    <cellStyle name="Normal 4 4 2 3 4" xfId="3344" xr:uid="{00000000-0005-0000-0000-000028060000}"/>
    <cellStyle name="Normal 4 4 2 3 4 2" xfId="6402" xr:uid="{7CF52855-B221-49CE-A471-59823C1C5EC2}"/>
    <cellStyle name="Normal 4 4 2 3 4 2 2" xfId="27392" xr:uid="{196D2709-DB11-4493-87A8-571EF4FEB300}"/>
    <cellStyle name="Normal 4 4 2 3 4 2 3" xfId="15971" xr:uid="{78E67D20-8500-42B0-8342-77833EBFD547}"/>
    <cellStyle name="Normal 4 4 2 3 4 3" xfId="8424" xr:uid="{D392A788-D3F4-495C-92BB-C7DF535D7F6E}"/>
    <cellStyle name="Normal 4 4 2 3 4 3 2" xfId="18804" xr:uid="{C7850F2B-0321-44D0-A29E-DC57D5733915}"/>
    <cellStyle name="Normal 4 4 2 3 4 4" xfId="11257" xr:uid="{9F189DF0-C5E1-44CC-AC28-952D571D9414}"/>
    <cellStyle name="Normal 4 4 2 3 4 4 2" xfId="21637" xr:uid="{A6696CC3-A819-425E-8415-27596BCDCEF6}"/>
    <cellStyle name="Normal 4 4 2 3 4 5" xfId="25496" xr:uid="{F3F66694-76D2-4DD2-A42D-A490901CEB69}"/>
    <cellStyle name="Normal 4 4 2 3 4 6" xfId="13905" xr:uid="{BA747545-B287-4E7B-A45F-5E00E23DCEAE}"/>
    <cellStyle name="Normal 4 4 2 3 5" xfId="2600" xr:uid="{00000000-0005-0000-0000-000029060000}"/>
    <cellStyle name="Normal 4 4 2 3 5 2" xfId="5865" xr:uid="{139BE8FC-28F1-4734-8901-3B834D3D2588}"/>
    <cellStyle name="Normal 4 4 2 3 5 2 2" xfId="26184" xr:uid="{4DB9D009-C49D-4C9D-8B31-40E993ACDE8F}"/>
    <cellStyle name="Normal 4 4 2 3 5 2 3" xfId="15272" xr:uid="{14A9D6DC-889E-4B88-A44F-DB60655AF6C1}"/>
    <cellStyle name="Normal 4 4 2 3 5 3" xfId="7725" xr:uid="{E5424755-DE56-4D99-BDD0-F7BA8BA601D0}"/>
    <cellStyle name="Normal 4 4 2 3 5 3 2" xfId="18105" xr:uid="{44B2E874-9A5E-4728-B49D-E29AB0D6C375}"/>
    <cellStyle name="Normal 4 4 2 3 5 4" xfId="10558" xr:uid="{1872EAE9-2A01-45E2-840D-0999BEEF9D85}"/>
    <cellStyle name="Normal 4 4 2 3 5 4 2" xfId="20938" xr:uid="{BB83D161-21E9-4D6B-9DDF-6055BE109484}"/>
    <cellStyle name="Normal 4 4 2 3 5 5" xfId="23361" xr:uid="{37031A89-35BD-4127-BFD7-60F5F3E9C2EE}"/>
    <cellStyle name="Normal 4 4 2 3 5 6" xfId="12988" xr:uid="{412C8670-516E-44AC-ABE8-D75E24AA086C}"/>
    <cellStyle name="Normal 4 4 2 3 6" xfId="2366" xr:uid="{00000000-0005-0000-0000-000024060000}"/>
    <cellStyle name="Normal 4 4 2 3 6 2" xfId="7493" xr:uid="{030E696C-1599-4734-A257-268A964EDB54}"/>
    <cellStyle name="Normal 4 4 2 3 6 2 2" xfId="17873" xr:uid="{15D93248-80F7-4215-82CC-88F904825CB5}"/>
    <cellStyle name="Normal 4 4 2 3 6 3" xfId="10326" xr:uid="{20779726-FE34-46AE-8D69-243702F2566F}"/>
    <cellStyle name="Normal 4 4 2 3 6 3 2" xfId="20706" xr:uid="{0C161F4E-0E79-4057-B1D8-D0034A4E854D}"/>
    <cellStyle name="Normal 4 4 2 3 6 4" xfId="22909" xr:uid="{794A6DF2-1520-439A-BD2D-2EBAECF1CA97}"/>
    <cellStyle name="Normal 4 4 2 3 6 5" xfId="15040" xr:uid="{CA3A1C99-7CFD-4A4C-82D1-2277B4C1D22D}"/>
    <cellStyle name="Normal 4 4 2 3 7" xfId="3901" xr:uid="{A0A63680-17CA-489F-95A6-D6826EDC068D}"/>
    <cellStyle name="Normal 4 4 2 3 7 2" xfId="8733" xr:uid="{07A899F3-7EEC-467F-AEF0-B12738453FE0}"/>
    <cellStyle name="Normal 4 4 2 3 7 2 2" xfId="19113" xr:uid="{250E8EC4-8884-454C-9B4B-249992F96958}"/>
    <cellStyle name="Normal 4 4 2 3 7 3" xfId="11566" xr:uid="{9A952F7A-904B-45D3-880B-F6D974671C03}"/>
    <cellStyle name="Normal 4 4 2 3 7 3 2" xfId="21946" xr:uid="{B6ED0CF5-C516-4F13-A8BB-97E471131A4F}"/>
    <cellStyle name="Normal 4 4 2 3 7 4" xfId="16280" xr:uid="{7FA5334C-9CED-4ACE-9A17-0DE4230501E4}"/>
    <cellStyle name="Normal 4 4 2 3 8" xfId="5292" xr:uid="{8FC8B013-9E56-4911-9A8B-CAF8045B656D}"/>
    <cellStyle name="Normal 4 4 2 3 8 2" xfId="14590" xr:uid="{BC50FF17-FFFF-4D6D-B145-ACDCA896327D}"/>
    <cellStyle name="Normal 4 4 2 3 9" xfId="7043" xr:uid="{EE83E8F2-A16A-4CD0-BC5F-8F969FE98924}"/>
    <cellStyle name="Normal 4 4 2 3 9 2" xfId="17423" xr:uid="{51AFD0D0-CB0B-4931-8E43-E335997652BE}"/>
    <cellStyle name="Normal 4 4 2 4" xfId="990" xr:uid="{00000000-0005-0000-0000-000090050000}"/>
    <cellStyle name="Normal 4 4 2 4 2" xfId="3347" xr:uid="{00000000-0005-0000-0000-00002B060000}"/>
    <cellStyle name="Normal 4 4 2 4 2 2" xfId="6405" xr:uid="{20B61733-C29A-4013-826A-91229857E97E}"/>
    <cellStyle name="Normal 4 4 2 4 2 2 2" xfId="27177" xr:uid="{AE11D454-1CD7-41CE-B9C4-CA1ECC737D00}"/>
    <cellStyle name="Normal 4 4 2 4 2 2 3" xfId="15974" xr:uid="{297D34D7-ACE3-4DC9-866A-BB601572E752}"/>
    <cellStyle name="Normal 4 4 2 4 2 3" xfId="8427" xr:uid="{6A70F0BF-D7D0-4B85-B0C1-79744443D8AD}"/>
    <cellStyle name="Normal 4 4 2 4 2 3 2" xfId="18807" xr:uid="{267F612C-EEAF-43EE-B20C-E6ECA5E6DB21}"/>
    <cellStyle name="Normal 4 4 2 4 2 4" xfId="11260" xr:uid="{C6886769-9BD0-4F8E-A386-8BBF708CF0BA}"/>
    <cellStyle name="Normal 4 4 2 4 2 4 2" xfId="21640" xr:uid="{C9F7911D-DEE3-403B-83CD-E2A6C409A7AC}"/>
    <cellStyle name="Normal 4 4 2 4 2 5" xfId="23986" xr:uid="{B23B2DF9-82EF-45C7-9FBB-906912C74F17}"/>
    <cellStyle name="Normal 4 4 2 4 2 6" xfId="13908" xr:uid="{2F1045BB-53EA-4FB1-890A-6A2795B420BD}"/>
    <cellStyle name="Normal 4 4 2 4 3" xfId="2785" xr:uid="{00000000-0005-0000-0000-00002C060000}"/>
    <cellStyle name="Normal 4 4 2 4 3 2" xfId="6003" xr:uid="{95EA8E11-5537-4A68-AF65-8399F5C49F15}"/>
    <cellStyle name="Normal 4 4 2 4 3 2 2" xfId="28142" xr:uid="{68EEADF2-2AD1-47CD-95C5-623C2B15C40B}"/>
    <cellStyle name="Normal 4 4 2 4 3 2 3" xfId="15456" xr:uid="{81AC6881-060D-49E2-85F5-2E625E9E456B}"/>
    <cellStyle name="Normal 4 4 2 4 3 3" xfId="7909" xr:uid="{E3C17826-5BD3-463F-BCD5-BEEF9F957C4C}"/>
    <cellStyle name="Normal 4 4 2 4 3 3 2" xfId="18289" xr:uid="{4A831123-808B-4BCA-BC87-E889B02E29A8}"/>
    <cellStyle name="Normal 4 4 2 4 3 4" xfId="10742" xr:uid="{C684B92C-9FED-4F5B-B80A-33BD8DA70E4D}"/>
    <cellStyle name="Normal 4 4 2 4 3 4 2" xfId="21122" xr:uid="{0740E351-8637-4EB1-A9B8-E45D0364FF18}"/>
    <cellStyle name="Normal 4 4 2 4 3 5" xfId="22648" xr:uid="{771BE6F7-1616-4895-81F6-29430F4DFF5C}"/>
    <cellStyle name="Normal 4 4 2 4 3 6" xfId="13242" xr:uid="{75F1AEE9-9B4E-4585-8635-8BF605B8F223}"/>
    <cellStyle name="Normal 4 4 2 4 4" xfId="4194" xr:uid="{96BB92AC-F20C-4C4D-AE25-AF828871AFE4}"/>
    <cellStyle name="Normal 4 4 2 4 4 2" xfId="8966" xr:uid="{213E87B1-4640-4830-B3FE-2730CE3A4E12}"/>
    <cellStyle name="Normal 4 4 2 4 4 2 2" xfId="19346" xr:uid="{4732E8CE-8314-4A71-965F-4492544F64DC}"/>
    <cellStyle name="Normal 4 4 2 4 4 3" xfId="11799" xr:uid="{1E649367-FA4B-4B30-B77B-B6496126789A}"/>
    <cellStyle name="Normal 4 4 2 4 4 3 2" xfId="22179" xr:uid="{54000B27-16F5-4737-97AC-5EF6B85A6040}"/>
    <cellStyle name="Normal 4 4 2 4 4 4" xfId="23153" xr:uid="{8F9319D7-B853-4F09-B86A-AB41BD9E4F06}"/>
    <cellStyle name="Normal 4 4 2 4 4 5" xfId="16513" xr:uid="{59A15F81-D3BA-4822-93BE-A4760071BFE6}"/>
    <cellStyle name="Normal 4 4 2 4 5" xfId="5293" xr:uid="{533E2B35-FCAF-412B-9DCA-D713E1E837DA}"/>
    <cellStyle name="Normal 4 4 2 4 5 2" xfId="14591" xr:uid="{E45A6DA9-F6DD-4BE1-88EF-D73B6CBFE0B3}"/>
    <cellStyle name="Normal 4 4 2 4 6" xfId="7044" xr:uid="{7D54AB82-DC51-48D5-8538-93D0951DDF25}"/>
    <cellStyle name="Normal 4 4 2 4 6 2" xfId="17424" xr:uid="{0C0B500B-9BD5-484C-824A-61E62BE1B3F2}"/>
    <cellStyle name="Normal 4 4 2 4 7" xfId="9877" xr:uid="{35D85105-00A8-431A-98BC-D4A460429DBC}"/>
    <cellStyle name="Normal 4 4 2 4 7 2" xfId="20257" xr:uid="{A72441B9-8FDE-4736-968C-4714EBB2DBAE}"/>
    <cellStyle name="Normal 4 4 2 4 8" xfId="23945" xr:uid="{519AB3C6-84B3-4A4B-9948-7581BC858FCF}"/>
    <cellStyle name="Normal 4 4 2 4 9" xfId="12758" xr:uid="{1396107D-6352-405C-BCA7-4BC444A9CA14}"/>
    <cellStyle name="Normal 4 4 2 5" xfId="3348" xr:uid="{00000000-0005-0000-0000-00002D060000}"/>
    <cellStyle name="Normal 4 4 2 5 2" xfId="4534" xr:uid="{5E60AF2D-179F-4D24-AD54-5B7AA556A5DD}"/>
    <cellStyle name="Normal 4 4 2 5 2 2" xfId="9306" xr:uid="{35E01CA6-96A3-4431-B026-E09FEF25DB54}"/>
    <cellStyle name="Normal 4 4 2 5 2 2 2" xfId="29283" xr:uid="{C68B05B6-DAA6-4829-9645-882AF5471896}"/>
    <cellStyle name="Normal 4 4 2 5 2 2 3" xfId="19686" xr:uid="{BCAC5E27-933A-43D6-8166-3CDC64456C93}"/>
    <cellStyle name="Normal 4 4 2 5 2 3" xfId="12139" xr:uid="{0D0CE1D9-91A3-4A1B-9092-D86677B77CD0}"/>
    <cellStyle name="Normal 4 4 2 5 2 3 2" xfId="22519" xr:uid="{F63EBC74-937D-4CFC-9C04-84CE1B457986}"/>
    <cellStyle name="Normal 4 4 2 5 2 4" xfId="24129" xr:uid="{3F722632-BEB6-4346-8723-E53DF6D918A5}"/>
    <cellStyle name="Normal 4 4 2 5 2 5" xfId="16853" xr:uid="{36E94304-D19A-4F07-9B37-DC544DDD0F39}"/>
    <cellStyle name="Normal 4 4 2 5 3" xfId="6406" xr:uid="{F785735A-DF6A-4C2D-8853-2D9398843D1C}"/>
    <cellStyle name="Normal 4 4 2 5 3 2" xfId="28161" xr:uid="{4B461DD2-E85E-4D0F-A84C-F33FEE6549B2}"/>
    <cellStyle name="Normal 4 4 2 5 3 3" xfId="15975" xr:uid="{C15983D7-7394-45E1-8C77-4667DF42AD09}"/>
    <cellStyle name="Normal 4 4 2 5 4" xfId="8428" xr:uid="{5C2664CF-91DD-4A80-AE8E-2B2FB102247E}"/>
    <cellStyle name="Normal 4 4 2 5 4 2" xfId="18808" xr:uid="{312626E5-694C-4D09-8BFA-5A6B78A28534}"/>
    <cellStyle name="Normal 4 4 2 5 5" xfId="11261" xr:uid="{AE33355B-2358-4410-84AB-CD4C0EDC0107}"/>
    <cellStyle name="Normal 4 4 2 5 5 2" xfId="21641" xr:uid="{3F5C8609-160F-4530-A90A-D78FEBD4EE7D}"/>
    <cellStyle name="Normal 4 4 2 5 6" xfId="25518" xr:uid="{A9CA32F4-4CF4-4CCD-A676-7EC5AC72E217}"/>
    <cellStyle name="Normal 4 4 2 5 7" xfId="13909" xr:uid="{FF8E5222-B025-4A0F-B407-00746D92BB11}"/>
    <cellStyle name="Normal 4 4 2 6" xfId="2937" xr:uid="{00000000-0005-0000-0000-00002E060000}"/>
    <cellStyle name="Normal 4 4 2 6 2" xfId="6117" xr:uid="{5B3B8C6D-A847-46E6-9FFA-E283D1827F41}"/>
    <cellStyle name="Normal 4 4 2 6 2 2" xfId="27502" xr:uid="{256FD398-1765-4561-B83B-60BA0532852E}"/>
    <cellStyle name="Normal 4 4 2 6 2 3" xfId="15595" xr:uid="{628FFAED-D951-44EC-8EDC-07AD4BDDC531}"/>
    <cellStyle name="Normal 4 4 2 6 3" xfId="8048" xr:uid="{3159FA81-94C4-4D3A-8F13-76BF2389BBB9}"/>
    <cellStyle name="Normal 4 4 2 6 3 2" xfId="18428" xr:uid="{360F8008-33CF-4D76-82CB-D0439AE14674}"/>
    <cellStyle name="Normal 4 4 2 6 4" xfId="10881" xr:uid="{1A7917F8-51D4-4B2F-849F-B7F8A81829AD}"/>
    <cellStyle name="Normal 4 4 2 6 4 2" xfId="21261" xr:uid="{EA4F534D-6D68-42D7-98EB-6CBB0775F31C}"/>
    <cellStyle name="Normal 4 4 2 6 5" xfId="22759" xr:uid="{BE31A1BC-E09B-45D6-A853-5E4B01C10954}"/>
    <cellStyle name="Normal 4 4 2 6 6" xfId="13456" xr:uid="{AC3B5C53-4470-46C2-BD54-B93BA475B524}"/>
    <cellStyle name="Normal 4 4 2 7" xfId="2497" xr:uid="{00000000-0005-0000-0000-00002F060000}"/>
    <cellStyle name="Normal 4 4 2 7 2" xfId="5780" xr:uid="{6C89BBB6-B358-40CC-A506-DF06AF094E74}"/>
    <cellStyle name="Normal 4 4 2 7 2 2" xfId="27187" xr:uid="{AF97877D-DC51-4FD6-8AB3-CF38E2140017}"/>
    <cellStyle name="Normal 4 4 2 7 2 3" xfId="15169" xr:uid="{57C8706A-73C8-4E4E-B7B5-23D436CB38CA}"/>
    <cellStyle name="Normal 4 4 2 7 3" xfId="7622" xr:uid="{4963D2F7-C942-410B-A0FB-94E0DC35EA63}"/>
    <cellStyle name="Normal 4 4 2 7 3 2" xfId="18002" xr:uid="{EB8D888C-28AD-4A32-A8EE-59687F8BC34F}"/>
    <cellStyle name="Normal 4 4 2 7 4" xfId="10455" xr:uid="{42BE68C6-AD2C-4A30-85AC-FF0D67F7855A}"/>
    <cellStyle name="Normal 4 4 2 7 4 2" xfId="20835" xr:uid="{CB5FC10B-AC48-4DA8-A409-C02114CDE171}"/>
    <cellStyle name="Normal 4 4 2 7 5" xfId="22931" xr:uid="{FA34AF95-0BFC-4073-918E-2CF4FC4D06D4}"/>
    <cellStyle name="Normal 4 4 2 7 6" xfId="12885" xr:uid="{3372F42B-11D6-48F8-94B4-E68C129381B2}"/>
    <cellStyle name="Normal 4 4 2 8" xfId="2191" xr:uid="{00000000-0005-0000-0000-000018060000}"/>
    <cellStyle name="Normal 4 4 2 8 2" xfId="7318" xr:uid="{F821927E-FF2E-47FC-B390-71685C7CCE2B}"/>
    <cellStyle name="Normal 4 4 2 8 2 2" xfId="17698" xr:uid="{38FF1FEC-56E1-4843-B852-D3A78EC33CC7}"/>
    <cellStyle name="Normal 4 4 2 8 3" xfId="10151" xr:uid="{71790410-07D4-467B-A565-A2406DC2C56F}"/>
    <cellStyle name="Normal 4 4 2 8 3 2" xfId="20531" xr:uid="{409FBD40-5A2B-4A72-809F-EE173AC1241F}"/>
    <cellStyle name="Normal 4 4 2 8 4" xfId="23160" xr:uid="{06BF8221-A1D6-47ED-82A6-7E370277956D}"/>
    <cellStyle name="Normal 4 4 2 8 5" xfId="14865" xr:uid="{881F6974-E9F0-46E4-8294-8C2A320F09FA}"/>
    <cellStyle name="Normal 4 4 2 9" xfId="3987" xr:uid="{B16C01AD-B9E5-44C6-ADA8-D9B3921D7DFB}"/>
    <cellStyle name="Normal 4 4 2 9 2" xfId="8811" xr:uid="{281D8EDE-F9A6-43C1-9742-21DE38177E57}"/>
    <cellStyle name="Normal 4 4 2 9 2 2" xfId="19191" xr:uid="{9AEBB8E4-FDE3-413D-AA75-01417202CE90}"/>
    <cellStyle name="Normal 4 4 2 9 3" xfId="11644" xr:uid="{3267E1C4-3272-441D-8A24-461403A7F96B}"/>
    <cellStyle name="Normal 4 4 2 9 3 2" xfId="22024" xr:uid="{DDD9BDDF-AFFC-4EB4-9874-C133700B6679}"/>
    <cellStyle name="Normal 4 4 2 9 4" xfId="16358" xr:uid="{C9A5B588-EB5B-4732-9027-4843E7F14F44}"/>
    <cellStyle name="Normal 4 4 3" xfId="991" xr:uid="{00000000-0005-0000-0000-000091050000}"/>
    <cellStyle name="Normal 4 4 3 10" xfId="5294" xr:uid="{88B6DE60-D7A5-41FD-996D-110C6073BC2F}"/>
    <cellStyle name="Normal 4 4 3 10 2" xfId="14592" xr:uid="{CEA30152-4AF3-4C5C-BEAC-D06BFA565B8E}"/>
    <cellStyle name="Normal 4 4 3 11" xfId="7045" xr:uid="{2DC32E99-2A6D-4B7A-91E3-D2377718AACA}"/>
    <cellStyle name="Normal 4 4 3 11 2" xfId="17425" xr:uid="{8134CA82-294A-4E34-AA54-41DC39FEAD23}"/>
    <cellStyle name="Normal 4 4 3 12" xfId="9878" xr:uid="{A898B6A6-D9A0-49CF-843D-5A41ACD04B3E}"/>
    <cellStyle name="Normal 4 4 3 12 2" xfId="20258" xr:uid="{67DD2765-FEF1-4A0A-A1BE-F5BF3D9D41ED}"/>
    <cellStyle name="Normal 4 4 3 13" xfId="24670" xr:uid="{8E62B68A-D58A-4532-91A2-F2AF68881A4F}"/>
    <cellStyle name="Normal 4 4 3 14" xfId="12460" xr:uid="{6D09E4C8-F1C9-40F3-A072-8BF6DC8D0B70}"/>
    <cellStyle name="Normal 4 4 3 2" xfId="992" xr:uid="{00000000-0005-0000-0000-000092050000}"/>
    <cellStyle name="Normal 4 4 3 2 10" xfId="9879" xr:uid="{F255A013-70AB-4A59-8633-B48A70F454FC}"/>
    <cellStyle name="Normal 4 4 3 2 10 2" xfId="20259" xr:uid="{D28DD238-54D2-4B69-A7C1-6CE81E63D2FA}"/>
    <cellStyle name="Normal 4 4 3 2 11" xfId="24674" xr:uid="{366AD8EB-E5A1-4DD2-B560-9D07126072B4}"/>
    <cellStyle name="Normal 4 4 3 2 12" xfId="12601" xr:uid="{1D5673CB-386D-40C7-88B0-0DB1519D39A4}"/>
    <cellStyle name="Normal 4 4 3 2 2" xfId="993" xr:uid="{00000000-0005-0000-0000-000093050000}"/>
    <cellStyle name="Normal 4 4 3 2 2 2" xfId="3350" xr:uid="{00000000-0005-0000-0000-000033060000}"/>
    <cellStyle name="Normal 4 4 3 2 2 2 2" xfId="6408" xr:uid="{00633550-0CEB-489C-BF76-9FA9D44E0746}"/>
    <cellStyle name="Normal 4 4 3 2 2 2 2 2" xfId="28047" xr:uid="{107BB400-7316-403D-A324-78BEE252AE6E}"/>
    <cellStyle name="Normal 4 4 3 2 2 2 2 3" xfId="28056" xr:uid="{D4671570-37DF-4E1F-9685-441CF788607D}"/>
    <cellStyle name="Normal 4 4 3 2 2 2 2 4" xfId="15977" xr:uid="{569A8433-37B8-4B2D-BED4-516E8C1CFB99}"/>
    <cellStyle name="Normal 4 4 3 2 2 2 3" xfId="8430" xr:uid="{43432A74-8AD5-42AF-A9F2-FCAC50F97D32}"/>
    <cellStyle name="Normal 4 4 3 2 2 2 3 2" xfId="28912" xr:uid="{6D738C94-1394-421B-8925-58847C9B12F2}"/>
    <cellStyle name="Normal 4 4 3 2 2 2 3 3" xfId="18810" xr:uid="{C04674E1-32BF-4D6F-B1B9-B9F6653E7F7B}"/>
    <cellStyle name="Normal 4 4 3 2 2 2 4" xfId="11263" xr:uid="{3EDAD551-5A33-47A0-9975-2DE6BABECBDF}"/>
    <cellStyle name="Normal 4 4 3 2 2 2 4 2" xfId="21643" xr:uid="{EBB800D0-4C8B-483A-A777-005DB570AC02}"/>
    <cellStyle name="Normal 4 4 3 2 2 2 5" xfId="25193" xr:uid="{AC222BDA-295B-4B7F-9BF5-C5D478EC2486}"/>
    <cellStyle name="Normal 4 4 3 2 2 2 6" xfId="13911" xr:uid="{27E63BC5-56C9-489C-A731-AF3D82D6E2CC}"/>
    <cellStyle name="Normal 4 4 3 2 2 3" xfId="4343" xr:uid="{0C5886EB-F9A9-433B-B04A-12B1F791A654}"/>
    <cellStyle name="Normal 4 4 3 2 2 3 2" xfId="9115" xr:uid="{48B52A04-3533-40E8-BBC6-9F81FA09C7E8}"/>
    <cellStyle name="Normal 4 4 3 2 2 3 2 2" xfId="29158" xr:uid="{CC7B71A2-16DA-44FB-ABEF-A9D0EFEE69CE}"/>
    <cellStyle name="Normal 4 4 3 2 2 3 2 3" xfId="19495" xr:uid="{5F1BACCC-80CB-498D-9DAC-6A7E5380D294}"/>
    <cellStyle name="Normal 4 4 3 2 2 3 3" xfId="11948" xr:uid="{25FC1F0C-D661-4395-8501-84C4EA98AB69}"/>
    <cellStyle name="Normal 4 4 3 2 2 3 3 2" xfId="22328" xr:uid="{206E4AEB-9D88-4016-85D2-A25E338C833B}"/>
    <cellStyle name="Normal 4 4 3 2 2 3 4" xfId="23497" xr:uid="{AA8374BD-F104-48E4-8843-A94EBE10930E}"/>
    <cellStyle name="Normal 4 4 3 2 2 3 5" xfId="16662" xr:uid="{072914E5-77BE-4B58-9C08-4E51D0FBFA68}"/>
    <cellStyle name="Normal 4 4 3 2 2 4" xfId="5296" xr:uid="{26717934-BE0B-4FD6-B482-94A25175970F}"/>
    <cellStyle name="Normal 4 4 3 2 2 4 2" xfId="27803" xr:uid="{E471440A-0506-45A8-8DCF-223AF063FB8B}"/>
    <cellStyle name="Normal 4 4 3 2 2 4 3" xfId="14594" xr:uid="{58AA8BF7-CC5F-4C5B-9F16-DC942AD323E2}"/>
    <cellStyle name="Normal 4 4 3 2 2 5" xfId="7047" xr:uid="{8C01A2C2-DACA-42D4-ADB1-02790D8E85E5}"/>
    <cellStyle name="Normal 4 4 3 2 2 5 2" xfId="17427" xr:uid="{5B993106-9B55-4855-9C3B-A88708F6DFCF}"/>
    <cellStyle name="Normal 4 4 3 2 2 6" xfId="9880" xr:uid="{9BCF11DB-9CF6-4244-8DF9-783DEDCCADDA}"/>
    <cellStyle name="Normal 4 4 3 2 2 6 2" xfId="20260" xr:uid="{56E7D71D-6185-4232-B67F-A7EC19DCE073}"/>
    <cellStyle name="Normal 4 4 3 2 2 7" xfId="24305" xr:uid="{7A7012E4-D9D2-45AE-B5A2-4FCEDA725ACA}"/>
    <cellStyle name="Normal 4 4 3 2 2 8" xfId="13247" xr:uid="{64D362F5-1611-4AC2-AE01-8C579BB6751B}"/>
    <cellStyle name="Normal 4 4 3 2 3" xfId="3351" xr:uid="{00000000-0005-0000-0000-000034060000}"/>
    <cellStyle name="Normal 4 4 3 2 3 2" xfId="4535" xr:uid="{2A0F3A8C-4A5A-47EC-ACD2-D50F6D6C82F7}"/>
    <cellStyle name="Normal 4 4 3 2 3 2 2" xfId="9307" xr:uid="{386CECEE-1C2B-4675-9F80-8A8AAECC8B6F}"/>
    <cellStyle name="Normal 4 4 3 2 3 2 2 2" xfId="29284" xr:uid="{62E6EE81-F264-4690-B08D-D11F23B9190D}"/>
    <cellStyle name="Normal 4 4 3 2 3 2 2 3" xfId="19687" xr:uid="{EFA10093-6DA2-4B7C-80EA-DD8CD4FA7702}"/>
    <cellStyle name="Normal 4 4 3 2 3 2 3" xfId="12140" xr:uid="{F280EA41-8078-48B8-A463-73C033571C38}"/>
    <cellStyle name="Normal 4 4 3 2 3 2 3 2" xfId="22520" xr:uid="{3D09AA19-0E66-4EB2-A359-633324598582}"/>
    <cellStyle name="Normal 4 4 3 2 3 2 4" xfId="24813" xr:uid="{952D9C29-925D-4A29-8664-70B026A402B6}"/>
    <cellStyle name="Normal 4 4 3 2 3 2 5" xfId="16854" xr:uid="{C02EC18D-4EC3-4EB0-B8D4-17E8B5FDB6EA}"/>
    <cellStyle name="Normal 4 4 3 2 3 3" xfId="6409" xr:uid="{91A91A5F-D051-4EBF-9066-F692AF96864B}"/>
    <cellStyle name="Normal 4 4 3 2 3 3 2" xfId="27554" xr:uid="{C9E2869B-EC75-4687-95C0-6BE5BB5077ED}"/>
    <cellStyle name="Normal 4 4 3 2 3 3 3" xfId="15978" xr:uid="{D4A3621A-2D8E-4B11-9F92-F68142AEBBDA}"/>
    <cellStyle name="Normal 4 4 3 2 3 4" xfId="8431" xr:uid="{A0F448F4-0E27-4CD4-BA2E-E84BC0C84681}"/>
    <cellStyle name="Normal 4 4 3 2 3 4 2" xfId="18811" xr:uid="{4B0F16B0-9C06-4C83-AD89-0D17C2242C3F}"/>
    <cellStyle name="Normal 4 4 3 2 3 5" xfId="11264" xr:uid="{7DF33F54-5FDB-44FE-9057-7B6E59DA09A5}"/>
    <cellStyle name="Normal 4 4 3 2 3 5 2" xfId="21644" xr:uid="{3754B178-E58F-47DB-A78C-F96880072886}"/>
    <cellStyle name="Normal 4 4 3 2 3 6" xfId="23031" xr:uid="{CA007D25-6172-437D-A65E-BFAE886AC180}"/>
    <cellStyle name="Normal 4 4 3 2 3 7" xfId="13912" xr:uid="{BB4D16E7-B394-45F0-AFD2-45F403903763}"/>
    <cellStyle name="Normal 4 4 3 2 4" xfId="3349" xr:uid="{00000000-0005-0000-0000-000035060000}"/>
    <cellStyle name="Normal 4 4 3 2 4 2" xfId="6407" xr:uid="{E1D61AF0-110C-4A7F-A9D6-B3B628E21F99}"/>
    <cellStyle name="Normal 4 4 3 2 4 2 2" xfId="28569" xr:uid="{E915782A-F4DA-4A59-9F00-74A4A8A56104}"/>
    <cellStyle name="Normal 4 4 3 2 4 2 3" xfId="15976" xr:uid="{7C31119E-A159-4E6B-8ADB-126245A31818}"/>
    <cellStyle name="Normal 4 4 3 2 4 3" xfId="8429" xr:uid="{8EE90E21-299B-47B2-A2F4-C7BFE3DD8AAD}"/>
    <cellStyle name="Normal 4 4 3 2 4 3 2" xfId="18809" xr:uid="{7AA1D0A5-007E-4050-9A9B-72623895D301}"/>
    <cellStyle name="Normal 4 4 3 2 4 4" xfId="11262" xr:uid="{94D5D4E3-3608-46BD-B574-85ECE77FAC8E}"/>
    <cellStyle name="Normal 4 4 3 2 4 4 2" xfId="21642" xr:uid="{3EDEE02D-59D4-47A9-9F5E-D57F2BAEF8D7}"/>
    <cellStyle name="Normal 4 4 3 2 4 5" xfId="24727" xr:uid="{D696B5D4-4C25-48F6-A7D7-B57F18260A53}"/>
    <cellStyle name="Normal 4 4 3 2 4 6" xfId="13910" xr:uid="{B03E9160-65CA-4ED8-8AEF-3BE7EC556657}"/>
    <cellStyle name="Normal 4 4 3 2 5" xfId="2534" xr:uid="{00000000-0005-0000-0000-000036060000}"/>
    <cellStyle name="Normal 4 4 3 2 5 2" xfId="5808" xr:uid="{D4BF47C8-FF73-444E-81E2-7F182E7B0AC6}"/>
    <cellStyle name="Normal 4 4 3 2 5 2 2" xfId="26997" xr:uid="{F6291A55-DD33-42BA-BA02-ED344CCDFB28}"/>
    <cellStyle name="Normal 4 4 3 2 5 2 3" xfId="15206" xr:uid="{79871B39-F309-4A30-AD38-F63F5787752B}"/>
    <cellStyle name="Normal 4 4 3 2 5 3" xfId="7659" xr:uid="{58CC0819-D813-425A-973A-3EEEAF1A1778}"/>
    <cellStyle name="Normal 4 4 3 2 5 3 2" xfId="18039" xr:uid="{6EA1ED6B-715D-48FC-A3CB-64B3312C0AA3}"/>
    <cellStyle name="Normal 4 4 3 2 5 4" xfId="10492" xr:uid="{81719869-DC8F-4F37-ABC0-DE4BF813ED34}"/>
    <cellStyle name="Normal 4 4 3 2 5 4 2" xfId="20872" xr:uid="{B8068C4B-6753-42D6-B3E8-27426EE0C0F6}"/>
    <cellStyle name="Normal 4 4 3 2 5 5" xfId="24541" xr:uid="{A318FF14-026E-45A3-A70F-1A2111E853AF}"/>
    <cellStyle name="Normal 4 4 3 2 5 6" xfId="12922" xr:uid="{09E791B4-3C1F-4420-BF75-EC5501BDD391}"/>
    <cellStyle name="Normal 4 4 3 2 6" xfId="2367" xr:uid="{00000000-0005-0000-0000-000031060000}"/>
    <cellStyle name="Normal 4 4 3 2 6 2" xfId="7494" xr:uid="{192012FC-A505-4340-98FE-A3126E95501E}"/>
    <cellStyle name="Normal 4 4 3 2 6 2 2" xfId="17874" xr:uid="{03111FB6-39A8-451B-96F2-72E8DD23A6B9}"/>
    <cellStyle name="Normal 4 4 3 2 6 3" xfId="10327" xr:uid="{904AECDB-464E-4755-BE19-8F70B5547D5C}"/>
    <cellStyle name="Normal 4 4 3 2 6 3 2" xfId="20707" xr:uid="{CFB0C1BB-A858-4141-8C35-EE59CCB35971}"/>
    <cellStyle name="Normal 4 4 3 2 6 4" xfId="25587" xr:uid="{432B12DE-9603-4960-A1BB-3A86AE412E29}"/>
    <cellStyle name="Normal 4 4 3 2 6 5" xfId="15041" xr:uid="{B0DAF18C-3B61-444C-889B-8081FD024C30}"/>
    <cellStyle name="Normal 4 4 3 2 7" xfId="3902" xr:uid="{6225CC75-CA53-4133-8BE5-2959BE0A2A54}"/>
    <cellStyle name="Normal 4 4 3 2 7 2" xfId="8734" xr:uid="{650C195F-1910-4E5D-9E1B-E17080A82A8C}"/>
    <cellStyle name="Normal 4 4 3 2 7 2 2" xfId="19114" xr:uid="{39532BFA-4E0E-4D98-8650-C1361F182236}"/>
    <cellStyle name="Normal 4 4 3 2 7 3" xfId="11567" xr:uid="{FE4574BF-3DA2-426C-8908-083B65F401C2}"/>
    <cellStyle name="Normal 4 4 3 2 7 3 2" xfId="21947" xr:uid="{3CE25913-3A01-4CB2-95CD-67E3AF59AB1A}"/>
    <cellStyle name="Normal 4 4 3 2 7 4" xfId="16281" xr:uid="{8394EDD0-2244-44D5-BD54-BA89D120D19C}"/>
    <cellStyle name="Normal 4 4 3 2 8" xfId="5295" xr:uid="{CC0C7A1D-A8E1-4FAD-A9D6-DBDD1C0D7E69}"/>
    <cellStyle name="Normal 4 4 3 2 8 2" xfId="14593" xr:uid="{A9B60DA8-CCEB-4E20-8F16-DFEB8FE5C967}"/>
    <cellStyle name="Normal 4 4 3 2 9" xfId="7046" xr:uid="{4B57BBD0-EBA8-4E97-B741-1C10AE2A913B}"/>
    <cellStyle name="Normal 4 4 3 2 9 2" xfId="17426" xr:uid="{6A3E1E8E-7DFE-4F85-8B1D-A88865591F12}"/>
    <cellStyle name="Normal 4 4 3 3" xfId="994" xr:uid="{00000000-0005-0000-0000-000094050000}"/>
    <cellStyle name="Normal 4 4 3 3 10" xfId="22808" xr:uid="{987EE5FF-8B79-4E53-A401-27689ED6ACC7}"/>
    <cellStyle name="Normal 4 4 3 3 11" xfId="12759" xr:uid="{5F98A08F-7AEE-4A90-BF5A-5E6C2B3C6D77}"/>
    <cellStyle name="Normal 4 4 3 3 2" xfId="2789" xr:uid="{00000000-0005-0000-0000-000038060000}"/>
    <cellStyle name="Normal 4 4 3 3 2 2" xfId="3353" xr:uid="{00000000-0005-0000-0000-000039060000}"/>
    <cellStyle name="Normal 4 4 3 3 2 2 2" xfId="6411" xr:uid="{F0D7B8CE-5989-4B44-A11D-6BE5EE023DAE}"/>
    <cellStyle name="Normal 4 4 3 3 2 2 2 2" xfId="26311" xr:uid="{20ECE3AB-95E1-4C72-8547-E6DAA8F39BBE}"/>
    <cellStyle name="Normal 4 4 3 3 2 2 2 3" xfId="15980" xr:uid="{8E92EA97-8D72-4EEE-A896-10989C13FA8E}"/>
    <cellStyle name="Normal 4 4 3 3 2 2 3" xfId="8433" xr:uid="{D7890BE3-5F25-4868-9459-F482288A4646}"/>
    <cellStyle name="Normal 4 4 3 3 2 2 3 2" xfId="18813" xr:uid="{266E21A7-4E13-495B-9688-0FE00F07C4C2}"/>
    <cellStyle name="Normal 4 4 3 3 2 2 4" xfId="11266" xr:uid="{6B8BCF1B-AAD3-4E3A-B2FC-149DEA071F0B}"/>
    <cellStyle name="Normal 4 4 3 3 2 2 4 2" xfId="21646" xr:uid="{CA266A13-83DD-4E1A-8451-05463928871A}"/>
    <cellStyle name="Normal 4 4 3 3 2 2 5" xfId="24323" xr:uid="{5C4AF685-1C8F-44AD-A0D2-86B37A4B3AE6}"/>
    <cellStyle name="Normal 4 4 3 3 2 2 6" xfId="13914" xr:uid="{CAC97086-7938-48DA-894B-B82DA6F61B8B}"/>
    <cellStyle name="Normal 4 4 3 3 2 3" xfId="4344" xr:uid="{9B92228C-3E74-489C-8801-556384B30F1A}"/>
    <cellStyle name="Normal 4 4 3 3 2 3 2" xfId="9116" xr:uid="{DDADC91D-FC06-4187-AE2E-AF80FDA92CF5}"/>
    <cellStyle name="Normal 4 4 3 3 2 3 2 2" xfId="29159" xr:uid="{89767C29-DD53-4656-9EB4-8C1FAE3C4C6D}"/>
    <cellStyle name="Normal 4 4 3 3 2 3 2 3" xfId="19496" xr:uid="{14738460-639F-4038-8F22-F3168F19F5A3}"/>
    <cellStyle name="Normal 4 4 3 3 2 3 3" xfId="11949" xr:uid="{C13D50FA-4882-4268-B2A3-32EA8066D09C}"/>
    <cellStyle name="Normal 4 4 3 3 2 3 3 2" xfId="22329" xr:uid="{276D7538-C8F0-4F78-ACF2-D991DFD3DB63}"/>
    <cellStyle name="Normal 4 4 3 3 2 3 4" xfId="25488" xr:uid="{87FF3322-4FC3-4053-A1F2-F8EFC4AAE8BF}"/>
    <cellStyle name="Normal 4 4 3 3 2 3 5" xfId="16663" xr:uid="{64F5A6FE-B27C-419C-8DAC-DD7DEEE8DD7E}"/>
    <cellStyle name="Normal 4 4 3 3 2 4" xfId="6007" xr:uid="{DC03F221-C779-438F-B08A-301AB2C51A32}"/>
    <cellStyle name="Normal 4 4 3 3 2 4 2" xfId="26753" xr:uid="{7E56A677-DD69-4423-A87C-C38E81CDF76C}"/>
    <cellStyle name="Normal 4 4 3 3 2 4 3" xfId="15460" xr:uid="{8CE8E04D-DABA-4F74-A4D7-17932519216B}"/>
    <cellStyle name="Normal 4 4 3 3 2 5" xfId="7913" xr:uid="{135AA85E-B505-4979-8CFE-8F669DFB904C}"/>
    <cellStyle name="Normal 4 4 3 3 2 5 2" xfId="18293" xr:uid="{9C6875CF-756F-4369-917A-1465F7590E8E}"/>
    <cellStyle name="Normal 4 4 3 3 2 6" xfId="10746" xr:uid="{81E31FC3-9B90-4324-A081-8B029DE02FBB}"/>
    <cellStyle name="Normal 4 4 3 3 2 6 2" xfId="21126" xr:uid="{BB59E8E2-2876-44B8-9E50-3A0D9FDF678F}"/>
    <cellStyle name="Normal 4 4 3 3 2 7" xfId="24539" xr:uid="{D0303B1B-2F01-471D-8F33-C7270CAF9253}"/>
    <cellStyle name="Normal 4 4 3 3 2 8" xfId="13248" xr:uid="{173229FF-8CBC-415F-9F70-A0EEEACE8ADD}"/>
    <cellStyle name="Normal 4 4 3 3 3" xfId="3354" xr:uid="{00000000-0005-0000-0000-00003A060000}"/>
    <cellStyle name="Normal 4 4 3 3 3 2" xfId="4536" xr:uid="{2AF32572-1D55-4043-826F-337A7D3BA8CE}"/>
    <cellStyle name="Normal 4 4 3 3 3 2 2" xfId="9308" xr:uid="{45D872CE-A08D-46C5-A3DD-CDA2BF6CAC57}"/>
    <cellStyle name="Normal 4 4 3 3 3 2 2 2" xfId="29285" xr:uid="{CE6FA758-4B8B-4C6D-806B-8AE678C81868}"/>
    <cellStyle name="Normal 4 4 3 3 3 2 2 3" xfId="19688" xr:uid="{44E12208-224C-4FDB-A214-4B6F69A1F655}"/>
    <cellStyle name="Normal 4 4 3 3 3 2 3" xfId="12141" xr:uid="{52809B32-C92D-4190-AB94-36EA9F3C327D}"/>
    <cellStyle name="Normal 4 4 3 3 3 2 3 2" xfId="22521" xr:uid="{45274F09-A6A6-4C4A-90F6-70E767FA7A66}"/>
    <cellStyle name="Normal 4 4 3 3 3 2 4" xfId="24208" xr:uid="{756062A5-B80E-49F4-AFE4-CD7C99C58703}"/>
    <cellStyle name="Normal 4 4 3 3 3 2 5" xfId="16855" xr:uid="{91FE53EC-E4A0-4C39-AE05-CD1981029634}"/>
    <cellStyle name="Normal 4 4 3 3 3 3" xfId="6412" xr:uid="{EA003898-62FC-4629-B6C3-D855DEF0542D}"/>
    <cellStyle name="Normal 4 4 3 3 3 3 2" xfId="27035" xr:uid="{EB7ADEE8-6F10-447A-9F5D-DBF7D9E7F011}"/>
    <cellStyle name="Normal 4 4 3 3 3 3 3" xfId="15981" xr:uid="{4F70E156-9B38-42D4-8E18-B4690DD41064}"/>
    <cellStyle name="Normal 4 4 3 3 3 4" xfId="8434" xr:uid="{28892803-79E2-452F-90CA-6BC77CF0B8F1}"/>
    <cellStyle name="Normal 4 4 3 3 3 4 2" xfId="18814" xr:uid="{F25BF1F6-DAE9-4182-B9D8-83B852976089}"/>
    <cellStyle name="Normal 4 4 3 3 3 5" xfId="11267" xr:uid="{A07FF229-102F-4CE4-B5BB-201F868E9851}"/>
    <cellStyle name="Normal 4 4 3 3 3 5 2" xfId="21647" xr:uid="{9572FE2A-D274-485D-A855-286B92CDED99}"/>
    <cellStyle name="Normal 4 4 3 3 3 6" xfId="24689" xr:uid="{6416F198-8AD4-4B3A-9F17-CEEADF7E3048}"/>
    <cellStyle name="Normal 4 4 3 3 3 7" xfId="13915" xr:uid="{7B4F3DE0-9FDC-4221-AD6B-EE360D26973C}"/>
    <cellStyle name="Normal 4 4 3 3 4" xfId="3352" xr:uid="{00000000-0005-0000-0000-00003B060000}"/>
    <cellStyle name="Normal 4 4 3 3 4 2" xfId="6410" xr:uid="{6A58AA44-063B-43CE-B4FE-985CDAE9F865}"/>
    <cellStyle name="Normal 4 4 3 3 4 2 2" xfId="27093" xr:uid="{01FB4A3D-7480-408E-ABA8-EF7662A5402B}"/>
    <cellStyle name="Normal 4 4 3 3 4 2 3" xfId="15979" xr:uid="{A73A6EF9-151F-4F93-AD08-B5DD39728763}"/>
    <cellStyle name="Normal 4 4 3 3 4 3" xfId="8432" xr:uid="{CF293C32-F919-4C58-AC3E-3E5AB26D8B3C}"/>
    <cellStyle name="Normal 4 4 3 3 4 3 2" xfId="18812" xr:uid="{477A468F-C2D5-4456-890A-FF41B7654703}"/>
    <cellStyle name="Normal 4 4 3 3 4 4" xfId="11265" xr:uid="{A039E16B-631D-427E-895C-CBABD9D4E697}"/>
    <cellStyle name="Normal 4 4 3 3 4 4 2" xfId="21645" xr:uid="{47BDA3F0-6F5E-462A-BC6D-126B47833054}"/>
    <cellStyle name="Normal 4 4 3 3 4 5" xfId="24364" xr:uid="{9538830B-933E-45F1-BC65-9663407F486D}"/>
    <cellStyle name="Normal 4 4 3 3 4 6" xfId="13913" xr:uid="{93F374F6-97EE-4EBD-99B3-147461753B05}"/>
    <cellStyle name="Normal 4 4 3 3 5" xfId="2636" xr:uid="{00000000-0005-0000-0000-00003C060000}"/>
    <cellStyle name="Normal 4 4 3 3 5 2" xfId="5898" xr:uid="{63CA9AAF-F898-4537-8DBE-380FD52EA124}"/>
    <cellStyle name="Normal 4 4 3 3 5 2 2" xfId="25898" xr:uid="{5187551B-F931-4F3F-9206-E053730CE909}"/>
    <cellStyle name="Normal 4 4 3 3 5 2 3" xfId="15308" xr:uid="{961BEBA4-5A1C-4407-BA52-D43019A5E04F}"/>
    <cellStyle name="Normal 4 4 3 3 5 3" xfId="7761" xr:uid="{C6EFDBEE-700F-410E-BB09-BCD1CE215D15}"/>
    <cellStyle name="Normal 4 4 3 3 5 3 2" xfId="18141" xr:uid="{552287C7-C581-4E88-BBC5-A50C28782E2B}"/>
    <cellStyle name="Normal 4 4 3 3 5 4" xfId="10594" xr:uid="{DAA8BED5-C170-49E3-AC82-37DBA6B62B26}"/>
    <cellStyle name="Normal 4 4 3 3 5 4 2" xfId="20974" xr:uid="{7E5C18AC-3CCD-4195-B99A-712E5F5B6083}"/>
    <cellStyle name="Normal 4 4 3 3 5 5" xfId="22811" xr:uid="{7D0DEE30-7119-4E67-838F-7CD9460FC46C}"/>
    <cellStyle name="Normal 4 4 3 3 5 6" xfId="13025" xr:uid="{24990CB0-AC00-47D7-8D6B-73BD6DB6B8DC}"/>
    <cellStyle name="Normal 4 4 3 3 6" xfId="4195" xr:uid="{F8050C67-3479-48F0-B876-AD9FA46BA241}"/>
    <cellStyle name="Normal 4 4 3 3 6 2" xfId="8967" xr:uid="{93D58050-9847-47E1-A557-62177E9B5932}"/>
    <cellStyle name="Normal 4 4 3 3 6 2 2" xfId="19347" xr:uid="{98EFF169-CDEC-4076-B940-C5FA2B85906C}"/>
    <cellStyle name="Normal 4 4 3 3 6 3" xfId="11800" xr:uid="{F09FD3D1-DFD5-4556-90D5-D910BA727AD6}"/>
    <cellStyle name="Normal 4 4 3 3 6 3 2" xfId="22180" xr:uid="{E36F1620-3757-4F53-B69F-A9FF7618A73E}"/>
    <cellStyle name="Normal 4 4 3 3 6 4" xfId="24371" xr:uid="{8EE0D10C-BDC4-4D48-970D-E5DE062DDB5A}"/>
    <cellStyle name="Normal 4 4 3 3 6 5" xfId="16514" xr:uid="{72836CC3-ABF1-40C5-A4D5-2351DEC11668}"/>
    <cellStyle name="Normal 4 4 3 3 7" xfId="5297" xr:uid="{5803F386-E0DE-4418-9726-4CE82A63EF34}"/>
    <cellStyle name="Normal 4 4 3 3 7 2" xfId="14595" xr:uid="{74767BF4-0B8F-4645-BCD0-84EFEFF6D25E}"/>
    <cellStyle name="Normal 4 4 3 3 8" xfId="7048" xr:uid="{013B7FAA-C254-48DA-BE9F-BA80F3E2D199}"/>
    <cellStyle name="Normal 4 4 3 3 8 2" xfId="17428" xr:uid="{CC2020D9-9169-4658-A4C8-416E8A9C78A1}"/>
    <cellStyle name="Normal 4 4 3 3 9" xfId="9881" xr:uid="{EAFE72B4-CD0F-40A2-97A0-4393DEC9A480}"/>
    <cellStyle name="Normal 4 4 3 3 9 2" xfId="20261" xr:uid="{7041593E-E7E2-47B3-9CA6-05347C57A4CB}"/>
    <cellStyle name="Normal 4 4 3 4" xfId="995" xr:uid="{00000000-0005-0000-0000-000095050000}"/>
    <cellStyle name="Normal 4 4 3 4 2" xfId="3355" xr:uid="{00000000-0005-0000-0000-00003E060000}"/>
    <cellStyle name="Normal 4 4 3 4 2 2" xfId="6413" xr:uid="{7251E840-34B1-4638-AC6A-DA67EA434AB4}"/>
    <cellStyle name="Normal 4 4 3 4 2 2 2" xfId="26060" xr:uid="{627FC662-B7FB-4583-9C2B-9F337F31DCAE}"/>
    <cellStyle name="Normal 4 4 3 4 2 2 3" xfId="15982" xr:uid="{AE59D1FA-1A30-4209-96F1-FC197317C669}"/>
    <cellStyle name="Normal 4 4 3 4 2 3" xfId="8435" xr:uid="{5FF22C8E-A8CA-4C6B-B4FA-1490ED4E47C3}"/>
    <cellStyle name="Normal 4 4 3 4 2 3 2" xfId="18815" xr:uid="{0686A48E-2A88-4628-8EFC-A49CE885F430}"/>
    <cellStyle name="Normal 4 4 3 4 2 4" xfId="11268" xr:uid="{167CC1D2-CD4C-4712-A33D-4E588DE42570}"/>
    <cellStyle name="Normal 4 4 3 4 2 4 2" xfId="21648" xr:uid="{0F4F9595-CB11-459A-9B40-40764B12B937}"/>
    <cellStyle name="Normal 4 4 3 4 2 5" xfId="23485" xr:uid="{B004CFA2-89DD-4179-9F8C-5BDF9FA7BDC5}"/>
    <cellStyle name="Normal 4 4 3 4 2 6" xfId="13916" xr:uid="{944A871A-516B-42FA-94EF-A5BB54FDED7E}"/>
    <cellStyle name="Normal 4 4 3 4 3" xfId="4342" xr:uid="{7D4F83D3-ACB9-40A9-BBF0-BFDC42BC3647}"/>
    <cellStyle name="Normal 4 4 3 4 3 2" xfId="9114" xr:uid="{8B672895-02F4-46D7-BB07-6191B75ECEC7}"/>
    <cellStyle name="Normal 4 4 3 4 3 2 2" xfId="29157" xr:uid="{A8188E99-EE5E-42EB-9D07-DBEA1FB140BD}"/>
    <cellStyle name="Normal 4 4 3 4 3 2 3" xfId="19494" xr:uid="{9E0D9D45-A637-47A1-9D94-DEA945466858}"/>
    <cellStyle name="Normal 4 4 3 4 3 3" xfId="11947" xr:uid="{C37B62D0-5209-4909-91FD-D300A2FB3891}"/>
    <cellStyle name="Normal 4 4 3 4 3 3 2" xfId="22327" xr:uid="{B968BC1A-6B8E-47ED-8584-A864CEFD6B6E}"/>
    <cellStyle name="Normal 4 4 3 4 3 4" xfId="23224" xr:uid="{E16F06DC-0EB0-4FC7-9607-F13D9592841D}"/>
    <cellStyle name="Normal 4 4 3 4 3 5" xfId="16661" xr:uid="{44126946-98A6-4740-950A-C7DA3BB4B45B}"/>
    <cellStyle name="Normal 4 4 3 4 4" xfId="5298" xr:uid="{B0EF2E6D-81B5-48F8-B5FD-D81DFC1CB626}"/>
    <cellStyle name="Normal 4 4 3 4 4 2" xfId="28043" xr:uid="{6482ACAE-82B8-439A-9FFC-FDEEFD39B253}"/>
    <cellStyle name="Normal 4 4 3 4 4 3" xfId="14596" xr:uid="{05C94D4E-4FFF-4497-9FCE-11AB953A9D8B}"/>
    <cellStyle name="Normal 4 4 3 4 5" xfId="7049" xr:uid="{169A6ED1-AF28-4045-B936-96D7BAF9625C}"/>
    <cellStyle name="Normal 4 4 3 4 5 2" xfId="17429" xr:uid="{55477A33-839D-48A0-B2A9-85A0FB0C2238}"/>
    <cellStyle name="Normal 4 4 3 4 6" xfId="9882" xr:uid="{196C6DFC-AC44-49BA-89EA-E03915D11B78}"/>
    <cellStyle name="Normal 4 4 3 4 6 2" xfId="20262" xr:uid="{5DFA6B1E-FEC9-426B-83FA-6CDD2B651B13}"/>
    <cellStyle name="Normal 4 4 3 4 7" xfId="24157" xr:uid="{679951C8-21CD-4A49-8DEB-8C20A8418E6C}"/>
    <cellStyle name="Normal 4 4 3 4 8" xfId="13246" xr:uid="{BFC39E2A-444A-4AC8-87C8-4CEB439C1644}"/>
    <cellStyle name="Normal 4 4 3 5" xfId="3356" xr:uid="{00000000-0005-0000-0000-00003F060000}"/>
    <cellStyle name="Normal 4 4 3 5 2" xfId="4537" xr:uid="{8A1DAF0E-EF1C-4E08-A67F-6C06BB375A4D}"/>
    <cellStyle name="Normal 4 4 3 5 2 2" xfId="9309" xr:uid="{CAD5FF71-949E-40AB-9FA0-088DF4BD839F}"/>
    <cellStyle name="Normal 4 4 3 5 2 2 2" xfId="29286" xr:uid="{04BB506C-2A71-4BFD-9845-6C9AA9AF36AB}"/>
    <cellStyle name="Normal 4 4 3 5 2 2 3" xfId="19689" xr:uid="{1F201D51-087C-4219-9FA9-38A39C07136D}"/>
    <cellStyle name="Normal 4 4 3 5 2 3" xfId="12142" xr:uid="{99908F6F-0D6F-4271-9A75-E206ECA258FF}"/>
    <cellStyle name="Normal 4 4 3 5 2 3 2" xfId="22522" xr:uid="{CB2EB327-0AD0-446F-9664-EBA463D847E2}"/>
    <cellStyle name="Normal 4 4 3 5 2 4" xfId="25266" xr:uid="{59F5CA62-8120-4F2C-82A0-5045539D4C2C}"/>
    <cellStyle name="Normal 4 4 3 5 2 5" xfId="16856" xr:uid="{A7B407D5-A51A-41A0-9711-DBE7947E463E}"/>
    <cellStyle name="Normal 4 4 3 5 3" xfId="6414" xr:uid="{CB4A76D2-9AF0-432D-8C48-8A7BB9C8B18C}"/>
    <cellStyle name="Normal 4 4 3 5 3 2" xfId="27157" xr:uid="{0269E9CC-6336-44C0-9176-1025DBB3DCDF}"/>
    <cellStyle name="Normal 4 4 3 5 3 3" xfId="15983" xr:uid="{93FFE143-70C4-48D4-B0A9-0885E9789A11}"/>
    <cellStyle name="Normal 4 4 3 5 4" xfId="8436" xr:uid="{C59EB907-09EE-4AF8-9019-C46D350EC7AB}"/>
    <cellStyle name="Normal 4 4 3 5 4 2" xfId="18816" xr:uid="{6EC7306D-7F0A-4B8B-A8F4-A2A7C560959F}"/>
    <cellStyle name="Normal 4 4 3 5 5" xfId="11269" xr:uid="{BD58CF5E-C3B1-4856-902E-79D56DF7931B}"/>
    <cellStyle name="Normal 4 4 3 5 5 2" xfId="21649" xr:uid="{CE9BBF40-A647-4A2F-8447-89D4B662BB27}"/>
    <cellStyle name="Normal 4 4 3 5 6" xfId="23883" xr:uid="{A113E34D-D55D-4C94-B3BC-F05EF30CC8D4}"/>
    <cellStyle name="Normal 4 4 3 5 7" xfId="13917" xr:uid="{22523A95-0F8B-4172-A2CD-B835B020C780}"/>
    <cellStyle name="Normal 4 4 3 6" xfId="2938" xr:uid="{00000000-0005-0000-0000-000040060000}"/>
    <cellStyle name="Normal 4 4 3 6 2" xfId="6118" xr:uid="{DAC4F8C5-D0B8-4672-83B5-E618AEE1E164}"/>
    <cellStyle name="Normal 4 4 3 6 2 2" xfId="26027" xr:uid="{43F22F43-3278-459A-86F1-BF6E3EF45ED3}"/>
    <cellStyle name="Normal 4 4 3 6 2 3" xfId="15596" xr:uid="{4A0DFF66-2F17-4F1E-85EE-1F4F98DB0015}"/>
    <cellStyle name="Normal 4 4 3 6 3" xfId="8049" xr:uid="{94716FC5-8F13-4058-8889-0545E749DA1E}"/>
    <cellStyle name="Normal 4 4 3 6 3 2" xfId="18429" xr:uid="{F8B88A64-3EF7-435B-A3AD-B277C67767EB}"/>
    <cellStyle name="Normal 4 4 3 6 4" xfId="10882" xr:uid="{C89B3736-DD14-48BD-9BEE-2E04D4FFF3F3}"/>
    <cellStyle name="Normal 4 4 3 6 4 2" xfId="21262" xr:uid="{DB4FBF38-5967-4781-80B6-28D8D153C6A8}"/>
    <cellStyle name="Normal 4 4 3 6 5" xfId="25211" xr:uid="{8363F849-2C9F-40E3-ADF2-CEAC733F65BD}"/>
    <cellStyle name="Normal 4 4 3 6 6" xfId="13457" xr:uid="{B2CBB650-F62F-4F3D-9ED1-D997039E7260}"/>
    <cellStyle name="Normal 4 4 3 7" xfId="2474" xr:uid="{00000000-0005-0000-0000-000041060000}"/>
    <cellStyle name="Normal 4 4 3 7 2" xfId="5762" xr:uid="{04F4AD66-B574-4C00-A1F1-8D40955AE931}"/>
    <cellStyle name="Normal 4 4 3 7 2 2" xfId="27725" xr:uid="{05E38D40-B47F-4473-95C7-E575DD5E21BF}"/>
    <cellStyle name="Normal 4 4 3 7 2 3" xfId="15146" xr:uid="{E55ACBE3-7A92-459B-BB2E-4901B83E95AC}"/>
    <cellStyle name="Normal 4 4 3 7 3" xfId="7599" xr:uid="{C573B88B-0CEC-432B-9DC8-08DC4E6E5C0A}"/>
    <cellStyle name="Normal 4 4 3 7 3 2" xfId="17979" xr:uid="{2302D6E8-5E33-4D96-A441-5E5C58D74428}"/>
    <cellStyle name="Normal 4 4 3 7 4" xfId="10432" xr:uid="{221AB999-3A8B-4ACE-BD55-0D81C441226A}"/>
    <cellStyle name="Normal 4 4 3 7 4 2" xfId="20812" xr:uid="{5D18B6B0-C345-43D1-ACE3-D4A698FC58C5}"/>
    <cellStyle name="Normal 4 4 3 7 5" xfId="25516" xr:uid="{5D7CF3EF-018B-418A-9426-0D93F1C34BEF}"/>
    <cellStyle name="Normal 4 4 3 7 6" xfId="12862" xr:uid="{95CACAF6-1DCB-4CE2-8C6F-C5861D75F36F}"/>
    <cellStyle name="Normal 4 4 3 8" xfId="2228" xr:uid="{00000000-0005-0000-0000-000030060000}"/>
    <cellStyle name="Normal 4 4 3 8 2" xfId="7355" xr:uid="{6A905C87-9A3B-4A07-AB8A-4890593BF642}"/>
    <cellStyle name="Normal 4 4 3 8 2 2" xfId="17735" xr:uid="{543C0C35-BFED-4A8C-A94F-D63E5B9AE1FA}"/>
    <cellStyle name="Normal 4 4 3 8 3" xfId="10188" xr:uid="{7C8E4474-2D02-499F-823F-221C6F1866F6}"/>
    <cellStyle name="Normal 4 4 3 8 3 2" xfId="20568" xr:uid="{4F0ADA6F-04D7-4078-B371-BEF3B5039476}"/>
    <cellStyle name="Normal 4 4 3 8 4" xfId="25376" xr:uid="{5C1437F5-D43E-4C9A-B2CD-ED81A8DDE73B}"/>
    <cellStyle name="Normal 4 4 3 8 5" xfId="14902" xr:uid="{78FD2DB4-8E45-4A7F-8A47-5460CDF24FEC}"/>
    <cellStyle name="Normal 4 4 3 9" xfId="3988" xr:uid="{E3EF4A25-2BD2-4977-A5C2-BF07C1113585}"/>
    <cellStyle name="Normal 4 4 3 9 2" xfId="8812" xr:uid="{E3390F32-FEB1-4383-9E9C-3691EC5FFFA9}"/>
    <cellStyle name="Normal 4 4 3 9 2 2" xfId="19192" xr:uid="{9CAA230E-3855-44C1-A67D-E17285B6D908}"/>
    <cellStyle name="Normal 4 4 3 9 3" xfId="11645" xr:uid="{3F163151-6B58-42FF-9191-F2DC3A72ECB1}"/>
    <cellStyle name="Normal 4 4 3 9 3 2" xfId="22025" xr:uid="{800E4C39-AC10-43D6-B521-0C64FFA290AB}"/>
    <cellStyle name="Normal 4 4 3 9 4" xfId="16359" xr:uid="{DCC940C9-7269-4FEE-9495-8A70DA8BD9C5}"/>
    <cellStyle name="Normal 4 4 4" xfId="996" xr:uid="{00000000-0005-0000-0000-000096050000}"/>
    <cellStyle name="Normal 4 4 4 10" xfId="7050" xr:uid="{C7EDBE78-CBBC-4E77-85E1-B0EA1E404434}"/>
    <cellStyle name="Normal 4 4 4 10 2" xfId="17430" xr:uid="{C4658174-9C40-49D0-932A-153629210D9C}"/>
    <cellStyle name="Normal 4 4 4 11" xfId="9883" xr:uid="{0D7AAE92-58E4-4069-BAAD-BB4CDE465704}"/>
    <cellStyle name="Normal 4 4 4 11 2" xfId="20263" xr:uid="{FE144F4F-1237-49AD-979F-2F30ED9D0743}"/>
    <cellStyle name="Normal 4 4 4 12" xfId="24624" xr:uid="{D6B99D32-8AA4-4D90-8DBD-F965311751D9}"/>
    <cellStyle name="Normal 4 4 4 13" xfId="12440" xr:uid="{FDD600BA-CCB6-4777-8D78-6A0CFC90510C}"/>
    <cellStyle name="Normal 4 4 4 2" xfId="997" xr:uid="{00000000-0005-0000-0000-000097050000}"/>
    <cellStyle name="Normal 4 4 4 2 10" xfId="9884" xr:uid="{C2544300-9B7C-4D63-A209-433FAFF2B1BB}"/>
    <cellStyle name="Normal 4 4 4 2 10 2" xfId="20264" xr:uid="{454D89D9-088E-4D7B-A9A4-004194F8E69A}"/>
    <cellStyle name="Normal 4 4 4 2 11" xfId="25244" xr:uid="{755DBE33-9620-456B-8558-6BA420681A39}"/>
    <cellStyle name="Normal 4 4 4 2 12" xfId="12602" xr:uid="{317D7DEB-5229-49CD-A413-E09E43704806}"/>
    <cellStyle name="Normal 4 4 4 2 2" xfId="998" xr:uid="{00000000-0005-0000-0000-000098050000}"/>
    <cellStyle name="Normal 4 4 4 2 2 2" xfId="3358" xr:uid="{00000000-0005-0000-0000-000045060000}"/>
    <cellStyle name="Normal 4 4 4 2 2 2 2" xfId="6416" xr:uid="{03875090-6E5F-44DD-833A-6C80608078B2}"/>
    <cellStyle name="Normal 4 4 4 2 2 2 2 2" xfId="27415" xr:uid="{2A107DA5-8E44-4520-B9A3-0C79CB3B4BE1}"/>
    <cellStyle name="Normal 4 4 4 2 2 2 2 3" xfId="28108" xr:uid="{766FF5AA-D9D0-4267-A2D6-2B413820192A}"/>
    <cellStyle name="Normal 4 4 4 2 2 2 2 4" xfId="15985" xr:uid="{3EDEC9DC-1BAD-43F4-95DB-A66C7D3F005A}"/>
    <cellStyle name="Normal 4 4 4 2 2 2 3" xfId="8438" xr:uid="{81DEBED4-72AF-42F8-A26D-222CBED8B206}"/>
    <cellStyle name="Normal 4 4 4 2 2 2 3 2" xfId="28913" xr:uid="{59046FA9-E20D-42FC-8A8F-E4227D0ADEC5}"/>
    <cellStyle name="Normal 4 4 4 2 2 2 3 3" xfId="18818" xr:uid="{327CDD8B-9457-4377-A186-8ED1745D4513}"/>
    <cellStyle name="Normal 4 4 4 2 2 2 4" xfId="11271" xr:uid="{51CFC370-F3A0-464B-98B4-EBB03C9F9D6C}"/>
    <cellStyle name="Normal 4 4 4 2 2 2 4 2" xfId="21651" xr:uid="{FCEE6F84-EA65-4CF2-B6F6-CDBB8409B79D}"/>
    <cellStyle name="Normal 4 4 4 2 2 2 5" xfId="23970" xr:uid="{6579C9DC-357E-4683-808E-C8719EB303A7}"/>
    <cellStyle name="Normal 4 4 4 2 2 2 6" xfId="13919" xr:uid="{04038268-992C-4F4A-A232-EF235BA526B4}"/>
    <cellStyle name="Normal 4 4 4 2 2 3" xfId="4345" xr:uid="{0B3F94E3-2FFB-4B2E-B348-19C8D38C1109}"/>
    <cellStyle name="Normal 4 4 4 2 2 3 2" xfId="9117" xr:uid="{C51B5BA3-1795-46B3-93DC-6466DFA19D6F}"/>
    <cellStyle name="Normal 4 4 4 2 2 3 2 2" xfId="29160" xr:uid="{0BA37C82-7F31-4B7E-95E8-2EEA5A3621B4}"/>
    <cellStyle name="Normal 4 4 4 2 2 3 2 3" xfId="19497" xr:uid="{2B7C2475-5837-421D-B8D8-C0AD4F400F54}"/>
    <cellStyle name="Normal 4 4 4 2 2 3 3" xfId="11950" xr:uid="{5EF607E3-F114-438E-A977-013EA6F4F8B6}"/>
    <cellStyle name="Normal 4 4 4 2 2 3 3 2" xfId="22330" xr:uid="{DE1E38F4-A7EB-4AAD-AA00-235D4C03562C}"/>
    <cellStyle name="Normal 4 4 4 2 2 3 4" xfId="23005" xr:uid="{3EB73B3C-11A5-4348-8660-1BFC5438E94E}"/>
    <cellStyle name="Normal 4 4 4 2 2 3 5" xfId="16664" xr:uid="{3AB601D0-759A-4D76-A956-E79F8EEBE6AD}"/>
    <cellStyle name="Normal 4 4 4 2 2 4" xfId="5301" xr:uid="{B6F40529-B4B1-4694-A218-89E1C16032D1}"/>
    <cellStyle name="Normal 4 4 4 2 2 4 2" xfId="26237" xr:uid="{28A02B0F-598D-41B6-8F44-B963E986971B}"/>
    <cellStyle name="Normal 4 4 4 2 2 4 3" xfId="14599" xr:uid="{003158B8-DD79-470F-9493-4A5824D92015}"/>
    <cellStyle name="Normal 4 4 4 2 2 5" xfId="7052" xr:uid="{813813DB-D9EA-4254-98F7-FF76AA85D24F}"/>
    <cellStyle name="Normal 4 4 4 2 2 5 2" xfId="17432" xr:uid="{4E2E89F7-34E3-43A6-A6DB-9EC0660C511E}"/>
    <cellStyle name="Normal 4 4 4 2 2 6" xfId="9885" xr:uid="{D37245F8-80AD-4059-8292-4C422DCA8EF6}"/>
    <cellStyle name="Normal 4 4 4 2 2 6 2" xfId="20265" xr:uid="{DF08AAFB-E7E5-497E-9BC1-7D22BF52ED72}"/>
    <cellStyle name="Normal 4 4 4 2 2 7" xfId="22692" xr:uid="{698C1711-3145-47CF-B9B8-41766CD035E6}"/>
    <cellStyle name="Normal 4 4 4 2 2 8" xfId="13250" xr:uid="{F7631C25-4395-4C75-9604-187F6D7A00F4}"/>
    <cellStyle name="Normal 4 4 4 2 3" xfId="3359" xr:uid="{00000000-0005-0000-0000-000046060000}"/>
    <cellStyle name="Normal 4 4 4 2 3 2" xfId="4538" xr:uid="{6C592024-E6C0-4BA9-A6C4-3A387FCA3D0F}"/>
    <cellStyle name="Normal 4 4 4 2 3 2 2" xfId="9310" xr:uid="{C6C96E63-FAE4-4FA8-8BCE-9E3954748629}"/>
    <cellStyle name="Normal 4 4 4 2 3 2 2 2" xfId="29287" xr:uid="{722FD663-4CC9-481F-9761-D61B64D26F4F}"/>
    <cellStyle name="Normal 4 4 4 2 3 2 2 3" xfId="19690" xr:uid="{A797533B-0B78-43A6-BB75-FE0103340D18}"/>
    <cellStyle name="Normal 4 4 4 2 3 2 3" xfId="12143" xr:uid="{83EF80AA-773B-4C80-AD96-03CE0E217BA2}"/>
    <cellStyle name="Normal 4 4 4 2 3 2 3 2" xfId="22523" xr:uid="{843DC306-8A7A-44D2-B7D0-6F75C703E697}"/>
    <cellStyle name="Normal 4 4 4 2 3 2 4" xfId="25029" xr:uid="{E337B512-1A3F-4BE0-A402-BE5A32D9B531}"/>
    <cellStyle name="Normal 4 4 4 2 3 2 5" xfId="16857" xr:uid="{F0C4DF11-AE9A-4EA8-AA94-AE2F06721B06}"/>
    <cellStyle name="Normal 4 4 4 2 3 3" xfId="6417" xr:uid="{6AA0058B-163A-43B1-BF97-8F9AB6566545}"/>
    <cellStyle name="Normal 4 4 4 2 3 3 2" xfId="28460" xr:uid="{8BCAE36E-3244-4F56-A696-61B2998E5499}"/>
    <cellStyle name="Normal 4 4 4 2 3 3 3" xfId="15986" xr:uid="{6AC2A3E9-7F45-4EF9-8304-D1EB3F06F742}"/>
    <cellStyle name="Normal 4 4 4 2 3 4" xfId="8439" xr:uid="{05322411-0D9D-457F-8699-F75A702D7B11}"/>
    <cellStyle name="Normal 4 4 4 2 3 4 2" xfId="18819" xr:uid="{297C8E3D-ADA5-4FF7-BE81-5DCE5B75A70E}"/>
    <cellStyle name="Normal 4 4 4 2 3 5" xfId="11272" xr:uid="{9446F13C-0682-450A-8B07-2F76361B7A4E}"/>
    <cellStyle name="Normal 4 4 4 2 3 5 2" xfId="21652" xr:uid="{B7020106-92DF-4608-AEC6-11E2C53A6FD3}"/>
    <cellStyle name="Normal 4 4 4 2 3 6" xfId="23114" xr:uid="{F6400042-C5B9-4CD0-BBAD-F179BC62A198}"/>
    <cellStyle name="Normal 4 4 4 2 3 7" xfId="13920" xr:uid="{7A6FAA70-C76F-4F6E-848A-AA747600E6E3}"/>
    <cellStyle name="Normal 4 4 4 2 4" xfId="3357" xr:uid="{00000000-0005-0000-0000-000047060000}"/>
    <cellStyle name="Normal 4 4 4 2 4 2" xfId="6415" xr:uid="{23355853-80A7-4A78-A41B-E45AA896A13D}"/>
    <cellStyle name="Normal 4 4 4 2 4 2 2" xfId="28113" xr:uid="{F127CEAD-9991-4F39-B678-176E526676D4}"/>
    <cellStyle name="Normal 4 4 4 2 4 2 3" xfId="15984" xr:uid="{FAF76BCB-D658-4156-9F72-9A8697882695}"/>
    <cellStyle name="Normal 4 4 4 2 4 3" xfId="8437" xr:uid="{7B236C5C-734C-4965-B2CE-BDBF780D9809}"/>
    <cellStyle name="Normal 4 4 4 2 4 3 2" xfId="18817" xr:uid="{D95EB734-FD68-4B4B-B266-2EC15198E1D9}"/>
    <cellStyle name="Normal 4 4 4 2 4 4" xfId="11270" xr:uid="{30724C10-8100-409A-B817-4823F50D671E}"/>
    <cellStyle name="Normal 4 4 4 2 4 4 2" xfId="21650" xr:uid="{B65EB3B9-7E98-40E8-BC01-369943033362}"/>
    <cellStyle name="Normal 4 4 4 2 4 5" xfId="23004" xr:uid="{FEA1E906-64FF-477F-9484-405B5D1B794A}"/>
    <cellStyle name="Normal 4 4 4 2 4 6" xfId="13918" xr:uid="{9482425E-F774-44A7-B2ED-6B6EE1893FB1}"/>
    <cellStyle name="Normal 4 4 4 2 5" xfId="2617" xr:uid="{00000000-0005-0000-0000-000048060000}"/>
    <cellStyle name="Normal 4 4 4 2 5 2" xfId="5879" xr:uid="{33825492-25B5-435A-917F-DF36DD52F69F}"/>
    <cellStyle name="Normal 4 4 4 2 5 2 2" xfId="28647" xr:uid="{12A95FD4-41F3-4CB7-932A-F8854F50C05D}"/>
    <cellStyle name="Normal 4 4 4 2 5 2 3" xfId="15289" xr:uid="{AFC81E78-B694-4FF6-B936-15FE27118288}"/>
    <cellStyle name="Normal 4 4 4 2 5 3" xfId="7742" xr:uid="{35232396-C4CC-4A08-9C67-964A44A0B0F5}"/>
    <cellStyle name="Normal 4 4 4 2 5 3 2" xfId="18122" xr:uid="{B6CE81D5-60BE-4F7A-9E73-E26308BEA637}"/>
    <cellStyle name="Normal 4 4 4 2 5 4" xfId="10575" xr:uid="{1B794C2B-1150-434B-85D5-01106D15398A}"/>
    <cellStyle name="Normal 4 4 4 2 5 4 2" xfId="20955" xr:uid="{A478C077-071A-46C1-9A5D-904B27385D3D}"/>
    <cellStyle name="Normal 4 4 4 2 5 5" xfId="23193" xr:uid="{8BEBB367-103D-4B1A-8995-B086E2583F9D}"/>
    <cellStyle name="Normal 4 4 4 2 5 6" xfId="13005" xr:uid="{A60375D1-5A3A-4503-B222-2600E2ADFD57}"/>
    <cellStyle name="Normal 4 4 4 2 6" xfId="2368" xr:uid="{00000000-0005-0000-0000-000043060000}"/>
    <cellStyle name="Normal 4 4 4 2 6 2" xfId="7495" xr:uid="{8808D859-AFD6-4F47-BF56-55B490B67563}"/>
    <cellStyle name="Normal 4 4 4 2 6 2 2" xfId="17875" xr:uid="{EFD93F5E-27EE-4326-B314-D61FA627E15F}"/>
    <cellStyle name="Normal 4 4 4 2 6 3" xfId="10328" xr:uid="{59ADA348-4017-4F47-AF30-6D76FA1F83F0}"/>
    <cellStyle name="Normal 4 4 4 2 6 3 2" xfId="20708" xr:uid="{F5854A93-6CCD-4D0A-9D7E-F813AC8B912E}"/>
    <cellStyle name="Normal 4 4 4 2 6 4" xfId="24317" xr:uid="{2C2BA283-8368-40A7-A7D6-1DF17894BA38}"/>
    <cellStyle name="Normal 4 4 4 2 6 5" xfId="15042" xr:uid="{FF33693C-B094-4380-95E9-3BEBAB21CEB7}"/>
    <cellStyle name="Normal 4 4 4 2 7" xfId="3903" xr:uid="{3CF4A500-B3E0-4AE2-981C-1CFFF06BCB70}"/>
    <cellStyle name="Normal 4 4 4 2 7 2" xfId="8735" xr:uid="{84D55116-D32B-4F3F-A3B2-025EAF3A323B}"/>
    <cellStyle name="Normal 4 4 4 2 7 2 2" xfId="19115" xr:uid="{CF8D7CE0-0912-4DBC-8FF5-7FFB36BF357D}"/>
    <cellStyle name="Normal 4 4 4 2 7 3" xfId="11568" xr:uid="{8AACB377-32CA-47EB-BE8A-762FBFB8EA64}"/>
    <cellStyle name="Normal 4 4 4 2 7 3 2" xfId="21948" xr:uid="{9075AC60-42C0-4533-B8A0-D752A7D07D1D}"/>
    <cellStyle name="Normal 4 4 4 2 7 4" xfId="16282" xr:uid="{95389B44-4309-4BC8-8D3C-A340EBF746B7}"/>
    <cellStyle name="Normal 4 4 4 2 8" xfId="5300" xr:uid="{1341A64F-6777-4FF1-9766-E908731CD750}"/>
    <cellStyle name="Normal 4 4 4 2 8 2" xfId="14598" xr:uid="{3D161FB4-19CB-4C08-B57D-D32DCEE28B32}"/>
    <cellStyle name="Normal 4 4 4 2 9" xfId="7051" xr:uid="{0093FB22-402C-4E22-BBED-493F2DDF5C82}"/>
    <cellStyle name="Normal 4 4 4 2 9 2" xfId="17431" xr:uid="{A0BC1E9E-0F8E-459B-AA01-3A63550230D3}"/>
    <cellStyle name="Normal 4 4 4 3" xfId="999" xr:uid="{00000000-0005-0000-0000-000099050000}"/>
    <cellStyle name="Normal 4 4 4 3 2" xfId="3360" xr:uid="{00000000-0005-0000-0000-00004A060000}"/>
    <cellStyle name="Normal 4 4 4 3 2 2" xfId="6418" xr:uid="{EF36B197-7777-4FDF-AEA2-8F5B89E9B752}"/>
    <cellStyle name="Normal 4 4 4 3 2 2 2" xfId="24358" xr:uid="{3070BF9F-455E-4C20-BB12-28F81AE11C96}"/>
    <cellStyle name="Normal 4 4 4 3 2 2 3" xfId="27506" xr:uid="{FDAED2D3-C308-4D07-8CB8-832ABFE1FFAA}"/>
    <cellStyle name="Normal 4 4 4 3 2 2 4" xfId="15987" xr:uid="{18C9191D-C427-4466-9D49-FA8BB378B91F}"/>
    <cellStyle name="Normal 4 4 4 3 2 3" xfId="8440" xr:uid="{9A5E3006-8ED1-4BA3-B888-ACF2AFE02C90}"/>
    <cellStyle name="Normal 4 4 4 3 2 3 2" xfId="28914" xr:uid="{D289254B-F133-4E78-81C9-4FE6B12FEEAD}"/>
    <cellStyle name="Normal 4 4 4 3 2 3 3" xfId="18820" xr:uid="{6E427F0D-995F-4EFD-AA7C-868FC2D13D79}"/>
    <cellStyle name="Normal 4 4 4 3 2 4" xfId="11273" xr:uid="{C959BA1D-45C3-4CBE-95EC-63870B9EAEE3}"/>
    <cellStyle name="Normal 4 4 4 3 2 4 2" xfId="21653" xr:uid="{68C168EE-973D-4DD6-B0ED-252385BB05DE}"/>
    <cellStyle name="Normal 4 4 4 3 2 5" xfId="24085" xr:uid="{648B5734-43DF-47B8-94AB-7B939DF0D284}"/>
    <cellStyle name="Normal 4 4 4 3 2 6" xfId="13921" xr:uid="{BCFA1EE3-744B-495B-892C-6BC66199C631}"/>
    <cellStyle name="Normal 4 4 4 3 3" xfId="2790" xr:uid="{00000000-0005-0000-0000-00004B060000}"/>
    <cellStyle name="Normal 4 4 4 3 3 2" xfId="6008" xr:uid="{95E61078-FB29-4C07-B9E5-FDA436C0E0C6}"/>
    <cellStyle name="Normal 4 4 4 3 3 2 2" xfId="26585" xr:uid="{2C82A59E-33E1-4421-A1FC-2EBE935B4ED8}"/>
    <cellStyle name="Normal 4 4 4 3 3 2 3" xfId="15461" xr:uid="{238BF7DF-13F3-46F9-9D9F-73CA532FC1DA}"/>
    <cellStyle name="Normal 4 4 4 3 3 3" xfId="7914" xr:uid="{0A713D77-728E-4A0A-B24A-81E84B27D68C}"/>
    <cellStyle name="Normal 4 4 4 3 3 3 2" xfId="18294" xr:uid="{6F660398-876E-4C90-A8BF-E7FF7BB518D4}"/>
    <cellStyle name="Normal 4 4 4 3 3 4" xfId="10747" xr:uid="{9590D4EC-AB45-469F-9D72-29B273297575}"/>
    <cellStyle name="Normal 4 4 4 3 3 4 2" xfId="21127" xr:uid="{D48D81C7-E343-4E2E-9532-C38DE0581C14}"/>
    <cellStyle name="Normal 4 4 4 3 3 5" xfId="24409" xr:uid="{C51E5AEC-B189-445D-A2C7-0E691DE2A0E4}"/>
    <cellStyle name="Normal 4 4 4 3 3 6" xfId="13249" xr:uid="{334BB120-5E5A-4C8B-AE73-AAF022AD44AE}"/>
    <cellStyle name="Normal 4 4 4 3 4" xfId="4196" xr:uid="{F1121B20-CEB1-41F1-BA26-3F0D5DDF91BF}"/>
    <cellStyle name="Normal 4 4 4 3 4 2" xfId="8968" xr:uid="{33353A15-1115-4ECC-9A78-82C9DEA231AE}"/>
    <cellStyle name="Normal 4 4 4 3 4 2 2" xfId="29052" xr:uid="{58F58315-0D2F-4E36-8DE9-E69163B7E633}"/>
    <cellStyle name="Normal 4 4 4 3 4 2 3" xfId="19348" xr:uid="{08C5529B-46A8-4265-AF4B-73ACC32FFD23}"/>
    <cellStyle name="Normal 4 4 4 3 4 3" xfId="11801" xr:uid="{2D458C5F-5EEE-419C-9490-F08D1F28FF2E}"/>
    <cellStyle name="Normal 4 4 4 3 4 3 2" xfId="22181" xr:uid="{13DA5644-7E85-4460-BE72-9AF8C8A93061}"/>
    <cellStyle name="Normal 4 4 4 3 4 4" xfId="22719" xr:uid="{1E103680-36F1-4460-8DE2-BCEAE104A888}"/>
    <cellStyle name="Normal 4 4 4 3 4 5" xfId="16515" xr:uid="{B32F69D1-5E44-4D9A-A7DA-11119775A014}"/>
    <cellStyle name="Normal 4 4 4 3 5" xfId="5302" xr:uid="{26D8D285-4BD4-42C3-814B-D5E76D472217}"/>
    <cellStyle name="Normal 4 4 4 3 5 2" xfId="28583" xr:uid="{FD7291A3-5A85-446F-AAA8-EADA62D85BD7}"/>
    <cellStyle name="Normal 4 4 4 3 5 3" xfId="14600" xr:uid="{8BCF75F2-EFBF-464C-820C-50E2DDF40C47}"/>
    <cellStyle name="Normal 4 4 4 3 6" xfId="7053" xr:uid="{F9A011E1-01BB-41C3-93B9-100A91510B54}"/>
    <cellStyle name="Normal 4 4 4 3 6 2" xfId="17433" xr:uid="{1A2FCC99-9A97-403C-971D-8D906980A398}"/>
    <cellStyle name="Normal 4 4 4 3 7" xfId="9886" xr:uid="{33CBCAA6-CE80-4B7E-A27B-E5A0EF03059A}"/>
    <cellStyle name="Normal 4 4 4 3 7 2" xfId="20266" xr:uid="{B739B518-4225-4A2D-A54D-1F1F17AB9887}"/>
    <cellStyle name="Normal 4 4 4 3 8" xfId="24764" xr:uid="{CE7969E2-243A-4991-BF98-03934FF15AF2}"/>
    <cellStyle name="Normal 4 4 4 3 9" xfId="12760" xr:uid="{9BB78BC4-A0D4-45A9-B779-47B542FC8BDE}"/>
    <cellStyle name="Normal 4 4 4 4" xfId="1000" xr:uid="{00000000-0005-0000-0000-00009A050000}"/>
    <cellStyle name="Normal 4 4 4 4 2" xfId="4539" xr:uid="{40DC97A7-EFEC-4AFF-8A63-2DE337282EEB}"/>
    <cellStyle name="Normal 4 4 4 4 2 2" xfId="9311" xr:uid="{0494D8E1-F902-4156-BE81-8D8B6E4D57C7}"/>
    <cellStyle name="Normal 4 4 4 4 2 2 2" xfId="29288" xr:uid="{4E8DAD54-7AA9-4797-9C24-9A650D8CB110}"/>
    <cellStyle name="Normal 4 4 4 4 2 2 3" xfId="19691" xr:uid="{D2B72895-373F-472F-AA24-DFC2EFC23C45}"/>
    <cellStyle name="Normal 4 4 4 4 2 3" xfId="12144" xr:uid="{4FC85916-88D8-4513-8180-248E7D47A6A5}"/>
    <cellStyle name="Normal 4 4 4 4 2 3 2" xfId="22524" xr:uid="{F04625F9-D5CC-4A3C-88D0-AA3C4FB2FA89}"/>
    <cellStyle name="Normal 4 4 4 4 2 4" xfId="25002" xr:uid="{13C1ABF9-9831-400B-8E57-98B05C393A51}"/>
    <cellStyle name="Normal 4 4 4 4 2 5" xfId="16858" xr:uid="{93A21151-956D-4EAD-A21D-18CBE156C7FD}"/>
    <cellStyle name="Normal 4 4 4 4 3" xfId="5303" xr:uid="{B1C309C8-6158-462A-BC6A-39E1933C118C}"/>
    <cellStyle name="Normal 4 4 4 4 3 2" xfId="27253" xr:uid="{6833989B-6348-47FF-818F-5372255DABFF}"/>
    <cellStyle name="Normal 4 4 4 4 3 3" xfId="14601" xr:uid="{6A2FA2C5-145A-4A4D-A081-0C65923EA226}"/>
    <cellStyle name="Normal 4 4 4 4 4" xfId="7054" xr:uid="{5E8FAC5F-71C8-4B72-BBAF-40664B6F0139}"/>
    <cellStyle name="Normal 4 4 4 4 4 2" xfId="17434" xr:uid="{5956EB13-1F99-4810-AA12-F694AFF457BC}"/>
    <cellStyle name="Normal 4 4 4 4 5" xfId="9887" xr:uid="{5FEA5465-80B1-4F65-81A4-A0D8F4AE1FFD}"/>
    <cellStyle name="Normal 4 4 4 4 5 2" xfId="20267" xr:uid="{77EEE273-1844-4963-886E-62ADB1BE98B3}"/>
    <cellStyle name="Normal 4 4 4 4 6" xfId="24314" xr:uid="{EF200C13-1907-4CFE-876F-33E195346D9F}"/>
    <cellStyle name="Normal 4 4 4 4 7" xfId="13922" xr:uid="{5D0D793A-53DE-4DF1-8764-15253F1951D4}"/>
    <cellStyle name="Normal 4 4 4 5" xfId="2939" xr:uid="{00000000-0005-0000-0000-00004D060000}"/>
    <cellStyle name="Normal 4 4 4 5 2" xfId="6119" xr:uid="{F66C619A-2CAC-410A-9256-818C85270A5E}"/>
    <cellStyle name="Normal 4 4 4 5 2 2" xfId="23908" xr:uid="{ECE91F37-C94C-4C62-B4F6-71DC1DC279E9}"/>
    <cellStyle name="Normal 4 4 4 5 2 3" xfId="26448" xr:uid="{CDB1F90C-B5A8-448C-B98A-27F3C5A43FF9}"/>
    <cellStyle name="Normal 4 4 4 5 2 4" xfId="15597" xr:uid="{1403C9B5-01B1-4946-86B2-6DED425ABC8F}"/>
    <cellStyle name="Normal 4 4 4 5 3" xfId="8050" xr:uid="{970FAA52-611A-4954-853F-D0ED3EE406BD}"/>
    <cellStyle name="Normal 4 4 4 5 3 2" xfId="28755" xr:uid="{1A902706-A498-4277-9E62-C751294506B3}"/>
    <cellStyle name="Normal 4 4 4 5 3 3" xfId="18430" xr:uid="{789A6F01-BDCB-49E4-8410-AA4F139DDE1E}"/>
    <cellStyle name="Normal 4 4 4 5 4" xfId="10883" xr:uid="{7B73EF1F-0DF8-4C67-9A50-E91B64C2867C}"/>
    <cellStyle name="Normal 4 4 4 5 4 2" xfId="21263" xr:uid="{FD611D95-78A3-4EE2-9927-46CEFD0025A1}"/>
    <cellStyle name="Normal 4 4 4 5 5" xfId="23994" xr:uid="{1BB774CB-2475-4D4E-ACDF-D608B77C3D12}"/>
    <cellStyle name="Normal 4 4 4 5 6" xfId="13458" xr:uid="{881F866B-C540-4C52-B006-F4F95350F7A5}"/>
    <cellStyle name="Normal 4 4 4 6" xfId="2454" xr:uid="{00000000-0005-0000-0000-00004E060000}"/>
    <cellStyle name="Normal 4 4 4 6 2" xfId="5746" xr:uid="{53A72FD4-2156-487B-9E14-8A5AE2F690C6}"/>
    <cellStyle name="Normal 4 4 4 6 2 2" xfId="26508" xr:uid="{3D30474E-7C03-4D01-95CC-84AE7DAC330D}"/>
    <cellStyle name="Normal 4 4 4 6 2 3" xfId="15126" xr:uid="{9ED9DA40-6B69-4083-AC75-8061A2FA2246}"/>
    <cellStyle name="Normal 4 4 4 6 3" xfId="7579" xr:uid="{CD32499E-F957-46D1-A227-04F7752BF8EB}"/>
    <cellStyle name="Normal 4 4 4 6 3 2" xfId="17959" xr:uid="{5A14481B-CFDC-460B-9FD8-9E0E00EBE5FB}"/>
    <cellStyle name="Normal 4 4 4 6 4" xfId="10412" xr:uid="{42512874-7CC1-4149-908D-506BCD2C29DA}"/>
    <cellStyle name="Normal 4 4 4 6 4 2" xfId="20792" xr:uid="{47521CC3-FF20-4DED-BD47-0781D0D359F5}"/>
    <cellStyle name="Normal 4 4 4 6 5" xfId="25520" xr:uid="{28EFAA7B-5092-4738-B6D0-1E6C65227573}"/>
    <cellStyle name="Normal 4 4 4 6 6" xfId="12842" xr:uid="{4461657B-C7B1-4A5E-88F2-8DD171F38710}"/>
    <cellStyle name="Normal 4 4 4 7" xfId="2208" xr:uid="{00000000-0005-0000-0000-000042060000}"/>
    <cellStyle name="Normal 4 4 4 7 2" xfId="7335" xr:uid="{B38A0759-A4BD-40D7-8CB4-2F5033E2E40F}"/>
    <cellStyle name="Normal 4 4 4 7 2 2" xfId="17715" xr:uid="{ECA286C6-441E-452C-9375-FA7C7E525C61}"/>
    <cellStyle name="Normal 4 4 4 7 3" xfId="10168" xr:uid="{6D7A39DA-7FE7-417A-870F-9781090D11A3}"/>
    <cellStyle name="Normal 4 4 4 7 3 2" xfId="20548" xr:uid="{A4BECFF5-4159-4887-B7F0-434CBC23D0FE}"/>
    <cellStyle name="Normal 4 4 4 7 4" xfId="23398" xr:uid="{485C1E1D-C2FB-48B6-8826-2BB7DFBE3364}"/>
    <cellStyle name="Normal 4 4 4 7 5" xfId="14882" xr:uid="{A6DFB3F5-1D5A-4872-A120-85A7BD096F16}"/>
    <cellStyle name="Normal 4 4 4 8" xfId="3989" xr:uid="{8CD16E0F-DA36-42CE-A34D-ED6AF1FE0895}"/>
    <cellStyle name="Normal 4 4 4 8 2" xfId="8813" xr:uid="{32E12176-7258-4154-A73E-B50821AC7B1A}"/>
    <cellStyle name="Normal 4 4 4 8 2 2" xfId="19193" xr:uid="{58F8214F-97C5-436E-B51A-96BADBE2730D}"/>
    <cellStyle name="Normal 4 4 4 8 3" xfId="11646" xr:uid="{7DEE0DDE-B74F-49B8-BFC0-32E5073415E7}"/>
    <cellStyle name="Normal 4 4 4 8 3 2" xfId="22026" xr:uid="{B885DA79-08FA-4705-AD66-CCDCBB227D49}"/>
    <cellStyle name="Normal 4 4 4 8 4" xfId="16360" xr:uid="{ABFCD0AC-F0DA-4C64-A82C-4EF2D27FFBBE}"/>
    <cellStyle name="Normal 4 4 4 9" xfId="5299" xr:uid="{EF5C3EB4-638F-445E-A79E-41DEB3B50A4C}"/>
    <cellStyle name="Normal 4 4 4 9 2" xfId="14597" xr:uid="{7D3033D7-2B29-4887-9509-AC9C23F1FE5B}"/>
    <cellStyle name="Normal 4 4 5" xfId="1001" xr:uid="{00000000-0005-0000-0000-00009B050000}"/>
    <cellStyle name="Normal 4 4 5 10" xfId="9888" xr:uid="{16F5F45C-D235-49B7-94DE-A3E2C2D06838}"/>
    <cellStyle name="Normal 4 4 5 10 2" xfId="20268" xr:uid="{242E4335-78F5-4F5F-9ABA-CC9C49C6DC96}"/>
    <cellStyle name="Normal 4 4 5 11" xfId="24926" xr:uid="{7998F79C-D3E2-49A1-A95A-98AC8C432774}"/>
    <cellStyle name="Normal 4 4 5 12" xfId="12603" xr:uid="{68B74E87-9871-4A40-87AE-ACC328289E58}"/>
    <cellStyle name="Normal 4 4 5 2" xfId="1002" xr:uid="{00000000-0005-0000-0000-00009C050000}"/>
    <cellStyle name="Normal 4 4 5 2 2" xfId="1003" xr:uid="{00000000-0005-0000-0000-00009D050000}"/>
    <cellStyle name="Normal 4 4 5 2 2 2" xfId="5306" xr:uid="{DD7857A8-D175-4583-AE4A-26DD2B7F5062}"/>
    <cellStyle name="Normal 4 4 5 2 2 2 2" xfId="25702" xr:uid="{88AC2463-1BB3-42E3-9D48-8398256D4AF6}"/>
    <cellStyle name="Normal 4 4 5 2 2 2 3" xfId="26828" xr:uid="{46B3AC03-328A-4440-A341-F5CB77FE611F}"/>
    <cellStyle name="Normal 4 4 5 2 2 2 4" xfId="14604" xr:uid="{E3723172-F2EA-4EFD-BC2F-2C970FA713A4}"/>
    <cellStyle name="Normal 4 4 5 2 2 3" xfId="7057" xr:uid="{DDA45C04-3CFE-4ABA-84CD-152D16D7CC78}"/>
    <cellStyle name="Normal 4 4 5 2 2 3 2" xfId="27634" xr:uid="{BDBB6237-0921-42FE-8629-80819553752C}"/>
    <cellStyle name="Normal 4 4 5 2 2 3 3" xfId="28073" xr:uid="{7C5B4288-D4C8-47CC-B70F-A18C7C11D12F}"/>
    <cellStyle name="Normal 4 4 5 2 2 3 4" xfId="17437" xr:uid="{0AF1FA6A-7CE4-4E51-9CB2-924344A4D2C5}"/>
    <cellStyle name="Normal 4 4 5 2 2 4" xfId="9890" xr:uid="{9093B250-F6EE-4859-9F00-A4653F8B99CD}"/>
    <cellStyle name="Normal 4 4 5 2 2 4 2" xfId="29425" xr:uid="{0CD80B09-EF99-4B7F-AB69-5810AA88D4E4}"/>
    <cellStyle name="Normal 4 4 5 2 2 4 3" xfId="20270" xr:uid="{75EACD12-2681-422C-AC08-3CB872F5B78D}"/>
    <cellStyle name="Normal 4 4 5 2 2 5" xfId="25255" xr:uid="{147C0FE4-3A21-4E94-9914-1B4814A4D8B1}"/>
    <cellStyle name="Normal 4 4 5 2 2 6" xfId="13923" xr:uid="{07E36866-7C18-4DD0-B284-0EF3D8727234}"/>
    <cellStyle name="Normal 4 4 5 2 2 7" xfId="30419" xr:uid="{CCF7B9C6-D810-4A18-88C4-FDF6D4450087}"/>
    <cellStyle name="Normal 4 4 5 2 3" xfId="2791" xr:uid="{00000000-0005-0000-0000-000052060000}"/>
    <cellStyle name="Normal 4 4 5 2 3 2" xfId="6009" xr:uid="{CE7AFD0E-8092-4DA3-80F8-8FA81744DA66}"/>
    <cellStyle name="Normal 4 4 5 2 3 2 2" xfId="27205" xr:uid="{B2E27831-7E3C-49D0-9011-0B7B44A0E7CE}"/>
    <cellStyle name="Normal 4 4 5 2 3 2 3" xfId="15462" xr:uid="{917B7BE5-EDBF-473D-AFC2-BA32433A78DD}"/>
    <cellStyle name="Normal 4 4 5 2 3 3" xfId="7915" xr:uid="{EA3B60D5-C874-427B-8716-9D53F5F4FB6E}"/>
    <cellStyle name="Normal 4 4 5 2 3 3 2" xfId="18295" xr:uid="{B17C187E-B186-4CB5-83C8-40E34B0FA39F}"/>
    <cellStyle name="Normal 4 4 5 2 3 4" xfId="10748" xr:uid="{BDE02073-8405-44C1-BC1B-B051ADC26AA9}"/>
    <cellStyle name="Normal 4 4 5 2 3 4 2" xfId="21128" xr:uid="{F99F29C8-8C7E-4F3E-86C8-704FA96D7231}"/>
    <cellStyle name="Normal 4 4 5 2 3 5" xfId="25480" xr:uid="{A91A1B21-AD46-4711-9B50-CA06B4675BB3}"/>
    <cellStyle name="Normal 4 4 5 2 3 6" xfId="13251" xr:uid="{969C48FF-68B7-4182-A723-66124E589D51}"/>
    <cellStyle name="Normal 4 4 5 2 4" xfId="4197" xr:uid="{99BFB79F-B4CF-4F3B-AAE0-35DF005617EE}"/>
    <cellStyle name="Normal 4 4 5 2 4 2" xfId="8969" xr:uid="{57CE870F-D132-458D-A873-BDB54D8DF4DB}"/>
    <cellStyle name="Normal 4 4 5 2 4 2 2" xfId="29053" xr:uid="{4CF38B8C-6BC1-4C32-B00A-D2DFCB03C3D3}"/>
    <cellStyle name="Normal 4 4 5 2 4 2 3" xfId="19349" xr:uid="{EFDE5DC0-FBAC-409F-A800-8830F172B514}"/>
    <cellStyle name="Normal 4 4 5 2 4 3" xfId="11802" xr:uid="{99DF6630-E4B6-4123-81D2-8F0F5B6EB153}"/>
    <cellStyle name="Normal 4 4 5 2 4 3 2" xfId="22182" xr:uid="{13945A86-9CA3-42D3-9554-8748E71DA122}"/>
    <cellStyle name="Normal 4 4 5 2 4 4" xfId="24717" xr:uid="{45D4E709-B390-40F3-A9F2-4EFA576767BD}"/>
    <cellStyle name="Normal 4 4 5 2 4 5" xfId="16516" xr:uid="{EE3A76F2-C586-4F5F-86EC-2C80C357EE49}"/>
    <cellStyle name="Normal 4 4 5 2 5" xfId="5305" xr:uid="{7D73C64A-02AC-4435-9EEB-01CCDC2B77C3}"/>
    <cellStyle name="Normal 4 4 5 2 5 2" xfId="27879" xr:uid="{AE1F5D17-E54A-4D73-A1CA-3D24092FF178}"/>
    <cellStyle name="Normal 4 4 5 2 5 3" xfId="14603" xr:uid="{3FBA9A7A-34D1-4BE1-AC5D-2344FF63AEBC}"/>
    <cellStyle name="Normal 4 4 5 2 5 4" xfId="30559" xr:uid="{1C201BFD-F93D-42B4-9225-61E9FAFC682A}"/>
    <cellStyle name="Normal 4 4 5 2 6" xfId="7056" xr:uid="{A37449EC-D562-42CE-A322-BD1E226405CD}"/>
    <cellStyle name="Normal 4 4 5 2 6 2" xfId="17436" xr:uid="{4E6D09B3-DEBE-405E-8E6E-A21E5E93C3EC}"/>
    <cellStyle name="Normal 4 4 5 2 6 3" xfId="30278" xr:uid="{D93846C3-FD05-444A-BBC4-5F1E35706973}"/>
    <cellStyle name="Normal 4 4 5 2 6 4" xfId="30688" xr:uid="{90451317-F75F-4A40-9A7A-385579FFE21F}"/>
    <cellStyle name="Normal 4 4 5 2 7" xfId="9889" xr:uid="{2829D9F3-BBFF-4808-8252-16EA7EF502D5}"/>
    <cellStyle name="Normal 4 4 5 2 7 2" xfId="20269" xr:uid="{E754C17D-384F-4DDB-B7AC-967A21976FDC}"/>
    <cellStyle name="Normal 4 4 5 2 8" xfId="23290" xr:uid="{40574334-C0E6-4AC8-9B36-A66A8ED60D16}"/>
    <cellStyle name="Normal 4 4 5 2 9" xfId="12761" xr:uid="{F71B41F8-EF3C-4354-A8B2-90D485F75089}"/>
    <cellStyle name="Normal 4 4 5 3" xfId="1004" xr:uid="{00000000-0005-0000-0000-00009E050000}"/>
    <cellStyle name="Normal 4 4 5 3 2" xfId="4540" xr:uid="{2D7A0363-1FAA-4900-BE5D-48C700B5EE01}"/>
    <cellStyle name="Normal 4 4 5 3 2 2" xfId="9312" xr:uid="{69106FA5-8C7B-440D-83A5-AAE9C0C78835}"/>
    <cellStyle name="Normal 4 4 5 3 2 2 2" xfId="29289" xr:uid="{15B04334-15F1-43F6-9C0D-10DCC12795BB}"/>
    <cellStyle name="Normal 4 4 5 3 2 2 3" xfId="19692" xr:uid="{1DF4B71A-C5D4-44B2-A4DB-7A8A1E776D25}"/>
    <cellStyle name="Normal 4 4 5 3 2 3" xfId="12145" xr:uid="{6335F738-FD50-42ED-A853-A2D84AF1A9D0}"/>
    <cellStyle name="Normal 4 4 5 3 2 3 2" xfId="22525" xr:uid="{920126DA-F2B6-43E5-AA97-3404A9EE20D1}"/>
    <cellStyle name="Normal 4 4 5 3 2 4" xfId="24984" xr:uid="{25B352C5-A39F-4314-AEA7-AC6027891DE1}"/>
    <cellStyle name="Normal 4 4 5 3 2 5" xfId="16859" xr:uid="{20753686-122A-46A3-9245-4C0AEAE8699F}"/>
    <cellStyle name="Normal 4 4 5 3 3" xfId="5307" xr:uid="{6D6DA234-9AC1-4169-8BDF-3211187845B4}"/>
    <cellStyle name="Normal 4 4 5 3 3 2" xfId="23674" xr:uid="{3569FF17-3CBD-44DF-9D8F-B5F201627365}"/>
    <cellStyle name="Normal 4 4 5 3 3 3" xfId="26268" xr:uid="{F35D419D-FB03-41DC-B447-33C7AA09F0CF}"/>
    <cellStyle name="Normal 4 4 5 3 3 4" xfId="14605" xr:uid="{A6B424B6-5E71-4A74-8405-8FB97525D24A}"/>
    <cellStyle name="Normal 4 4 5 3 4" xfId="7058" xr:uid="{6CAF7BEF-5982-4DCA-96C9-6B7C80EE4025}"/>
    <cellStyle name="Normal 4 4 5 3 4 2" xfId="25765" xr:uid="{B1B1A273-EC73-4488-B4F3-7D71FDBDDA94}"/>
    <cellStyle name="Normal 4 4 5 3 4 3" xfId="25993" xr:uid="{DB5899AB-E747-43BC-86FA-CBA26A860066}"/>
    <cellStyle name="Normal 4 4 5 3 4 4" xfId="17438" xr:uid="{D80B1D8F-93B5-4435-A434-75FD9D8D7E10}"/>
    <cellStyle name="Normal 4 4 5 3 5" xfId="9891" xr:uid="{90F7CBB5-02A5-4AA1-9BD0-5D8D35B415DC}"/>
    <cellStyle name="Normal 4 4 5 3 5 2" xfId="29426" xr:uid="{A13EEE21-7B0A-4EBD-BEF3-901417E03F3C}"/>
    <cellStyle name="Normal 4 4 5 3 5 3" xfId="20271" xr:uid="{4744E9E6-E976-4329-8229-18CDCC09EAE7}"/>
    <cellStyle name="Normal 4 4 5 3 6" xfId="23930" xr:uid="{D9386DB6-E07F-4DAA-BB80-F66DBF8F3526}"/>
    <cellStyle name="Normal 4 4 5 3 7" xfId="13924" xr:uid="{81C0A880-F72A-4860-BFD6-60ADA17F271B}"/>
    <cellStyle name="Normal 4 4 5 4" xfId="1005" xr:uid="{00000000-0005-0000-0000-00009F050000}"/>
    <cellStyle name="Normal 4 4 5 4 2" xfId="5308" xr:uid="{1A94B53A-833C-4E69-A12A-43F499437481}"/>
    <cellStyle name="Normal 4 4 5 4 2 2" xfId="24575" xr:uid="{618F0D91-24AC-4526-BAC7-F4CC59904697}"/>
    <cellStyle name="Normal 4 4 5 4 2 3" xfId="27691" xr:uid="{70AF2120-D6E0-4679-9E84-A4C1AB1E9147}"/>
    <cellStyle name="Normal 4 4 5 4 2 4" xfId="14606" xr:uid="{6314B871-73F4-42DA-A1BC-B3A211D85F56}"/>
    <cellStyle name="Normal 4 4 5 4 3" xfId="7059" xr:uid="{CF3ABF44-08C1-4B2D-A3B1-88F8A135FCCE}"/>
    <cellStyle name="Normal 4 4 5 4 3 2" xfId="27553" xr:uid="{B23825C7-EE6F-4DE2-AD28-C25CC21EC7C5}"/>
    <cellStyle name="Normal 4 4 5 4 3 3" xfId="17439" xr:uid="{77EA27B9-2A9A-42DE-84EA-741571ED6716}"/>
    <cellStyle name="Normal 4 4 5 4 4" xfId="9892" xr:uid="{7B072EF8-4827-48EF-83D2-52241F50C049}"/>
    <cellStyle name="Normal 4 4 5 4 4 2" xfId="20272" xr:uid="{AD18713A-C709-4872-8060-8246F3E29064}"/>
    <cellStyle name="Normal 4 4 5 4 5" xfId="24279" xr:uid="{327A1E05-9C0B-4A61-86C2-084FE4379863}"/>
    <cellStyle name="Normal 4 4 5 4 6" xfId="13459" xr:uid="{B15A62B1-3EB5-424F-B0C7-E50C2844AA1D}"/>
    <cellStyle name="Normal 4 4 5 5" xfId="2514" xr:uid="{00000000-0005-0000-0000-000055060000}"/>
    <cellStyle name="Normal 4 4 5 5 2" xfId="5792" xr:uid="{F80C5709-8B51-4782-B09A-FB5D51A47210}"/>
    <cellStyle name="Normal 4 4 5 5 2 2" xfId="27017" xr:uid="{69850DA3-4F07-41FF-BC4C-037DD4D2032A}"/>
    <cellStyle name="Normal 4 4 5 5 2 3" xfId="15186" xr:uid="{3432E184-3EE8-4D4D-B7FD-E2B3E982D7A6}"/>
    <cellStyle name="Normal 4 4 5 5 3" xfId="7639" xr:uid="{72294D53-15B9-4DB9-869B-B4E5E3E0BBDF}"/>
    <cellStyle name="Normal 4 4 5 5 3 2" xfId="18019" xr:uid="{1D6459BF-4D37-4C41-9386-007357DBB069}"/>
    <cellStyle name="Normal 4 4 5 5 4" xfId="10472" xr:uid="{738BFEA3-4A2F-4AD0-A8A8-77E35D96E6A3}"/>
    <cellStyle name="Normal 4 4 5 5 4 2" xfId="20852" xr:uid="{494CAAD0-7B56-40EA-B286-5B3AD9EB8690}"/>
    <cellStyle name="Normal 4 4 5 5 5" xfId="24990" xr:uid="{450CD28E-C26E-4BD5-BF97-A427713A773B}"/>
    <cellStyle name="Normal 4 4 5 5 6" xfId="12902" xr:uid="{093D30A8-1BD4-4321-86F0-A5736D3758E3}"/>
    <cellStyle name="Normal 4 4 5 6" xfId="2369" xr:uid="{00000000-0005-0000-0000-00004F060000}"/>
    <cellStyle name="Normal 4 4 5 6 2" xfId="7496" xr:uid="{1B2A7748-D5AE-4E38-BA4C-B2142EE8EF97}"/>
    <cellStyle name="Normal 4 4 5 6 2 2" xfId="27446" xr:uid="{95D02F40-3045-4BEB-9878-F592FA3D8C0C}"/>
    <cellStyle name="Normal 4 4 5 6 2 3" xfId="17876" xr:uid="{72C9FAD3-8A41-4E9F-9C10-9E6828419C2E}"/>
    <cellStyle name="Normal 4 4 5 6 3" xfId="10329" xr:uid="{6F456B92-D2E2-4A6E-BC4B-9372510FD23A}"/>
    <cellStyle name="Normal 4 4 5 6 3 2" xfId="20709" xr:uid="{BEA9430B-5C14-423D-9E97-5D4250C7D95B}"/>
    <cellStyle name="Normal 4 4 5 6 4" xfId="23405" xr:uid="{11D633F0-12A4-4406-8811-53A07D6613B5}"/>
    <cellStyle name="Normal 4 4 5 6 5" xfId="15043" xr:uid="{2C1BBA1E-9DE6-4D11-8D66-8817576A6094}"/>
    <cellStyle name="Normal 4 4 5 7" xfId="3990" xr:uid="{92C63C86-5719-4B31-8589-9D4F4AE9CB95}"/>
    <cellStyle name="Normal 4 4 5 7 2" xfId="8814" xr:uid="{4D9654E6-0611-4A90-AF2E-F648D5625232}"/>
    <cellStyle name="Normal 4 4 5 7 2 2" xfId="19194" xr:uid="{885627D0-3413-4158-A579-0620AA2FF892}"/>
    <cellStyle name="Normal 4 4 5 7 3" xfId="11647" xr:uid="{7067B2DE-2E51-4E9A-A591-30FE48DD678A}"/>
    <cellStyle name="Normal 4 4 5 7 3 2" xfId="22027" xr:uid="{2A7D3620-EDC9-40A5-A8CC-47345B35D85E}"/>
    <cellStyle name="Normal 4 4 5 7 4" xfId="26712" xr:uid="{7FB71A15-6EFB-4AB0-9453-48985C07BB1C}"/>
    <cellStyle name="Normal 4 4 5 7 5" xfId="16361" xr:uid="{BA6F796B-4CF2-496D-A533-DB865784B7FC}"/>
    <cellStyle name="Normal 4 4 5 8" xfId="5304" xr:uid="{E625F85E-866A-4601-961F-6B98C2F8AF7B}"/>
    <cellStyle name="Normal 4 4 5 8 2" xfId="14602" xr:uid="{3CFA5BC5-4474-4165-9DEC-33A0B0D55546}"/>
    <cellStyle name="Normal 4 4 5 9" xfId="7055" xr:uid="{2C3307C6-E532-4616-A2FD-70F09548DA82}"/>
    <cellStyle name="Normal 4 4 5 9 2" xfId="17435" xr:uid="{01BB8787-6EC3-4FD1-B4F1-B2B35749404D}"/>
    <cellStyle name="Normal 4 4 6" xfId="1006" xr:uid="{00000000-0005-0000-0000-0000A0050000}"/>
    <cellStyle name="Normal 4 4 6 10" xfId="9893" xr:uid="{35555099-0C7E-4389-9542-D186D69336E0}"/>
    <cellStyle name="Normal 4 4 6 10 2" xfId="20273" xr:uid="{C3E67B0F-09F5-4C1A-AAB9-BD205F3D9E5C}"/>
    <cellStyle name="Normal 4 4 6 11" xfId="23266" xr:uid="{AAB2BD3A-19FC-4CB0-A99E-03992EEB4657}"/>
    <cellStyle name="Normal 4 4 6 12" xfId="12604" xr:uid="{8B9181DF-4CC3-4F89-A955-CCC1362EE781}"/>
    <cellStyle name="Normal 4 4 6 2" xfId="1007" xr:uid="{00000000-0005-0000-0000-0000A1050000}"/>
    <cellStyle name="Normal 4 4 6 2 2" xfId="1008" xr:uid="{00000000-0005-0000-0000-0000A2050000}"/>
    <cellStyle name="Normal 4 4 6 2 2 2" xfId="5311" xr:uid="{CC89DBF1-7B99-47E4-A6D3-D0436405CC9E}"/>
    <cellStyle name="Normal 4 4 6 2 2 2 2" xfId="24014" xr:uid="{4981416F-3B0F-4676-98D5-6AFDE258BE89}"/>
    <cellStyle name="Normal 4 4 6 2 2 2 3" xfId="26995" xr:uid="{6787D601-1E6A-4740-A280-6A4BCA91A4E4}"/>
    <cellStyle name="Normal 4 4 6 2 2 2 4" xfId="14609" xr:uid="{C680909C-CE46-44F4-B9BE-4E0D04AC9358}"/>
    <cellStyle name="Normal 4 4 6 2 2 3" xfId="7062" xr:uid="{6802134B-1227-4770-B612-678DFA6DE62E}"/>
    <cellStyle name="Normal 4 4 6 2 2 3 2" xfId="27635" xr:uid="{452B0C8E-FD97-40F5-949D-9C4223A37416}"/>
    <cellStyle name="Normal 4 4 6 2 2 3 3" xfId="28059" xr:uid="{3A65D403-450F-4C58-9F99-EF443F7430BE}"/>
    <cellStyle name="Normal 4 4 6 2 2 3 4" xfId="17442" xr:uid="{7FE0B6DB-CF8D-4329-84E7-B421CA66D0A4}"/>
    <cellStyle name="Normal 4 4 6 2 2 4" xfId="9895" xr:uid="{D0D5F939-C22F-4987-9177-2ECB13D3B7BE}"/>
    <cellStyle name="Normal 4 4 6 2 2 4 2" xfId="29427" xr:uid="{3D98BFD9-4436-4701-9F1E-7F14F57B77D6}"/>
    <cellStyle name="Normal 4 4 6 2 2 4 3" xfId="20275" xr:uid="{0DBADDED-EF2D-4E49-A7F6-A9EE0B3F71CB}"/>
    <cellStyle name="Normal 4 4 6 2 2 5" xfId="22646" xr:uid="{A76277E6-4622-4903-9488-C6D42433084B}"/>
    <cellStyle name="Normal 4 4 6 2 2 6" xfId="13925" xr:uid="{D962E703-7C84-4C0F-814A-6CAAAFFD29CA}"/>
    <cellStyle name="Normal 4 4 6 2 2 7" xfId="30420" xr:uid="{AF0C3F4C-BCC6-4A7A-892A-4DAB6C49906F}"/>
    <cellStyle name="Normal 4 4 6 2 3" xfId="2792" xr:uid="{00000000-0005-0000-0000-000059060000}"/>
    <cellStyle name="Normal 4 4 6 2 3 2" xfId="6010" xr:uid="{C443970B-A747-4D81-A575-7502948273F5}"/>
    <cellStyle name="Normal 4 4 6 2 3 2 2" xfId="25957" xr:uid="{01686228-2362-4359-835D-10546A7AF693}"/>
    <cellStyle name="Normal 4 4 6 2 3 2 3" xfId="15463" xr:uid="{56AD114F-DA40-4DC5-BED5-C53EF6E1637B}"/>
    <cellStyle name="Normal 4 4 6 2 3 3" xfId="7916" xr:uid="{7E2FB29E-0BCE-4104-9705-6995F0DA5E69}"/>
    <cellStyle name="Normal 4 4 6 2 3 3 2" xfId="18296" xr:uid="{FAB75683-A1EF-4360-A3C8-8AC87B0431EC}"/>
    <cellStyle name="Normal 4 4 6 2 3 4" xfId="10749" xr:uid="{AC379FB3-3C42-4EA2-BC48-F9148BE23525}"/>
    <cellStyle name="Normal 4 4 6 2 3 4 2" xfId="21129" xr:uid="{3DADD595-B2C9-47C0-AAE2-C06619F92E25}"/>
    <cellStyle name="Normal 4 4 6 2 3 5" xfId="24411" xr:uid="{CDFAD032-DD11-4D52-A6EA-6A35F325D757}"/>
    <cellStyle name="Normal 4 4 6 2 3 6" xfId="13252" xr:uid="{85729ECE-FBE1-4E8F-BAEA-0608FD66CF89}"/>
    <cellStyle name="Normal 4 4 6 2 4" xfId="4198" xr:uid="{646CEC22-B35F-4C0C-AB59-0ADF5B13983F}"/>
    <cellStyle name="Normal 4 4 6 2 4 2" xfId="8970" xr:uid="{E45D12FD-2375-4FD4-AD60-4FE0F86E3711}"/>
    <cellStyle name="Normal 4 4 6 2 4 2 2" xfId="29054" xr:uid="{30B324A7-76C8-4725-B750-82261BBE0ECD}"/>
    <cellStyle name="Normal 4 4 6 2 4 2 3" xfId="19350" xr:uid="{7B0FFB52-B8BA-4312-9EF9-9DAE51FF20A3}"/>
    <cellStyle name="Normal 4 4 6 2 4 3" xfId="11803" xr:uid="{CC1DA033-C7BC-4022-8EC8-0442E52FDA7A}"/>
    <cellStyle name="Normal 4 4 6 2 4 3 2" xfId="22183" xr:uid="{591BAC96-DDBB-4DE0-ABBC-F4C65C4B784F}"/>
    <cellStyle name="Normal 4 4 6 2 4 4" xfId="25469" xr:uid="{345F13CE-9109-4FE5-A949-79D8FFAFEFA8}"/>
    <cellStyle name="Normal 4 4 6 2 4 5" xfId="16517" xr:uid="{7E7F382C-434C-4C82-BE24-1FEECE24B23B}"/>
    <cellStyle name="Normal 4 4 6 2 5" xfId="5310" xr:uid="{79B0C609-91A7-40C0-B374-54F3DDA349FE}"/>
    <cellStyle name="Normal 4 4 6 2 5 2" xfId="26092" xr:uid="{2AEA128B-7177-49EB-8260-F921A8843A1F}"/>
    <cellStyle name="Normal 4 4 6 2 5 3" xfId="14608" xr:uid="{9BF47ECC-E9A5-49D7-8A62-C169172AB25B}"/>
    <cellStyle name="Normal 4 4 6 2 5 4" xfId="30546" xr:uid="{C674E14F-AEAA-499D-8E38-584D79FB45E6}"/>
    <cellStyle name="Normal 4 4 6 2 6" xfId="7061" xr:uid="{C3870E88-5149-438E-A19B-CF7A0DC0D070}"/>
    <cellStyle name="Normal 4 4 6 2 6 2" xfId="17441" xr:uid="{2159F246-F892-4A47-B5E6-E0E75B41B2A1}"/>
    <cellStyle name="Normal 4 4 6 2 6 3" xfId="30279" xr:uid="{7ACA2B84-A311-4A32-9D23-69274850BD4C}"/>
    <cellStyle name="Normal 4 4 6 2 6 4" xfId="30689" xr:uid="{F0B1603A-36AD-45A8-9139-1BF79E55CAD3}"/>
    <cellStyle name="Normal 4 4 6 2 7" xfId="9894" xr:uid="{49B4CE77-7665-4889-952C-765A49007B1A}"/>
    <cellStyle name="Normal 4 4 6 2 7 2" xfId="20274" xr:uid="{13BB59B0-1857-4E6F-BBB0-C7F1C527C78F}"/>
    <cellStyle name="Normal 4 4 6 2 8" xfId="25233" xr:uid="{F1005FFB-B226-411F-B940-BFB3F0CCF542}"/>
    <cellStyle name="Normal 4 4 6 2 9" xfId="12762" xr:uid="{9AB8D51E-00E0-478D-8115-8C4CFF4742AB}"/>
    <cellStyle name="Normal 4 4 6 3" xfId="1009" xr:uid="{00000000-0005-0000-0000-0000A3050000}"/>
    <cellStyle name="Normal 4 4 6 3 2" xfId="4541" xr:uid="{F1C860A2-948E-4C8C-92FB-4E5A99E46265}"/>
    <cellStyle name="Normal 4 4 6 3 2 2" xfId="9313" xr:uid="{710CFDEA-5D1D-4AA3-86BE-27763845AD26}"/>
    <cellStyle name="Normal 4 4 6 3 2 2 2" xfId="29290" xr:uid="{B5986039-0188-4DA3-94FB-1D99E742FC47}"/>
    <cellStyle name="Normal 4 4 6 3 2 2 3" xfId="19693" xr:uid="{0041879B-E15D-458E-9049-B254F3A37F89}"/>
    <cellStyle name="Normal 4 4 6 3 2 3" xfId="12146" xr:uid="{F0C81F10-17F5-46F7-B082-F3354F0CE65A}"/>
    <cellStyle name="Normal 4 4 6 3 2 3 2" xfId="22526" xr:uid="{FA7D7A90-DBCA-47FF-8CE2-701D6D3282C7}"/>
    <cellStyle name="Normal 4 4 6 3 2 4" xfId="25046" xr:uid="{2F00B6D6-3BD1-4025-BBE7-0999D224CE59}"/>
    <cellStyle name="Normal 4 4 6 3 2 5" xfId="16860" xr:uid="{95614682-4BF5-4C60-B7C7-9BD9AFBE3940}"/>
    <cellStyle name="Normal 4 4 6 3 3" xfId="5312" xr:uid="{C1E7CBFA-8D70-4DC0-9D67-7F1F15B7EBBA}"/>
    <cellStyle name="Normal 4 4 6 3 3 2" xfId="26837" xr:uid="{DEE64D7E-518B-4722-AF17-48D7B372691E}"/>
    <cellStyle name="Normal 4 4 6 3 3 3" xfId="26907" xr:uid="{B9C458B0-18C1-40D6-A0D3-65E43FA1236D}"/>
    <cellStyle name="Normal 4 4 6 3 3 4" xfId="14610" xr:uid="{A19EAD2A-7C80-4745-A34B-DB943E34D81B}"/>
    <cellStyle name="Normal 4 4 6 3 4" xfId="7063" xr:uid="{9AAD0156-9948-48E8-8EBC-1802E7D52EA5}"/>
    <cellStyle name="Normal 4 4 6 3 4 2" xfId="26179" xr:uid="{07B6D851-61F4-49E1-A0A1-D44912F3FF27}"/>
    <cellStyle name="Normal 4 4 6 3 4 3" xfId="27745" xr:uid="{A8891A62-F547-471A-90C5-552DA273F4A0}"/>
    <cellStyle name="Normal 4 4 6 3 4 4" xfId="17443" xr:uid="{B2191D05-8BD2-464E-9B04-21000AF0E0B3}"/>
    <cellStyle name="Normal 4 4 6 3 5" xfId="9896" xr:uid="{4C5C3BCA-64B0-4E94-ADAD-8D656F34962F}"/>
    <cellStyle name="Normal 4 4 6 3 5 2" xfId="29428" xr:uid="{5215AEDB-4EFF-4165-BC2C-62F8FAF9450C}"/>
    <cellStyle name="Normal 4 4 6 3 5 3" xfId="20276" xr:uid="{D279E8D5-0B8B-4DFB-9E28-C211E6E64EED}"/>
    <cellStyle name="Normal 4 4 6 3 6" xfId="24532" xr:uid="{D525E559-2B44-4F09-88B3-C1CF880AB01D}"/>
    <cellStyle name="Normal 4 4 6 3 7" xfId="13926" xr:uid="{D84723B2-AC0D-40AD-9362-9B3C65B0D428}"/>
    <cellStyle name="Normal 4 4 6 4" xfId="1010" xr:uid="{00000000-0005-0000-0000-0000A4050000}"/>
    <cellStyle name="Normal 4 4 6 4 2" xfId="5313" xr:uid="{5DC5CC19-61D9-442D-A07F-3AA03D0924D0}"/>
    <cellStyle name="Normal 4 4 6 4 2 2" xfId="25105" xr:uid="{0C0ABCA3-1415-4A92-857C-A488E2E6DDE0}"/>
    <cellStyle name="Normal 4 4 6 4 2 3" xfId="27001" xr:uid="{E8084F88-466A-4474-AF0E-713070897DEF}"/>
    <cellStyle name="Normal 4 4 6 4 2 4" xfId="14611" xr:uid="{CC533787-6370-4D1A-A406-1786BC8C983D}"/>
    <cellStyle name="Normal 4 4 6 4 3" xfId="7064" xr:uid="{B0C4E085-8262-47C3-9C4F-0FB68070A9CB}"/>
    <cellStyle name="Normal 4 4 6 4 3 2" xfId="25966" xr:uid="{716B544F-6F88-45BB-A69E-A30796EF980C}"/>
    <cellStyle name="Normal 4 4 6 4 3 3" xfId="17444" xr:uid="{0DE44047-A4A2-4246-9D93-7AA3EACFCA4B}"/>
    <cellStyle name="Normal 4 4 6 4 4" xfId="9897" xr:uid="{9EADD135-B447-41E6-9C3C-489290942EF0}"/>
    <cellStyle name="Normal 4 4 6 4 4 2" xfId="20277" xr:uid="{B50305F7-FC13-4F97-AF92-A5492AC0B98D}"/>
    <cellStyle name="Normal 4 4 6 4 5" xfId="24888" xr:uid="{2F8162DB-F64E-4E58-B0F7-C1E051A56005}"/>
    <cellStyle name="Normal 4 4 6 4 6" xfId="13460" xr:uid="{D69AA7B0-0E86-4954-9614-CC301B9E59D0}"/>
    <cellStyle name="Normal 4 4 6 5" xfId="2577" xr:uid="{00000000-0005-0000-0000-00005C060000}"/>
    <cellStyle name="Normal 4 4 6 5 2" xfId="5842" xr:uid="{B8590707-D82D-4B10-8E5C-B46DD1964897}"/>
    <cellStyle name="Normal 4 4 6 5 2 2" xfId="27799" xr:uid="{77ABFE73-E8DE-4CB5-AA43-A2F9060D82E2}"/>
    <cellStyle name="Normal 4 4 6 5 2 3" xfId="15249" xr:uid="{DE20AE6C-F563-4E2C-B6E3-77AC87B7B438}"/>
    <cellStyle name="Normal 4 4 6 5 3" xfId="7702" xr:uid="{E593B547-1A44-4379-8A8B-07DADAE6175D}"/>
    <cellStyle name="Normal 4 4 6 5 3 2" xfId="18082" xr:uid="{F72F5707-7FF8-474F-9824-301D2DAF5EFC}"/>
    <cellStyle name="Normal 4 4 6 5 4" xfId="10535" xr:uid="{2A2CD21C-4AAF-43FD-91A1-927F51089E4C}"/>
    <cellStyle name="Normal 4 4 6 5 4 2" xfId="20915" xr:uid="{FCBC5583-2A22-440C-92F6-A2AFFC55E65D}"/>
    <cellStyle name="Normal 4 4 6 5 5" xfId="24876" xr:uid="{F01D5C4E-835B-4BCD-8ABA-87C976F1E2F5}"/>
    <cellStyle name="Normal 4 4 6 5 6" xfId="12965" xr:uid="{1B78FA1C-312A-42E1-90AD-123870043F67}"/>
    <cellStyle name="Normal 4 4 6 6" xfId="2370" xr:uid="{00000000-0005-0000-0000-000056060000}"/>
    <cellStyle name="Normal 4 4 6 6 2" xfId="7497" xr:uid="{37A6F410-3569-447C-A96D-17475FEF90C0}"/>
    <cellStyle name="Normal 4 4 6 6 2 2" xfId="27451" xr:uid="{C6B8C9AD-BD55-4D6F-BF23-AA4CA629BE17}"/>
    <cellStyle name="Normal 4 4 6 6 2 3" xfId="17877" xr:uid="{2A06F1A9-730A-409C-A166-75FA16781950}"/>
    <cellStyle name="Normal 4 4 6 6 3" xfId="10330" xr:uid="{942397F1-2C1B-4A41-8537-8F1A3A2F0831}"/>
    <cellStyle name="Normal 4 4 6 6 3 2" xfId="20710" xr:uid="{CD637D26-308C-42D9-9836-B3344CB75646}"/>
    <cellStyle name="Normal 4 4 6 6 4" xfId="22750" xr:uid="{45F0A560-B8AB-463B-8B75-827E68D9B470}"/>
    <cellStyle name="Normal 4 4 6 6 5" xfId="15044" xr:uid="{5C3A247B-D151-4634-9793-1C79E2FBFBF5}"/>
    <cellStyle name="Normal 4 4 6 7" xfId="3991" xr:uid="{155B17C1-6D90-4B09-AE72-8D357FDA0CA5}"/>
    <cellStyle name="Normal 4 4 6 7 2" xfId="8815" xr:uid="{D24AE6AB-7CC9-4D83-B241-7D8BDE7FF89D}"/>
    <cellStyle name="Normal 4 4 6 7 2 2" xfId="19195" xr:uid="{8B849538-5B45-466E-A744-95B84BC0C9F9}"/>
    <cellStyle name="Normal 4 4 6 7 3" xfId="11648" xr:uid="{658C68E2-27BB-4FE4-A452-C4CB55953D8A}"/>
    <cellStyle name="Normal 4 4 6 7 3 2" xfId="22028" xr:uid="{647DB8CC-3066-4CC1-87C1-11FA878B1EBB}"/>
    <cellStyle name="Normal 4 4 6 7 4" xfId="27674" xr:uid="{D080A117-65F4-4666-A844-D5784050E378}"/>
    <cellStyle name="Normal 4 4 6 7 5" xfId="16362" xr:uid="{4E16D46C-A24B-49D9-98AE-E8AF2958529B}"/>
    <cellStyle name="Normal 4 4 6 8" xfId="5309" xr:uid="{AD9C102B-E7E3-42B7-B1B6-C3A62299AFFD}"/>
    <cellStyle name="Normal 4 4 6 8 2" xfId="14607" xr:uid="{1685A019-ADCE-4DCC-AC3E-5AE359E98039}"/>
    <cellStyle name="Normal 4 4 6 9" xfId="7060" xr:uid="{0BF99C63-D936-4520-8302-D6886B2EE38C}"/>
    <cellStyle name="Normal 4 4 6 9 2" xfId="17440" xr:uid="{094F1905-0AC2-4F65-AA57-2BEDE667EA1A}"/>
    <cellStyle name="Normal 4 4 7" xfId="1011" xr:uid="{00000000-0005-0000-0000-0000A5050000}"/>
    <cellStyle name="Normal 4 4 7 10" xfId="12605" xr:uid="{BE2E1CCC-8E0B-42B4-80F4-C097E12EA611}"/>
    <cellStyle name="Normal 4 4 7 2" xfId="1012" xr:uid="{00000000-0005-0000-0000-0000A6050000}"/>
    <cellStyle name="Normal 4 4 7 2 2" xfId="2940" xr:uid="{00000000-0005-0000-0000-00005F060000}"/>
    <cellStyle name="Normal 4 4 7 2 2 2" xfId="6120" xr:uid="{739E3C6C-3BC4-4710-BE80-BABD08607F1C}"/>
    <cellStyle name="Normal 4 4 7 2 2 2 2" xfId="28204" xr:uid="{B9B6BB46-17CB-463D-B5E2-D358C4D8E0A3}"/>
    <cellStyle name="Normal 4 4 7 2 2 2 3" xfId="28124" xr:uid="{84041D0C-67BA-42DE-AF1B-CF88387940E8}"/>
    <cellStyle name="Normal 4 4 7 2 2 2 4" xfId="15598" xr:uid="{5BD3ED8F-A6EE-445C-8983-1EA763AEE431}"/>
    <cellStyle name="Normal 4 4 7 2 2 3" xfId="8051" xr:uid="{9BC7E3A2-97B1-4155-BED8-0450534958EB}"/>
    <cellStyle name="Normal 4 4 7 2 2 3 2" xfId="28756" xr:uid="{59F44E47-61D4-487A-B6B0-8DD0578FF29E}"/>
    <cellStyle name="Normal 4 4 7 2 2 3 3" xfId="18431" xr:uid="{A277618E-25E9-45FE-B30E-D361972BFF66}"/>
    <cellStyle name="Normal 4 4 7 2 2 4" xfId="10884" xr:uid="{7BC19122-8DB7-40C1-9B1B-DA4109E1F3B3}"/>
    <cellStyle name="Normal 4 4 7 2 2 4 2" xfId="21264" xr:uid="{2DA393C0-188B-4C45-BC22-0CF9B66ABCE0}"/>
    <cellStyle name="Normal 4 4 7 2 2 5" xfId="25362" xr:uid="{26658244-70BC-43F2-AC33-AC46E39822A2}"/>
    <cellStyle name="Normal 4 4 7 2 2 6" xfId="13461" xr:uid="{53200119-9172-4A95-8A94-C69F418E49D2}"/>
    <cellStyle name="Normal 4 4 7 2 3" xfId="5315" xr:uid="{8855BF12-6019-4F08-8D31-48B5D2CBE86F}"/>
    <cellStyle name="Normal 4 4 7 2 3 2" xfId="25321" xr:uid="{B3546D37-3921-4781-816B-A0D72D6CECCA}"/>
    <cellStyle name="Normal 4 4 7 2 3 3" xfId="27943" xr:uid="{3B488F3E-307F-4D08-91EA-1DA9B36B8E7F}"/>
    <cellStyle name="Normal 4 4 7 2 3 4" xfId="14613" xr:uid="{0873A52E-2D45-4329-A475-6AE635A0044F}"/>
    <cellStyle name="Normal 4 4 7 2 4" xfId="7066" xr:uid="{E0A5C9CA-0461-4194-9D7C-EA7E8E4CB9FD}"/>
    <cellStyle name="Normal 4 4 7 2 4 2" xfId="26122" xr:uid="{C916E597-A8CD-486E-A7F8-EC17BC61C6DA}"/>
    <cellStyle name="Normal 4 4 7 2 4 3" xfId="26844" xr:uid="{93C317D0-1586-4181-9382-AD6CD41ECCB9}"/>
    <cellStyle name="Normal 4 4 7 2 4 4" xfId="17446" xr:uid="{BC5163DF-52C1-44F3-8E66-96FC4FA18BF1}"/>
    <cellStyle name="Normal 4 4 7 2 5" xfId="9899" xr:uid="{86153E0A-46F0-4490-8FB0-9658F09105C3}"/>
    <cellStyle name="Normal 4 4 7 2 5 2" xfId="29429" xr:uid="{77998EB9-9E9D-4C01-BF5B-DBAB23E07B61}"/>
    <cellStyle name="Normal 4 4 7 2 5 3" xfId="20279" xr:uid="{CA409681-E26E-4AA3-B857-CF5E3EAE2290}"/>
    <cellStyle name="Normal 4 4 7 2 5 4" xfId="30729" xr:uid="{2C3E0D04-AF96-40E8-A093-D5B4DC9A0BFC}"/>
    <cellStyle name="Normal 4 4 7 2 6" xfId="25110" xr:uid="{105F8BDA-A8FB-41D5-93EA-6C694D3D11B6}"/>
    <cellStyle name="Normal 4 4 7 2 7" xfId="12763" xr:uid="{7E61096A-02F1-4E78-B943-FCD9B78AC160}"/>
    <cellStyle name="Normal 4 4 7 2 8" xfId="30351" xr:uid="{D13377E3-24DA-4215-BAEB-F3AEA5F52AD1}"/>
    <cellStyle name="Normal 4 4 7 3" xfId="1013" xr:uid="{00000000-0005-0000-0000-0000A7050000}"/>
    <cellStyle name="Normal 4 4 7 3 2" xfId="5316" xr:uid="{01131E2F-8EF3-4945-8C23-69F1216AC88A}"/>
    <cellStyle name="Normal 4 4 7 3 2 2" xfId="28235" xr:uid="{C434865C-34D3-49FF-8293-9B8656923D8B}"/>
    <cellStyle name="Normal 4 4 7 3 2 3" xfId="27827" xr:uid="{CF036B8A-CD5E-4D53-849A-F97D686F47AA}"/>
    <cellStyle name="Normal 4 4 7 3 2 4" xfId="14614" xr:uid="{5189D6BB-F4D5-4B79-8B8C-C6C836B28BAC}"/>
    <cellStyle name="Normal 4 4 7 3 3" xfId="7067" xr:uid="{7555240E-38B2-43C1-9E90-FD713A904B1F}"/>
    <cellStyle name="Normal 4 4 7 3 3 2" xfId="27894" xr:uid="{EE69ED68-CFCA-4C30-A445-607FAA96086A}"/>
    <cellStyle name="Normal 4 4 7 3 3 3" xfId="26674" xr:uid="{835D1CD2-07EB-4A25-A908-EC8BCEB97763}"/>
    <cellStyle name="Normal 4 4 7 3 3 4" xfId="17447" xr:uid="{ADA868AD-870A-4CA5-8622-ED0B2CCA1006}"/>
    <cellStyle name="Normal 4 4 7 3 4" xfId="9900" xr:uid="{2BFE620A-152E-4F86-8D83-6C4282D8C08B}"/>
    <cellStyle name="Normal 4 4 7 3 4 2" xfId="29430" xr:uid="{62280D68-F16B-4781-8756-B87E8D307E56}"/>
    <cellStyle name="Normal 4 4 7 3 4 3" xfId="20280" xr:uid="{9F6C3DB9-7907-46E1-99DD-A78579C02DD3}"/>
    <cellStyle name="Normal 4 4 7 3 5" xfId="23595" xr:uid="{34E6FD28-94AE-4D10-B5DA-2494E0F80D72}"/>
    <cellStyle name="Normal 4 4 7 3 6" xfId="13253" xr:uid="{8236CB6B-110F-479A-B16F-F1CCAA18212C}"/>
    <cellStyle name="Normal 4 4 7 4" xfId="2371" xr:uid="{00000000-0005-0000-0000-00005D060000}"/>
    <cellStyle name="Normal 4 4 7 4 2" xfId="7498" xr:uid="{C5E5C587-D37B-4EEC-AC44-02E0A02ADAC0}"/>
    <cellStyle name="Normal 4 4 7 4 2 2" xfId="28131" xr:uid="{7CC963D8-A7C0-4AE3-803B-CD3A4A515ACE}"/>
    <cellStyle name="Normal 4 4 7 4 2 3" xfId="17878" xr:uid="{1F68883E-EA4B-400F-9D3E-A0D99942D46A}"/>
    <cellStyle name="Normal 4 4 7 4 3" xfId="10331" xr:uid="{DBF57A1A-56F9-40E0-BDE1-F8652914CED0}"/>
    <cellStyle name="Normal 4 4 7 4 3 2" xfId="20711" xr:uid="{BAEAEC53-A598-4BCE-8947-DB2053EB9A3E}"/>
    <cellStyle name="Normal 4 4 7 4 4" xfId="24325" xr:uid="{B528F158-5BA1-4DE3-A2B8-28688EBCF78E}"/>
    <cellStyle name="Normal 4 4 7 4 5" xfId="15045" xr:uid="{E8FCA9D8-19D6-46FF-989C-F65C6B962B8D}"/>
    <cellStyle name="Normal 4 4 7 5" xfId="3992" xr:uid="{0F79F3EA-E187-4CE0-A8FD-B5B5C55A2C34}"/>
    <cellStyle name="Normal 4 4 7 5 2" xfId="8816" xr:uid="{B9B292B2-B717-4937-A76C-E0D161E48CA1}"/>
    <cellStyle name="Normal 4 4 7 5 2 2" xfId="28989" xr:uid="{162BEE58-A72A-4235-BB90-FDC3F3FCF0D0}"/>
    <cellStyle name="Normal 4 4 7 5 2 3" xfId="19196" xr:uid="{FD39C0AC-80DB-418A-BA40-70EE4F06A60C}"/>
    <cellStyle name="Normal 4 4 7 5 3" xfId="11649" xr:uid="{86EAD745-13DD-4ED2-8C0C-CCE3B7140DC1}"/>
    <cellStyle name="Normal 4 4 7 5 3 2" xfId="22029" xr:uid="{7208CB3C-6719-4C7D-94A0-1D0A5F794197}"/>
    <cellStyle name="Normal 4 4 7 5 4" xfId="22769" xr:uid="{171DFFCF-8897-4D15-BC6C-6BC6A6368CD8}"/>
    <cellStyle name="Normal 4 4 7 5 5" xfId="16363" xr:uid="{56DA68A7-DB3A-4581-BBE8-11EC60C96E9A}"/>
    <cellStyle name="Normal 4 4 7 6" xfId="5314" xr:uid="{A85E22A9-BA61-4E82-9819-FD9350344DC6}"/>
    <cellStyle name="Normal 4 4 7 6 2" xfId="25839" xr:uid="{47E2AEBB-D426-4ED2-BC33-5DF917777329}"/>
    <cellStyle name="Normal 4 4 7 6 3" xfId="26007" xr:uid="{95FB43E7-92C9-47E0-9490-7A66BA3AA9FB}"/>
    <cellStyle name="Normal 4 4 7 6 4" xfId="14612" xr:uid="{3238C1FE-2161-4FA8-A595-B1270CEB73FD}"/>
    <cellStyle name="Normal 4 4 7 7" xfId="7065" xr:uid="{CFF826D0-17A6-4F60-BFC2-4F8BAF7E4B07}"/>
    <cellStyle name="Normal 4 4 7 7 2" xfId="26196" xr:uid="{8E57E475-14CC-45D6-A680-229D5E5F470A}"/>
    <cellStyle name="Normal 4 4 7 7 3" xfId="17445" xr:uid="{42815ED4-7DE4-4A73-B27A-3D4ED683CB7C}"/>
    <cellStyle name="Normal 4 4 7 8" xfId="9898" xr:uid="{F2E3B44A-489C-493E-B3A9-1B228B724265}"/>
    <cellStyle name="Normal 4 4 7 8 2" xfId="20278" xr:uid="{6A72BC74-B1A4-4BDE-B09C-56BC6A952D22}"/>
    <cellStyle name="Normal 4 4 7 9" xfId="24138" xr:uid="{1E88A1D6-AE38-454E-B846-A2C177D96F6C}"/>
    <cellStyle name="Normal 4 4 8" xfId="1014" xr:uid="{00000000-0005-0000-0000-0000A8050000}"/>
    <cellStyle name="Normal 4 4 8 10" xfId="12606" xr:uid="{CA4D673E-C050-4B79-9C4C-56FA448EBC15}"/>
    <cellStyle name="Normal 4 4 8 2" xfId="1015" xr:uid="{00000000-0005-0000-0000-0000A9050000}"/>
    <cellStyle name="Normal 4 4 8 2 2" xfId="2941" xr:uid="{00000000-0005-0000-0000-000063060000}"/>
    <cellStyle name="Normal 4 4 8 2 2 2" xfId="6121" xr:uid="{3B030003-B56E-42A1-BF46-6D8C66FAE20A}"/>
    <cellStyle name="Normal 4 4 8 2 2 2 2" xfId="26503" xr:uid="{55689746-DEF0-4320-848A-9B0759700AEB}"/>
    <cellStyle name="Normal 4 4 8 2 2 2 3" xfId="28055" xr:uid="{C71B9B98-3B4D-4E5F-BB4C-B1108EB56177}"/>
    <cellStyle name="Normal 4 4 8 2 2 2 4" xfId="15599" xr:uid="{8B45946F-F579-493E-A777-F797ED3B3ED7}"/>
    <cellStyle name="Normal 4 4 8 2 2 3" xfId="8052" xr:uid="{A1D8FC59-41AB-4B04-835B-88003565BB56}"/>
    <cellStyle name="Normal 4 4 8 2 2 3 2" xfId="28757" xr:uid="{7A1FB7CD-6657-4363-B93E-C081C6C4C0CB}"/>
    <cellStyle name="Normal 4 4 8 2 2 3 3" xfId="18432" xr:uid="{72AF5404-8023-4DB0-9944-A6DD6DCFB028}"/>
    <cellStyle name="Normal 4 4 8 2 2 4" xfId="10885" xr:uid="{4B8C7705-E943-41CC-AD24-E8C077E49547}"/>
    <cellStyle name="Normal 4 4 8 2 2 4 2" xfId="21265" xr:uid="{7815DE7E-E3DB-4C8C-9ABD-97F8BC87D048}"/>
    <cellStyle name="Normal 4 4 8 2 2 5" xfId="24556" xr:uid="{7B00F632-A9E3-4CE5-A0A3-A286B6264ADD}"/>
    <cellStyle name="Normal 4 4 8 2 2 6" xfId="13462" xr:uid="{D6D86F86-10C3-4068-A8C3-4DF59F5B0A4B}"/>
    <cellStyle name="Normal 4 4 8 2 3" xfId="5318" xr:uid="{9246B56E-1A83-4A34-AEE9-9F32336FBABB}"/>
    <cellStyle name="Normal 4 4 8 2 3 2" xfId="24455" xr:uid="{F6CF408D-21E3-45A3-9562-314F90F14C3B}"/>
    <cellStyle name="Normal 4 4 8 2 3 3" xfId="26426" xr:uid="{FCE6C010-CFD8-4054-95A6-8CA459188694}"/>
    <cellStyle name="Normal 4 4 8 2 3 4" xfId="14616" xr:uid="{DBB95E87-488E-4B51-875B-6DDB208D5741}"/>
    <cellStyle name="Normal 4 4 8 2 4" xfId="7069" xr:uid="{784F18AB-9B24-435D-A6C4-E92B56265C4A}"/>
    <cellStyle name="Normal 4 4 8 2 4 2" xfId="27921" xr:uid="{B516F256-A46D-4533-B3BE-949792F2EE22}"/>
    <cellStyle name="Normal 4 4 8 2 4 3" xfId="26300" xr:uid="{1B4D7294-8EFD-48E3-AFD0-F972FDD89B90}"/>
    <cellStyle name="Normal 4 4 8 2 4 4" xfId="17449" xr:uid="{2E4C7ADD-D813-48C2-9E9A-50A1584D5C47}"/>
    <cellStyle name="Normal 4 4 8 2 5" xfId="9902" xr:uid="{1334673B-C8EC-4F39-8F95-079A2CD23FC4}"/>
    <cellStyle name="Normal 4 4 8 2 5 2" xfId="29431" xr:uid="{687C5457-0533-4C0A-A75C-1E00870144C9}"/>
    <cellStyle name="Normal 4 4 8 2 5 3" xfId="20282" xr:uid="{3C14766A-0A36-4E73-9351-D85562379DCA}"/>
    <cellStyle name="Normal 4 4 8 2 5 4" xfId="30730" xr:uid="{C14DB579-5C89-4DFC-81FB-706D74D21D84}"/>
    <cellStyle name="Normal 4 4 8 2 6" xfId="25497" xr:uid="{50DCEEB4-C889-4D27-97DC-BC2667E44D01}"/>
    <cellStyle name="Normal 4 4 8 2 7" xfId="12764" xr:uid="{31369979-5E9F-49CA-B930-C7881B0CFDC4}"/>
    <cellStyle name="Normal 4 4 8 2 8" xfId="30352" xr:uid="{855202A1-3181-447F-BDBB-829B01559706}"/>
    <cellStyle name="Normal 4 4 8 3" xfId="1016" xr:uid="{00000000-0005-0000-0000-0000AA050000}"/>
    <cellStyle name="Normal 4 4 8 3 2" xfId="5319" xr:uid="{E2E86F4F-68D8-4D3C-887D-E8698892714F}"/>
    <cellStyle name="Normal 4 4 8 3 2 2" xfId="28058" xr:uid="{9598AFDD-A9A2-49DD-82A6-683E26459F21}"/>
    <cellStyle name="Normal 4 4 8 3 2 3" xfId="26993" xr:uid="{05E819AC-9A8C-4470-AB06-D02124642DB4}"/>
    <cellStyle name="Normal 4 4 8 3 2 4" xfId="14617" xr:uid="{9DB887E8-6FE6-41E0-9104-704BE88CFAE2}"/>
    <cellStyle name="Normal 4 4 8 3 3" xfId="7070" xr:uid="{6136E152-FF19-4728-A14E-BEDDD685E76B}"/>
    <cellStyle name="Normal 4 4 8 3 3 2" xfId="26274" xr:uid="{85F66EFF-3E16-49ED-A55B-EDFE591B5F31}"/>
    <cellStyle name="Normal 4 4 8 3 3 3" xfId="28442" xr:uid="{ADA1B494-E9DC-4EC2-A61F-A4947ABF1DB0}"/>
    <cellStyle name="Normal 4 4 8 3 3 4" xfId="17450" xr:uid="{967985C4-1652-48A3-99A2-9A65A7D80E71}"/>
    <cellStyle name="Normal 4 4 8 3 4" xfId="9903" xr:uid="{7702B13A-43EF-4E0A-AA07-6FA1DC99BEF8}"/>
    <cellStyle name="Normal 4 4 8 3 4 2" xfId="29432" xr:uid="{2EC8BCFC-BBFD-4382-9809-576090B6E08E}"/>
    <cellStyle name="Normal 4 4 8 3 4 3" xfId="20283" xr:uid="{618991E1-9A96-434F-B9A4-EAED83440C2D}"/>
    <cellStyle name="Normal 4 4 8 3 5" xfId="23293" xr:uid="{18A56854-BEAD-407D-A018-555695D98BFA}"/>
    <cellStyle name="Normal 4 4 8 3 6" xfId="13254" xr:uid="{AF5ACC42-87E4-4CDD-8C76-C26E024EB400}"/>
    <cellStyle name="Normal 4 4 8 4" xfId="2372" xr:uid="{00000000-0005-0000-0000-000061060000}"/>
    <cellStyle name="Normal 4 4 8 4 2" xfId="7499" xr:uid="{FA712A1A-C78D-4566-8A6C-60C002B93D64}"/>
    <cellStyle name="Normal 4 4 8 4 2 2" xfId="27833" xr:uid="{381D6260-34DA-47E2-8058-A41C2BE171A8}"/>
    <cellStyle name="Normal 4 4 8 4 2 3" xfId="17879" xr:uid="{6FE155C9-8C14-4E52-88A7-A2CB0868796E}"/>
    <cellStyle name="Normal 4 4 8 4 3" xfId="10332" xr:uid="{39EB91E6-4ACE-4B49-876D-EAFF865DC635}"/>
    <cellStyle name="Normal 4 4 8 4 3 2" xfId="20712" xr:uid="{FD6F8C03-761E-4C03-8A95-BAE1ADB9BA73}"/>
    <cellStyle name="Normal 4 4 8 4 4" xfId="23868" xr:uid="{F9E5135A-FDC8-4959-8530-BF40C1FAE2F9}"/>
    <cellStyle name="Normal 4 4 8 4 5" xfId="15046" xr:uid="{0A2370EB-20FB-49F5-A552-E0C973F95EA0}"/>
    <cellStyle name="Normal 4 4 8 5" xfId="3993" xr:uid="{66074DC8-455C-4006-ADF6-E0B8C85BED19}"/>
    <cellStyle name="Normal 4 4 8 5 2" xfId="8817" xr:uid="{74F21ABD-C3E3-4736-AAFA-FE36F5BBB9F6}"/>
    <cellStyle name="Normal 4 4 8 5 2 2" xfId="28990" xr:uid="{41717647-6C0F-4488-B084-66A8DF15AC31}"/>
    <cellStyle name="Normal 4 4 8 5 2 3" xfId="19197" xr:uid="{B5BE8052-07B6-43B5-8A4F-7471A7DD6759}"/>
    <cellStyle name="Normal 4 4 8 5 3" xfId="11650" xr:uid="{6BD3B780-1A9D-4CB2-910D-9901479E1CAD}"/>
    <cellStyle name="Normal 4 4 8 5 3 2" xfId="22030" xr:uid="{217EDAC7-5B6E-4A9D-AD15-CC9E63973CD4}"/>
    <cellStyle name="Normal 4 4 8 5 4" xfId="24345" xr:uid="{D28B7987-F71C-4787-A5FC-9EF235555BB9}"/>
    <cellStyle name="Normal 4 4 8 5 5" xfId="16364" xr:uid="{5710F248-B8F6-45C7-9645-D9C127473090}"/>
    <cellStyle name="Normal 4 4 8 6" xfId="5317" xr:uid="{F8D64C33-7F81-41CA-9A7B-BFD5509966D8}"/>
    <cellStyle name="Normal 4 4 8 6 2" xfId="27535" xr:uid="{7187DCBB-45D7-4B5E-A8C5-82C22FFC67E2}"/>
    <cellStyle name="Normal 4 4 8 6 3" xfId="28007" xr:uid="{786F944A-3147-4519-BA27-59A4A7F1B2D6}"/>
    <cellStyle name="Normal 4 4 8 6 4" xfId="14615" xr:uid="{560EE69E-BF5B-4779-B1F0-231547ED5E82}"/>
    <cellStyle name="Normal 4 4 8 7" xfId="7068" xr:uid="{F399FB8A-5BC4-4EB4-B81B-88874D581273}"/>
    <cellStyle name="Normal 4 4 8 7 2" xfId="28316" xr:uid="{91F53F6E-A880-4A63-B005-FD4580B83008}"/>
    <cellStyle name="Normal 4 4 8 7 3" xfId="17448" xr:uid="{CDA6D52B-FFC4-49E4-9A1B-BDB693C3B365}"/>
    <cellStyle name="Normal 4 4 8 8" xfId="9901" xr:uid="{B9C897C8-DF7B-4B98-90AB-F54105A6587F}"/>
    <cellStyle name="Normal 4 4 8 8 2" xfId="20281" xr:uid="{997751F3-F99B-4C88-9BF7-923088706D95}"/>
    <cellStyle name="Normal 4 4 8 9" xfId="24160" xr:uid="{E53EE9DC-B68A-46D1-9E6E-02406200460A}"/>
    <cellStyle name="Normal 4 4 9" xfId="1017" xr:uid="{00000000-0005-0000-0000-0000AB050000}"/>
    <cellStyle name="Normal 4 4 9 10" xfId="12599" xr:uid="{5A0CACBA-0ADF-4C2D-AF49-84D4C895EBAD}"/>
    <cellStyle name="Normal 4 4 9 2" xfId="3361" xr:uid="{00000000-0005-0000-0000-000066060000}"/>
    <cellStyle name="Normal 4 4 9 2 2" xfId="6419" xr:uid="{E4AF7A96-E96D-4A82-ACA7-4C11F0D7C92B}"/>
    <cellStyle name="Normal 4 4 9 2 2 2" xfId="25584" xr:uid="{95E6D108-01E8-4E01-ADAC-DEB0E72B18B2}"/>
    <cellStyle name="Normal 4 4 9 2 2 3" xfId="27010" xr:uid="{BE56A05B-1114-426E-BCA5-3A954C7CD794}"/>
    <cellStyle name="Normal 4 4 9 2 2 4" xfId="15988" xr:uid="{85AE6A65-C461-434B-A61D-C2E0706D0C74}"/>
    <cellStyle name="Normal 4 4 9 2 3" xfId="8441" xr:uid="{577A0B1F-AC1F-4BC0-AB30-531865130E5F}"/>
    <cellStyle name="Normal 4 4 9 2 3 2" xfId="26792" xr:uid="{8D1DA3C0-8FB4-4B9B-A557-EA97B493353B}"/>
    <cellStyle name="Normal 4 4 9 2 3 3" xfId="28915" xr:uid="{4BFC9D8D-BAFA-4124-83BC-9E3B7B622031}"/>
    <cellStyle name="Normal 4 4 9 2 3 4" xfId="18821" xr:uid="{2E647F9E-E2C3-42BC-8F48-0C1C797DE2CC}"/>
    <cellStyle name="Normal 4 4 9 2 4" xfId="11274" xr:uid="{352B4982-1DFF-4298-B613-2AD3941627D6}"/>
    <cellStyle name="Normal 4 4 9 2 4 2" xfId="29482" xr:uid="{A1180E81-8564-4CE8-922C-FF3837930D29}"/>
    <cellStyle name="Normal 4 4 9 2 4 3" xfId="21654" xr:uid="{8A7C8604-394A-444B-BD57-6AD3BB43B5C6}"/>
    <cellStyle name="Normal 4 4 9 2 5" xfId="25249" xr:uid="{16250F2A-05B5-4982-B1E5-77966F846550}"/>
    <cellStyle name="Normal 4 4 9 2 6" xfId="13927" xr:uid="{C57D806F-2A8C-42A5-A13D-1FF5221E0EF1}"/>
    <cellStyle name="Normal 4 4 9 3" xfId="2784" xr:uid="{00000000-0005-0000-0000-000067060000}"/>
    <cellStyle name="Normal 4 4 9 3 2" xfId="6002" xr:uid="{35824E72-C820-4089-9B84-2E0915F4580B}"/>
    <cellStyle name="Normal 4 4 9 3 2 2" xfId="26642" xr:uid="{EF8A40E1-2C34-47A0-8B16-1952077E715F}"/>
    <cellStyle name="Normal 4 4 9 3 2 3" xfId="15455" xr:uid="{B433D18A-56D1-4E0A-AE47-E06C0B81FEEA}"/>
    <cellStyle name="Normal 4 4 9 3 3" xfId="7908" xr:uid="{7769BCCC-8662-45CB-BABF-FE672D2DC0D0}"/>
    <cellStyle name="Normal 4 4 9 3 3 2" xfId="18288" xr:uid="{82CA3D6F-48E9-48C4-B373-F0BC9EF0F919}"/>
    <cellStyle name="Normal 4 4 9 3 4" xfId="10741" xr:uid="{B625FE9A-9DCE-4A4C-863D-8C0F57055D89}"/>
    <cellStyle name="Normal 4 4 9 3 4 2" xfId="21121" xr:uid="{89EE809F-2E16-478F-9505-8E62211C6B74}"/>
    <cellStyle name="Normal 4 4 9 3 5" xfId="24634" xr:uid="{0C71D55D-EBFC-4EE4-B11A-2D9A40CF1681}"/>
    <cellStyle name="Normal 4 4 9 3 6" xfId="13241" xr:uid="{16EADAB8-665E-4FE6-8429-1BFA7B82A5E8}"/>
    <cellStyle name="Normal 4 4 9 4" xfId="2365" xr:uid="{00000000-0005-0000-0000-000065060000}"/>
    <cellStyle name="Normal 4 4 9 4 2" xfId="7492" xr:uid="{0D5B0C44-6BCA-4539-8F51-2C183B8CA95A}"/>
    <cellStyle name="Normal 4 4 9 4 2 2" xfId="27847" xr:uid="{FCE6E47D-11D2-41A0-8218-BEF34BE38AF3}"/>
    <cellStyle name="Normal 4 4 9 4 2 3" xfId="17872" xr:uid="{42B9D3BE-8C30-41DF-96F3-DD334FC868D9}"/>
    <cellStyle name="Normal 4 4 9 4 3" xfId="10325" xr:uid="{7B8E750E-5139-4B20-AA09-F525B515AB18}"/>
    <cellStyle name="Normal 4 4 9 4 3 2" xfId="20705" xr:uid="{4294726E-CB1F-4246-B787-ACAC8C42AF9A}"/>
    <cellStyle name="Normal 4 4 9 4 4" xfId="25582" xr:uid="{30138CC3-E5CB-44A7-B41E-0E5758EEF6B1}"/>
    <cellStyle name="Normal 4 4 9 4 5" xfId="15039" xr:uid="{F338BB69-EDFA-45F5-A04C-D0226545A720}"/>
    <cellStyle name="Normal 4 4 9 5" xfId="3900" xr:uid="{44024C00-D3FE-47D0-B57A-39580CDEC769}"/>
    <cellStyle name="Normal 4 4 9 5 2" xfId="8732" xr:uid="{C9717C74-7ED6-40DF-A525-D9A0632BEECA}"/>
    <cellStyle name="Normal 4 4 9 5 2 2" xfId="19112" xr:uid="{1D841BDB-54D9-4A29-ABBC-AC0A4EDD03CB}"/>
    <cellStyle name="Normal 4 4 9 5 3" xfId="11565" xr:uid="{DE1FCD04-E87D-4AF7-8575-2D2CA3BE974D}"/>
    <cellStyle name="Normal 4 4 9 5 3 2" xfId="21945" xr:uid="{D19CA735-0498-486F-94B6-3344196D843B}"/>
    <cellStyle name="Normal 4 4 9 5 4" xfId="26267" xr:uid="{E400FC7F-A257-4C8F-BEAE-B5BFE3B7941D}"/>
    <cellStyle name="Normal 4 4 9 5 5" xfId="16279" xr:uid="{2C589C1A-4480-4627-B1F6-BC45103A33AC}"/>
    <cellStyle name="Normal 4 4 9 6" xfId="5320" xr:uid="{1569C5B3-5BBD-41FF-A302-F6D3990CFE26}"/>
    <cellStyle name="Normal 4 4 9 6 2" xfId="14618" xr:uid="{90A61658-C676-41E9-AE1D-F2159225B933}"/>
    <cellStyle name="Normal 4 4 9 7" xfId="7071" xr:uid="{3B9657B6-2776-4C06-B00B-D5BF82FB8EBB}"/>
    <cellStyle name="Normal 4 4 9 7 2" xfId="17451" xr:uid="{1EB034C5-53AA-46EE-94D3-339F728C90A8}"/>
    <cellStyle name="Normal 4 4 9 8" xfId="9904" xr:uid="{0324C80B-CF82-4EAF-971C-9218D29CB131}"/>
    <cellStyle name="Normal 4 4 9 8 2" xfId="20284" xr:uid="{28350CE1-D0C6-48D3-B3A0-BCCB4DF62AA3}"/>
    <cellStyle name="Normal 4 4 9 9" xfId="23444" xr:uid="{52970C66-47E4-431A-A6CC-18EE61A73DF0}"/>
    <cellStyle name="Normal 4 5" xfId="1018" xr:uid="{00000000-0005-0000-0000-0000AC050000}"/>
    <cellStyle name="Normal 4 5 10" xfId="5321" xr:uid="{AA327A81-5DC8-4692-9340-18993223415C}"/>
    <cellStyle name="Normal 4 5 10 2" xfId="14619" xr:uid="{7AB21E60-FA17-4254-B2B7-89D2BF5D690D}"/>
    <cellStyle name="Normal 4 5 11" xfId="7072" xr:uid="{C32C56F1-0EAB-44E2-9660-3E5C3F7ADDD7}"/>
    <cellStyle name="Normal 4 5 11 2" xfId="17452" xr:uid="{6D3AC4D4-2603-4D59-9880-7C347BAB594F}"/>
    <cellStyle name="Normal 4 5 12" xfId="9905" xr:uid="{8A633793-0BE1-48E7-9C01-528C21AF03E3}"/>
    <cellStyle name="Normal 4 5 12 2" xfId="20285" xr:uid="{48BB7326-53B9-4CF0-990F-441553D826C0}"/>
    <cellStyle name="Normal 4 5 13" xfId="25555" xr:uid="{2F7C80D2-515F-4B37-B3C2-0F41716B2516}"/>
    <cellStyle name="Normal 4 5 14" xfId="12409" xr:uid="{B417FB53-83C9-4E23-AAD7-B3EAE28C9430}"/>
    <cellStyle name="Normal 4 5 15" xfId="29574" xr:uid="{342C3EE9-6C31-424A-9F89-DC76ECE22115}"/>
    <cellStyle name="Normal 4 5 2" xfId="1019" xr:uid="{00000000-0005-0000-0000-0000AD050000}"/>
    <cellStyle name="Normal 4 5 2 10" xfId="7073" xr:uid="{F155FB5D-A444-46A9-93BA-D8A9F0A5D191}"/>
    <cellStyle name="Normal 4 5 2 10 2" xfId="17453" xr:uid="{0F2B164B-DE3C-46D9-B07B-7FCBDE3FF356}"/>
    <cellStyle name="Normal 4 5 2 11" xfId="9906" xr:uid="{0D429FD2-0B1E-4471-B9F3-559075B323D7}"/>
    <cellStyle name="Normal 4 5 2 11 2" xfId="20286" xr:uid="{77EB6FD4-BFDD-4C63-A826-EAF2B1D2DB15}"/>
    <cellStyle name="Normal 4 5 2 12" xfId="22647" xr:uid="{37A174BD-5DC6-4FD8-94FD-A049106B499C}"/>
    <cellStyle name="Normal 4 5 2 13" xfId="12469" xr:uid="{C96A457C-163F-4A39-B685-9058D2B1740E}"/>
    <cellStyle name="Normal 4 5 2 2" xfId="1020" xr:uid="{00000000-0005-0000-0000-0000AE050000}"/>
    <cellStyle name="Normal 4 5 2 2 10" xfId="9907" xr:uid="{FFBED01D-56C2-4DB9-A0A4-A4A176A4EB92}"/>
    <cellStyle name="Normal 4 5 2 2 10 2" xfId="20287" xr:uid="{18E5ED31-4796-427B-9D96-7A548B10B54A}"/>
    <cellStyle name="Normal 4 5 2 2 11" xfId="25565" xr:uid="{81FE1A69-411D-4DDA-AF27-D125FA94B8BA}"/>
    <cellStyle name="Normal 4 5 2 2 12" xfId="12608" xr:uid="{E5BE488E-DB85-46C7-B4FB-96ECB8A84659}"/>
    <cellStyle name="Normal 4 5 2 2 2" xfId="2795" xr:uid="{00000000-0005-0000-0000-00006B060000}"/>
    <cellStyle name="Normal 4 5 2 2 2 2" xfId="3363" xr:uid="{00000000-0005-0000-0000-00006C060000}"/>
    <cellStyle name="Normal 4 5 2 2 2 2 2" xfId="6421" xr:uid="{CB9A58F2-7890-4B6A-B0C4-08609EA3C9E0}"/>
    <cellStyle name="Normal 4 5 2 2 2 2 2 2" xfId="27473" xr:uid="{6A596950-F3A1-4201-8AF3-BD26A11E2E56}"/>
    <cellStyle name="Normal 4 5 2 2 2 2 2 3" xfId="27698" xr:uid="{659DC479-2BD7-4C6B-A33F-4D56A628B69D}"/>
    <cellStyle name="Normal 4 5 2 2 2 2 2 4" xfId="15990" xr:uid="{AF62BC5F-90DA-48E2-9A61-D3AB3816239E}"/>
    <cellStyle name="Normal 4 5 2 2 2 2 3" xfId="8443" xr:uid="{E90C640C-377B-4859-B0B4-A0564CE7D292}"/>
    <cellStyle name="Normal 4 5 2 2 2 2 3 2" xfId="28916" xr:uid="{54DEA4A0-01F6-40FB-A2AC-E0F618CA4A75}"/>
    <cellStyle name="Normal 4 5 2 2 2 2 3 3" xfId="18823" xr:uid="{1B15CFE1-10C9-40DA-B3F8-660B318D9E18}"/>
    <cellStyle name="Normal 4 5 2 2 2 2 4" xfId="11276" xr:uid="{CBF7840A-2BA2-490C-B408-4DFF8EA1F616}"/>
    <cellStyle name="Normal 4 5 2 2 2 2 4 2" xfId="21656" xr:uid="{45A1692A-DBBE-4571-949E-33F95E2F398C}"/>
    <cellStyle name="Normal 4 5 2 2 2 2 5" xfId="24920" xr:uid="{93AE2126-44B0-49B6-B346-061AC55C26EC}"/>
    <cellStyle name="Normal 4 5 2 2 2 2 6" xfId="13929" xr:uid="{01FF4D2D-6593-4498-AE66-ED53884D3B92}"/>
    <cellStyle name="Normal 4 5 2 2 2 3" xfId="4346" xr:uid="{F0DDF63A-1063-4A2C-834C-B0B9CC1595CB}"/>
    <cellStyle name="Normal 4 5 2 2 2 3 2" xfId="9118" xr:uid="{BE46173D-FC4C-4278-8555-0A3E13585A74}"/>
    <cellStyle name="Normal 4 5 2 2 2 3 2 2" xfId="29161" xr:uid="{EC26D65F-F883-4724-B3CF-72B900784BA4}"/>
    <cellStyle name="Normal 4 5 2 2 2 3 2 3" xfId="19498" xr:uid="{1037B84C-96B6-4E71-AE42-DB51C5047C4E}"/>
    <cellStyle name="Normal 4 5 2 2 2 3 3" xfId="11951" xr:uid="{BF4F16E1-1A00-4456-8E40-339F03E81D01}"/>
    <cellStyle name="Normal 4 5 2 2 2 3 3 2" xfId="22331" xr:uid="{CAEE0D91-E467-4130-A58D-FF5E780ED312}"/>
    <cellStyle name="Normal 4 5 2 2 2 3 4" xfId="24863" xr:uid="{7EAC0034-6BE9-4D0F-B584-A2C11E70DF05}"/>
    <cellStyle name="Normal 4 5 2 2 2 3 5" xfId="16665" xr:uid="{1A28BFBF-7731-4AB4-9B8B-9B1F1C447379}"/>
    <cellStyle name="Normal 4 5 2 2 2 4" xfId="6013" xr:uid="{8B49FA82-7B6D-4BE6-9B2F-5FB1467284B1}"/>
    <cellStyle name="Normal 4 5 2 2 2 4 2" xfId="26080" xr:uid="{D88B92DB-CA08-4AB4-83F0-0D8CC800957B}"/>
    <cellStyle name="Normal 4 5 2 2 2 4 3" xfId="15466" xr:uid="{03A527EE-D9C7-4438-83E1-C40E04B31A48}"/>
    <cellStyle name="Normal 4 5 2 2 2 5" xfId="7919" xr:uid="{46148B9B-5C5A-4E98-A683-7FF0356F6619}"/>
    <cellStyle name="Normal 4 5 2 2 2 5 2" xfId="18299" xr:uid="{FF1EB973-064D-4FD9-A7AF-A7BBDF5F6F43}"/>
    <cellStyle name="Normal 4 5 2 2 2 6" xfId="10752" xr:uid="{2FEAE426-4839-4F92-B94B-9B739D1958A8}"/>
    <cellStyle name="Normal 4 5 2 2 2 6 2" xfId="21132" xr:uid="{12431F26-C05B-4F11-95C5-F538C981F164}"/>
    <cellStyle name="Normal 4 5 2 2 2 7" xfId="24937" xr:uid="{386C30BC-3402-47D3-9CFA-77B7D0AC2B8C}"/>
    <cellStyle name="Normal 4 5 2 2 2 8" xfId="13257" xr:uid="{8151A255-92E0-4CAC-9A64-15EE978BF4BE}"/>
    <cellStyle name="Normal 4 5 2 2 3" xfId="3364" xr:uid="{00000000-0005-0000-0000-00006D060000}"/>
    <cellStyle name="Normal 4 5 2 2 3 2" xfId="4542" xr:uid="{5C992072-2692-40FE-BBF8-3D18743AFE66}"/>
    <cellStyle name="Normal 4 5 2 2 3 2 2" xfId="9314" xr:uid="{880D3A2B-4B2B-4A13-88D5-2BA0CFB149A3}"/>
    <cellStyle name="Normal 4 5 2 2 3 2 2 2" xfId="29291" xr:uid="{1B627872-8AE1-46BF-A8CA-B163849C6562}"/>
    <cellStyle name="Normal 4 5 2 2 3 2 2 3" xfId="19694" xr:uid="{81E00CB2-4CE0-4B43-9C1C-FFDF9B48CF3D}"/>
    <cellStyle name="Normal 4 5 2 2 3 2 3" xfId="12147" xr:uid="{4B085F41-08B4-4921-9306-0A37EB0AF2C5}"/>
    <cellStyle name="Normal 4 5 2 2 3 2 3 2" xfId="22527" xr:uid="{EB117C4D-BCAC-4C76-B3F6-79B66B8993B4}"/>
    <cellStyle name="Normal 4 5 2 2 3 2 4" xfId="26029" xr:uid="{B3F1682C-B58B-4F7B-9F3D-74263D292ABA}"/>
    <cellStyle name="Normal 4 5 2 2 3 2 5" xfId="16861" xr:uid="{D6B3FA64-94BE-402C-BB86-C7993554070A}"/>
    <cellStyle name="Normal 4 5 2 2 3 3" xfId="6422" xr:uid="{5D6D05FC-D0CA-4C56-BAD2-CA5C978CA780}"/>
    <cellStyle name="Normal 4 5 2 2 3 3 2" xfId="26715" xr:uid="{E2CA73D3-3870-41C5-A03B-CC41F8E2DA6E}"/>
    <cellStyle name="Normal 4 5 2 2 3 3 3" xfId="15991" xr:uid="{29D8A29D-7E64-4EA9-9528-D0F4D5EAA5CB}"/>
    <cellStyle name="Normal 4 5 2 2 3 4" xfId="8444" xr:uid="{F0E8D58E-5344-4E20-9372-6C93F92B2146}"/>
    <cellStyle name="Normal 4 5 2 2 3 4 2" xfId="18824" xr:uid="{27A8C04E-8DC4-4EE2-BB1E-2AEF5B1E16C1}"/>
    <cellStyle name="Normal 4 5 2 2 3 5" xfId="11277" xr:uid="{B7FFCAE5-5548-4065-97EF-997CE04E62F1}"/>
    <cellStyle name="Normal 4 5 2 2 3 5 2" xfId="21657" xr:uid="{1E8AE756-E401-42AB-B3D3-BC8125FA3A3E}"/>
    <cellStyle name="Normal 4 5 2 2 3 6" xfId="23298" xr:uid="{550288F8-7D60-4E23-9FEF-C72139F89487}"/>
    <cellStyle name="Normal 4 5 2 2 3 7" xfId="13930" xr:uid="{36AF86DA-92CA-4F5F-A5AA-A6C7EF40C8D0}"/>
    <cellStyle name="Normal 4 5 2 2 4" xfId="3362" xr:uid="{00000000-0005-0000-0000-00006E060000}"/>
    <cellStyle name="Normal 4 5 2 2 4 2" xfId="6420" xr:uid="{CD83A63A-1FFB-48A3-A5DE-2D94ACA440B6}"/>
    <cellStyle name="Normal 4 5 2 2 4 2 2" xfId="27854" xr:uid="{54548210-F9F5-4602-BD11-4984616A93E4}"/>
    <cellStyle name="Normal 4 5 2 2 4 2 3" xfId="15989" xr:uid="{8110A5F6-916F-4FD4-A60D-45568431B32A}"/>
    <cellStyle name="Normal 4 5 2 2 4 3" xfId="8442" xr:uid="{E0961122-8F68-4881-9183-7F705686D820}"/>
    <cellStyle name="Normal 4 5 2 2 4 3 2" xfId="18822" xr:uid="{FC938CFF-74C2-4051-98BE-3EEA45A5EC24}"/>
    <cellStyle name="Normal 4 5 2 2 4 4" xfId="11275" xr:uid="{111655AF-AE58-47F3-A4AD-AB796075E294}"/>
    <cellStyle name="Normal 4 5 2 2 4 4 2" xfId="21655" xr:uid="{BB70FE4F-2CB6-4C7C-AE5B-41648F4D565B}"/>
    <cellStyle name="Normal 4 5 2 2 4 5" xfId="25037" xr:uid="{A4ACC562-9D88-4446-97DF-68459C044C90}"/>
    <cellStyle name="Normal 4 5 2 2 4 6" xfId="13928" xr:uid="{15B98E35-58CB-46EB-9E15-D874394D2F3D}"/>
    <cellStyle name="Normal 4 5 2 2 5" xfId="2645" xr:uid="{00000000-0005-0000-0000-00006F060000}"/>
    <cellStyle name="Normal 4 5 2 2 5 2" xfId="5907" xr:uid="{1CBBE5B8-2179-443A-818B-CA9B82EF9375}"/>
    <cellStyle name="Normal 4 5 2 2 5 2 2" xfId="25869" xr:uid="{B87E1C25-8F25-44D1-9378-D84667DAE326}"/>
    <cellStyle name="Normal 4 5 2 2 5 2 3" xfId="15317" xr:uid="{345AB8E1-DE30-4CF1-B317-80BFA59C3620}"/>
    <cellStyle name="Normal 4 5 2 2 5 3" xfId="7770" xr:uid="{676A888C-7747-4326-BE4B-B6CA19088927}"/>
    <cellStyle name="Normal 4 5 2 2 5 3 2" xfId="18150" xr:uid="{F4A771CB-8EA8-4731-A993-49F9908CE8AF}"/>
    <cellStyle name="Normal 4 5 2 2 5 4" xfId="10603" xr:uid="{BEEF8A5C-90B7-4714-8664-ACF95091B647}"/>
    <cellStyle name="Normal 4 5 2 2 5 4 2" xfId="20983" xr:uid="{D7DDBACC-EB41-40DA-813D-BC1CB3771D23}"/>
    <cellStyle name="Normal 4 5 2 2 5 5" xfId="23116" xr:uid="{8B80382E-C38A-47FA-A5AF-6A30D1D83791}"/>
    <cellStyle name="Normal 4 5 2 2 5 6" xfId="13034" xr:uid="{61309A57-C24C-4900-8B50-03040D9E9E3A}"/>
    <cellStyle name="Normal 4 5 2 2 6" xfId="2374" xr:uid="{00000000-0005-0000-0000-00006A060000}"/>
    <cellStyle name="Normal 4 5 2 2 6 2" xfId="7501" xr:uid="{F5DDBCD1-A370-4BE4-ADF7-46BD5E7DD97F}"/>
    <cellStyle name="Normal 4 5 2 2 6 2 2" xfId="17881" xr:uid="{F453CDBF-C831-42A3-BFC3-C961D652161E}"/>
    <cellStyle name="Normal 4 5 2 2 6 3" xfId="10334" xr:uid="{860BBF6A-8155-4DE9-949D-80FEB27F3863}"/>
    <cellStyle name="Normal 4 5 2 2 6 3 2" xfId="20714" xr:uid="{8AE5DF16-29D6-4421-9F51-9317E93651F0}"/>
    <cellStyle name="Normal 4 5 2 2 6 4" xfId="23378" xr:uid="{DF3EB088-984B-417A-BB85-B384657AE050}"/>
    <cellStyle name="Normal 4 5 2 2 6 5" xfId="15048" xr:uid="{293FAE86-6E93-4DFD-A93B-E82E1E6422AC}"/>
    <cellStyle name="Normal 4 5 2 2 7" xfId="3925" xr:uid="{7E2B3D55-D6D0-4C09-B428-C3AD35411B83}"/>
    <cellStyle name="Normal 4 5 2 2 7 2" xfId="8757" xr:uid="{A650A9D6-C2AB-487C-ADB2-2CE5DE7F65AC}"/>
    <cellStyle name="Normal 4 5 2 2 7 2 2" xfId="19137" xr:uid="{3F3709B6-1FFE-4BDD-9910-F531057AF7F1}"/>
    <cellStyle name="Normal 4 5 2 2 7 3" xfId="11590" xr:uid="{470C3297-9168-421A-A970-7E70E99F9138}"/>
    <cellStyle name="Normal 4 5 2 2 7 3 2" xfId="21970" xr:uid="{AA8A2487-E093-4AFD-A277-EE1F5C962F5E}"/>
    <cellStyle name="Normal 4 5 2 2 7 4" xfId="16304" xr:uid="{2C93F13E-B605-4915-8773-D57DC68E5694}"/>
    <cellStyle name="Normal 4 5 2 2 8" xfId="5323" xr:uid="{CAF91BE3-2382-40FE-9F2E-80D1F470AEA1}"/>
    <cellStyle name="Normal 4 5 2 2 8 2" xfId="14621" xr:uid="{E082096E-F5A6-479A-8B05-758495EE71E3}"/>
    <cellStyle name="Normal 4 5 2 2 9" xfId="7074" xr:uid="{DF087704-CA16-4900-BF9B-2E6F667E0BEA}"/>
    <cellStyle name="Normal 4 5 2 2 9 2" xfId="17454" xr:uid="{B2E5202B-3541-4813-ADD1-48D3D22AFC0D}"/>
    <cellStyle name="Normal 4 5 2 3" xfId="1021" xr:uid="{00000000-0005-0000-0000-0000AF050000}"/>
    <cellStyle name="Normal 4 5 2 3 2" xfId="3365" xr:uid="{00000000-0005-0000-0000-000071060000}"/>
    <cellStyle name="Normal 4 5 2 3 2 2" xfId="6423" xr:uid="{459C8634-173F-4FA7-8F98-1D1FB39BDB13}"/>
    <cellStyle name="Normal 4 5 2 3 2 2 2" xfId="26713" xr:uid="{014981DB-CA37-4B50-9DC7-B2236888C132}"/>
    <cellStyle name="Normal 4 5 2 3 2 2 3" xfId="28206" xr:uid="{2287D21F-F269-4EDE-A5E9-9239AC3D462F}"/>
    <cellStyle name="Normal 4 5 2 3 2 2 4" xfId="15992" xr:uid="{13033BDD-4417-4546-8CFD-8638009AD7C8}"/>
    <cellStyle name="Normal 4 5 2 3 2 3" xfId="8445" xr:uid="{40D61485-F520-49B1-9C29-E069B765A44C}"/>
    <cellStyle name="Normal 4 5 2 3 2 3 2" xfId="28917" xr:uid="{E6E461C7-6D28-4E72-8949-A7E04526583A}"/>
    <cellStyle name="Normal 4 5 2 3 2 3 3" xfId="18825" xr:uid="{A3C05C27-2EDC-4FC4-8A78-2D6E14971659}"/>
    <cellStyle name="Normal 4 5 2 3 2 4" xfId="11278" xr:uid="{EA636CB6-32B7-450C-9E87-0CCC537034BA}"/>
    <cellStyle name="Normal 4 5 2 3 2 4 2" xfId="21658" xr:uid="{8341F538-F959-47F1-81DD-444AAB02536D}"/>
    <cellStyle name="Normal 4 5 2 3 2 5" xfId="23924" xr:uid="{CE4AC6F4-76E0-4F1C-B9A5-5E31E24684C3}"/>
    <cellStyle name="Normal 4 5 2 3 2 6" xfId="13931" xr:uid="{76ADFE17-F2FC-413F-8265-DF1E47501A2D}"/>
    <cellStyle name="Normal 4 5 2 3 3" xfId="2794" xr:uid="{00000000-0005-0000-0000-000072060000}"/>
    <cellStyle name="Normal 4 5 2 3 3 2" xfId="6012" xr:uid="{400D8516-E8C7-4321-B8DB-54514AC3D66C}"/>
    <cellStyle name="Normal 4 5 2 3 3 2 2" xfId="26349" xr:uid="{057C0257-4C3C-4E3B-801C-62361A39334D}"/>
    <cellStyle name="Normal 4 5 2 3 3 2 3" xfId="15465" xr:uid="{E8F3B38E-D972-406C-B8EB-8AF202F55272}"/>
    <cellStyle name="Normal 4 5 2 3 3 3" xfId="7918" xr:uid="{3A3DA035-EEE4-4D6C-8388-45D36777A705}"/>
    <cellStyle name="Normal 4 5 2 3 3 3 2" xfId="18298" xr:uid="{D53A0738-1DC9-45B6-BC04-1A735BF5253C}"/>
    <cellStyle name="Normal 4 5 2 3 3 4" xfId="10751" xr:uid="{3B260D01-0AEC-4BEC-AD71-C0FC7295E086}"/>
    <cellStyle name="Normal 4 5 2 3 3 4 2" xfId="21131" xr:uid="{84D30868-90AE-401A-8540-72E9ED39E07F}"/>
    <cellStyle name="Normal 4 5 2 3 3 5" xfId="24763" xr:uid="{6DD962BE-D982-4AA3-8D54-B11338C5AA27}"/>
    <cellStyle name="Normal 4 5 2 3 3 6" xfId="13256" xr:uid="{3CE8EF1E-53AE-466E-9903-35699626116A}"/>
    <cellStyle name="Normal 4 5 2 3 4" xfId="4200" xr:uid="{1BBE04BA-B312-41DF-8E4F-91CE866111F9}"/>
    <cellStyle name="Normal 4 5 2 3 4 2" xfId="8972" xr:uid="{8C0CCA2C-B560-4ABF-A070-379E56CB628F}"/>
    <cellStyle name="Normal 4 5 2 3 4 2 2" xfId="29056" xr:uid="{CBBEF2D0-1ACB-4FAA-9118-0988D24ACFA7}"/>
    <cellStyle name="Normal 4 5 2 3 4 2 3" xfId="19352" xr:uid="{F6C7C216-708E-4EFA-9CFD-5BF38621E0DB}"/>
    <cellStyle name="Normal 4 5 2 3 4 3" xfId="11805" xr:uid="{64CE70D4-A754-41B3-A960-A290C3878BF3}"/>
    <cellStyle name="Normal 4 5 2 3 4 3 2" xfId="22185" xr:uid="{4942E4E4-488E-4036-A981-3401653602CF}"/>
    <cellStyle name="Normal 4 5 2 3 4 4" xfId="23123" xr:uid="{9037FD61-653D-4558-825E-7AB8F20BDFF9}"/>
    <cellStyle name="Normal 4 5 2 3 4 5" xfId="16519" xr:uid="{B950B559-2C43-4BBF-BAF9-19C3D9A4D097}"/>
    <cellStyle name="Normal 4 5 2 3 5" xfId="5324" xr:uid="{E8C9F035-67B4-4D4E-BEFC-1A01562ADC02}"/>
    <cellStyle name="Normal 4 5 2 3 5 2" xfId="28103" xr:uid="{2B506E37-FFA8-4E02-BAA6-F1B68752E6DD}"/>
    <cellStyle name="Normal 4 5 2 3 5 3" xfId="14622" xr:uid="{B7FEE906-8681-416A-A08E-03393217D948}"/>
    <cellStyle name="Normal 4 5 2 3 6" xfId="7075" xr:uid="{FF80577F-0C14-415F-B02B-440809EF298E}"/>
    <cellStyle name="Normal 4 5 2 3 6 2" xfId="17455" xr:uid="{DCFAB2C2-192E-470A-BDA5-A15F0C6A1833}"/>
    <cellStyle name="Normal 4 5 2 3 7" xfId="9908" xr:uid="{35230ABF-FEB9-4A17-9B50-76B113473D69}"/>
    <cellStyle name="Normal 4 5 2 3 7 2" xfId="20288" xr:uid="{6DF26397-F749-4566-8724-3EAC1C0B5F21}"/>
    <cellStyle name="Normal 4 5 2 3 8" xfId="24273" xr:uid="{DEF51CA1-A777-4F59-AEA8-7F597CE65896}"/>
    <cellStyle name="Normal 4 5 2 3 9" xfId="12766" xr:uid="{F4CD9708-8509-49EF-9028-1858B70BD86E}"/>
    <cellStyle name="Normal 4 5 2 4" xfId="3366" xr:uid="{00000000-0005-0000-0000-000073060000}"/>
    <cellStyle name="Normal 4 5 2 4 2" xfId="4543" xr:uid="{D2E0A647-8B6B-484D-8EE5-B1FB6E1E52A5}"/>
    <cellStyle name="Normal 4 5 2 4 2 2" xfId="9315" xr:uid="{75B32AE0-920B-4E50-9E4B-443BB07783DE}"/>
    <cellStyle name="Normal 4 5 2 4 2 2 2" xfId="29292" xr:uid="{D8687BEB-7788-403F-A995-83E18A9367FE}"/>
    <cellStyle name="Normal 4 5 2 4 2 2 3" xfId="19695" xr:uid="{59100568-AC60-4A4C-A9CC-44EF4D006FA5}"/>
    <cellStyle name="Normal 4 5 2 4 2 3" xfId="12148" xr:uid="{894BA2BA-90E1-4317-A624-28764CE900B2}"/>
    <cellStyle name="Normal 4 5 2 4 2 3 2" xfId="22528" xr:uid="{82A5730E-C394-4437-BA7F-722AC2D07145}"/>
    <cellStyle name="Normal 4 5 2 4 2 4" xfId="25020" xr:uid="{D713E987-184A-413A-B836-C3B46E2666CF}"/>
    <cellStyle name="Normal 4 5 2 4 2 5" xfId="16862" xr:uid="{D933F60A-5A4E-4698-91E8-20233232B81F}"/>
    <cellStyle name="Normal 4 5 2 4 3" xfId="6424" xr:uid="{983D88EE-DF78-4F1B-83D8-DC36886EF344}"/>
    <cellStyle name="Normal 4 5 2 4 3 2" xfId="27520" xr:uid="{A6954AA8-0820-4173-BE56-4C426E4ECE2F}"/>
    <cellStyle name="Normal 4 5 2 4 3 3" xfId="15993" xr:uid="{F5992DB5-F890-4C29-B7BE-91756223422F}"/>
    <cellStyle name="Normal 4 5 2 4 4" xfId="8446" xr:uid="{50121966-DFAF-4303-B730-9406E0ED63E3}"/>
    <cellStyle name="Normal 4 5 2 4 4 2" xfId="18826" xr:uid="{4C0F9CDA-5884-4E28-B870-8DAC82B50996}"/>
    <cellStyle name="Normal 4 5 2 4 5" xfId="11279" xr:uid="{F532776D-2596-4BF2-A6EE-39E9B3A2C549}"/>
    <cellStyle name="Normal 4 5 2 4 5 2" xfId="21659" xr:uid="{D3AB1E21-DB7C-40F0-B25E-2B913D76A52B}"/>
    <cellStyle name="Normal 4 5 2 4 6" xfId="25025" xr:uid="{944C4AA1-0864-47DF-BF38-2010D49F015F}"/>
    <cellStyle name="Normal 4 5 2 4 7" xfId="13932" xr:uid="{89F49A4B-4346-4D42-8E10-799312E09AEF}"/>
    <cellStyle name="Normal 4 5 2 5" xfId="2943" xr:uid="{00000000-0005-0000-0000-000074060000}"/>
    <cellStyle name="Normal 4 5 2 5 2" xfId="6123" xr:uid="{2744C5C0-75C5-4713-BC0A-F01BAADDBA57}"/>
    <cellStyle name="Normal 4 5 2 5 2 2" xfId="27369" xr:uid="{FC4C0F38-2B2C-4837-A1DA-BEF2D68B0720}"/>
    <cellStyle name="Normal 4 5 2 5 2 3" xfId="28358" xr:uid="{40DFC500-5AA3-4A15-9614-05182B12FC67}"/>
    <cellStyle name="Normal 4 5 2 5 2 4" xfId="15601" xr:uid="{77C204C5-CCBA-4322-A4BF-6B2C917B659C}"/>
    <cellStyle name="Normal 4 5 2 5 3" xfId="8054" xr:uid="{A2BE1429-F9BC-4D60-A195-C274BBBBACE0}"/>
    <cellStyle name="Normal 4 5 2 5 3 2" xfId="27518" xr:uid="{EEB7D116-4090-4B01-A5A0-E3B19006C968}"/>
    <cellStyle name="Normal 4 5 2 5 3 3" xfId="18434" xr:uid="{5C80B42C-1955-4E42-8F61-F75CCEAFD189}"/>
    <cellStyle name="Normal 4 5 2 5 4" xfId="10887" xr:uid="{8C22F40A-C5D8-44A4-AED1-028559AEB72C}"/>
    <cellStyle name="Normal 4 5 2 5 4 2" xfId="21267" xr:uid="{90631456-16A4-48B0-A410-5FCA7318B9C2}"/>
    <cellStyle name="Normal 4 5 2 5 5" xfId="23794" xr:uid="{62B9C0EA-202A-4492-81AA-215BEC066F55}"/>
    <cellStyle name="Normal 4 5 2 5 6" xfId="13464" xr:uid="{7C28B4C5-3FCA-4F98-B5BB-5B6EEB327288}"/>
    <cellStyle name="Normal 4 5 2 6" xfId="2543" xr:uid="{00000000-0005-0000-0000-000075060000}"/>
    <cellStyle name="Normal 4 5 2 6 2" xfId="5815" xr:uid="{5986A24A-3267-44F7-BDFA-37391523A0FF}"/>
    <cellStyle name="Normal 4 5 2 6 2 2" xfId="27974" xr:uid="{3A4835A5-C5F7-468B-A642-C7D071561171}"/>
    <cellStyle name="Normal 4 5 2 6 2 3" xfId="15215" xr:uid="{7C4775D2-24AD-4EAA-85A9-BD50BD163413}"/>
    <cellStyle name="Normal 4 5 2 6 3" xfId="7668" xr:uid="{436CBBD9-8020-4EEC-B6DD-0911D57FF9E3}"/>
    <cellStyle name="Normal 4 5 2 6 3 2" xfId="18048" xr:uid="{FF9CBDD4-2A00-48C9-8FAE-F1013466C211}"/>
    <cellStyle name="Normal 4 5 2 6 4" xfId="10501" xr:uid="{FF77A2ED-2A16-46EF-B1A4-178BBD7F2FDB}"/>
    <cellStyle name="Normal 4 5 2 6 4 2" xfId="20881" xr:uid="{D4971610-CD2E-4D89-9CD5-F79318FEB2CE}"/>
    <cellStyle name="Normal 4 5 2 6 5" xfId="23152" xr:uid="{310123C0-F71E-414D-B200-08ED6D598F4B}"/>
    <cellStyle name="Normal 4 5 2 6 6" xfId="12931" xr:uid="{C0662821-CD8B-45D1-A046-854C09043DA1}"/>
    <cellStyle name="Normal 4 5 2 7" xfId="2237" xr:uid="{00000000-0005-0000-0000-000069060000}"/>
    <cellStyle name="Normal 4 5 2 7 2" xfId="7364" xr:uid="{28FE7E03-AD46-4741-A7FC-A676B678967A}"/>
    <cellStyle name="Normal 4 5 2 7 2 2" xfId="17744" xr:uid="{139A849F-7CFF-45E6-9FFD-CE714C088692}"/>
    <cellStyle name="Normal 4 5 2 7 3" xfId="10197" xr:uid="{2173FA89-6B46-4218-B70F-152B78916DF5}"/>
    <cellStyle name="Normal 4 5 2 7 3 2" xfId="20577" xr:uid="{75A2AA50-3592-490A-AF97-366D825E3B28}"/>
    <cellStyle name="Normal 4 5 2 7 4" xfId="23207" xr:uid="{D29F9E26-F9BE-4CD8-BE8C-62F0E5D26E59}"/>
    <cellStyle name="Normal 4 5 2 7 5" xfId="14911" xr:uid="{B891686C-B505-442D-BAC8-21228870E711}"/>
    <cellStyle name="Normal 4 5 2 8" xfId="3995" xr:uid="{E629CDDD-B813-4D71-807C-07FDC78629DF}"/>
    <cellStyle name="Normal 4 5 2 8 2" xfId="8819" xr:uid="{5D54BAB1-67C3-4710-AA67-8A6221137546}"/>
    <cellStyle name="Normal 4 5 2 8 2 2" xfId="19199" xr:uid="{1A57B2EE-5F55-4B87-9DE1-E0E3E445277B}"/>
    <cellStyle name="Normal 4 5 2 8 3" xfId="11652" xr:uid="{05572E02-0B75-4D1E-8E13-82C2E4DC02ED}"/>
    <cellStyle name="Normal 4 5 2 8 3 2" xfId="22032" xr:uid="{C058CAE0-4D4F-4D35-B4C2-74E1FD69A372}"/>
    <cellStyle name="Normal 4 5 2 8 4" xfId="16366" xr:uid="{192B4CD1-614C-44AD-95D8-C6E8AAF67198}"/>
    <cellStyle name="Normal 4 5 2 9" xfId="5322" xr:uid="{93AF8565-2114-4AB8-9876-2498C27D9664}"/>
    <cellStyle name="Normal 4 5 2 9 2" xfId="14620" xr:uid="{D40FF11D-13DB-426F-8633-5700B906C03C}"/>
    <cellStyle name="Normal 4 5 3" xfId="1022" xr:uid="{00000000-0005-0000-0000-0000B0050000}"/>
    <cellStyle name="Normal 4 5 3 10" xfId="9909" xr:uid="{C2AB3C88-B4D7-40DD-9379-8DA92DC41E3F}"/>
    <cellStyle name="Normal 4 5 3 10 2" xfId="20289" xr:uid="{D6FEA916-69B3-43D5-BD39-069339D93CF8}"/>
    <cellStyle name="Normal 4 5 3 11" xfId="23559" xr:uid="{14E72F27-0EBF-4CC1-A22C-453E4D7BA1BE}"/>
    <cellStyle name="Normal 4 5 3 12" xfId="12607" xr:uid="{C04F5E53-07FE-4D1D-BA93-92A7622E5671}"/>
    <cellStyle name="Normal 4 5 3 2" xfId="2796" xr:uid="{00000000-0005-0000-0000-000077060000}"/>
    <cellStyle name="Normal 4 5 3 2 2" xfId="3368" xr:uid="{00000000-0005-0000-0000-000078060000}"/>
    <cellStyle name="Normal 4 5 3 2 2 2" xfId="6426" xr:uid="{CDDD6384-D4EA-4EA1-8AF3-B22C1319784C}"/>
    <cellStyle name="Normal 4 5 3 2 2 2 2" xfId="27036" xr:uid="{47718808-69D2-44BB-B6B5-62AF05398240}"/>
    <cellStyle name="Normal 4 5 3 2 2 2 3" xfId="26023" xr:uid="{E50F255F-8400-46BD-A4E4-C149E4D49D5B}"/>
    <cellStyle name="Normal 4 5 3 2 2 2 4" xfId="15995" xr:uid="{6D2B7213-828E-4619-B9F3-D70C355E9B51}"/>
    <cellStyle name="Normal 4 5 3 2 2 3" xfId="8448" xr:uid="{3350974A-82A5-42D5-8A32-C89687AA424F}"/>
    <cellStyle name="Normal 4 5 3 2 2 3 2" xfId="28918" xr:uid="{329F68BD-C226-49FF-8344-A0B9B3AA855A}"/>
    <cellStyle name="Normal 4 5 3 2 2 3 3" xfId="18828" xr:uid="{1CB9FBE1-4FEF-432E-9AD9-962B501B277D}"/>
    <cellStyle name="Normal 4 5 3 2 2 4" xfId="11281" xr:uid="{B7203EA3-5441-4CE2-83E4-AEDA06983B0C}"/>
    <cellStyle name="Normal 4 5 3 2 2 4 2" xfId="21661" xr:uid="{3EF7E2BC-84C1-45B1-AF06-39A02C2A1AFA}"/>
    <cellStyle name="Normal 4 5 3 2 2 5" xfId="23371" xr:uid="{E9F2DCF3-D677-45D0-9FB0-2130CF05C61F}"/>
    <cellStyle name="Normal 4 5 3 2 2 6" xfId="13934" xr:uid="{C6C8432E-61CB-400A-B4F9-A8ABB02ABA66}"/>
    <cellStyle name="Normal 4 5 3 2 3" xfId="4347" xr:uid="{A37089E4-C760-4D54-9BCC-60B110A38149}"/>
    <cellStyle name="Normal 4 5 3 2 3 2" xfId="9119" xr:uid="{9BC4DA4B-FC10-4819-8AA3-C70EE0DB1A02}"/>
    <cellStyle name="Normal 4 5 3 2 3 2 2" xfId="29162" xr:uid="{A2279844-75AF-4F2D-B8A7-437A9CF27E6B}"/>
    <cellStyle name="Normal 4 5 3 2 3 2 3" xfId="19499" xr:uid="{BA1D082C-F915-4E86-ACB0-4D7152133CDC}"/>
    <cellStyle name="Normal 4 5 3 2 3 3" xfId="11952" xr:uid="{AC170593-1E44-4D79-9C04-59B3C7464D98}"/>
    <cellStyle name="Normal 4 5 3 2 3 3 2" xfId="22332" xr:uid="{8B2FA5CB-B576-4D9B-8B95-FB3C1B17E2D8}"/>
    <cellStyle name="Normal 4 5 3 2 3 4" xfId="24945" xr:uid="{EE8082B8-E8C8-4F16-A431-3BF33F466BA4}"/>
    <cellStyle name="Normal 4 5 3 2 3 5" xfId="16666" xr:uid="{E0D545DC-D036-42AF-82A6-A474358E058F}"/>
    <cellStyle name="Normal 4 5 3 2 4" xfId="6014" xr:uid="{46DC8AD1-A778-4A9B-B266-465C1F6E965B}"/>
    <cellStyle name="Normal 4 5 3 2 4 2" xfId="28208" xr:uid="{C5352B8D-2D4C-4A94-995D-3C2B527636C9}"/>
    <cellStyle name="Normal 4 5 3 2 4 3" xfId="15467" xr:uid="{6242F917-36F3-4071-86C8-B3B61B2199C9}"/>
    <cellStyle name="Normal 4 5 3 2 5" xfId="7920" xr:uid="{ADD9E9B6-DF64-4CEE-960E-3D57D32A6A47}"/>
    <cellStyle name="Normal 4 5 3 2 5 2" xfId="18300" xr:uid="{A6182F69-0633-467E-9C16-FCC5887F5846}"/>
    <cellStyle name="Normal 4 5 3 2 6" xfId="10753" xr:uid="{9B3B9507-35B2-4C6F-A081-90707E0F1F50}"/>
    <cellStyle name="Normal 4 5 3 2 6 2" xfId="21133" xr:uid="{3EDE4003-8002-4D57-ADFD-C8FC42B87326}"/>
    <cellStyle name="Normal 4 5 3 2 7" xfId="23118" xr:uid="{9214831E-63EB-4F9B-8C37-001619DFF200}"/>
    <cellStyle name="Normal 4 5 3 2 8" xfId="13258" xr:uid="{FDD54B08-2957-4F4A-9D51-84AA185B23C0}"/>
    <cellStyle name="Normal 4 5 3 3" xfId="3369" xr:uid="{00000000-0005-0000-0000-000079060000}"/>
    <cellStyle name="Normal 4 5 3 3 2" xfId="4544" xr:uid="{A4BB8FCD-A516-4B8F-9FD5-C02633F3C41E}"/>
    <cellStyle name="Normal 4 5 3 3 2 2" xfId="9316" xr:uid="{65762DF2-16C9-4A1A-AE53-3A9D22630157}"/>
    <cellStyle name="Normal 4 5 3 3 2 2 2" xfId="29293" xr:uid="{80807EDB-C4A0-4C78-9063-146F367F8D4C}"/>
    <cellStyle name="Normal 4 5 3 3 2 2 3" xfId="19696" xr:uid="{02ADD01E-9B8A-4F56-9A26-642AAA4D2B33}"/>
    <cellStyle name="Normal 4 5 3 3 2 3" xfId="12149" xr:uid="{C80691F1-2334-4321-8D18-251F439DD494}"/>
    <cellStyle name="Normal 4 5 3 3 2 3 2" xfId="22529" xr:uid="{2F889955-AA65-4881-BBFD-860DE60993DC}"/>
    <cellStyle name="Normal 4 5 3 3 2 4" xfId="23489" xr:uid="{3C8BB0E9-8267-4FDE-906A-29C20B22F8D2}"/>
    <cellStyle name="Normal 4 5 3 3 2 5" xfId="16863" xr:uid="{8DD6D398-9E33-42CC-A6CE-6741A5213352}"/>
    <cellStyle name="Normal 4 5 3 3 3" xfId="6427" xr:uid="{04605D07-819B-4931-A888-86D2BBB822DE}"/>
    <cellStyle name="Normal 4 5 3 3 3 2" xfId="27372" xr:uid="{51F70EB8-F14F-429C-BA73-AB6E1AC9A64E}"/>
    <cellStyle name="Normal 4 5 3 3 3 3" xfId="15996" xr:uid="{39445E8F-35DC-4CA0-B413-8EA55E918A8D}"/>
    <cellStyle name="Normal 4 5 3 3 4" xfId="8449" xr:uid="{51FAD66A-6840-4746-9F75-BC02A246452D}"/>
    <cellStyle name="Normal 4 5 3 3 4 2" xfId="18829" xr:uid="{B7429266-C428-4494-A399-EE860F13549F}"/>
    <cellStyle name="Normal 4 5 3 3 5" xfId="11282" xr:uid="{D2ED3D46-00C4-4A38-A158-B65142EC9065}"/>
    <cellStyle name="Normal 4 5 3 3 5 2" xfId="21662" xr:uid="{530C4BBB-824C-49F0-A9DC-DB10B354F7CC}"/>
    <cellStyle name="Normal 4 5 3 3 6" xfId="22883" xr:uid="{1C341B25-BD3F-41B0-B7EE-8DFA4F6E1CEA}"/>
    <cellStyle name="Normal 4 5 3 3 7" xfId="13935" xr:uid="{7CF23737-597D-4A42-A2B8-BAAB5597C0DC}"/>
    <cellStyle name="Normal 4 5 3 4" xfId="3367" xr:uid="{00000000-0005-0000-0000-00007A060000}"/>
    <cellStyle name="Normal 4 5 3 4 2" xfId="6425" xr:uid="{3B5BE5A0-FE42-4104-8BA0-6887C298DC19}"/>
    <cellStyle name="Normal 4 5 3 4 2 2" xfId="26748" xr:uid="{143F4099-0362-4499-81BD-AC03DC35B8F0}"/>
    <cellStyle name="Normal 4 5 3 4 2 3" xfId="15994" xr:uid="{4FE40EE6-7168-4E83-98D2-0664591EE9DF}"/>
    <cellStyle name="Normal 4 5 3 4 3" xfId="8447" xr:uid="{CC9B6CF3-EC75-481E-944B-E23CF2B12C38}"/>
    <cellStyle name="Normal 4 5 3 4 3 2" xfId="18827" xr:uid="{F0DB8B7F-4AED-4334-BD3E-0BBC9D40E83B}"/>
    <cellStyle name="Normal 4 5 3 4 4" xfId="11280" xr:uid="{B21DA2A6-4EDC-4D97-A93A-56CB47644E05}"/>
    <cellStyle name="Normal 4 5 3 4 4 2" xfId="21660" xr:uid="{F6E1F950-E577-4949-B354-057561187360}"/>
    <cellStyle name="Normal 4 5 3 4 5" xfId="24618" xr:uid="{E53C5F61-2C38-4EB3-B244-E079DB1AA7D5}"/>
    <cellStyle name="Normal 4 5 3 4 6" xfId="13933" xr:uid="{8266669C-C74A-4B7F-A416-9556F42899E8}"/>
    <cellStyle name="Normal 4 5 3 5" xfId="2586" xr:uid="{00000000-0005-0000-0000-00007B060000}"/>
    <cellStyle name="Normal 4 5 3 5 2" xfId="5851" xr:uid="{8CA30565-C8A5-499F-81EB-C994E3E26CEE}"/>
    <cellStyle name="Normal 4 5 3 5 2 2" xfId="27404" xr:uid="{8A1E56C1-E235-45ED-B0BD-EC133C950A3B}"/>
    <cellStyle name="Normal 4 5 3 5 2 3" xfId="15258" xr:uid="{37F6C1BB-08F0-44A1-9E20-6BC7914D6BE8}"/>
    <cellStyle name="Normal 4 5 3 5 3" xfId="7711" xr:uid="{50692379-D91D-4C07-9DE9-BE085C0335BE}"/>
    <cellStyle name="Normal 4 5 3 5 3 2" xfId="18091" xr:uid="{C877F4E8-7A38-4352-8699-FCC053A57F58}"/>
    <cellStyle name="Normal 4 5 3 5 4" xfId="10544" xr:uid="{15446674-6301-48C8-9CB0-2EA325897001}"/>
    <cellStyle name="Normal 4 5 3 5 4 2" xfId="20924" xr:uid="{37BDA2F8-A64F-4002-A7DD-8B4F2804EB6B}"/>
    <cellStyle name="Normal 4 5 3 5 5" xfId="22974" xr:uid="{E6CC10CC-52FD-46AC-8D1F-4DD7F00D1514}"/>
    <cellStyle name="Normal 4 5 3 5 6" xfId="12974" xr:uid="{3B6D2ED0-900B-4492-8078-22C0B1BCF264}"/>
    <cellStyle name="Normal 4 5 3 6" xfId="2373" xr:uid="{00000000-0005-0000-0000-000076060000}"/>
    <cellStyle name="Normal 4 5 3 6 2" xfId="7500" xr:uid="{58506A69-CFA6-43BA-B90F-1F6DE4551B15}"/>
    <cellStyle name="Normal 4 5 3 6 2 2" xfId="17880" xr:uid="{67F92608-0627-42DC-A26E-011E7DB9BA0B}"/>
    <cellStyle name="Normal 4 5 3 6 3" xfId="10333" xr:uid="{5F4B949F-1C47-433B-8FCF-AC8CD7996BB9}"/>
    <cellStyle name="Normal 4 5 3 6 3 2" xfId="20713" xr:uid="{906D78E2-EAE7-4162-BFD2-15DE8D0F865C}"/>
    <cellStyle name="Normal 4 5 3 6 4" xfId="24346" xr:uid="{E56095CB-0FD6-47CE-9FFB-5D7B2BCE14C0}"/>
    <cellStyle name="Normal 4 5 3 6 5" xfId="15047" xr:uid="{F79FCD76-54CF-4281-83CD-A03A535328F4}"/>
    <cellStyle name="Normal 4 5 3 7" xfId="3916" xr:uid="{06D6F7B0-88A1-4FDA-8A5F-40FAE895E25D}"/>
    <cellStyle name="Normal 4 5 3 7 2" xfId="8748" xr:uid="{8C74A894-709E-4754-BFB5-5F7D9FF716F4}"/>
    <cellStyle name="Normal 4 5 3 7 2 2" xfId="19128" xr:uid="{0DDC1B0B-9292-4631-82B1-91D20E242ECA}"/>
    <cellStyle name="Normal 4 5 3 7 3" xfId="11581" xr:uid="{D276F419-BF9B-4084-A51A-24B3258A579C}"/>
    <cellStyle name="Normal 4 5 3 7 3 2" xfId="21961" xr:uid="{9843EC8B-BA8B-4292-9ECD-ED7BD7DC45BE}"/>
    <cellStyle name="Normal 4 5 3 7 4" xfId="16295" xr:uid="{777C31E9-A830-4EF1-AD59-0E59428A5CB7}"/>
    <cellStyle name="Normal 4 5 3 8" xfId="5325" xr:uid="{93F95F2E-482A-4836-8938-B5C31F660364}"/>
    <cellStyle name="Normal 4 5 3 8 2" xfId="14623" xr:uid="{DB3D4FCF-F1EF-42C4-A98E-86FEC5CF11D4}"/>
    <cellStyle name="Normal 4 5 3 9" xfId="7076" xr:uid="{B5063EEE-FC94-4CBE-A8AD-3A41213A7627}"/>
    <cellStyle name="Normal 4 5 3 9 2" xfId="17456" xr:uid="{0AD4AEF5-C9EE-4A09-B9B4-83B4A0D2A573}"/>
    <cellStyle name="Normal 4 5 4" xfId="1023" xr:uid="{00000000-0005-0000-0000-0000B1050000}"/>
    <cellStyle name="Normal 4 5 4 2" xfId="3370" xr:uid="{00000000-0005-0000-0000-00007D060000}"/>
    <cellStyle name="Normal 4 5 4 2 2" xfId="6428" xr:uid="{F531157A-8A64-42AD-AB38-367C0467017D}"/>
    <cellStyle name="Normal 4 5 4 2 2 2" xfId="24466" xr:uid="{B3D47B1A-51C4-46BC-B691-5C33A014E6D4}"/>
    <cellStyle name="Normal 4 5 4 2 2 3" xfId="26584" xr:uid="{C253BFE2-5027-412F-B218-E93582380519}"/>
    <cellStyle name="Normal 4 5 4 2 2 4" xfId="15997" xr:uid="{967B74A0-774A-48C8-A3C3-EE0F4881CD60}"/>
    <cellStyle name="Normal 4 5 4 2 3" xfId="8450" xr:uid="{4608D409-D28F-4C57-A452-F3B6B05C59D0}"/>
    <cellStyle name="Normal 4 5 4 2 3 2" xfId="28919" xr:uid="{5E4706F0-DD60-4F70-8867-F1F0D1436203}"/>
    <cellStyle name="Normal 4 5 4 2 3 3" xfId="18830" xr:uid="{05511378-9591-44A6-99D5-436A7B51C350}"/>
    <cellStyle name="Normal 4 5 4 2 4" xfId="11283" xr:uid="{1C2F02AD-0D79-453B-8623-F1824FCA615E}"/>
    <cellStyle name="Normal 4 5 4 2 4 2" xfId="21663" xr:uid="{FDC49964-05F1-46FF-8D38-5C337274A0A5}"/>
    <cellStyle name="Normal 4 5 4 2 5" xfId="24104" xr:uid="{328E76FF-8BA1-46E4-86D9-CE673D7A12B9}"/>
    <cellStyle name="Normal 4 5 4 2 6" xfId="13936" xr:uid="{EEB5AF47-5AB2-43F8-85D6-716D9CBCCEE8}"/>
    <cellStyle name="Normal 4 5 4 3" xfId="2793" xr:uid="{00000000-0005-0000-0000-00007E060000}"/>
    <cellStyle name="Normal 4 5 4 3 2" xfId="6011" xr:uid="{F6AD08A0-96EC-440C-9AB6-9D9E39FE0DC4}"/>
    <cellStyle name="Normal 4 5 4 3 2 2" xfId="27432" xr:uid="{650275E6-7018-49FE-A978-E0C83CCC0AD9}"/>
    <cellStyle name="Normal 4 5 4 3 2 3" xfId="15464" xr:uid="{33431AFC-DDFD-48AE-B90D-5EC13EECDEF7}"/>
    <cellStyle name="Normal 4 5 4 3 3" xfId="7917" xr:uid="{F4B719A7-0708-449D-A5BB-ED35762B8AD3}"/>
    <cellStyle name="Normal 4 5 4 3 3 2" xfId="18297" xr:uid="{995D6AC7-C01E-4BAC-9742-19DE13A75250}"/>
    <cellStyle name="Normal 4 5 4 3 4" xfId="10750" xr:uid="{4EEA8DBB-3E22-49B4-86BF-6A81EFACD9FB}"/>
    <cellStyle name="Normal 4 5 4 3 4 2" xfId="21130" xr:uid="{2E25CABE-E320-4D74-8C85-82664600F774}"/>
    <cellStyle name="Normal 4 5 4 3 5" xfId="23095" xr:uid="{AA11B069-EA2A-4668-A7B6-F5ECF714A43F}"/>
    <cellStyle name="Normal 4 5 4 3 6" xfId="13255" xr:uid="{9750CDEC-06B1-4C19-9948-01DBBBDED92F}"/>
    <cellStyle name="Normal 4 5 4 4" xfId="4199" xr:uid="{1645401E-F3F5-499C-937A-D575F5ECD0AA}"/>
    <cellStyle name="Normal 4 5 4 4 2" xfId="8971" xr:uid="{0E6992F0-99C0-4977-AD8D-3395200AD305}"/>
    <cellStyle name="Normal 4 5 4 4 2 2" xfId="29055" xr:uid="{97B7D4EB-0199-4532-9965-1BB565797835}"/>
    <cellStyle name="Normal 4 5 4 4 2 3" xfId="19351" xr:uid="{A42B2B0B-22BB-46E0-BD4E-28ECEBB7D5B3}"/>
    <cellStyle name="Normal 4 5 4 4 3" xfId="11804" xr:uid="{7C2F02D2-678D-4BEF-BBFA-BBF4BDF3F8BA}"/>
    <cellStyle name="Normal 4 5 4 4 3 2" xfId="22184" xr:uid="{33BA402A-475D-403F-8FAC-1503C6D735EC}"/>
    <cellStyle name="Normal 4 5 4 4 4" xfId="23080" xr:uid="{4E375AF9-F0C9-4BC5-82B5-4EC7130621D2}"/>
    <cellStyle name="Normal 4 5 4 4 5" xfId="16518" xr:uid="{63A5E80F-9A87-45C6-BD04-1DA7C178BD4B}"/>
    <cellStyle name="Normal 4 5 4 5" xfId="5326" xr:uid="{597FCC5F-6ACB-4CBA-B673-3ED675AD1915}"/>
    <cellStyle name="Normal 4 5 4 5 2" xfId="28222" xr:uid="{B33BE7A2-09B2-450E-B19D-FECEAC5557B9}"/>
    <cellStyle name="Normal 4 5 4 5 3" xfId="14624" xr:uid="{2B05A4D0-AA97-4EC9-8F7A-17C3998C94FB}"/>
    <cellStyle name="Normal 4 5 4 6" xfId="7077" xr:uid="{757A1225-C23F-47F8-95B9-F8311BE49047}"/>
    <cellStyle name="Normal 4 5 4 6 2" xfId="17457" xr:uid="{98F37E42-1A29-470C-9116-A5404DBF1E4C}"/>
    <cellStyle name="Normal 4 5 4 7" xfId="9910" xr:uid="{FC781E71-4D27-4251-B981-1041BA33DD64}"/>
    <cellStyle name="Normal 4 5 4 7 2" xfId="20290" xr:uid="{605493C5-F06D-43D7-8AE5-FE21B2FA985D}"/>
    <cellStyle name="Normal 4 5 4 8" xfId="23843" xr:uid="{DEE4D0D6-DDAA-47DD-B407-4B63FA530AB1}"/>
    <cellStyle name="Normal 4 5 4 9" xfId="12765" xr:uid="{0F3A30A5-CAF6-4F9B-BDFF-2A7831AAE39D}"/>
    <cellStyle name="Normal 4 5 5" xfId="1024" xr:uid="{00000000-0005-0000-0000-0000B2050000}"/>
    <cellStyle name="Normal 4 5 5 2" xfId="4545" xr:uid="{E7906615-1A5F-4F5F-934B-349A841D2AFE}"/>
    <cellStyle name="Normal 4 5 5 2 2" xfId="9317" xr:uid="{A3029EBE-55A0-4222-869C-1FC4A98761CB}"/>
    <cellStyle name="Normal 4 5 5 2 2 2" xfId="29294" xr:uid="{345A85FA-BE7E-4055-960B-132753D3A999}"/>
    <cellStyle name="Normal 4 5 5 2 2 3" xfId="19697" xr:uid="{524577B2-A602-4A7B-8F62-D52F9266DADC}"/>
    <cellStyle name="Normal 4 5 5 2 3" xfId="12150" xr:uid="{56628441-C5E7-49A3-BFB0-AA576BF9735A}"/>
    <cellStyle name="Normal 4 5 5 2 3 2" xfId="22530" xr:uid="{246B1EAC-4FBF-4A92-8E7F-F20C5FE7E3BB}"/>
    <cellStyle name="Normal 4 5 5 2 4" xfId="24609" xr:uid="{80C73287-3944-4B55-A42C-6138875D6D1F}"/>
    <cellStyle name="Normal 4 5 5 2 5" xfId="16864" xr:uid="{D9BEFC78-FD4F-4A56-9F30-3A5454786AF5}"/>
    <cellStyle name="Normal 4 5 5 3" xfId="5327" xr:uid="{D6D78FE2-1BB5-404C-857A-CF014809247C}"/>
    <cellStyle name="Normal 4 5 5 3 2" xfId="26728" xr:uid="{121DF6EC-14E1-4BFB-8DA2-1285D002466D}"/>
    <cellStyle name="Normal 4 5 5 3 3" xfId="14625" xr:uid="{E140B0F9-CD58-450C-9751-70C636B0EFDC}"/>
    <cellStyle name="Normal 4 5 5 4" xfId="7078" xr:uid="{AE803436-D80B-4D57-B979-6621B8C71ED8}"/>
    <cellStyle name="Normal 4 5 5 4 2" xfId="17458" xr:uid="{FE8FCFAD-D612-458F-8111-9B172F8CDC8B}"/>
    <cellStyle name="Normal 4 5 5 5" xfId="9911" xr:uid="{09018AD2-7195-4BCD-A200-DB43248BB54A}"/>
    <cellStyle name="Normal 4 5 5 5 2" xfId="20291" xr:uid="{DEBBE446-73DC-42F4-A2CE-F06CE3F5CC13}"/>
    <cellStyle name="Normal 4 5 5 6" xfId="24110" xr:uid="{8295CE0F-969D-4DEC-B1FD-A2B0851FBB93}"/>
    <cellStyle name="Normal 4 5 5 7" xfId="13937" xr:uid="{ED9C66A4-C167-408D-A40E-CCD3909AAB32}"/>
    <cellStyle name="Normal 4 5 6" xfId="2942" xr:uid="{00000000-0005-0000-0000-000080060000}"/>
    <cellStyle name="Normal 4 5 6 2" xfId="6122" xr:uid="{8289F053-B125-4065-9B80-4CE1903DC934}"/>
    <cellStyle name="Normal 4 5 6 2 2" xfId="25633" xr:uid="{FB938224-4086-43FB-B5EE-CF78584A9791}"/>
    <cellStyle name="Normal 4 5 6 2 3" xfId="27491" xr:uid="{7D4C0B84-FFDD-489C-A5A5-322D84EA64AB}"/>
    <cellStyle name="Normal 4 5 6 2 4" xfId="15600" xr:uid="{F2DE9FFD-A9D0-4777-AABA-3933C92E408A}"/>
    <cellStyle name="Normal 4 5 6 3" xfId="8053" xr:uid="{97E97715-25E4-45DD-BBB9-7EE1D8D26A29}"/>
    <cellStyle name="Normal 4 5 6 3 2" xfId="28758" xr:uid="{481442CD-098A-4693-AEE9-B34E445C8564}"/>
    <cellStyle name="Normal 4 5 6 3 3" xfId="18433" xr:uid="{A4D5C3BA-C727-49AE-B674-1569EE4AEC46}"/>
    <cellStyle name="Normal 4 5 6 4" xfId="10886" xr:uid="{7FB32AF5-F084-47F5-9D59-1E96D73637F7}"/>
    <cellStyle name="Normal 4 5 6 4 2" xfId="21266" xr:uid="{0E26F104-831C-4146-BBFD-9B01FAAEB27F}"/>
    <cellStyle name="Normal 4 5 6 5" xfId="25564" xr:uid="{C740A216-2D57-4DC2-9D60-F28DEF7CFA53}"/>
    <cellStyle name="Normal 4 5 6 6" xfId="13463" xr:uid="{BEA4189C-BDE5-406D-8106-BAA681283927}"/>
    <cellStyle name="Normal 4 5 7" xfId="2483" xr:uid="{00000000-0005-0000-0000-000081060000}"/>
    <cellStyle name="Normal 4 5 7 2" xfId="5769" xr:uid="{D53AFC23-5220-4212-9169-92706A1A5E76}"/>
    <cellStyle name="Normal 4 5 7 2 2" xfId="28516" xr:uid="{FC06777D-9BE7-45DB-9AFF-1E1E2878CFF4}"/>
    <cellStyle name="Normal 4 5 7 2 3" xfId="15155" xr:uid="{1CF306E4-6761-4571-8151-7925ECDA9294}"/>
    <cellStyle name="Normal 4 5 7 3" xfId="7608" xr:uid="{40B0CBA3-1331-441F-A438-DCCE573111BC}"/>
    <cellStyle name="Normal 4 5 7 3 2" xfId="17988" xr:uid="{93D1D9F1-970E-4FB5-9F4E-9FCC5E03E973}"/>
    <cellStyle name="Normal 4 5 7 4" xfId="10441" xr:uid="{50C57C61-110F-482B-B2D6-9E74AAF3C889}"/>
    <cellStyle name="Normal 4 5 7 4 2" xfId="20821" xr:uid="{088DCA51-F8F7-45F3-8ADE-3690CA5A4DA9}"/>
    <cellStyle name="Normal 4 5 7 5" xfId="25072" xr:uid="{93913901-167A-4853-89BE-CD5C9E2D55BE}"/>
    <cellStyle name="Normal 4 5 7 6" xfId="12871" xr:uid="{D3A27890-A68A-480F-947A-55E902196E2B}"/>
    <cellStyle name="Normal 4 5 8" xfId="2177" xr:uid="{00000000-0005-0000-0000-000068060000}"/>
    <cellStyle name="Normal 4 5 8 2" xfId="7304" xr:uid="{291A5AB1-AC31-49A1-8203-9F51529AD636}"/>
    <cellStyle name="Normal 4 5 8 2 2" xfId="17684" xr:uid="{DE9FB33E-AB3A-47D6-90CB-2CBA608AEA40}"/>
    <cellStyle name="Normal 4 5 8 3" xfId="10137" xr:uid="{EC6E9979-1D68-42ED-BF78-07F100900E03}"/>
    <cellStyle name="Normal 4 5 8 3 2" xfId="20517" xr:uid="{DAF369CA-2D58-4AFD-A919-9EAD2C3CF720}"/>
    <cellStyle name="Normal 4 5 8 4" xfId="22894" xr:uid="{40973BC3-78C2-47D6-ABCC-E65DCBF39FB6}"/>
    <cellStyle name="Normal 4 5 8 5" xfId="14851" xr:uid="{ACAF7595-D900-400F-96B1-516EB766474D}"/>
    <cellStyle name="Normal 4 5 9" xfId="3994" xr:uid="{91D3A399-68E9-469C-8A0A-350305A8561B}"/>
    <cellStyle name="Normal 4 5 9 2" xfId="8818" xr:uid="{EF6897BD-557A-4A45-9F60-B014DCE4A927}"/>
    <cellStyle name="Normal 4 5 9 2 2" xfId="19198" xr:uid="{ACF224B1-ACA4-4ACA-8CC8-004E5D016286}"/>
    <cellStyle name="Normal 4 5 9 3" xfId="11651" xr:uid="{345967C5-DAE6-4233-A16F-747397CE158E}"/>
    <cellStyle name="Normal 4 5 9 3 2" xfId="22031" xr:uid="{97B64D74-B138-4706-A078-CCFD9F606C89}"/>
    <cellStyle name="Normal 4 5 9 4" xfId="16365" xr:uid="{E3E0A48C-0EE3-4A4F-984F-7C509E41F676}"/>
    <cellStyle name="Normal 4 6" xfId="1025" xr:uid="{00000000-0005-0000-0000-0000B3050000}"/>
    <cellStyle name="Normal 4 6 10" xfId="5328" xr:uid="{0C28CB16-68EA-42ED-BB70-906C37DC531A}"/>
    <cellStyle name="Normal 4 6 10 2" xfId="14626" xr:uid="{FF9121A2-83A1-4951-B51F-0ABD25335A2E}"/>
    <cellStyle name="Normal 4 6 11" xfId="7079" xr:uid="{33A56829-01D2-4684-9E7C-A90C663291F2}"/>
    <cellStyle name="Normal 4 6 11 2" xfId="17459" xr:uid="{722E9304-BBD0-4679-B3C2-65715E6CC4A7}"/>
    <cellStyle name="Normal 4 6 12" xfId="9912" xr:uid="{CD9E0B6E-51AE-4A65-BC1B-658D1E621266}"/>
    <cellStyle name="Normal 4 6 12 2" xfId="20292" xr:uid="{814F4D16-02C4-451E-9192-8C98D690B1DD}"/>
    <cellStyle name="Normal 4 6 13" xfId="23302" xr:uid="{62C3DB15-E4ED-45C7-9B52-8901B051FE55}"/>
    <cellStyle name="Normal 4 6 14" xfId="12415" xr:uid="{C633D6F3-9737-4C2E-B84E-2AC91B2C0E85}"/>
    <cellStyle name="Normal 4 6 2" xfId="1026" xr:uid="{00000000-0005-0000-0000-0000B4050000}"/>
    <cellStyle name="Normal 4 6 2 10" xfId="7080" xr:uid="{7A1A84C5-39EF-4122-B38A-C515D21A5FE6}"/>
    <cellStyle name="Normal 4 6 2 10 2" xfId="17460" xr:uid="{F468F3F2-39EF-423B-BEFD-55041D6A2BB3}"/>
    <cellStyle name="Normal 4 6 2 11" xfId="9913" xr:uid="{FCE9CA63-E303-4279-BCEB-BB1AFC702794}"/>
    <cellStyle name="Normal 4 6 2 11 2" xfId="20293" xr:uid="{C70D2436-8A40-40FD-96E2-2F6B5E428B92}"/>
    <cellStyle name="Normal 4 6 2 12" xfId="22694" xr:uid="{669146A1-A520-4013-8D63-08A79CDED512}"/>
    <cellStyle name="Normal 4 6 2 13" xfId="12475" xr:uid="{90241AAD-0CD6-41BC-A879-79AAE70544AC}"/>
    <cellStyle name="Normal 4 6 2 2" xfId="1027" xr:uid="{00000000-0005-0000-0000-0000B5050000}"/>
    <cellStyle name="Normal 4 6 2 2 10" xfId="13040" xr:uid="{6FA01EE3-F9F0-4984-AD38-5C094CD9AE5A}"/>
    <cellStyle name="Normal 4 6 2 2 2" xfId="2799" xr:uid="{00000000-0005-0000-0000-000085060000}"/>
    <cellStyle name="Normal 4 6 2 2 2 2" xfId="3373" xr:uid="{00000000-0005-0000-0000-000086060000}"/>
    <cellStyle name="Normal 4 6 2 2 2 2 2" xfId="6431" xr:uid="{46C1C465-1ECA-4F70-97B0-A5127B806E50}"/>
    <cellStyle name="Normal 4 6 2 2 2 2 2 2" xfId="25946" xr:uid="{EB53E93D-A7E3-4A0B-94AE-601D33B70F7C}"/>
    <cellStyle name="Normal 4 6 2 2 2 2 2 3" xfId="16000" xr:uid="{A9A08517-D890-449F-9AE8-DB3AC7156A4B}"/>
    <cellStyle name="Normal 4 6 2 2 2 2 3" xfId="8453" xr:uid="{FFD41181-32F6-4DB2-BDBA-22F84A18C731}"/>
    <cellStyle name="Normal 4 6 2 2 2 2 3 2" xfId="18833" xr:uid="{D5EEAA85-B873-42BB-A1D6-C3D692D98009}"/>
    <cellStyle name="Normal 4 6 2 2 2 2 4" xfId="11286" xr:uid="{AC591E7F-A936-47AE-8D97-8E58F0CC77C1}"/>
    <cellStyle name="Normal 4 6 2 2 2 2 4 2" xfId="21666" xr:uid="{ED92329A-0CDA-40FA-B99A-6DAE0049D0EE}"/>
    <cellStyle name="Normal 4 6 2 2 2 2 5" xfId="22711" xr:uid="{29DD1439-4647-45C0-A5BB-D8A53D8EA0C6}"/>
    <cellStyle name="Normal 4 6 2 2 2 2 6" xfId="13940" xr:uid="{117987FD-D06D-4E3F-B84D-C32959E27025}"/>
    <cellStyle name="Normal 4 6 2 2 2 3" xfId="4349" xr:uid="{D5DEB954-C0A1-4A31-8478-A8A05F96D4B8}"/>
    <cellStyle name="Normal 4 6 2 2 2 3 2" xfId="9121" xr:uid="{8EF489EF-50C0-43F1-B259-76B2B1811B71}"/>
    <cellStyle name="Normal 4 6 2 2 2 3 2 2" xfId="29164" xr:uid="{F317FB8D-F678-4CC8-9ACD-97F03CF0E5CB}"/>
    <cellStyle name="Normal 4 6 2 2 2 3 2 3" xfId="19501" xr:uid="{4C00B135-26C6-451D-9974-2C80BE207696}"/>
    <cellStyle name="Normal 4 6 2 2 2 3 3" xfId="11954" xr:uid="{14C4C8B8-24FD-4825-A155-75173C10E544}"/>
    <cellStyle name="Normal 4 6 2 2 2 3 3 2" xfId="22334" xr:uid="{329F8AF8-FF7C-4181-B235-DEEA3343C9B7}"/>
    <cellStyle name="Normal 4 6 2 2 2 3 4" xfId="25431" xr:uid="{B521D83F-449A-48BF-917B-E534CA576C87}"/>
    <cellStyle name="Normal 4 6 2 2 2 3 5" xfId="16668" xr:uid="{8102EE3F-FEE4-437B-8EB4-A477D4941138}"/>
    <cellStyle name="Normal 4 6 2 2 2 4" xfId="6017" xr:uid="{C783EF5B-C02D-4E1D-80B9-0CF81A0D89A1}"/>
    <cellStyle name="Normal 4 6 2 2 2 4 2" xfId="26086" xr:uid="{5846167A-769B-4FE7-BD08-54AB5BACF3C7}"/>
    <cellStyle name="Normal 4 6 2 2 2 4 3" xfId="15470" xr:uid="{41262F22-8D53-4A0B-AD9F-5619F796BB3D}"/>
    <cellStyle name="Normal 4 6 2 2 2 5" xfId="7923" xr:uid="{3C2C3F16-B06A-4716-A24E-76E03C1BD422}"/>
    <cellStyle name="Normal 4 6 2 2 2 5 2" xfId="18303" xr:uid="{DD8FE170-101B-42FD-A7F3-255F21271763}"/>
    <cellStyle name="Normal 4 6 2 2 2 6" xfId="10756" xr:uid="{735402AE-AA86-4645-BC87-5D037ED6794D}"/>
    <cellStyle name="Normal 4 6 2 2 2 6 2" xfId="21136" xr:uid="{0BAB771B-960F-4482-9C45-054D3D05C2CD}"/>
    <cellStyle name="Normal 4 6 2 2 2 7" xfId="24347" xr:uid="{4C301CF6-6B74-4665-92EC-864110B94E09}"/>
    <cellStyle name="Normal 4 6 2 2 2 8" xfId="13261" xr:uid="{7B9A48AF-8C5B-463E-91AD-FBC68180DEDF}"/>
    <cellStyle name="Normal 4 6 2 2 3" xfId="3374" xr:uid="{00000000-0005-0000-0000-000087060000}"/>
    <cellStyle name="Normal 4 6 2 2 3 2" xfId="4546" xr:uid="{BFCF5E32-216A-483A-AD55-2722FAC4318F}"/>
    <cellStyle name="Normal 4 6 2 2 3 2 2" xfId="9318" xr:uid="{BA7CAE72-2177-49EC-A9B2-BC87F4E70D4E}"/>
    <cellStyle name="Normal 4 6 2 2 3 2 2 2" xfId="19698" xr:uid="{7228007E-DC5B-44AE-AAE9-11E8B76A8BFF}"/>
    <cellStyle name="Normal 4 6 2 2 3 2 3" xfId="12151" xr:uid="{29DCCD41-7DE6-4377-9C16-0307B6B7E77A}"/>
    <cellStyle name="Normal 4 6 2 2 3 2 3 2" xfId="22531" xr:uid="{23C9BCEB-E65C-45F0-9F26-55E7B1D335CD}"/>
    <cellStyle name="Normal 4 6 2 2 3 2 4" xfId="27464" xr:uid="{021EF560-5E99-4968-9F1D-7509E16725F3}"/>
    <cellStyle name="Normal 4 6 2 2 3 2 5" xfId="16865" xr:uid="{D55ADE14-B7B1-4D41-9029-FDFC077556B0}"/>
    <cellStyle name="Normal 4 6 2 2 3 3" xfId="6432" xr:uid="{DD6B51D7-D03E-466E-BCF0-7778F96B21F9}"/>
    <cellStyle name="Normal 4 6 2 2 3 3 2" xfId="16001" xr:uid="{247704BE-F97F-4C13-8470-47A729758F75}"/>
    <cellStyle name="Normal 4 6 2 2 3 4" xfId="8454" xr:uid="{861ACCDF-A24B-4060-A0E3-8CD3E8CA9A52}"/>
    <cellStyle name="Normal 4 6 2 2 3 4 2" xfId="18834" xr:uid="{DD830CC8-3449-4E92-A65F-AD122329EA83}"/>
    <cellStyle name="Normal 4 6 2 2 3 5" xfId="11287" xr:uid="{2048C4C1-A745-48D0-8F53-7ECC9DC9EE58}"/>
    <cellStyle name="Normal 4 6 2 2 3 5 2" xfId="21667" xr:uid="{D983ABD9-A86E-40CF-9A2C-17BA76DB65F3}"/>
    <cellStyle name="Normal 4 6 2 2 3 6" xfId="23571" xr:uid="{2814C6B9-AF17-482E-BCAD-B9F62AA51F35}"/>
    <cellStyle name="Normal 4 6 2 2 3 7" xfId="13941" xr:uid="{F5739022-5223-406A-BA03-1C91FECBADEF}"/>
    <cellStyle name="Normal 4 6 2 2 4" xfId="3372" xr:uid="{00000000-0005-0000-0000-000088060000}"/>
    <cellStyle name="Normal 4 6 2 2 4 2" xfId="6430" xr:uid="{238C84E5-6F33-43AE-8C8A-00735DF97ECB}"/>
    <cellStyle name="Normal 4 6 2 2 4 2 2" xfId="27685" xr:uid="{217227E8-B500-43BA-A371-EF25835FC96C}"/>
    <cellStyle name="Normal 4 6 2 2 4 2 3" xfId="15999" xr:uid="{A5A40F7E-9E60-4856-B011-E6B594DEDD77}"/>
    <cellStyle name="Normal 4 6 2 2 4 3" xfId="8452" xr:uid="{7702EDA0-DDD6-4B61-A178-22E38269048C}"/>
    <cellStyle name="Normal 4 6 2 2 4 3 2" xfId="18832" xr:uid="{C549DCEC-4430-47E0-B2EC-44589FA07C0C}"/>
    <cellStyle name="Normal 4 6 2 2 4 4" xfId="11285" xr:uid="{AAC401BE-E29B-468C-9674-D73F6EEF4246}"/>
    <cellStyle name="Normal 4 6 2 2 4 4 2" xfId="21665" xr:uid="{01E2D04D-4996-4EBB-AF62-62703EAEF02D}"/>
    <cellStyle name="Normal 4 6 2 2 4 5" xfId="25574" xr:uid="{E1C4CBC8-9ED7-4382-BF6B-7BBCE7379DC1}"/>
    <cellStyle name="Normal 4 6 2 2 4 6" xfId="13939" xr:uid="{AB21AA70-4C29-4E40-82A6-27E05CEFD33C}"/>
    <cellStyle name="Normal 4 6 2 2 5" xfId="4241" xr:uid="{7BBC9497-82B0-4ADB-A7A3-2F1533CE31CC}"/>
    <cellStyle name="Normal 4 6 2 2 5 2" xfId="9013" xr:uid="{B9ED2CFE-69D1-4188-ADEF-5D6363C8360F}"/>
    <cellStyle name="Normal 4 6 2 2 5 2 2" xfId="29084" xr:uid="{7CE498E7-E51D-4A07-B524-3164CAB63061}"/>
    <cellStyle name="Normal 4 6 2 2 5 2 3" xfId="19393" xr:uid="{043CDCFB-1C20-4D1F-91C0-F42D8CEADAE4}"/>
    <cellStyle name="Normal 4 6 2 2 5 3" xfId="11846" xr:uid="{B5DE2472-92FD-4AD6-B80E-8F7054A7112C}"/>
    <cellStyle name="Normal 4 6 2 2 5 3 2" xfId="22226" xr:uid="{2C3B597A-756B-4D67-9D62-0C244C280664}"/>
    <cellStyle name="Normal 4 6 2 2 5 4" xfId="22888" xr:uid="{C6014893-A7C7-4A82-9CA3-CA61DA4F29D4}"/>
    <cellStyle name="Normal 4 6 2 2 5 5" xfId="16560" xr:uid="{4BB7572C-CABF-4AB6-A614-BBE127A3BA44}"/>
    <cellStyle name="Normal 4 6 2 2 6" xfId="5330" xr:uid="{0BC6F27B-5223-4C6B-A1BD-C0DAAC3F5FFA}"/>
    <cellStyle name="Normal 4 6 2 2 6 2" xfId="26511" xr:uid="{B9489960-85F9-4505-A5C2-1F8532D4F4DF}"/>
    <cellStyle name="Normal 4 6 2 2 6 3" xfId="14628" xr:uid="{CF5B7C4E-A7A0-4306-97EE-8FEBF7CAB449}"/>
    <cellStyle name="Normal 4 6 2 2 7" xfId="7081" xr:uid="{DC6C013B-8A94-4095-AF5D-268893FFE2A2}"/>
    <cellStyle name="Normal 4 6 2 2 7 2" xfId="17461" xr:uid="{3E27D583-53B5-49F9-8AA4-8796FABFE141}"/>
    <cellStyle name="Normal 4 6 2 2 8" xfId="9914" xr:uid="{CBB50BD5-681D-443C-9868-4193C8A822BE}"/>
    <cellStyle name="Normal 4 6 2 2 8 2" xfId="20294" xr:uid="{47608F98-F220-4E32-A389-7F1FF8F58975}"/>
    <cellStyle name="Normal 4 6 2 2 9" xfId="25554" xr:uid="{F51A6025-3625-4273-96DD-FA29E6925DE5}"/>
    <cellStyle name="Normal 4 6 2 3" xfId="2798" xr:uid="{00000000-0005-0000-0000-000089060000}"/>
    <cellStyle name="Normal 4 6 2 3 2" xfId="3375" xr:uid="{00000000-0005-0000-0000-00008A060000}"/>
    <cellStyle name="Normal 4 6 2 3 2 2" xfId="6433" xr:uid="{880CAF5C-4AC2-4228-BFF6-717331E14064}"/>
    <cellStyle name="Normal 4 6 2 3 2 2 2" xfId="27459" xr:uid="{C2291383-4F7F-471B-B6F6-643F1244FFA0}"/>
    <cellStyle name="Normal 4 6 2 3 2 2 3" xfId="16002" xr:uid="{8D5A8F50-BECA-49B4-9B6F-7F3E5334F744}"/>
    <cellStyle name="Normal 4 6 2 3 2 3" xfId="8455" xr:uid="{9FD6D99F-F8BC-4485-89F9-262AD42F3226}"/>
    <cellStyle name="Normal 4 6 2 3 2 3 2" xfId="18835" xr:uid="{03B18222-BF3C-42FE-A591-71C34DA0E657}"/>
    <cellStyle name="Normal 4 6 2 3 2 4" xfId="11288" xr:uid="{4D8CE8A3-16C8-4C1F-ADA3-A839C5636C16}"/>
    <cellStyle name="Normal 4 6 2 3 2 4 2" xfId="21668" xr:uid="{3EB5A2D3-8416-40DA-85A2-7E435DA59E15}"/>
    <cellStyle name="Normal 4 6 2 3 2 5" xfId="23457" xr:uid="{A9AE0ADF-588F-433F-BC38-596516722669}"/>
    <cellStyle name="Normal 4 6 2 3 2 6" xfId="13942" xr:uid="{EA1AC588-B608-4722-8945-FC4F3505763E}"/>
    <cellStyle name="Normal 4 6 2 3 3" xfId="4348" xr:uid="{33991BCD-F775-4318-80DB-758A0F992761}"/>
    <cellStyle name="Normal 4 6 2 3 3 2" xfId="9120" xr:uid="{B420165E-4375-445C-A6FA-7FDFBC7CFB61}"/>
    <cellStyle name="Normal 4 6 2 3 3 2 2" xfId="29163" xr:uid="{7C4D684C-7F2D-4649-ABF0-FCD9C55140AA}"/>
    <cellStyle name="Normal 4 6 2 3 3 2 3" xfId="19500" xr:uid="{9E68BC75-A358-42E8-ACFB-EDBA14863A2E}"/>
    <cellStyle name="Normal 4 6 2 3 3 3" xfId="11953" xr:uid="{261320A2-93F7-4A07-9958-424AAD113807}"/>
    <cellStyle name="Normal 4 6 2 3 3 3 2" xfId="22333" xr:uid="{949CAFC4-8871-4ACE-BEDE-5CF90CEFC2B9}"/>
    <cellStyle name="Normal 4 6 2 3 3 4" xfId="23790" xr:uid="{74D6E03D-3524-44D2-95CC-50F897D80617}"/>
    <cellStyle name="Normal 4 6 2 3 3 5" xfId="16667" xr:uid="{2236F4F1-DC6E-4ADC-B66E-8AD3A6423D89}"/>
    <cellStyle name="Normal 4 6 2 3 4" xfId="6016" xr:uid="{549DDB82-193B-40EB-BA86-5591FDFDE21C}"/>
    <cellStyle name="Normal 4 6 2 3 4 2" xfId="28741" xr:uid="{66E455AA-C372-40FF-BCAA-19EB6694B7F7}"/>
    <cellStyle name="Normal 4 6 2 3 4 3" xfId="15469" xr:uid="{05D3D57B-DDB3-41F1-82B1-B823E9146CA9}"/>
    <cellStyle name="Normal 4 6 2 3 5" xfId="7922" xr:uid="{578D98C4-7BBC-4E51-A64A-87B87A34B3A3}"/>
    <cellStyle name="Normal 4 6 2 3 5 2" xfId="18302" xr:uid="{887E17B5-1162-4D84-910B-C7259F3F7D5C}"/>
    <cellStyle name="Normal 4 6 2 3 6" xfId="10755" xr:uid="{EC7B1093-E08D-43FB-A576-FB7BF1F8C0E9}"/>
    <cellStyle name="Normal 4 6 2 3 6 2" xfId="21135" xr:uid="{002DD402-31AF-43C4-A8FD-480AABED7F2F}"/>
    <cellStyle name="Normal 4 6 2 3 7" xfId="24847" xr:uid="{5FA861CB-960F-4F70-8496-8715392A77B1}"/>
    <cellStyle name="Normal 4 6 2 3 8" xfId="13260" xr:uid="{5F45DE9B-7C40-47FD-A7B2-AA4DF5042440}"/>
    <cellStyle name="Normal 4 6 2 4" xfId="3376" xr:uid="{00000000-0005-0000-0000-00008B060000}"/>
    <cellStyle name="Normal 4 6 2 4 2" xfId="4547" xr:uid="{749E27D2-7FCE-4D76-9AA5-6D44FC29F920}"/>
    <cellStyle name="Normal 4 6 2 4 2 2" xfId="9319" xr:uid="{9EFD28D9-37C4-4EDC-AA86-4C8EFF8AF0C6}"/>
    <cellStyle name="Normal 4 6 2 4 2 2 2" xfId="19699" xr:uid="{9DEFEACB-BD51-4E5C-ADB6-7EE6CE7D305E}"/>
    <cellStyle name="Normal 4 6 2 4 2 3" xfId="12152" xr:uid="{1422BA2B-04C1-464D-8F5A-C55CBB0A4305}"/>
    <cellStyle name="Normal 4 6 2 4 2 3 2" xfId="22532" xr:uid="{E0E79656-BC44-4B8D-BC07-773BF57F1545}"/>
    <cellStyle name="Normal 4 6 2 4 2 4" xfId="28225" xr:uid="{27FFF2D2-6DF0-4A23-9AE8-59C2B0104837}"/>
    <cellStyle name="Normal 4 6 2 4 2 5" xfId="16866" xr:uid="{ABE290DE-BBD1-4714-B8E9-936D08C7DAC6}"/>
    <cellStyle name="Normal 4 6 2 4 3" xfId="6434" xr:uid="{9E72A876-C62D-4F44-8E52-DCAC54AC59A6}"/>
    <cellStyle name="Normal 4 6 2 4 3 2" xfId="16003" xr:uid="{5ED750DD-F985-4D60-B795-87EA2355995A}"/>
    <cellStyle name="Normal 4 6 2 4 4" xfId="8456" xr:uid="{FCCF48FB-37BC-42B7-9431-B4CDCEFB7844}"/>
    <cellStyle name="Normal 4 6 2 4 4 2" xfId="18836" xr:uid="{FFA19266-D96D-4747-AA47-FD9F5C716AC7}"/>
    <cellStyle name="Normal 4 6 2 4 5" xfId="11289" xr:uid="{52B16D53-16A7-4D69-B14D-5E03BD6D4452}"/>
    <cellStyle name="Normal 4 6 2 4 5 2" xfId="21669" xr:uid="{E7995802-90F3-422F-8B7F-E0636E370639}"/>
    <cellStyle name="Normal 4 6 2 4 6" xfId="23821" xr:uid="{F2D36C3B-1B93-4771-8680-B2C00BEE802A}"/>
    <cellStyle name="Normal 4 6 2 4 7" xfId="13943" xr:uid="{F2571187-447E-4431-998D-0C219264E416}"/>
    <cellStyle name="Normal 4 6 2 5" xfId="3371" xr:uid="{00000000-0005-0000-0000-00008C060000}"/>
    <cellStyle name="Normal 4 6 2 5 2" xfId="6429" xr:uid="{01A369A0-5815-472D-97F3-A707B176889F}"/>
    <cellStyle name="Normal 4 6 2 5 2 2" xfId="26382" xr:uid="{16CB294B-F5FE-4515-BC4C-7748DEE1246C}"/>
    <cellStyle name="Normal 4 6 2 5 2 3" xfId="15998" xr:uid="{72F13864-9C06-40FA-BE5B-611CC6680535}"/>
    <cellStyle name="Normal 4 6 2 5 3" xfId="8451" xr:uid="{329386A7-6D86-40F6-8462-4DBE5BCB0B6D}"/>
    <cellStyle name="Normal 4 6 2 5 3 2" xfId="18831" xr:uid="{66D3882B-A6BA-47A6-8426-7BF6347CC412}"/>
    <cellStyle name="Normal 4 6 2 5 4" xfId="11284" xr:uid="{0D6E7808-C939-4A45-835C-6D27BEA1445A}"/>
    <cellStyle name="Normal 4 6 2 5 4 2" xfId="21664" xr:uid="{0C4BD208-8BE2-47DF-95F1-9787C9753DB7}"/>
    <cellStyle name="Normal 4 6 2 5 5" xfId="23231" xr:uid="{A0757412-99F0-4C37-9858-3E46AAA0C5DD}"/>
    <cellStyle name="Normal 4 6 2 5 6" xfId="13938" xr:uid="{E9B9564E-68B5-4E24-9065-9266C55071EC}"/>
    <cellStyle name="Normal 4 6 2 6" xfId="2549" xr:uid="{00000000-0005-0000-0000-00008D060000}"/>
    <cellStyle name="Normal 4 6 2 6 2" xfId="5821" xr:uid="{41544DA0-315C-44C7-AB6A-C9E301631538}"/>
    <cellStyle name="Normal 4 6 2 6 2 2" xfId="27511" xr:uid="{B3544BF6-F1E3-4B61-A540-E164104E4554}"/>
    <cellStyle name="Normal 4 6 2 6 2 3" xfId="15221" xr:uid="{7CD8B811-98BB-46E5-9CBA-D4CB87EA26E7}"/>
    <cellStyle name="Normal 4 6 2 6 3" xfId="7674" xr:uid="{7DCDBF62-8E47-4CB3-B802-602270E11C65}"/>
    <cellStyle name="Normal 4 6 2 6 3 2" xfId="18054" xr:uid="{61C0FDFA-84FE-454C-BD28-7756B99CB7D9}"/>
    <cellStyle name="Normal 4 6 2 6 4" xfId="10507" xr:uid="{0844F20E-431F-4A55-9533-1A1A9A61E0C7}"/>
    <cellStyle name="Normal 4 6 2 6 4 2" xfId="20887" xr:uid="{2882705B-DE5A-47A0-980E-CCA99F13C3A7}"/>
    <cellStyle name="Normal 4 6 2 6 5" xfId="22884" xr:uid="{E569D9BE-2496-4E68-BCDB-7012DD07E64E}"/>
    <cellStyle name="Normal 4 6 2 6 6" xfId="12937" xr:uid="{5886AA2B-A425-4F55-ACF6-F4BA10054406}"/>
    <cellStyle name="Normal 4 6 2 7" xfId="2243" xr:uid="{00000000-0005-0000-0000-000083060000}"/>
    <cellStyle name="Normal 4 6 2 7 2" xfId="7370" xr:uid="{84744B32-E0B7-4FC2-BB3B-B844A50F7DD0}"/>
    <cellStyle name="Normal 4 6 2 7 2 2" xfId="17750" xr:uid="{EDB24E2C-1183-4A31-B407-E5DFC0DCEDDC}"/>
    <cellStyle name="Normal 4 6 2 7 3" xfId="10203" xr:uid="{BA064AAF-62D6-4D3E-A5FB-B26EF5E73022}"/>
    <cellStyle name="Normal 4 6 2 7 3 2" xfId="20583" xr:uid="{FC3E2AD7-2C23-44A9-8943-266601646C4B}"/>
    <cellStyle name="Normal 4 6 2 7 4" xfId="25327" xr:uid="{222E9E21-D11A-4201-9FF5-9E84412AD29A}"/>
    <cellStyle name="Normal 4 6 2 7 5" xfId="14917" xr:uid="{8E47B897-A7B3-49F2-94FB-E0E005800D29}"/>
    <cellStyle name="Normal 4 6 2 8" xfId="3796" xr:uid="{66B84ED8-BC9E-4498-A73B-35889857A41E}"/>
    <cellStyle name="Normal 4 6 2 8 2" xfId="8632" xr:uid="{0F4416F8-99F8-41E9-A3CF-47FF7549839A}"/>
    <cellStyle name="Normal 4 6 2 8 2 2" xfId="19012" xr:uid="{A666FD74-CE94-4372-8D89-8248332C0E1E}"/>
    <cellStyle name="Normal 4 6 2 8 3" xfId="11465" xr:uid="{A0875D6F-228A-4E12-BCF7-F94FD1AB637F}"/>
    <cellStyle name="Normal 4 6 2 8 3 2" xfId="21845" xr:uid="{DE2D0665-F305-444B-955F-D1DD4BFCD16F}"/>
    <cellStyle name="Normal 4 6 2 8 4" xfId="16179" xr:uid="{38500B39-885A-4599-BE45-97D879E734F5}"/>
    <cellStyle name="Normal 4 6 2 9" xfId="5329" xr:uid="{65FE34F6-2A0D-4B2D-BC52-5DA0F62E3CEE}"/>
    <cellStyle name="Normal 4 6 2 9 2" xfId="14627" xr:uid="{005A2762-6103-4BE6-A709-99F685D5DE72}"/>
    <cellStyle name="Normal 4 6 3" xfId="1028" xr:uid="{00000000-0005-0000-0000-0000B6050000}"/>
    <cellStyle name="Normal 4 6 3 10" xfId="9915" xr:uid="{65D62F54-5204-4AF7-A9C3-2B42FD0785E3}"/>
    <cellStyle name="Normal 4 6 3 10 2" xfId="20295" xr:uid="{8B81BF18-E32E-4551-B32C-DD2102694D8F}"/>
    <cellStyle name="Normal 4 6 3 11" xfId="24210" xr:uid="{C8F8A3B3-7610-4B3D-88F8-49B14B8E669F}"/>
    <cellStyle name="Normal 4 6 3 12" xfId="12609" xr:uid="{92ACC22C-1DCF-4694-902C-29F38736A8E4}"/>
    <cellStyle name="Normal 4 6 3 2" xfId="2800" xr:uid="{00000000-0005-0000-0000-00008F060000}"/>
    <cellStyle name="Normal 4 6 3 2 2" xfId="3378" xr:uid="{00000000-0005-0000-0000-000090060000}"/>
    <cellStyle name="Normal 4 6 3 2 2 2" xfId="6436" xr:uid="{ECC1323C-BBCE-4C05-85B0-B7CD0379B66F}"/>
    <cellStyle name="Normal 4 6 3 2 2 2 2" xfId="28307" xr:uid="{CC38E7A4-818E-4713-AA1B-5EDBDD564FF5}"/>
    <cellStyle name="Normal 4 6 3 2 2 2 3" xfId="16005" xr:uid="{5D2BBA40-6627-4DA8-894C-64BF6AFF0124}"/>
    <cellStyle name="Normal 4 6 3 2 2 3" xfId="8458" xr:uid="{43FD189E-CF21-4F1F-84A3-354648D057E9}"/>
    <cellStyle name="Normal 4 6 3 2 2 3 2" xfId="18838" xr:uid="{2B00C903-3F5A-47B0-8475-DB1A2595A7FF}"/>
    <cellStyle name="Normal 4 6 3 2 2 4" xfId="11291" xr:uid="{9F945B0E-35D3-47C6-B261-9488E148600D}"/>
    <cellStyle name="Normal 4 6 3 2 2 4 2" xfId="21671" xr:uid="{9BE4E36D-2165-4661-B95D-60B47B200893}"/>
    <cellStyle name="Normal 4 6 3 2 2 5" xfId="23902" xr:uid="{99ADA984-40C4-405F-9146-D49474D20BF9}"/>
    <cellStyle name="Normal 4 6 3 2 2 6" xfId="13945" xr:uid="{4251F45D-B259-4191-887B-749C4FDC8CE6}"/>
    <cellStyle name="Normal 4 6 3 2 3" xfId="4350" xr:uid="{901FB3A0-8012-498C-9CCB-3EF37ACD6D75}"/>
    <cellStyle name="Normal 4 6 3 2 3 2" xfId="9122" xr:uid="{D16C0C56-8186-4342-8995-BAEF3C464C17}"/>
    <cellStyle name="Normal 4 6 3 2 3 2 2" xfId="29165" xr:uid="{C7EF66EA-693F-4B28-9BBC-25B8894BDAE5}"/>
    <cellStyle name="Normal 4 6 3 2 3 2 3" xfId="19502" xr:uid="{5E451109-4797-4230-9A2C-67668D2DDAFC}"/>
    <cellStyle name="Normal 4 6 3 2 3 3" xfId="11955" xr:uid="{BEEED125-E58D-4368-AED4-BBD4584C6ED8}"/>
    <cellStyle name="Normal 4 6 3 2 3 3 2" xfId="22335" xr:uid="{33CE28C0-6194-40B2-BB08-EEACDD9E6787}"/>
    <cellStyle name="Normal 4 6 3 2 3 4" xfId="24025" xr:uid="{7989FA24-BFED-499B-9E24-07FDD2DAA521}"/>
    <cellStyle name="Normal 4 6 3 2 3 5" xfId="16669" xr:uid="{91CA9D4E-359C-4C52-8609-A7C8330665B8}"/>
    <cellStyle name="Normal 4 6 3 2 4" xfId="6018" xr:uid="{59E052AB-7D7E-4A3D-976D-4709C348FFB7}"/>
    <cellStyle name="Normal 4 6 3 2 4 2" xfId="26948" xr:uid="{02767540-DF5E-4B92-80D7-9FD45739C69D}"/>
    <cellStyle name="Normal 4 6 3 2 4 3" xfId="15471" xr:uid="{DDDB477A-4CD4-4AC8-84C7-B0A32B3EBDDC}"/>
    <cellStyle name="Normal 4 6 3 2 5" xfId="7924" xr:uid="{4E6E7CA1-9D4F-4542-984E-C278AFFBBC10}"/>
    <cellStyle name="Normal 4 6 3 2 5 2" xfId="18304" xr:uid="{61542B72-7518-472E-BD8F-792E0FF34D99}"/>
    <cellStyle name="Normal 4 6 3 2 6" xfId="10757" xr:uid="{ABD51765-B398-485E-8795-9B8333D02366}"/>
    <cellStyle name="Normal 4 6 3 2 6 2" xfId="21137" xr:uid="{93867C53-5D9A-4BD7-90FE-2978CC3A71BD}"/>
    <cellStyle name="Normal 4 6 3 2 7" xfId="23038" xr:uid="{D9FA77CE-9ED0-4400-9135-1F8631E9D081}"/>
    <cellStyle name="Normal 4 6 3 2 8" xfId="13262" xr:uid="{51C5BCC4-BF37-4FC8-A816-6C0EC2E4824E}"/>
    <cellStyle name="Normal 4 6 3 3" xfId="3379" xr:uid="{00000000-0005-0000-0000-000091060000}"/>
    <cellStyle name="Normal 4 6 3 3 2" xfId="4548" xr:uid="{E221C829-7C95-4079-854A-5EBDF76DD425}"/>
    <cellStyle name="Normal 4 6 3 3 2 2" xfId="9320" xr:uid="{4DEF5092-6EB7-4BC7-9957-FECF1C25D9F1}"/>
    <cellStyle name="Normal 4 6 3 3 2 2 2" xfId="29295" xr:uid="{D3A93D07-91C3-4843-A204-60D26D324504}"/>
    <cellStyle name="Normal 4 6 3 3 2 2 3" xfId="19700" xr:uid="{DD7743E5-D6EA-4048-BE56-A3455AB786FD}"/>
    <cellStyle name="Normal 4 6 3 3 2 3" xfId="12153" xr:uid="{77A8F7AB-4E87-4258-807B-C7F69B105ADF}"/>
    <cellStyle name="Normal 4 6 3 3 2 3 2" xfId="22533" xr:uid="{58610B75-D3AA-4372-AE19-009B80C3D1A7}"/>
    <cellStyle name="Normal 4 6 3 3 2 4" xfId="24087" xr:uid="{0D6BCC69-94B7-4F2D-AFED-7BA5C54DEC4A}"/>
    <cellStyle name="Normal 4 6 3 3 2 5" xfId="16867" xr:uid="{27469A74-8DD6-41A1-B7AC-C6C4FAAFD828}"/>
    <cellStyle name="Normal 4 6 3 3 3" xfId="6437" xr:uid="{623468F2-DB1D-4A25-9F04-83975724908B}"/>
    <cellStyle name="Normal 4 6 3 3 3 2" xfId="27818" xr:uid="{EBF82967-C964-4B43-BCF0-0679A04E8F94}"/>
    <cellStyle name="Normal 4 6 3 3 3 3" xfId="16006" xr:uid="{5494DBDC-DD7D-4D87-8DEE-442698AE16EA}"/>
    <cellStyle name="Normal 4 6 3 3 4" xfId="8459" xr:uid="{A8365E87-BB44-439D-9A0C-3F33A415FE65}"/>
    <cellStyle name="Normal 4 6 3 3 4 2" xfId="18839" xr:uid="{18EEF64B-50EE-4128-A3E3-2DA4BBF896F7}"/>
    <cellStyle name="Normal 4 6 3 3 5" xfId="11292" xr:uid="{789E31E8-3EB5-48E4-B8B1-CABF5AA7D4A0}"/>
    <cellStyle name="Normal 4 6 3 3 5 2" xfId="21672" xr:uid="{0DEB7017-66B9-4564-A4BB-9E3C9FE50BAC}"/>
    <cellStyle name="Normal 4 6 3 3 6" xfId="25504" xr:uid="{3436378B-9E79-4637-A21E-71AC240B0DDD}"/>
    <cellStyle name="Normal 4 6 3 3 7" xfId="13946" xr:uid="{9AF3BE5F-10EF-4920-A4B5-935A140E3D04}"/>
    <cellStyle name="Normal 4 6 3 4" xfId="3377" xr:uid="{00000000-0005-0000-0000-000092060000}"/>
    <cellStyle name="Normal 4 6 3 4 2" xfId="6435" xr:uid="{A886D118-9798-4B5F-B36C-335C108265F6}"/>
    <cellStyle name="Normal 4 6 3 4 2 2" xfId="26706" xr:uid="{FAB36108-C6D0-47AF-BEE1-BC28397C8375}"/>
    <cellStyle name="Normal 4 6 3 4 2 3" xfId="16004" xr:uid="{CB19526C-0119-4CF9-AAB4-86A3527D295C}"/>
    <cellStyle name="Normal 4 6 3 4 3" xfId="8457" xr:uid="{AF3CC76E-0B3E-4EB8-A8A1-5953B3F0274B}"/>
    <cellStyle name="Normal 4 6 3 4 3 2" xfId="18837" xr:uid="{2EFF01A5-BFE2-42F0-B845-57884D25FD7F}"/>
    <cellStyle name="Normal 4 6 3 4 4" xfId="11290" xr:uid="{625C0DC1-3F0E-4E75-8366-20573A204629}"/>
    <cellStyle name="Normal 4 6 3 4 4 2" xfId="21670" xr:uid="{F42CB666-5D98-4AB0-8DA7-A311C7ED6FFD}"/>
    <cellStyle name="Normal 4 6 3 4 5" xfId="25122" xr:uid="{8232A13F-E8FD-43DB-A4C5-900C2D745B05}"/>
    <cellStyle name="Normal 4 6 3 4 6" xfId="13944" xr:uid="{E230A255-7C47-4E73-9DCC-7CC97062DFB8}"/>
    <cellStyle name="Normal 4 6 3 5" xfId="2592" xr:uid="{00000000-0005-0000-0000-000093060000}"/>
    <cellStyle name="Normal 4 6 3 5 2" xfId="5857" xr:uid="{6D81AD73-E358-4DC6-B538-A344F8457572}"/>
    <cellStyle name="Normal 4 6 3 5 2 2" xfId="26791" xr:uid="{16CED827-F0E7-46A8-96CD-1D6D37DD6EC7}"/>
    <cellStyle name="Normal 4 6 3 5 2 3" xfId="15264" xr:uid="{44B554EA-51CE-4740-88C4-673048E6CE4E}"/>
    <cellStyle name="Normal 4 6 3 5 3" xfId="7717" xr:uid="{E5302134-8F60-4297-9414-BF9364858382}"/>
    <cellStyle name="Normal 4 6 3 5 3 2" xfId="18097" xr:uid="{95A2416F-C317-4DCF-B9B0-F5D2680D25D6}"/>
    <cellStyle name="Normal 4 6 3 5 4" xfId="10550" xr:uid="{6189DE3A-7947-47B5-BFBB-FE8ED5761E0A}"/>
    <cellStyle name="Normal 4 6 3 5 4 2" xfId="20930" xr:uid="{44CBDEB3-C6B6-4F6D-A1B9-6FE03C2B83B1}"/>
    <cellStyle name="Normal 4 6 3 5 5" xfId="23929" xr:uid="{BC0E6D03-EBDA-495D-884C-09FD51EE881D}"/>
    <cellStyle name="Normal 4 6 3 5 6" xfId="12980" xr:uid="{40EAB2F3-82C5-4BFA-8CBB-A38D930B46D9}"/>
    <cellStyle name="Normal 4 6 3 6" xfId="2375" xr:uid="{00000000-0005-0000-0000-00008E060000}"/>
    <cellStyle name="Normal 4 6 3 6 2" xfId="7502" xr:uid="{D5F0E475-829F-4382-B8E0-F6660E807072}"/>
    <cellStyle name="Normal 4 6 3 6 2 2" xfId="17882" xr:uid="{4937C117-2160-4AB8-BEBD-AABD170FF688}"/>
    <cellStyle name="Normal 4 6 3 6 3" xfId="10335" xr:uid="{EBC08E7D-5530-47D8-A3F4-26578A6FE87F}"/>
    <cellStyle name="Normal 4 6 3 6 3 2" xfId="20715" xr:uid="{7AC2691F-6757-43AF-BCC2-16AE5386A8B5}"/>
    <cellStyle name="Normal 4 6 3 6 4" xfId="25446" xr:uid="{9C4F7415-8D2D-4E21-9BFE-337BF7D76875}"/>
    <cellStyle name="Normal 4 6 3 6 5" xfId="15049" xr:uid="{F992069E-7030-4E0F-8FC2-7DF6BC38C7D4}"/>
    <cellStyle name="Normal 4 6 3 7" xfId="3926" xr:uid="{924801CF-FC74-4CA9-B147-9E360EDB88E6}"/>
    <cellStyle name="Normal 4 6 3 7 2" xfId="8758" xr:uid="{4D943242-7C2D-42A4-A9EF-D885DE73F0F0}"/>
    <cellStyle name="Normal 4 6 3 7 2 2" xfId="19138" xr:uid="{88F63E08-9EF1-4D65-85FD-DB425D9DEE45}"/>
    <cellStyle name="Normal 4 6 3 7 3" xfId="11591" xr:uid="{D4F74956-11A9-4EC4-881E-71BDF2275367}"/>
    <cellStyle name="Normal 4 6 3 7 3 2" xfId="21971" xr:uid="{19FDC02D-D04F-456E-9356-E9B81E218EC7}"/>
    <cellStyle name="Normal 4 6 3 7 4" xfId="16305" xr:uid="{E6E6D48B-F82C-45C2-B441-F678F8C3916E}"/>
    <cellStyle name="Normal 4 6 3 8" xfId="5331" xr:uid="{607ADC84-15AD-45CE-8404-B51B4BCF585F}"/>
    <cellStyle name="Normal 4 6 3 8 2" xfId="14629" xr:uid="{423F566A-93EB-4271-9D48-AE6925D4E99E}"/>
    <cellStyle name="Normal 4 6 3 9" xfId="7082" xr:uid="{6B1299FA-5846-4160-B210-58C7C0DDF07D}"/>
    <cellStyle name="Normal 4 6 3 9 2" xfId="17462" xr:uid="{3A67E0D5-267D-4E35-8F08-7307358D77B8}"/>
    <cellStyle name="Normal 4 6 4" xfId="1029" xr:uid="{00000000-0005-0000-0000-0000B7050000}"/>
    <cellStyle name="Normal 4 6 4 2" xfId="3380" xr:uid="{00000000-0005-0000-0000-000095060000}"/>
    <cellStyle name="Normal 4 6 4 2 2" xfId="6438" xr:uid="{DF2BC96C-2FB0-4962-9806-62CD31B7ECED}"/>
    <cellStyle name="Normal 4 6 4 2 2 2" xfId="26974" xr:uid="{8716AC8C-11C4-474C-8456-E9B906350AA6}"/>
    <cellStyle name="Normal 4 6 4 2 2 3" xfId="16007" xr:uid="{A2B4B55D-AE48-42DA-9B4D-D608BAA9A44D}"/>
    <cellStyle name="Normal 4 6 4 2 3" xfId="8460" xr:uid="{6DBD12A6-2213-429C-AC16-8933FD49C409}"/>
    <cellStyle name="Normal 4 6 4 2 3 2" xfId="18840" xr:uid="{8135583A-409D-4449-BE67-C70F4FC82A0F}"/>
    <cellStyle name="Normal 4 6 4 2 4" xfId="11293" xr:uid="{974BD558-C368-47BB-B456-94E3E124EE42}"/>
    <cellStyle name="Normal 4 6 4 2 4 2" xfId="21673" xr:uid="{8B909957-D330-4C32-9A3C-E9EA72CC9DF6}"/>
    <cellStyle name="Normal 4 6 4 2 5" xfId="23756" xr:uid="{80E40EDF-AC2D-43E5-AF8D-8B8412EA8E75}"/>
    <cellStyle name="Normal 4 6 4 2 6" xfId="13947" xr:uid="{9AC6C785-FA2C-4C59-9E87-BABB63367A3C}"/>
    <cellStyle name="Normal 4 6 4 3" xfId="2797" xr:uid="{00000000-0005-0000-0000-000096060000}"/>
    <cellStyle name="Normal 4 6 4 3 2" xfId="6015" xr:uid="{6C483FC5-646A-4F50-85C1-8E995DCF95F1}"/>
    <cellStyle name="Normal 4 6 4 3 2 2" xfId="27504" xr:uid="{8ADA07F8-9A0B-4FC4-A429-84D780E180CE}"/>
    <cellStyle name="Normal 4 6 4 3 2 3" xfId="15468" xr:uid="{C62DDB48-E9B1-4C52-9486-4A9C55884380}"/>
    <cellStyle name="Normal 4 6 4 3 3" xfId="7921" xr:uid="{10E3C720-B3FB-4150-8280-9F5978754AB3}"/>
    <cellStyle name="Normal 4 6 4 3 3 2" xfId="18301" xr:uid="{8BB6CA60-1AC8-47E9-9408-6B49377EC56A}"/>
    <cellStyle name="Normal 4 6 4 3 4" xfId="10754" xr:uid="{21F570A0-3A0C-4A55-830B-E33CF98C2F1B}"/>
    <cellStyle name="Normal 4 6 4 3 4 2" xfId="21134" xr:uid="{BE0654F7-F076-4459-B2AE-3701B9BDDD41}"/>
    <cellStyle name="Normal 4 6 4 3 5" xfId="24885" xr:uid="{5608BF8D-F8BE-4E20-9495-238DAD20BFD1}"/>
    <cellStyle name="Normal 4 6 4 3 6" xfId="13259" xr:uid="{D4DC4BC2-2489-434E-B83E-F5C77EB46244}"/>
    <cellStyle name="Normal 4 6 4 4" xfId="4201" xr:uid="{A57E2CE8-3522-4BE4-A60A-936B9032D4FA}"/>
    <cellStyle name="Normal 4 6 4 4 2" xfId="8973" xr:uid="{C94728F6-AC6E-455A-908E-50D33529407D}"/>
    <cellStyle name="Normal 4 6 4 4 2 2" xfId="19353" xr:uid="{0CA64AC8-0492-4B95-9D47-014B6E1AABEE}"/>
    <cellStyle name="Normal 4 6 4 4 3" xfId="11806" xr:uid="{4AD76A22-88B8-4419-862B-F0BD30D77D2E}"/>
    <cellStyle name="Normal 4 6 4 4 3 2" xfId="22186" xr:uid="{4EB621FE-93A1-4D11-87A8-8318FEB65438}"/>
    <cellStyle name="Normal 4 6 4 4 4" xfId="23076" xr:uid="{733A50BF-9F77-4A27-B6D3-AC1CAF03E720}"/>
    <cellStyle name="Normal 4 6 4 4 5" xfId="16520" xr:uid="{645438F7-51BC-45C7-AE07-E4D07A053734}"/>
    <cellStyle name="Normal 4 6 4 5" xfId="5332" xr:uid="{9AB68C42-FC3A-4C78-8542-B8DA3FD6B9FB}"/>
    <cellStyle name="Normal 4 6 4 5 2" xfId="14630" xr:uid="{73F47F6E-2A0E-4804-AC52-DADCA8073015}"/>
    <cellStyle name="Normal 4 6 4 6" xfId="7083" xr:uid="{73D88EF4-697B-4643-B67A-ADBF92497027}"/>
    <cellStyle name="Normal 4 6 4 6 2" xfId="17463" xr:uid="{E2F6927A-9127-41AD-A8A9-A72D9C1DEF4A}"/>
    <cellStyle name="Normal 4 6 4 7" xfId="9916" xr:uid="{505BD350-6781-42B3-B3A5-60CCEB242031}"/>
    <cellStyle name="Normal 4 6 4 7 2" xfId="20296" xr:uid="{BC126441-CDF2-49F7-8E8E-C90F634FFA7D}"/>
    <cellStyle name="Normal 4 6 4 8" xfId="24942" xr:uid="{8CBEC4C0-6167-4ACD-B708-2F1EF5FCBA0D}"/>
    <cellStyle name="Normal 4 6 4 9" xfId="12767" xr:uid="{F1573951-130D-4364-86D9-F96C85D8EA5C}"/>
    <cellStyle name="Normal 4 6 5" xfId="3381" xr:uid="{00000000-0005-0000-0000-000097060000}"/>
    <cellStyle name="Normal 4 6 5 2" xfId="4549" xr:uid="{581CFBF6-C1AC-444F-A46C-02981E676F45}"/>
    <cellStyle name="Normal 4 6 5 2 2" xfId="9321" xr:uid="{CFAAE2CF-B7A9-4A13-A923-164E8CDC0A96}"/>
    <cellStyle name="Normal 4 6 5 2 2 2" xfId="29296" xr:uid="{ED4DE572-AFE9-42EB-A725-25F832C8068A}"/>
    <cellStyle name="Normal 4 6 5 2 2 3" xfId="19701" xr:uid="{E0FCC1E7-FE38-42F2-B0E0-07FCC59D20A8}"/>
    <cellStyle name="Normal 4 6 5 2 3" xfId="12154" xr:uid="{A1925F0E-E782-467A-B13D-335839335128}"/>
    <cellStyle name="Normal 4 6 5 2 3 2" xfId="22534" xr:uid="{AC00FD10-3A98-4B2C-827D-6861B8AA029B}"/>
    <cellStyle name="Normal 4 6 5 2 4" xfId="23305" xr:uid="{C9677F74-E8DA-4B04-B1E5-90A610B7759B}"/>
    <cellStyle name="Normal 4 6 5 2 5" xfId="16868" xr:uid="{BBFEB372-A371-413B-BB71-5A998ACFD46D}"/>
    <cellStyle name="Normal 4 6 5 3" xfId="6439" xr:uid="{7BEDD6E8-8DEB-4481-93FD-E3DDF32C9C2E}"/>
    <cellStyle name="Normal 4 6 5 3 2" xfId="26244" xr:uid="{243F8F15-6787-4C0A-A720-7FADCA7EEA10}"/>
    <cellStyle name="Normal 4 6 5 3 3" xfId="16008" xr:uid="{A5D04E9F-CB05-4A4F-8261-564A0F8E7F47}"/>
    <cellStyle name="Normal 4 6 5 4" xfId="8461" xr:uid="{532730D0-B859-46F1-8F49-E074F3AD6383}"/>
    <cellStyle name="Normal 4 6 5 4 2" xfId="18841" xr:uid="{DBB5BC43-DA6F-4B42-B0E7-8C259BA09246}"/>
    <cellStyle name="Normal 4 6 5 5" xfId="11294" xr:uid="{162DD07D-91B8-403D-9E9D-0E51B22F1306}"/>
    <cellStyle name="Normal 4 6 5 5 2" xfId="21674" xr:uid="{A456DF34-40D1-4C8D-9238-1A647AA31703}"/>
    <cellStyle name="Normal 4 6 5 6" xfId="25112" xr:uid="{0CC5BDD8-8D65-423E-85DA-4B5C43D446A2}"/>
    <cellStyle name="Normal 4 6 5 7" xfId="13948" xr:uid="{197DA3D7-F9EF-4319-8013-37E02FA82DBE}"/>
    <cellStyle name="Normal 4 6 6" xfId="2944" xr:uid="{00000000-0005-0000-0000-000098060000}"/>
    <cellStyle name="Normal 4 6 6 2" xfId="6124" xr:uid="{AB61B0ED-0C05-4DA9-A5B5-9B1C7FDA926D}"/>
    <cellStyle name="Normal 4 6 6 2 2" xfId="26509" xr:uid="{4E26FDE3-85AD-41CB-BE54-C9C7D9AED855}"/>
    <cellStyle name="Normal 4 6 6 2 3" xfId="15602" xr:uid="{FEB8E9C5-960A-4575-8FDE-A17B18FE6308}"/>
    <cellStyle name="Normal 4 6 6 3" xfId="8055" xr:uid="{7E7448F5-FD6C-40E9-A151-B5B80535108C}"/>
    <cellStyle name="Normal 4 6 6 3 2" xfId="18435" xr:uid="{DE24D157-716F-431F-890B-BD71DF75388E}"/>
    <cellStyle name="Normal 4 6 6 4" xfId="10888" xr:uid="{4AF5FA3F-E5DF-451E-B08B-27DE264D3C73}"/>
    <cellStyle name="Normal 4 6 6 4 2" xfId="21268" xr:uid="{85296F37-8CF4-4711-AAD8-2164B0504D56}"/>
    <cellStyle name="Normal 4 6 6 5" xfId="24035" xr:uid="{EFD7E220-F198-47E0-B4BD-5358AAF6C1A3}"/>
    <cellStyle name="Normal 4 6 6 6" xfId="13465" xr:uid="{2503850D-3D78-45E2-B8FA-EB848C72E4DA}"/>
    <cellStyle name="Normal 4 6 7" xfId="2489" xr:uid="{00000000-0005-0000-0000-000099060000}"/>
    <cellStyle name="Normal 4 6 7 2" xfId="5774" xr:uid="{50B46806-7D8D-42E2-9C6C-C21CBC4D37E3}"/>
    <cellStyle name="Normal 4 6 7 2 2" xfId="26160" xr:uid="{5256F9A0-EFB7-41AC-8504-22C92C43AF49}"/>
    <cellStyle name="Normal 4 6 7 2 3" xfId="15161" xr:uid="{6897A209-42EE-48B8-BFAE-E2EB752E78D0}"/>
    <cellStyle name="Normal 4 6 7 3" xfId="7614" xr:uid="{928CE829-45FF-468E-A724-D3EE3587A3C7}"/>
    <cellStyle name="Normal 4 6 7 3 2" xfId="17994" xr:uid="{F45296D9-6049-45CD-B7D0-0CFB0861CF15}"/>
    <cellStyle name="Normal 4 6 7 4" xfId="10447" xr:uid="{BA5CEA8B-76A7-4BFB-BA5E-EAEA0955FEB6}"/>
    <cellStyle name="Normal 4 6 7 4 2" xfId="20827" xr:uid="{A8D583BB-F8BD-4143-BF7C-57AA7EAD4000}"/>
    <cellStyle name="Normal 4 6 7 5" xfId="23320" xr:uid="{103450DD-2735-4A4C-A33D-984DF1C76EF3}"/>
    <cellStyle name="Normal 4 6 7 6" xfId="12877" xr:uid="{5E9881F1-2B8A-4A6A-B900-3DD69FFF754E}"/>
    <cellStyle name="Normal 4 6 8" xfId="2183" xr:uid="{00000000-0005-0000-0000-000082060000}"/>
    <cellStyle name="Normal 4 6 8 2" xfId="7310" xr:uid="{15F803F6-1D1C-408C-8311-625EC20A9C42}"/>
    <cellStyle name="Normal 4 6 8 2 2" xfId="17690" xr:uid="{ECBBA2BE-6D98-41EE-955A-755DC0787FD2}"/>
    <cellStyle name="Normal 4 6 8 3" xfId="10143" xr:uid="{D7A27A57-4429-427A-B428-FE3C620908DD}"/>
    <cellStyle name="Normal 4 6 8 3 2" xfId="20523" xr:uid="{27F0C316-878F-4708-A6DC-5E58065A94E5}"/>
    <cellStyle name="Normal 4 6 8 4" xfId="24271" xr:uid="{57A341D5-D594-4091-B7AB-8FBEB2695850}"/>
    <cellStyle name="Normal 4 6 8 5" xfId="14857" xr:uid="{B9219575-002C-4DFB-927E-315FE24DBD76}"/>
    <cellStyle name="Normal 4 6 9" xfId="3996" xr:uid="{5B3FB2E7-98AC-4D7F-BA21-C2139A83A87B}"/>
    <cellStyle name="Normal 4 6 9 2" xfId="8820" xr:uid="{3E5090D4-3654-4158-BCF2-FABCE5B40C12}"/>
    <cellStyle name="Normal 4 6 9 2 2" xfId="19200" xr:uid="{7D347B0F-9A4C-4D9C-8307-CFF1A1F2517E}"/>
    <cellStyle name="Normal 4 6 9 3" xfId="11653" xr:uid="{86DCD437-03D8-46D8-8996-3ADBC1159A65}"/>
    <cellStyle name="Normal 4 6 9 3 2" xfId="22033" xr:uid="{50E8EB04-21AB-46A5-8681-584EA55457EA}"/>
    <cellStyle name="Normal 4 6 9 4" xfId="16367" xr:uid="{6FA59F06-511F-49EB-9289-21244F33BEA0}"/>
    <cellStyle name="Normal 4 7" xfId="1030" xr:uid="{00000000-0005-0000-0000-0000B8050000}"/>
    <cellStyle name="Normal 4 7 10" xfId="5333" xr:uid="{ECD87BB0-BD90-49E2-9EE4-1F117221ACC5}"/>
    <cellStyle name="Normal 4 7 10 2" xfId="14631" xr:uid="{578552DA-6914-4709-8E5C-C93C603F32F4}"/>
    <cellStyle name="Normal 4 7 11" xfId="7084" xr:uid="{9290D053-35CD-4DAD-B80F-CACC9D3EF23C}"/>
    <cellStyle name="Normal 4 7 11 2" xfId="17464" xr:uid="{9A5C5777-3C3B-4BE8-A61E-31C493E774F9}"/>
    <cellStyle name="Normal 4 7 12" xfId="9917" xr:uid="{54880313-3C79-496B-A6D2-CCD9E0A1380A}"/>
    <cellStyle name="Normal 4 7 12 2" xfId="20297" xr:uid="{A2342BC1-9AA9-4364-9E56-FE359188ABB0}"/>
    <cellStyle name="Normal 4 7 13" xfId="23856" xr:uid="{EBC395B5-5298-4DCD-92C9-D8E9E3D2D57F}"/>
    <cellStyle name="Normal 4 7 14" xfId="12449" xr:uid="{FCC9BB74-58F6-4344-8DA8-0B927FF84A14}"/>
    <cellStyle name="Normal 4 7 2" xfId="1031" xr:uid="{00000000-0005-0000-0000-0000B9050000}"/>
    <cellStyle name="Normal 4 7 2 10" xfId="9918" xr:uid="{94CF7FCF-8478-4AE2-BFEB-AA8994DB8173}"/>
    <cellStyle name="Normal 4 7 2 10 2" xfId="20298" xr:uid="{B8110599-1DF2-4031-8E30-7BC6F555E3E1}"/>
    <cellStyle name="Normal 4 7 2 11" xfId="23059" xr:uid="{C66A64D2-0115-49AB-8BAC-36C4C9F008CD}"/>
    <cellStyle name="Normal 4 7 2 12" xfId="12610" xr:uid="{372D399D-0D52-40E3-994E-BA9ACBAB3711}"/>
    <cellStyle name="Normal 4 7 2 2" xfId="1032" xr:uid="{00000000-0005-0000-0000-0000BA050000}"/>
    <cellStyle name="Normal 4 7 2 2 2" xfId="3383" xr:uid="{00000000-0005-0000-0000-00009D060000}"/>
    <cellStyle name="Normal 4 7 2 2 2 2" xfId="6441" xr:uid="{E8A3B782-7144-4FB0-A0EE-14B664F1AEEF}"/>
    <cellStyle name="Normal 4 7 2 2 2 2 2" xfId="28066" xr:uid="{29F7E3EA-44BD-4021-8043-DAFB97F08BE6}"/>
    <cellStyle name="Normal 4 7 2 2 2 2 3" xfId="28198" xr:uid="{4F7C77A2-78FE-4A4A-B990-19A68F9D2F5F}"/>
    <cellStyle name="Normal 4 7 2 2 2 2 4" xfId="16010" xr:uid="{F484AA9B-596C-4BA3-AAF6-DE2DAFBC6117}"/>
    <cellStyle name="Normal 4 7 2 2 2 3" xfId="8463" xr:uid="{DB1A5F90-6857-43A1-8F1C-44EADF4E8061}"/>
    <cellStyle name="Normal 4 7 2 2 2 3 2" xfId="28920" xr:uid="{76A5D998-14F7-4EAD-91A8-CE53040F9BFB}"/>
    <cellStyle name="Normal 4 7 2 2 2 3 3" xfId="18843" xr:uid="{5A3404FA-1001-4144-A50A-EE677EE8B9B8}"/>
    <cellStyle name="Normal 4 7 2 2 2 4" xfId="11296" xr:uid="{A28B9933-EC09-4B39-9F68-FD7D5F491CFA}"/>
    <cellStyle name="Normal 4 7 2 2 2 4 2" xfId="21676" xr:uid="{139D2729-7A86-450C-ADE0-E252CD4B5BC9}"/>
    <cellStyle name="Normal 4 7 2 2 2 5" xfId="25331" xr:uid="{8FF248EE-F638-42F5-ACC7-A7C7BDB6519A}"/>
    <cellStyle name="Normal 4 7 2 2 2 6" xfId="13950" xr:uid="{29518F3D-1C02-4796-BB61-1355E1A9BFAF}"/>
    <cellStyle name="Normal 4 7 2 2 3" xfId="4352" xr:uid="{7C9569F9-0B92-4310-B4E2-53E9059F7EF8}"/>
    <cellStyle name="Normal 4 7 2 2 3 2" xfId="9124" xr:uid="{63FAED40-B796-4AEF-BC17-2BF11FA5189D}"/>
    <cellStyle name="Normal 4 7 2 2 3 2 2" xfId="29167" xr:uid="{F085E40B-C5E6-49D6-AEE1-8FC4AA0BDC7C}"/>
    <cellStyle name="Normal 4 7 2 2 3 2 3" xfId="19504" xr:uid="{98648650-F394-48D4-AE0E-51BE9FF8CA15}"/>
    <cellStyle name="Normal 4 7 2 2 3 3" xfId="11957" xr:uid="{8F26758B-F365-4B22-97EB-7FE5B65756B4}"/>
    <cellStyle name="Normal 4 7 2 2 3 3 2" xfId="22337" xr:uid="{F4405DCB-26E9-4D89-AA90-63F15D2747C7}"/>
    <cellStyle name="Normal 4 7 2 2 3 4" xfId="24691" xr:uid="{7F0753E8-F1BD-409E-8269-F6CE2CD8D05E}"/>
    <cellStyle name="Normal 4 7 2 2 3 5" xfId="16671" xr:uid="{09AD0ACB-335F-4A42-90EB-CAD05ED9EB23}"/>
    <cellStyle name="Normal 4 7 2 2 4" xfId="5335" xr:uid="{DB1BE809-91C4-4487-99CB-BA78682A7C08}"/>
    <cellStyle name="Normal 4 7 2 2 4 2" xfId="28189" xr:uid="{A26A072C-D439-465F-8D03-1CF7DF9CD02C}"/>
    <cellStyle name="Normal 4 7 2 2 4 3" xfId="14633" xr:uid="{0139C56B-5A9C-45D6-BBB5-8554DD1B4F94}"/>
    <cellStyle name="Normal 4 7 2 2 5" xfId="7086" xr:uid="{B0630248-094C-483E-9963-30E693C048AA}"/>
    <cellStyle name="Normal 4 7 2 2 5 2" xfId="17466" xr:uid="{E06B5C2A-5D99-4097-B1BA-91F8173A2815}"/>
    <cellStyle name="Normal 4 7 2 2 6" xfId="9919" xr:uid="{7D9B4A9C-318A-435B-8C9E-76189CD7F2C3}"/>
    <cellStyle name="Normal 4 7 2 2 6 2" xfId="20299" xr:uid="{A6ED4FA1-0582-4D26-AC7A-0D47AB97FF54}"/>
    <cellStyle name="Normal 4 7 2 2 7" xfId="25434" xr:uid="{EB845783-5C7F-4EDB-A2B7-8BC7C5A27B2D}"/>
    <cellStyle name="Normal 4 7 2 2 8" xfId="13264" xr:uid="{913CF532-A37B-483B-993E-FE9409C1DF05}"/>
    <cellStyle name="Normal 4 7 2 3" xfId="3384" xr:uid="{00000000-0005-0000-0000-00009E060000}"/>
    <cellStyle name="Normal 4 7 2 3 2" xfId="4550" xr:uid="{46E8E3F4-9AB2-4D0B-B228-F3DC92A59B02}"/>
    <cellStyle name="Normal 4 7 2 3 2 2" xfId="9322" xr:uid="{2DA334AD-81EE-4891-BCB6-5089645CC691}"/>
    <cellStyle name="Normal 4 7 2 3 2 2 2" xfId="29297" xr:uid="{19A243B4-9041-4A6A-8E43-BA4AA68BEF79}"/>
    <cellStyle name="Normal 4 7 2 3 2 2 3" xfId="19702" xr:uid="{7C21054C-ACE6-499C-8990-14AA71D66B40}"/>
    <cellStyle name="Normal 4 7 2 3 2 3" xfId="12155" xr:uid="{2F241494-6F03-4B86-825D-30B31DD43E71}"/>
    <cellStyle name="Normal 4 7 2 3 2 3 2" xfId="22535" xr:uid="{AF42D84B-7E58-4283-B265-DE2E94B06C5A}"/>
    <cellStyle name="Normal 4 7 2 3 2 4" xfId="23486" xr:uid="{5B829299-0FCA-4C9C-9574-D55A1DC93103}"/>
    <cellStyle name="Normal 4 7 2 3 2 5" xfId="16869" xr:uid="{07513BF6-2D82-4EC8-B8B0-AC57E661D50E}"/>
    <cellStyle name="Normal 4 7 2 3 3" xfId="6442" xr:uid="{1DDC8553-A0E4-4B99-B2E0-F701DA3F52F6}"/>
    <cellStyle name="Normal 4 7 2 3 3 2" xfId="27028" xr:uid="{C46C6744-48A7-43D5-8CD9-3FD923C8623C}"/>
    <cellStyle name="Normal 4 7 2 3 3 3" xfId="16011" xr:uid="{070E18B2-A9DA-412A-9425-8F969BB857C8}"/>
    <cellStyle name="Normal 4 7 2 3 4" xfId="8464" xr:uid="{0B5C1032-4D0D-46D5-ADEA-0B598EFEC199}"/>
    <cellStyle name="Normal 4 7 2 3 4 2" xfId="18844" xr:uid="{71DD5A18-900F-41BE-BF88-CC0809D70932}"/>
    <cellStyle name="Normal 4 7 2 3 5" xfId="11297" xr:uid="{79F1994A-278B-4DEF-AEC2-B86E8FFB31C5}"/>
    <cellStyle name="Normal 4 7 2 3 5 2" xfId="21677" xr:uid="{B6BBE588-2FB3-42B0-A3A6-9ECB44F53A85}"/>
    <cellStyle name="Normal 4 7 2 3 6" xfId="25019" xr:uid="{AE535D31-2888-43C8-804E-538BFB7C8FF7}"/>
    <cellStyle name="Normal 4 7 2 3 7" xfId="13951" xr:uid="{EF8865A0-2634-419C-81AC-1714230109F7}"/>
    <cellStyle name="Normal 4 7 2 4" xfId="3382" xr:uid="{00000000-0005-0000-0000-00009F060000}"/>
    <cellStyle name="Normal 4 7 2 4 2" xfId="6440" xr:uid="{44311F7F-2340-4F7A-9344-E05C23D09BCD}"/>
    <cellStyle name="Normal 4 7 2 4 2 2" xfId="28424" xr:uid="{1C11FF97-9659-4FB7-AC3B-B25BE5B4DB15}"/>
    <cellStyle name="Normal 4 7 2 4 2 3" xfId="16009" xr:uid="{C08F120F-7CC1-4EEB-A06A-816B435EB5B2}"/>
    <cellStyle name="Normal 4 7 2 4 3" xfId="8462" xr:uid="{A22906B9-4109-4F4C-BBF4-B084F26F0CCC}"/>
    <cellStyle name="Normal 4 7 2 4 3 2" xfId="18842" xr:uid="{1C94C6A9-D861-4BBE-9AA3-04ABD8CF95D3}"/>
    <cellStyle name="Normal 4 7 2 4 4" xfId="11295" xr:uid="{6BD22341-7B6C-4FB8-90AE-11D2A7650CD1}"/>
    <cellStyle name="Normal 4 7 2 4 4 2" xfId="21675" xr:uid="{2F38134A-C2EE-47AB-A1CD-74FA4985A5C7}"/>
    <cellStyle name="Normal 4 7 2 4 5" xfId="24340" xr:uid="{6965742A-DABB-4B5D-9CE3-B0D88D66FD56}"/>
    <cellStyle name="Normal 4 7 2 4 6" xfId="13949" xr:uid="{B6052090-0D22-43E5-88F5-DDA9F623168E}"/>
    <cellStyle name="Normal 4 7 2 5" xfId="2523" xr:uid="{00000000-0005-0000-0000-0000A0060000}"/>
    <cellStyle name="Normal 4 7 2 5 2" xfId="5800" xr:uid="{1AC14EAF-8ADA-411F-A2C1-37BEE74DE42E}"/>
    <cellStyle name="Normal 4 7 2 5 2 2" xfId="26469" xr:uid="{117D4155-8638-4B52-8860-014C54F77B84}"/>
    <cellStyle name="Normal 4 7 2 5 2 3" xfId="15195" xr:uid="{F470E651-EC4D-4C74-8AF6-4B70F2FCE2D5}"/>
    <cellStyle name="Normal 4 7 2 5 3" xfId="7648" xr:uid="{AC2A7936-D137-45E5-821B-FF609AA4C807}"/>
    <cellStyle name="Normal 4 7 2 5 3 2" xfId="18028" xr:uid="{58297419-9B42-45A9-8950-5062F9D9CCED}"/>
    <cellStyle name="Normal 4 7 2 5 4" xfId="10481" xr:uid="{05309789-5721-4EE0-BED9-D5CC4AA4F93F}"/>
    <cellStyle name="Normal 4 7 2 5 4 2" xfId="20861" xr:uid="{16FD0403-A5A0-41B4-980F-E4E5CA6782A1}"/>
    <cellStyle name="Normal 4 7 2 5 5" xfId="23081" xr:uid="{71E1624A-1843-43BD-9FAC-84A73E78AD77}"/>
    <cellStyle name="Normal 4 7 2 5 6" xfId="12911" xr:uid="{F3420428-407E-4F95-BBFF-207AD811E7A4}"/>
    <cellStyle name="Normal 4 7 2 6" xfId="2376" xr:uid="{00000000-0005-0000-0000-00009B060000}"/>
    <cellStyle name="Normal 4 7 2 6 2" xfId="7503" xr:uid="{769F161F-E878-49EA-8072-B568DBC03A28}"/>
    <cellStyle name="Normal 4 7 2 6 2 2" xfId="17883" xr:uid="{7C18E9CA-EA6B-48B2-A9F0-EA0B1DAC3E03}"/>
    <cellStyle name="Normal 4 7 2 6 3" xfId="10336" xr:uid="{90998299-42E9-496E-8965-36CD62139D03}"/>
    <cellStyle name="Normal 4 7 2 6 3 2" xfId="20716" xr:uid="{6FAC6990-7233-46E1-B31D-9D1FDFF969E7}"/>
    <cellStyle name="Normal 4 7 2 6 4" xfId="24502" xr:uid="{1924E8D1-A701-45E4-82EE-829B5B013230}"/>
    <cellStyle name="Normal 4 7 2 6 5" xfId="15050" xr:uid="{F18E1523-3355-49B4-80C9-2784B61EFC05}"/>
    <cellStyle name="Normal 4 7 2 7" xfId="3941" xr:uid="{9A2BB48D-FADA-4B23-A83B-8D431BD98AFA}"/>
    <cellStyle name="Normal 4 7 2 7 2" xfId="8773" xr:uid="{205B2BCB-1F78-4D50-B231-1502D096C554}"/>
    <cellStyle name="Normal 4 7 2 7 2 2" xfId="19153" xr:uid="{A77F6656-C547-4095-9BA2-3AA9FE2C626B}"/>
    <cellStyle name="Normal 4 7 2 7 3" xfId="11606" xr:uid="{81CBB1C2-C06C-4A59-B37A-19E4D285DD49}"/>
    <cellStyle name="Normal 4 7 2 7 3 2" xfId="21986" xr:uid="{826A3372-9C55-4A35-8393-4EA473919891}"/>
    <cellStyle name="Normal 4 7 2 7 4" xfId="16320" xr:uid="{68465F4B-39FB-4BAF-A0DD-78AC77D86B4E}"/>
    <cellStyle name="Normal 4 7 2 8" xfId="5334" xr:uid="{13546F49-DAB2-463E-958C-F5E4FC99F3B6}"/>
    <cellStyle name="Normal 4 7 2 8 2" xfId="14632" xr:uid="{2269BC98-E52E-4AEF-9318-3A0C7BF899CA}"/>
    <cellStyle name="Normal 4 7 2 9" xfId="7085" xr:uid="{33C0665B-8DFC-4FC7-BA5E-9DFF3D24B26A}"/>
    <cellStyle name="Normal 4 7 2 9 2" xfId="17465" xr:uid="{32C2A2A0-758E-4D70-A747-30F54F2880C2}"/>
    <cellStyle name="Normal 4 7 3" xfId="1033" xr:uid="{00000000-0005-0000-0000-0000BB050000}"/>
    <cellStyle name="Normal 4 7 3 10" xfId="23218" xr:uid="{B23255F7-F4B4-46C6-BDC3-F7F7DFB45E4A}"/>
    <cellStyle name="Normal 4 7 3 11" xfId="12768" xr:uid="{5B9B4569-F3DC-453F-AD77-C2CDBB04CD4C}"/>
    <cellStyle name="Normal 4 7 3 2" xfId="2801" xr:uid="{00000000-0005-0000-0000-0000A2060000}"/>
    <cellStyle name="Normal 4 7 3 2 2" xfId="3386" xr:uid="{00000000-0005-0000-0000-0000A3060000}"/>
    <cellStyle name="Normal 4 7 3 2 2 2" xfId="6444" xr:uid="{53810B6E-C53B-43D6-AE3D-46C149E1B3A1}"/>
    <cellStyle name="Normal 4 7 3 2 2 2 2" xfId="27861" xr:uid="{922C9D80-9D89-4676-A90B-FCD9E2F55F3A}"/>
    <cellStyle name="Normal 4 7 3 2 2 2 3" xfId="16013" xr:uid="{EE8F8F7A-6623-4A9F-AC91-6EE3BC856599}"/>
    <cellStyle name="Normal 4 7 3 2 2 3" xfId="8466" xr:uid="{987597A1-1E85-465F-8B60-C8E171A18F9A}"/>
    <cellStyle name="Normal 4 7 3 2 2 3 2" xfId="18846" xr:uid="{AD69400C-C4E8-42CD-8880-52DE0A26604D}"/>
    <cellStyle name="Normal 4 7 3 2 2 4" xfId="11299" xr:uid="{25156719-1487-4052-A1B6-39B57135340C}"/>
    <cellStyle name="Normal 4 7 3 2 2 4 2" xfId="21679" xr:uid="{0694350B-6E7D-4D01-B7CC-180A5898F4DF}"/>
    <cellStyle name="Normal 4 7 3 2 2 5" xfId="24236" xr:uid="{1AA7E446-D1B4-4ADD-BC9E-A6D05A68F541}"/>
    <cellStyle name="Normal 4 7 3 2 2 6" xfId="13953" xr:uid="{57FFFDF5-F0ED-4873-B3C0-9C23ED89195F}"/>
    <cellStyle name="Normal 4 7 3 2 3" xfId="4353" xr:uid="{F2D3C5C8-BAE8-4D9C-8DFE-4C96ED79DDF2}"/>
    <cellStyle name="Normal 4 7 3 2 3 2" xfId="9125" xr:uid="{A49144D0-4FE4-49F0-A873-33B5C37A2C6A}"/>
    <cellStyle name="Normal 4 7 3 2 3 2 2" xfId="29168" xr:uid="{1A3937BD-0170-4894-8AD8-4C2E846B41A3}"/>
    <cellStyle name="Normal 4 7 3 2 3 2 3" xfId="19505" xr:uid="{174F01A6-25FE-4035-A4BF-51FD59274363}"/>
    <cellStyle name="Normal 4 7 3 2 3 3" xfId="11958" xr:uid="{8C135C48-1145-490B-B793-34B596722489}"/>
    <cellStyle name="Normal 4 7 3 2 3 3 2" xfId="22338" xr:uid="{4F9D8817-78BB-4B17-A34F-5D9FC35D447A}"/>
    <cellStyle name="Normal 4 7 3 2 3 4" xfId="25532" xr:uid="{DFC30A2A-229D-400B-B244-DFA9FC8D4734}"/>
    <cellStyle name="Normal 4 7 3 2 3 5" xfId="16672" xr:uid="{1C831B97-2D5D-4E91-86F5-9A9EEC6E1B8E}"/>
    <cellStyle name="Normal 4 7 3 2 4" xfId="6019" xr:uid="{8FFFC580-834C-44BE-8CD3-430B44793A15}"/>
    <cellStyle name="Normal 4 7 3 2 4 2" xfId="28637" xr:uid="{15FC67DB-08EC-4071-88B1-443275FF92F3}"/>
    <cellStyle name="Normal 4 7 3 2 4 3" xfId="15472" xr:uid="{F902FE6B-2ED5-47E7-91FE-6E0FF680D717}"/>
    <cellStyle name="Normal 4 7 3 2 5" xfId="7925" xr:uid="{D959163E-A8B4-47B6-96F1-4D896F486CB6}"/>
    <cellStyle name="Normal 4 7 3 2 5 2" xfId="18305" xr:uid="{0018F348-2C9B-41A8-A852-EE2BC648AA2E}"/>
    <cellStyle name="Normal 4 7 3 2 6" xfId="10758" xr:uid="{027BA73A-DF2F-4918-82A3-C0134AE5FF7B}"/>
    <cellStyle name="Normal 4 7 3 2 6 2" xfId="21138" xr:uid="{C64351CD-0232-4399-8F6D-BE020A06A669}"/>
    <cellStyle name="Normal 4 7 3 2 7" xfId="22934" xr:uid="{64832F62-A492-4AE4-BE82-8EFB4A39830D}"/>
    <cellStyle name="Normal 4 7 3 2 8" xfId="13265" xr:uid="{3905BF4B-7F26-4FB9-AD8A-D397C10486DE}"/>
    <cellStyle name="Normal 4 7 3 3" xfId="3387" xr:uid="{00000000-0005-0000-0000-0000A4060000}"/>
    <cellStyle name="Normal 4 7 3 3 2" xfId="4551" xr:uid="{1A165274-7D2D-4845-81C7-9F9CA3DCC295}"/>
    <cellStyle name="Normal 4 7 3 3 2 2" xfId="9323" xr:uid="{21017B07-9533-48F2-B76A-A9904B1E572D}"/>
    <cellStyle name="Normal 4 7 3 3 2 2 2" xfId="29298" xr:uid="{92DAF1EC-399A-4473-9A26-D4AD3C49A537}"/>
    <cellStyle name="Normal 4 7 3 3 2 2 3" xfId="19703" xr:uid="{E71B1D6B-637F-41AC-B085-44710507AB2C}"/>
    <cellStyle name="Normal 4 7 3 3 2 3" xfId="12156" xr:uid="{76545C79-C1E2-4205-AEB0-60C9055EB96D}"/>
    <cellStyle name="Normal 4 7 3 3 2 3 2" xfId="22536" xr:uid="{8252839B-50AF-4E47-B69C-62417D030820}"/>
    <cellStyle name="Normal 4 7 3 3 2 4" xfId="25616" xr:uid="{637A9F53-2129-4063-921B-5BD1687D5E8B}"/>
    <cellStyle name="Normal 4 7 3 3 2 5" xfId="16870" xr:uid="{2CBBAB85-9FF0-42EB-8DC7-FCAAD67F3D9B}"/>
    <cellStyle name="Normal 4 7 3 3 3" xfId="6445" xr:uid="{2559EC73-01AB-4BE6-A858-866E4A0C693F}"/>
    <cellStyle name="Normal 4 7 3 3 3 2" xfId="28121" xr:uid="{AB0AF7AD-5560-48ED-BBAE-26CC74CFAACA}"/>
    <cellStyle name="Normal 4 7 3 3 3 3" xfId="16014" xr:uid="{FB973B5B-099F-4680-AF5B-352F45B579C1}"/>
    <cellStyle name="Normal 4 7 3 3 4" xfId="8467" xr:uid="{367044B2-E779-46AB-A5B5-81DFF701B7A8}"/>
    <cellStyle name="Normal 4 7 3 3 4 2" xfId="18847" xr:uid="{D40E5ABF-24A8-4F3E-813F-4EA94B08E4CC}"/>
    <cellStyle name="Normal 4 7 3 3 5" xfId="11300" xr:uid="{B9B4D268-90DE-40C9-8B09-C131EF47E421}"/>
    <cellStyle name="Normal 4 7 3 3 5 2" xfId="21680" xr:uid="{8A80F0E3-ED14-4D82-8BC7-7D8F9EA01122}"/>
    <cellStyle name="Normal 4 7 3 3 6" xfId="24999" xr:uid="{7F6158B9-9876-495F-8DF5-4CACFE99AB03}"/>
    <cellStyle name="Normal 4 7 3 3 7" xfId="13954" xr:uid="{177470DF-4091-4B6E-B0A3-4B0D9B91F2E4}"/>
    <cellStyle name="Normal 4 7 3 4" xfId="3385" xr:uid="{00000000-0005-0000-0000-0000A5060000}"/>
    <cellStyle name="Normal 4 7 3 4 2" xfId="6443" xr:uid="{B57E6A99-9D37-46F1-86C4-1665A67C78CA}"/>
    <cellStyle name="Normal 4 7 3 4 2 2" xfId="27720" xr:uid="{35086D57-83FE-470F-9779-AD8EA3F5608F}"/>
    <cellStyle name="Normal 4 7 3 4 2 3" xfId="16012" xr:uid="{93D24E2A-F630-477B-9CF3-DB560698D985}"/>
    <cellStyle name="Normal 4 7 3 4 3" xfId="8465" xr:uid="{67BFA435-4966-48C1-9AEE-BE2730AED301}"/>
    <cellStyle name="Normal 4 7 3 4 3 2" xfId="18845" xr:uid="{C4D13922-CE08-4A44-A88F-FD569EC6A9B5}"/>
    <cellStyle name="Normal 4 7 3 4 4" xfId="11298" xr:uid="{BABB8930-1355-46D6-A763-80D50C44C383}"/>
    <cellStyle name="Normal 4 7 3 4 4 2" xfId="21678" xr:uid="{C907EC8E-8F9B-4F15-88B2-FD60624213FF}"/>
    <cellStyle name="Normal 4 7 3 4 5" xfId="24445" xr:uid="{C135DED2-7814-4405-B062-AEB9A2623711}"/>
    <cellStyle name="Normal 4 7 3 4 6" xfId="13952" xr:uid="{925FDADB-741E-453C-BDB1-A14A8AFBF160}"/>
    <cellStyle name="Normal 4 7 3 5" xfId="2626" xr:uid="{00000000-0005-0000-0000-0000A6060000}"/>
    <cellStyle name="Normal 4 7 3 5 2" xfId="5888" xr:uid="{467E7569-D1DD-41C7-8C42-647AD7DF3179}"/>
    <cellStyle name="Normal 4 7 3 5 2 2" xfId="26532" xr:uid="{76B339F9-1083-444A-9CBE-37140A9D40E6}"/>
    <cellStyle name="Normal 4 7 3 5 2 3" xfId="15298" xr:uid="{948ECB5D-E4FA-42A5-80B8-D9B79CF7CD33}"/>
    <cellStyle name="Normal 4 7 3 5 3" xfId="7751" xr:uid="{F56D7C1A-5CC2-4803-8EC0-F89C274DEF58}"/>
    <cellStyle name="Normal 4 7 3 5 3 2" xfId="18131" xr:uid="{84E8834E-20A7-46A3-9C3E-C6E062ED13C8}"/>
    <cellStyle name="Normal 4 7 3 5 4" xfId="10584" xr:uid="{C7D846FE-8615-42A3-BF1D-2893344EBB91}"/>
    <cellStyle name="Normal 4 7 3 5 4 2" xfId="20964" xr:uid="{BB17348A-AB35-40FE-B741-367C816F42E2}"/>
    <cellStyle name="Normal 4 7 3 5 5" xfId="24285" xr:uid="{F61C2860-C58E-46C6-8409-4FFC8CA3C0A9}"/>
    <cellStyle name="Normal 4 7 3 5 6" xfId="13014" xr:uid="{78609EAF-EFE9-4A1E-B1AE-DE10254DF8F3}"/>
    <cellStyle name="Normal 4 7 3 6" xfId="4202" xr:uid="{FB33D749-A623-47A1-A7DC-8EC67DD0405B}"/>
    <cellStyle name="Normal 4 7 3 6 2" xfId="8974" xr:uid="{FDA51955-8791-428A-8F87-6E902F65568A}"/>
    <cellStyle name="Normal 4 7 3 6 2 2" xfId="19354" xr:uid="{7140A27B-0B13-40A9-A699-67404A1F7F75}"/>
    <cellStyle name="Normal 4 7 3 6 3" xfId="11807" xr:uid="{02D7088C-C31C-4B88-947A-DDC072D56879}"/>
    <cellStyle name="Normal 4 7 3 6 3 2" xfId="22187" xr:uid="{1A8FAFBF-CC8B-4EA7-82A4-F2D76EBBB64A}"/>
    <cellStyle name="Normal 4 7 3 6 4" xfId="24266" xr:uid="{E02FEA3B-468A-40C0-BC2D-348E7AE01BFF}"/>
    <cellStyle name="Normal 4 7 3 6 5" xfId="16521" xr:uid="{B367F241-D9A8-4AB9-A5AD-1000D26A3B42}"/>
    <cellStyle name="Normal 4 7 3 7" xfId="5336" xr:uid="{58BE4E7E-F5FF-439E-978A-AF357221A2F9}"/>
    <cellStyle name="Normal 4 7 3 7 2" xfId="14634" xr:uid="{B160EAE7-2B0E-401E-8AC0-4034E825233C}"/>
    <cellStyle name="Normal 4 7 3 8" xfId="7087" xr:uid="{CECA2A84-0C2A-4E0E-BB1F-EE2345128D84}"/>
    <cellStyle name="Normal 4 7 3 8 2" xfId="17467" xr:uid="{DB124342-2633-4FBF-BD15-2D33BC0A29E7}"/>
    <cellStyle name="Normal 4 7 3 9" xfId="9920" xr:uid="{B588683A-1EF9-49B5-A3BD-82F505139439}"/>
    <cellStyle name="Normal 4 7 3 9 2" xfId="20300" xr:uid="{106BF3F6-63AD-4F0C-A036-62CAC7501F23}"/>
    <cellStyle name="Normal 4 7 4" xfId="1034" xr:uid="{00000000-0005-0000-0000-0000BC050000}"/>
    <cellStyle name="Normal 4 7 4 2" xfId="3388" xr:uid="{00000000-0005-0000-0000-0000A8060000}"/>
    <cellStyle name="Normal 4 7 4 2 2" xfId="6446" xr:uid="{FD891397-8334-4F44-B2C4-56922778E1F9}"/>
    <cellStyle name="Normal 4 7 4 2 2 2" xfId="27169" xr:uid="{14E18352-F4FB-4D06-92DF-366278A948F0}"/>
    <cellStyle name="Normal 4 7 4 2 2 3" xfId="16015" xr:uid="{A728E423-9CBE-452C-84D6-DA8535635E1E}"/>
    <cellStyle name="Normal 4 7 4 2 3" xfId="8468" xr:uid="{43FDE11D-6573-4D36-A25B-606951578EAB}"/>
    <cellStyle name="Normal 4 7 4 2 3 2" xfId="18848" xr:uid="{0E50BC27-C20A-4AAB-A0B7-C919FE3AE2BA}"/>
    <cellStyle name="Normal 4 7 4 2 4" xfId="11301" xr:uid="{5055A7E8-A0FC-4BD5-910C-28427D9345B0}"/>
    <cellStyle name="Normal 4 7 4 2 4 2" xfId="21681" xr:uid="{EB971B07-4D8E-4A44-B85D-AF9C7609AF55}"/>
    <cellStyle name="Normal 4 7 4 2 5" xfId="25510" xr:uid="{79801D7F-59F0-4C0B-93D3-156EC60B82D5}"/>
    <cellStyle name="Normal 4 7 4 2 6" xfId="13955" xr:uid="{966C5FA1-B594-4EED-9289-57738A45AFF7}"/>
    <cellStyle name="Normal 4 7 4 3" xfId="4351" xr:uid="{0171176F-39CE-44B5-A480-3D9153E12332}"/>
    <cellStyle name="Normal 4 7 4 3 2" xfId="9123" xr:uid="{FEE9070C-3614-4F3E-B87E-CC3269B95B6C}"/>
    <cellStyle name="Normal 4 7 4 3 2 2" xfId="29166" xr:uid="{CE131DC5-BF72-42BF-8EBE-38EB427C7BEC}"/>
    <cellStyle name="Normal 4 7 4 3 2 3" xfId="19503" xr:uid="{6C44936C-282E-4706-8A77-6721B9A79177}"/>
    <cellStyle name="Normal 4 7 4 3 3" xfId="11956" xr:uid="{04F42CBE-42E1-4190-BA4C-F8C08E80A45B}"/>
    <cellStyle name="Normal 4 7 4 3 3 2" xfId="22336" xr:uid="{B6D132A1-D984-4C1C-A3E6-2063CCE02F8C}"/>
    <cellStyle name="Normal 4 7 4 3 4" xfId="24656" xr:uid="{08338032-EEE5-4928-875B-7E0858B9F159}"/>
    <cellStyle name="Normal 4 7 4 3 5" xfId="16670" xr:uid="{B8B7285C-A24E-4A2C-A53B-D96F4C63D471}"/>
    <cellStyle name="Normal 4 7 4 4" xfId="5337" xr:uid="{B016F4A0-D05B-4FE3-B6DC-3B377F36D9D9}"/>
    <cellStyle name="Normal 4 7 4 4 2" xfId="27134" xr:uid="{AFBDEBCF-A32A-4D62-8D60-42CEC6EA2C9B}"/>
    <cellStyle name="Normal 4 7 4 4 3" xfId="14635" xr:uid="{B30A266E-ADB7-4B04-8ED4-270865894F7D}"/>
    <cellStyle name="Normal 4 7 4 5" xfId="7088" xr:uid="{8656F3D8-2A5D-4D5B-BBBC-E5464E3E3920}"/>
    <cellStyle name="Normal 4 7 4 5 2" xfId="17468" xr:uid="{71C7C10F-B6D6-4218-A674-F13DA0471321}"/>
    <cellStyle name="Normal 4 7 4 6" xfId="9921" xr:uid="{C4D45CEE-C45F-4FDB-A4B4-54CE41E6640E}"/>
    <cellStyle name="Normal 4 7 4 6 2" xfId="20301" xr:uid="{923A9ECC-B39B-42BE-AE4F-848FCB9F9C9A}"/>
    <cellStyle name="Normal 4 7 4 7" xfId="23635" xr:uid="{059C9136-819D-42E1-B24B-81E5236E9C4C}"/>
    <cellStyle name="Normal 4 7 4 8" xfId="13263" xr:uid="{78A61C52-0EB4-4A22-B21E-6AC973B0CB2B}"/>
    <cellStyle name="Normal 4 7 5" xfId="3389" xr:uid="{00000000-0005-0000-0000-0000A9060000}"/>
    <cellStyle name="Normal 4 7 5 2" xfId="4552" xr:uid="{1AC12079-FAAE-4952-8A63-9E520EA71BD6}"/>
    <cellStyle name="Normal 4 7 5 2 2" xfId="9324" xr:uid="{8F237C10-887B-406C-9296-1B65BC9ECACE}"/>
    <cellStyle name="Normal 4 7 5 2 2 2" xfId="29299" xr:uid="{2700BF11-F8F9-4C83-BEC9-DF9DEB27EE8A}"/>
    <cellStyle name="Normal 4 7 5 2 2 3" xfId="19704" xr:uid="{06CFF376-4B8A-4378-BD56-36D1F63F9218}"/>
    <cellStyle name="Normal 4 7 5 2 3" xfId="12157" xr:uid="{06B4C537-F745-4E19-B271-A79299626284}"/>
    <cellStyle name="Normal 4 7 5 2 3 2" xfId="22537" xr:uid="{CB6D4BA7-0D72-4DD1-948F-BC28E4DC62E2}"/>
    <cellStyle name="Normal 4 7 5 2 4" xfId="23504" xr:uid="{7A2135C5-4325-4B96-8CA5-4658F0B8CAE5}"/>
    <cellStyle name="Normal 4 7 5 2 5" xfId="16871" xr:uid="{91FEC4DC-D85D-4ECF-828A-109546493296}"/>
    <cellStyle name="Normal 4 7 5 3" xfId="6447" xr:uid="{1010A598-4F8B-4B42-BA60-88973C19D759}"/>
    <cellStyle name="Normal 4 7 5 3 2" xfId="28410" xr:uid="{EF52E748-5F8A-4362-9E35-4E655BE28529}"/>
    <cellStyle name="Normal 4 7 5 3 3" xfId="16016" xr:uid="{F7F982E8-3334-4350-9811-03001F6F76C9}"/>
    <cellStyle name="Normal 4 7 5 4" xfId="8469" xr:uid="{403FCCE6-6F4D-46CC-A7EA-58A68A8988A6}"/>
    <cellStyle name="Normal 4 7 5 4 2" xfId="18849" xr:uid="{6161F666-5627-4304-A235-3A091AE22388}"/>
    <cellStyle name="Normal 4 7 5 5" xfId="11302" xr:uid="{8B281023-1159-4147-AC5E-52CD14096041}"/>
    <cellStyle name="Normal 4 7 5 5 2" xfId="21682" xr:uid="{B0F7BB96-F83E-472F-AE1A-73C1FEE99CD3}"/>
    <cellStyle name="Normal 4 7 5 6" xfId="24109" xr:uid="{5B227303-F15B-4221-AD36-24A5A5068E25}"/>
    <cellStyle name="Normal 4 7 5 7" xfId="13956" xr:uid="{E48D1D16-C7EF-4283-9258-9D6B0B2DB5BE}"/>
    <cellStyle name="Normal 4 7 6" xfId="2945" xr:uid="{00000000-0005-0000-0000-0000AA060000}"/>
    <cellStyle name="Normal 4 7 6 2" xfId="6125" xr:uid="{F615DED7-A8A1-4773-8FB6-A8CFFB8A3E29}"/>
    <cellStyle name="Normal 4 7 6 2 2" xfId="26019" xr:uid="{EDD28773-EB40-43A0-81A7-D8703487BEFE}"/>
    <cellStyle name="Normal 4 7 6 2 3" xfId="15603" xr:uid="{2AE3843D-DAA7-4879-95D1-9719036EED47}"/>
    <cellStyle name="Normal 4 7 6 3" xfId="8056" xr:uid="{AC28A63F-6B80-4564-988E-C166759FBEA6}"/>
    <cellStyle name="Normal 4 7 6 3 2" xfId="18436" xr:uid="{F6019E17-2720-4A10-98D8-361802ADE904}"/>
    <cellStyle name="Normal 4 7 6 4" xfId="10889" xr:uid="{37A84365-2A49-43CC-A4F0-4B7CE36ADA6C}"/>
    <cellStyle name="Normal 4 7 6 4 2" xfId="21269" xr:uid="{B364E9EE-1067-4834-8492-3B98479CFE23}"/>
    <cellStyle name="Normal 4 7 6 5" xfId="23692" xr:uid="{8329929E-E0B0-43D4-A5B4-DF7C31A3F077}"/>
    <cellStyle name="Normal 4 7 6 6" xfId="13466" xr:uid="{32EC6C28-971A-4668-B6F6-4013290CF67E}"/>
    <cellStyle name="Normal 4 7 7" xfId="2463" xr:uid="{00000000-0005-0000-0000-0000AB060000}"/>
    <cellStyle name="Normal 4 7 7 2" xfId="5754" xr:uid="{1E182BFF-53A3-419D-8B78-9CF8C2552F20}"/>
    <cellStyle name="Normal 4 7 7 2 2" xfId="26646" xr:uid="{6DE66B16-01B0-4400-8558-9A854364871F}"/>
    <cellStyle name="Normal 4 7 7 2 3" xfId="15135" xr:uid="{189A590E-9E8B-4FAE-AB18-A6A3DF38D4D2}"/>
    <cellStyle name="Normal 4 7 7 3" xfId="7588" xr:uid="{9631383F-EA73-420F-9B7C-B7DBB081BD3F}"/>
    <cellStyle name="Normal 4 7 7 3 2" xfId="17968" xr:uid="{8DCEF87A-4EBB-4150-BA66-B616970B0F28}"/>
    <cellStyle name="Normal 4 7 7 4" xfId="10421" xr:uid="{E881F229-E8F5-431F-BF42-0D7520F8F52B}"/>
    <cellStyle name="Normal 4 7 7 4 2" xfId="20801" xr:uid="{50F9BEC4-804D-48B7-B495-FC7FF5063A4C}"/>
    <cellStyle name="Normal 4 7 7 5" xfId="25400" xr:uid="{182EF9FF-8287-4F59-9452-65A72BE06BC2}"/>
    <cellStyle name="Normal 4 7 7 6" xfId="12851" xr:uid="{8420457E-9B08-4741-8C26-390042569F50}"/>
    <cellStyle name="Normal 4 7 8" xfId="2217" xr:uid="{00000000-0005-0000-0000-00009A060000}"/>
    <cellStyle name="Normal 4 7 8 2" xfId="7344" xr:uid="{391F0690-FC1E-4043-AB5F-2D55CB99CFDE}"/>
    <cellStyle name="Normal 4 7 8 2 2" xfId="17724" xr:uid="{BB350AC2-7109-4CB0-B5D9-ACAF48401B53}"/>
    <cellStyle name="Normal 4 7 8 3" xfId="10177" xr:uid="{2D5AC400-5AEA-4B23-A763-438F939FC9C1}"/>
    <cellStyle name="Normal 4 7 8 3 2" xfId="20557" xr:uid="{DD553A7C-8908-4545-AB7B-0874A202CDF3}"/>
    <cellStyle name="Normal 4 7 8 4" xfId="25273" xr:uid="{44F47FBC-07A1-452C-B590-775A4DD7ECC2}"/>
    <cellStyle name="Normal 4 7 8 5" xfId="14891" xr:uid="{141A1A32-2580-4523-8911-D5D48711AF63}"/>
    <cellStyle name="Normal 4 7 9" xfId="3997" xr:uid="{F9366F69-AABF-49B2-ACE2-2A92D4BFADA6}"/>
    <cellStyle name="Normal 4 7 9 2" xfId="8821" xr:uid="{DF857D7A-A4BA-4849-BAA1-99D352DC3C25}"/>
    <cellStyle name="Normal 4 7 9 2 2" xfId="19201" xr:uid="{B4FDC014-8D46-424D-88C9-8795081D17FD}"/>
    <cellStyle name="Normal 4 7 9 3" xfId="11654" xr:uid="{0F212C51-7461-4ACB-946C-A88A76CA55D0}"/>
    <cellStyle name="Normal 4 7 9 3 2" xfId="22034" xr:uid="{42E3AB64-8C3D-4294-8A24-241D6B7BC120}"/>
    <cellStyle name="Normal 4 7 9 4" xfId="16368" xr:uid="{0F6DCDA7-6629-4A18-9260-323E0A63C54D}"/>
    <cellStyle name="Normal 4 8" xfId="1035" xr:uid="{00000000-0005-0000-0000-0000BD050000}"/>
    <cellStyle name="Normal 4 8 10" xfId="7089" xr:uid="{0E68DBD6-B580-4FB4-A252-D85A6822BE94}"/>
    <cellStyle name="Normal 4 8 10 2" xfId="17469" xr:uid="{8824C5FA-9947-42C6-AD38-C3E6D1739F48}"/>
    <cellStyle name="Normal 4 8 11" xfId="9922" xr:uid="{25430173-3613-4ECB-A55F-FC8C49491788}"/>
    <cellStyle name="Normal 4 8 11 2" xfId="20302" xr:uid="{4F67A3E3-6E0B-4957-8ABA-DD956505FBC6}"/>
    <cellStyle name="Normal 4 8 12" xfId="24988" xr:uid="{54460413-664E-4E30-BE9E-48C3BB321303}"/>
    <cellStyle name="Normal 4 8 13" xfId="12432" xr:uid="{ED88C738-33A7-448E-827E-42403932E6F6}"/>
    <cellStyle name="Normal 4 8 2" xfId="1036" xr:uid="{00000000-0005-0000-0000-0000BE050000}"/>
    <cellStyle name="Normal 4 8 2 10" xfId="9923" xr:uid="{52E3C84E-B966-45DB-8254-F2F7DEB13D1D}"/>
    <cellStyle name="Normal 4 8 2 10 2" xfId="20303" xr:uid="{DA8A5918-5FA1-481C-A682-EED4A60277A9}"/>
    <cellStyle name="Normal 4 8 2 11" xfId="23528" xr:uid="{4383186B-EFAA-4C26-B1E2-3524DDA7E32D}"/>
    <cellStyle name="Normal 4 8 2 12" xfId="12611" xr:uid="{E7A10BB2-5975-4E4F-9870-033EECFD50EB}"/>
    <cellStyle name="Normal 4 8 2 2" xfId="1037" xr:uid="{00000000-0005-0000-0000-0000BF050000}"/>
    <cellStyle name="Normal 4 8 2 2 2" xfId="3391" xr:uid="{00000000-0005-0000-0000-0000AF060000}"/>
    <cellStyle name="Normal 4 8 2 2 2 2" xfId="6449" xr:uid="{4D6A5572-506B-4738-A098-8740C14C0E42}"/>
    <cellStyle name="Normal 4 8 2 2 2 2 2" xfId="26342" xr:uid="{BE6B9EF0-AC47-43E0-B016-F13AEC884F0F}"/>
    <cellStyle name="Normal 4 8 2 2 2 2 3" xfId="27307" xr:uid="{4FDA63DE-1E05-4711-98A9-1322BB99A607}"/>
    <cellStyle name="Normal 4 8 2 2 2 2 4" xfId="16018" xr:uid="{0E300A29-A2B3-482C-8C33-AA1E0CFC7F2C}"/>
    <cellStyle name="Normal 4 8 2 2 2 3" xfId="8471" xr:uid="{C50F841F-A775-48C7-ACE5-816F7E765325}"/>
    <cellStyle name="Normal 4 8 2 2 2 3 2" xfId="28921" xr:uid="{75AF749C-2826-497C-A038-1E4DAFDDE239}"/>
    <cellStyle name="Normal 4 8 2 2 2 3 3" xfId="18851" xr:uid="{84CC2466-7A0F-4FCA-83BF-9B4FED299935}"/>
    <cellStyle name="Normal 4 8 2 2 2 4" xfId="11304" xr:uid="{57F4A539-C415-4349-B4C9-2DFEE462097F}"/>
    <cellStyle name="Normal 4 8 2 2 2 4 2" xfId="21684" xr:uid="{3CB5222B-EE71-4A68-BEA0-C37FFEDBD398}"/>
    <cellStyle name="Normal 4 8 2 2 2 5" xfId="23698" xr:uid="{94635B12-FD7A-43DA-BA4D-6DE95FA5EB48}"/>
    <cellStyle name="Normal 4 8 2 2 2 6" xfId="13958" xr:uid="{832892E7-520A-41C8-A90D-07BA918B1FCA}"/>
    <cellStyle name="Normal 4 8 2 2 3" xfId="4354" xr:uid="{46BF9421-B460-4CEA-AD65-4E77C63643CC}"/>
    <cellStyle name="Normal 4 8 2 2 3 2" xfId="9126" xr:uid="{A422A131-7302-48F1-AAE4-90C9AD87957D}"/>
    <cellStyle name="Normal 4 8 2 2 3 2 2" xfId="29169" xr:uid="{294C0ECC-CA0D-4F6F-AA64-9154E4DDEB0A}"/>
    <cellStyle name="Normal 4 8 2 2 3 2 3" xfId="19506" xr:uid="{5CBD84B9-7B0E-4182-A126-A387E0E76624}"/>
    <cellStyle name="Normal 4 8 2 2 3 3" xfId="11959" xr:uid="{416F40D4-C528-4670-9900-C208EDF59E30}"/>
    <cellStyle name="Normal 4 8 2 2 3 3 2" xfId="22339" xr:uid="{00B1E31D-A4A2-45C3-97CA-86A58ADD1BC7}"/>
    <cellStyle name="Normal 4 8 2 2 3 4" xfId="22788" xr:uid="{63212859-BC98-4112-8BEF-6665B53BAE35}"/>
    <cellStyle name="Normal 4 8 2 2 3 5" xfId="16673" xr:uid="{94F82AF7-9392-4E31-9F6B-45C925077D59}"/>
    <cellStyle name="Normal 4 8 2 2 4" xfId="5340" xr:uid="{92FF8351-AB21-49A2-B6A0-C694DF35FCDA}"/>
    <cellStyle name="Normal 4 8 2 2 4 2" xfId="25954" xr:uid="{528296E9-E0CB-4EED-8AF0-BCE95ED72426}"/>
    <cellStyle name="Normal 4 8 2 2 4 3" xfId="14638" xr:uid="{CC1D89E6-F4EC-493D-BBF1-726B013C8046}"/>
    <cellStyle name="Normal 4 8 2 2 5" xfId="7091" xr:uid="{AD482192-52D6-4C76-B092-4015CB6876A2}"/>
    <cellStyle name="Normal 4 8 2 2 5 2" xfId="17471" xr:uid="{1C37D1B3-5026-4F66-8A87-B397473DE93F}"/>
    <cellStyle name="Normal 4 8 2 2 6" xfId="9924" xr:uid="{A2453B6D-EC41-42EF-B276-E49878F827C4}"/>
    <cellStyle name="Normal 4 8 2 2 6 2" xfId="20304" xr:uid="{5C8DC2F1-B8E3-4264-9DDE-1DD6AC8F8A5B}"/>
    <cellStyle name="Normal 4 8 2 2 7" xfId="24321" xr:uid="{4FF295D4-2EB3-4F3B-AE7E-3BEF51C8677C}"/>
    <cellStyle name="Normal 4 8 2 2 8" xfId="13267" xr:uid="{703CF99C-4DA0-421C-A25E-CE4D036BF2A8}"/>
    <cellStyle name="Normal 4 8 2 3" xfId="3392" xr:uid="{00000000-0005-0000-0000-0000B0060000}"/>
    <cellStyle name="Normal 4 8 2 3 2" xfId="4553" xr:uid="{1141795F-4970-4282-A437-A02733F5A0F8}"/>
    <cellStyle name="Normal 4 8 2 3 2 2" xfId="9325" xr:uid="{3C873FE4-0564-472E-864B-1C6A151969B6}"/>
    <cellStyle name="Normal 4 8 2 3 2 2 2" xfId="29300" xr:uid="{3315FAAD-144E-47FC-9945-3BCA6AF2304B}"/>
    <cellStyle name="Normal 4 8 2 3 2 2 3" xfId="19705" xr:uid="{57807E75-751D-4D7B-8013-DC671C3CC680}"/>
    <cellStyle name="Normal 4 8 2 3 2 3" xfId="12158" xr:uid="{27D5F749-3BA6-490A-A6AD-92B708FF5813}"/>
    <cellStyle name="Normal 4 8 2 3 2 3 2" xfId="22538" xr:uid="{FC102CA3-67E6-4835-A3DD-21204F44984A}"/>
    <cellStyle name="Normal 4 8 2 3 2 4" xfId="25316" xr:uid="{FC3A0BE0-4424-4B73-A103-BF8D9D09AD60}"/>
    <cellStyle name="Normal 4 8 2 3 2 5" xfId="16872" xr:uid="{48C5E890-F0FD-4A21-8D49-3BAEEAF74020}"/>
    <cellStyle name="Normal 4 8 2 3 3" xfId="6450" xr:uid="{3F9E7AF4-5E8F-4C9A-8343-C812E4436998}"/>
    <cellStyle name="Normal 4 8 2 3 3 2" xfId="28109" xr:uid="{A7FDA864-715C-4377-B7BA-43426A29F161}"/>
    <cellStyle name="Normal 4 8 2 3 3 3" xfId="16019" xr:uid="{C7FF072F-0902-4DDE-B846-E24342A749C4}"/>
    <cellStyle name="Normal 4 8 2 3 4" xfId="8472" xr:uid="{624BB4C6-C480-4D43-97F1-5DFEECBF6BF4}"/>
    <cellStyle name="Normal 4 8 2 3 4 2" xfId="18852" xr:uid="{CEC1651B-32B1-48F6-8B75-3D5C40A6311C}"/>
    <cellStyle name="Normal 4 8 2 3 5" xfId="11305" xr:uid="{C29A85E2-83AC-4A09-9970-A5EF9DA94884}"/>
    <cellStyle name="Normal 4 8 2 3 5 2" xfId="21685" xr:uid="{90BCEC2C-9ECF-460A-A569-052CCF24F8D8}"/>
    <cellStyle name="Normal 4 8 2 3 6" xfId="24787" xr:uid="{45DFC502-CC72-4268-B85E-6082DD850264}"/>
    <cellStyle name="Normal 4 8 2 3 7" xfId="13959" xr:uid="{AC055922-E2CD-43CC-8BA4-98B09E42C8C5}"/>
    <cellStyle name="Normal 4 8 2 4" xfId="3390" xr:uid="{00000000-0005-0000-0000-0000B1060000}"/>
    <cellStyle name="Normal 4 8 2 4 2" xfId="6448" xr:uid="{3798026B-38A6-4296-9ECD-B3DA5FA7B80D}"/>
    <cellStyle name="Normal 4 8 2 4 2 2" xfId="25996" xr:uid="{91044338-5D8B-4A4B-9C80-234B5EA1807C}"/>
    <cellStyle name="Normal 4 8 2 4 2 3" xfId="16017" xr:uid="{063A03D4-A676-469E-9ECF-7E0F6126DC3F}"/>
    <cellStyle name="Normal 4 8 2 4 3" xfId="8470" xr:uid="{B1F73A7A-2F5F-42DA-92A2-5229B7FFD291}"/>
    <cellStyle name="Normal 4 8 2 4 3 2" xfId="18850" xr:uid="{143363F1-5603-4EB7-8625-8E08D1B72DD9}"/>
    <cellStyle name="Normal 4 8 2 4 4" xfId="11303" xr:uid="{90DE5F27-D816-42D1-A24E-02F4D294DDE5}"/>
    <cellStyle name="Normal 4 8 2 4 4 2" xfId="21683" xr:uid="{9CCE3B56-B7F9-4E72-89C8-B7103F3AD266}"/>
    <cellStyle name="Normal 4 8 2 4 5" xfId="25062" xr:uid="{F2EFB454-6840-45DD-94BD-C5FC99910EA0}"/>
    <cellStyle name="Normal 4 8 2 4 6" xfId="13957" xr:uid="{79473D91-F358-4B53-8DD7-29CC7AA308C5}"/>
    <cellStyle name="Normal 4 8 2 5" xfId="2609" xr:uid="{00000000-0005-0000-0000-0000B2060000}"/>
    <cellStyle name="Normal 4 8 2 5 2" xfId="5873" xr:uid="{1BB1FCFC-5CF7-4CCC-B2A9-1229C5DDA142}"/>
    <cellStyle name="Normal 4 8 2 5 2 2" xfId="28570" xr:uid="{A13AD14A-D3DB-4D74-9461-E29CCE6B6935}"/>
    <cellStyle name="Normal 4 8 2 5 2 3" xfId="15281" xr:uid="{2EDCE808-A8D3-4316-B2C5-26C904252B45}"/>
    <cellStyle name="Normal 4 8 2 5 3" xfId="7734" xr:uid="{06C16159-EB5D-4718-8E34-5371EEF470A2}"/>
    <cellStyle name="Normal 4 8 2 5 3 2" xfId="18114" xr:uid="{8B52E96D-4AC7-42B3-A93C-4CAC5AB92841}"/>
    <cellStyle name="Normal 4 8 2 5 4" xfId="10567" xr:uid="{D9501F38-DF9C-44F6-9B7D-6AF33241A956}"/>
    <cellStyle name="Normal 4 8 2 5 4 2" xfId="20947" xr:uid="{88CA89B8-1BFD-41F0-BA8A-B7A846B1A0B0}"/>
    <cellStyle name="Normal 4 8 2 5 5" xfId="24137" xr:uid="{3BC2C6F0-0BEF-47B1-B0E8-AC9481FCA77B}"/>
    <cellStyle name="Normal 4 8 2 5 6" xfId="12997" xr:uid="{47BAE656-EC9E-4146-85AB-F86AA13E01A0}"/>
    <cellStyle name="Normal 4 8 2 6" xfId="2377" xr:uid="{00000000-0005-0000-0000-0000AD060000}"/>
    <cellStyle name="Normal 4 8 2 6 2" xfId="7504" xr:uid="{DAC97AA2-E5A4-4EEA-B897-303CA1FB9CF7}"/>
    <cellStyle name="Normal 4 8 2 6 2 2" xfId="17884" xr:uid="{87971EE5-E131-4053-98C9-DDD212EC3D11}"/>
    <cellStyle name="Normal 4 8 2 6 3" xfId="10337" xr:uid="{9232C93A-DF49-480D-A771-BAE47882AFBC}"/>
    <cellStyle name="Normal 4 8 2 6 3 2" xfId="20717" xr:uid="{64F56D8A-D43E-4CA8-8BBD-0B5C4AFA41DF}"/>
    <cellStyle name="Normal 4 8 2 6 4" xfId="24630" xr:uid="{E1A84F69-C757-4E1B-9D93-15638EB0F0AF}"/>
    <cellStyle name="Normal 4 8 2 6 5" xfId="15051" xr:uid="{4D938FE7-CE85-494D-91B5-B40622B3C74F}"/>
    <cellStyle name="Normal 4 8 2 7" xfId="3942" xr:uid="{7A88FBDE-9507-4134-97EA-80923727E376}"/>
    <cellStyle name="Normal 4 8 2 7 2" xfId="8774" xr:uid="{B1FF5D05-9626-4E88-9E84-A7251C9F663E}"/>
    <cellStyle name="Normal 4 8 2 7 2 2" xfId="19154" xr:uid="{E2EF7EA5-A2CF-4CBD-8688-05541F82525E}"/>
    <cellStyle name="Normal 4 8 2 7 3" xfId="11607" xr:uid="{E0EC3274-30EB-451C-BDB3-A0323C2B11C6}"/>
    <cellStyle name="Normal 4 8 2 7 3 2" xfId="21987" xr:uid="{CF90CC8B-9D60-4ADF-B54C-454958AB6D34}"/>
    <cellStyle name="Normal 4 8 2 7 4" xfId="16321" xr:uid="{7CED60C4-3FFA-44FD-A30F-83EE1FEE1DBD}"/>
    <cellStyle name="Normal 4 8 2 8" xfId="5339" xr:uid="{902C0B0E-C4A0-4981-9707-DC0113C37539}"/>
    <cellStyle name="Normal 4 8 2 8 2" xfId="14637" xr:uid="{AA2E2A77-DEAA-4A1B-81C1-2BCA8305B4F0}"/>
    <cellStyle name="Normal 4 8 2 9" xfId="7090" xr:uid="{D0D07CCA-276A-41C2-9F72-54F476CDFE24}"/>
    <cellStyle name="Normal 4 8 2 9 2" xfId="17470" xr:uid="{A72D69C6-C74C-414E-A521-E425C04AD6D1}"/>
    <cellStyle name="Normal 4 8 3" xfId="1038" xr:uid="{00000000-0005-0000-0000-0000C0050000}"/>
    <cellStyle name="Normal 4 8 3 2" xfId="3393" xr:uid="{00000000-0005-0000-0000-0000B4060000}"/>
    <cellStyle name="Normal 4 8 3 2 2" xfId="6451" xr:uid="{6EFCB61C-7357-4684-9E3A-0FCD927DD456}"/>
    <cellStyle name="Normal 4 8 3 2 2 2" xfId="25798" xr:uid="{E04C89D1-BAA7-40C1-BC46-F7CE41911F85}"/>
    <cellStyle name="Normal 4 8 3 2 2 3" xfId="27957" xr:uid="{B28F36EE-3268-4C28-A6BC-D4ED592E6965}"/>
    <cellStyle name="Normal 4 8 3 2 2 4" xfId="16020" xr:uid="{0C7E26DA-2B7A-4895-B864-1CAB123016A7}"/>
    <cellStyle name="Normal 4 8 3 2 3" xfId="8473" xr:uid="{EED53452-5939-466E-8695-45E55BA1D2CB}"/>
    <cellStyle name="Normal 4 8 3 2 3 2" xfId="28922" xr:uid="{4FAD5E52-B238-484A-8AD5-4926695E24BF}"/>
    <cellStyle name="Normal 4 8 3 2 3 3" xfId="18853" xr:uid="{B5B0DCE4-48DA-480E-A1E0-3D2A91C35A32}"/>
    <cellStyle name="Normal 4 8 3 2 4" xfId="11306" xr:uid="{77082873-FC23-4D52-84B3-16E16D740661}"/>
    <cellStyle name="Normal 4 8 3 2 4 2" xfId="21686" xr:uid="{745341AC-5B45-4254-8AEA-490B25F78984}"/>
    <cellStyle name="Normal 4 8 3 2 5" xfId="22826" xr:uid="{A5AF6C31-5CE8-481B-BABC-0C7C8CD0A23A}"/>
    <cellStyle name="Normal 4 8 3 2 6" xfId="13960" xr:uid="{A33A0049-D6F8-4E3C-8917-26F7161B722D}"/>
    <cellStyle name="Normal 4 8 3 3" xfId="2802" xr:uid="{00000000-0005-0000-0000-0000B5060000}"/>
    <cellStyle name="Normal 4 8 3 3 2" xfId="6020" xr:uid="{A69378F3-7126-43E8-957C-AEF3A8217A72}"/>
    <cellStyle name="Normal 4 8 3 3 2 2" xfId="26564" xr:uid="{9920AF1B-1502-4153-86EE-9E491C23E980}"/>
    <cellStyle name="Normal 4 8 3 3 2 3" xfId="15473" xr:uid="{B1567AF6-EF33-4AB9-8B8F-63FE914A07E5}"/>
    <cellStyle name="Normal 4 8 3 3 3" xfId="7926" xr:uid="{2D1BB9FA-4D4A-4C54-898F-B770F4965FBD}"/>
    <cellStyle name="Normal 4 8 3 3 3 2" xfId="18306" xr:uid="{FE3FC21E-E23C-4118-ABE2-1A66E94B9357}"/>
    <cellStyle name="Normal 4 8 3 3 4" xfId="10759" xr:uid="{E2F9B43E-0A02-4C38-BA5D-ECC510BC70E6}"/>
    <cellStyle name="Normal 4 8 3 3 4 2" xfId="21139" xr:uid="{5EEA83E8-121B-42E9-94D0-B744FCB7C7D5}"/>
    <cellStyle name="Normal 4 8 3 3 5" xfId="23605" xr:uid="{6470B5F1-FD1F-4995-8318-8EC822E2DD3C}"/>
    <cellStyle name="Normal 4 8 3 3 6" xfId="13266" xr:uid="{29FB101E-D901-48D2-BE02-0A0BDDC9A648}"/>
    <cellStyle name="Normal 4 8 3 4" xfId="4203" xr:uid="{5FFDCD3D-191C-4816-9CA7-FB6D45A05F99}"/>
    <cellStyle name="Normal 4 8 3 4 2" xfId="8975" xr:uid="{070C8C1D-8AEF-46BE-8C98-0091E8D5CB10}"/>
    <cellStyle name="Normal 4 8 3 4 2 2" xfId="29057" xr:uid="{4C8275A9-C16B-4EC9-9863-FF7A8CDDDD99}"/>
    <cellStyle name="Normal 4 8 3 4 2 3" xfId="19355" xr:uid="{893AE50F-8DCF-4C57-B16A-FE83FE00F9A5}"/>
    <cellStyle name="Normal 4 8 3 4 3" xfId="11808" xr:uid="{32AC2F98-E71F-4095-BAC4-574F9FAC974E}"/>
    <cellStyle name="Normal 4 8 3 4 3 2" xfId="22188" xr:uid="{5716DFA4-B51D-4F99-95E7-5C279343345C}"/>
    <cellStyle name="Normal 4 8 3 4 4" xfId="24359" xr:uid="{1F3D2E20-3A87-41F9-AEEC-5C3F44D9E70F}"/>
    <cellStyle name="Normal 4 8 3 4 5" xfId="16522" xr:uid="{329DE75E-7547-4F7D-A283-DE84FDC4B800}"/>
    <cellStyle name="Normal 4 8 3 5" xfId="5341" xr:uid="{59B8A850-AE58-4417-9B79-645D1117C3F9}"/>
    <cellStyle name="Normal 4 8 3 5 2" xfId="27586" xr:uid="{47C431D5-BF21-485E-B445-D73E7C5FF7F3}"/>
    <cellStyle name="Normal 4 8 3 5 3" xfId="14639" xr:uid="{A085ECE6-AAED-4853-AA6D-E6CE7606978A}"/>
    <cellStyle name="Normal 4 8 3 6" xfId="7092" xr:uid="{BF5B1421-7114-4C59-84E6-FF22BF14D01C}"/>
    <cellStyle name="Normal 4 8 3 6 2" xfId="17472" xr:uid="{50F66810-BC52-4D59-B3A9-CBD2F562B7C1}"/>
    <cellStyle name="Normal 4 8 3 7" xfId="9925" xr:uid="{E1E5A673-FD43-4767-9671-202BFC3237CE}"/>
    <cellStyle name="Normal 4 8 3 7 2" xfId="20305" xr:uid="{ABB182C6-5691-4072-A342-0FE314AA56DD}"/>
    <cellStyle name="Normal 4 8 3 8" xfId="23362" xr:uid="{DA7BCDF4-2302-49E7-AFEC-1183D2581450}"/>
    <cellStyle name="Normal 4 8 3 9" xfId="12769" xr:uid="{66A1D130-8853-47BE-9E8F-EB39290D0E65}"/>
    <cellStyle name="Normal 4 8 4" xfId="1039" xr:uid="{00000000-0005-0000-0000-0000C1050000}"/>
    <cellStyle name="Normal 4 8 4 2" xfId="4554" xr:uid="{4A53458D-E17E-4BB7-9B78-E41E6108CD46}"/>
    <cellStyle name="Normal 4 8 4 2 2" xfId="9326" xr:uid="{DC6DF52B-15E0-407A-8FD8-91CCFA995276}"/>
    <cellStyle name="Normal 4 8 4 2 2 2" xfId="29301" xr:uid="{22CBBC2C-6EB7-4F8D-9BF3-8C6A7E2E0971}"/>
    <cellStyle name="Normal 4 8 4 2 2 3" xfId="19706" xr:uid="{BBE92403-9659-4990-9EB1-3C980877811E}"/>
    <cellStyle name="Normal 4 8 4 2 3" xfId="12159" xr:uid="{EC1E7D03-E6CD-4B6A-A889-E82AA6D291E8}"/>
    <cellStyle name="Normal 4 8 4 2 3 2" xfId="22539" xr:uid="{0FEE8662-2D8F-4A33-AB47-1B88ED44E02E}"/>
    <cellStyle name="Normal 4 8 4 2 4" xfId="25729" xr:uid="{B29B947F-BF6C-4162-9758-A19DE764DCC0}"/>
    <cellStyle name="Normal 4 8 4 2 5" xfId="16873" xr:uid="{BAE9BF8E-D4C8-44F9-A359-3FCB88ADBC3D}"/>
    <cellStyle name="Normal 4 8 4 3" xfId="5342" xr:uid="{2F7E15B8-6D4F-40EF-A62B-5AC6AB5CE46A}"/>
    <cellStyle name="Normal 4 8 4 3 2" xfId="27514" xr:uid="{E12BE31D-F7D8-41F8-B8F2-FF5737E4F9B6}"/>
    <cellStyle name="Normal 4 8 4 3 3" xfId="14640" xr:uid="{BAC52ED1-B28A-4108-B645-8BADC5ECED70}"/>
    <cellStyle name="Normal 4 8 4 4" xfId="7093" xr:uid="{64C2FEF8-951F-4D16-A7AE-2EC7C1FFFCB3}"/>
    <cellStyle name="Normal 4 8 4 4 2" xfId="17473" xr:uid="{9704C883-5736-4EA5-8187-F66451D5E9A7}"/>
    <cellStyle name="Normal 4 8 4 5" xfId="9926" xr:uid="{2D7F1617-CC5B-43FE-8F93-D0245C9DAE4E}"/>
    <cellStyle name="Normal 4 8 4 5 2" xfId="20306" xr:uid="{64309F65-88F7-4EF9-A4EE-6046D6192837}"/>
    <cellStyle name="Normal 4 8 4 6" xfId="24597" xr:uid="{FAFE0EDA-07F8-4FE7-9744-558229B9E9CF}"/>
    <cellStyle name="Normal 4 8 4 7" xfId="13961" xr:uid="{98860BFA-E002-4D04-B6BC-10368C072A02}"/>
    <cellStyle name="Normal 4 8 5" xfId="2946" xr:uid="{00000000-0005-0000-0000-0000B7060000}"/>
    <cellStyle name="Normal 4 8 5 2" xfId="6126" xr:uid="{3A90E411-B0E1-4D1D-8CBF-0FA213C408C9}"/>
    <cellStyle name="Normal 4 8 5 2 2" xfId="22889" xr:uid="{323BCB07-E0C4-4324-9387-BB441B091CBA}"/>
    <cellStyle name="Normal 4 8 5 2 3" xfId="27022" xr:uid="{0ADDFC1F-FD80-4CB0-9417-459BB5DA67EE}"/>
    <cellStyle name="Normal 4 8 5 2 4" xfId="15604" xr:uid="{2EE76BEA-D134-4681-ABFD-D9E13ED59382}"/>
    <cellStyle name="Normal 4 8 5 3" xfId="8057" xr:uid="{49F03E7D-F8CF-4539-A4E2-8D4E390C1C2C}"/>
    <cellStyle name="Normal 4 8 5 3 2" xfId="28759" xr:uid="{1F490A06-3F6F-4F75-AAFD-3FC8E68046D8}"/>
    <cellStyle name="Normal 4 8 5 3 3" xfId="18437" xr:uid="{663CB6D6-FD8C-425B-A1B7-45FBFF432DCC}"/>
    <cellStyle name="Normal 4 8 5 4" xfId="10890" xr:uid="{420CEDED-F913-4CED-A0A6-C8812B15D841}"/>
    <cellStyle name="Normal 4 8 5 4 2" xfId="21270" xr:uid="{7E3BF973-9134-4A00-9B1A-BA0C7D081897}"/>
    <cellStyle name="Normal 4 8 5 5" xfId="24125" xr:uid="{393509DD-5235-442B-A267-5E4D400C7C73}"/>
    <cellStyle name="Normal 4 8 5 6" xfId="13467" xr:uid="{982210BB-347A-4FD7-B053-F2B565925200}"/>
    <cellStyle name="Normal 4 8 6" xfId="2446" xr:uid="{00000000-0005-0000-0000-0000B8060000}"/>
    <cellStyle name="Normal 4 8 6 2" xfId="5740" xr:uid="{4D6A6D2A-C857-4FFE-A450-2E160D6EF7CD}"/>
    <cellStyle name="Normal 4 8 6 2 2" xfId="27102" xr:uid="{DEFD9B35-CA72-4AED-BB02-EB6A90E849D3}"/>
    <cellStyle name="Normal 4 8 6 2 3" xfId="15118" xr:uid="{D47C087F-8414-4BDA-B2D0-6329B80D357B}"/>
    <cellStyle name="Normal 4 8 6 3" xfId="7571" xr:uid="{AF799A62-90A1-4278-8CAC-411CABE1649B}"/>
    <cellStyle name="Normal 4 8 6 3 2" xfId="17951" xr:uid="{692457AA-E4A8-4130-B954-A586181B5B49}"/>
    <cellStyle name="Normal 4 8 6 4" xfId="10404" xr:uid="{04E2B5B6-D284-4423-9A0A-6EE8830E5E22}"/>
    <cellStyle name="Normal 4 8 6 4 2" xfId="20784" xr:uid="{DF578FD9-7125-4605-9C27-85F372D05A66}"/>
    <cellStyle name="Normal 4 8 6 5" xfId="22696" xr:uid="{729EE0F8-E1C5-4C04-8DF5-244E9ACA131C}"/>
    <cellStyle name="Normal 4 8 6 6" xfId="12834" xr:uid="{BC199602-588A-4E28-A840-5C19D5FBD532}"/>
    <cellStyle name="Normal 4 8 7" xfId="2200" xr:uid="{00000000-0005-0000-0000-0000AC060000}"/>
    <cellStyle name="Normal 4 8 7 2" xfId="7327" xr:uid="{6DC10D9B-AD30-4AFE-B5AB-C9BDDADD2450}"/>
    <cellStyle name="Normal 4 8 7 2 2" xfId="17707" xr:uid="{3688C2AB-DAA0-4D32-9B01-3A58F0803499}"/>
    <cellStyle name="Normal 4 8 7 3" xfId="10160" xr:uid="{2145218E-5174-4AB5-9392-445EA353E7DE}"/>
    <cellStyle name="Normal 4 8 7 3 2" xfId="20540" xr:uid="{D4414ED4-57FB-4635-A875-1F72F8E92A7F}"/>
    <cellStyle name="Normal 4 8 7 4" xfId="25047" xr:uid="{7AFBC9C0-08AB-470D-B140-140688BC0FD1}"/>
    <cellStyle name="Normal 4 8 7 5" xfId="14874" xr:uid="{F24D1869-95EF-4B26-9CB9-D07A8B793B64}"/>
    <cellStyle name="Normal 4 8 8" xfId="3998" xr:uid="{281ACFA1-D698-4080-8D6B-0AF4D83A6F8E}"/>
    <cellStyle name="Normal 4 8 8 2" xfId="8822" xr:uid="{CFB66AB3-D734-4A79-A87B-9A2EFF98D5E4}"/>
    <cellStyle name="Normal 4 8 8 2 2" xfId="19202" xr:uid="{E19055ED-866D-4B93-91A7-6B9EFA80B315}"/>
    <cellStyle name="Normal 4 8 8 3" xfId="11655" xr:uid="{639A8475-980A-43F0-953D-AA1C4BC8A225}"/>
    <cellStyle name="Normal 4 8 8 3 2" xfId="22035" xr:uid="{238B5422-CD6E-4709-A692-929601A47CEA}"/>
    <cellStyle name="Normal 4 8 8 4" xfId="16369" xr:uid="{EED70B44-2A93-4B41-9D5A-91AD6D5EE158}"/>
    <cellStyle name="Normal 4 8 9" xfId="5338" xr:uid="{AEAD4F3A-23BD-4982-A966-DE7F04C30F37}"/>
    <cellStyle name="Normal 4 8 9 2" xfId="14636" xr:uid="{88B9D1B0-17D6-4FD9-BC3D-D627679CD327}"/>
    <cellStyle name="Normal 4 9" xfId="1040" xr:uid="{00000000-0005-0000-0000-0000C2050000}"/>
    <cellStyle name="Normal 4 9 10" xfId="7094" xr:uid="{FED65E8B-9E0C-4993-9D9D-09C6A5CCBF77}"/>
    <cellStyle name="Normal 4 9 10 2" xfId="17474" xr:uid="{85C94C34-2764-4D4A-A55A-3CC3B94E06B0}"/>
    <cellStyle name="Normal 4 9 11" xfId="9927" xr:uid="{8592E14F-7933-451D-9CE9-B4860A2D52B7}"/>
    <cellStyle name="Normal 4 9 11 2" xfId="20307" xr:uid="{02417B0E-5595-45E5-90CB-41EC334685D5}"/>
    <cellStyle name="Normal 4 9 12" xfId="23729" xr:uid="{BD948A75-B0F9-44FF-BBAB-26E8C81CCBE0}"/>
    <cellStyle name="Normal 4 9 13" xfId="12494" xr:uid="{CD8A0886-089C-446A-8DE1-556D66857C2D}"/>
    <cellStyle name="Normal 4 9 2" xfId="1041" xr:uid="{00000000-0005-0000-0000-0000C3050000}"/>
    <cellStyle name="Normal 4 9 2 10" xfId="9928" xr:uid="{28370A61-F559-432A-B25C-14DD633AD195}"/>
    <cellStyle name="Normal 4 9 2 10 2" xfId="20308" xr:uid="{201A2F93-DAA0-4A27-BF79-B00C29977018}"/>
    <cellStyle name="Normal 4 9 2 11" xfId="22763" xr:uid="{0087A8B8-93CC-4BFE-AA5E-D6C7D2CA9A00}"/>
    <cellStyle name="Normal 4 9 2 12" xfId="12612" xr:uid="{74C7346E-50B0-47C0-BB11-55DFB2707C47}"/>
    <cellStyle name="Normal 4 9 2 2" xfId="1042" xr:uid="{00000000-0005-0000-0000-0000C4050000}"/>
    <cellStyle name="Normal 4 9 2 2 2" xfId="3395" xr:uid="{00000000-0005-0000-0000-0000BC060000}"/>
    <cellStyle name="Normal 4 9 2 2 2 2" xfId="6453" xr:uid="{11E9BE83-9BEF-456C-844D-D31925E7C983}"/>
    <cellStyle name="Normal 4 9 2 2 2 2 2" xfId="28694" xr:uid="{B7AD161C-F341-4DA4-8DE4-27608ACA660B}"/>
    <cellStyle name="Normal 4 9 2 2 2 2 3" xfId="28199" xr:uid="{38F0B293-0D62-432D-9C4F-EE43645FC28D}"/>
    <cellStyle name="Normal 4 9 2 2 2 2 4" xfId="16022" xr:uid="{8BDDD3B4-B9A2-45C7-AF12-56D5B99F1810}"/>
    <cellStyle name="Normal 4 9 2 2 2 3" xfId="8475" xr:uid="{9038C36F-0961-43F9-92E9-2FBEC2FD15A9}"/>
    <cellStyle name="Normal 4 9 2 2 2 3 2" xfId="28923" xr:uid="{F7762159-4A43-4FD5-B9A3-4DD12BD141F2}"/>
    <cellStyle name="Normal 4 9 2 2 2 3 3" xfId="18855" xr:uid="{917F8D4E-1CFD-4DAC-815C-226344EE8AAB}"/>
    <cellStyle name="Normal 4 9 2 2 2 4" xfId="11308" xr:uid="{FF99C08E-2FD0-44B9-A815-374563E54528}"/>
    <cellStyle name="Normal 4 9 2 2 2 4 2" xfId="21688" xr:uid="{59C14F52-2CDE-44D9-B32A-5AD6C2967E44}"/>
    <cellStyle name="Normal 4 9 2 2 2 5" xfId="24386" xr:uid="{3C35500F-A6B9-49B4-BB95-075B0AEC0C74}"/>
    <cellStyle name="Normal 4 9 2 2 2 6" xfId="13963" xr:uid="{EAE0E571-E60D-47E1-93EB-992FA5AF217A}"/>
    <cellStyle name="Normal 4 9 2 2 3" xfId="4355" xr:uid="{B7CECDB9-48DC-4889-B3EF-7E0171FF32B0}"/>
    <cellStyle name="Normal 4 9 2 2 3 2" xfId="9127" xr:uid="{B287CC7E-81A6-4F37-95CD-77D3B7A9D44B}"/>
    <cellStyle name="Normal 4 9 2 2 3 2 2" xfId="29170" xr:uid="{01E746A7-4123-43E0-AB3E-B028EF387EB6}"/>
    <cellStyle name="Normal 4 9 2 2 3 2 3" xfId="19507" xr:uid="{39187655-B24B-4182-BDE2-038D1B8846B2}"/>
    <cellStyle name="Normal 4 9 2 2 3 3" xfId="11960" xr:uid="{8211DA65-4B71-4084-AF16-B8C6040CE355}"/>
    <cellStyle name="Normal 4 9 2 2 3 3 2" xfId="22340" xr:uid="{8A3F3DA4-464D-44A0-BF17-399DABF26D3E}"/>
    <cellStyle name="Normal 4 9 2 2 3 4" xfId="24746" xr:uid="{53C96F65-A9A7-47BE-804A-52A54B7CBC06}"/>
    <cellStyle name="Normal 4 9 2 2 3 5" xfId="16674" xr:uid="{AEF97B57-EBB3-40C7-A330-5F1D3B247A08}"/>
    <cellStyle name="Normal 4 9 2 2 4" xfId="5345" xr:uid="{96342CCA-55A5-47D1-A797-2C36D42FFB2A}"/>
    <cellStyle name="Normal 4 9 2 2 4 2" xfId="27027" xr:uid="{DBE57265-6D69-4443-95A6-FC9DC1A9B761}"/>
    <cellStyle name="Normal 4 9 2 2 4 3" xfId="14643" xr:uid="{8C4ADD13-00FC-4CC3-AD26-03FC256F0E18}"/>
    <cellStyle name="Normal 4 9 2 2 5" xfId="7096" xr:uid="{3C1AF9BA-F553-4120-B127-A4197615CA77}"/>
    <cellStyle name="Normal 4 9 2 2 5 2" xfId="17476" xr:uid="{632F33F2-D68C-4055-927E-790550974824}"/>
    <cellStyle name="Normal 4 9 2 2 6" xfId="9929" xr:uid="{2C8C1A72-261D-44D7-96A5-2516D17DBD05}"/>
    <cellStyle name="Normal 4 9 2 2 6 2" xfId="20309" xr:uid="{79CDB092-0135-4613-B647-132677FBB4DC}"/>
    <cellStyle name="Normal 4 9 2 2 7" xfId="23126" xr:uid="{723A8EC1-6226-49C0-95A1-E85A20D6241E}"/>
    <cellStyle name="Normal 4 9 2 2 8" xfId="13269" xr:uid="{1C00D6FC-68F7-4724-A70D-4669B52F1AA0}"/>
    <cellStyle name="Normal 4 9 2 3" xfId="3396" xr:uid="{00000000-0005-0000-0000-0000BD060000}"/>
    <cellStyle name="Normal 4 9 2 3 2" xfId="4555" xr:uid="{429A3C00-EA96-4A8D-852C-E18122DA3BFC}"/>
    <cellStyle name="Normal 4 9 2 3 2 2" xfId="9327" xr:uid="{078A8D01-3A66-4BF7-A0C3-9EA9566C4FBA}"/>
    <cellStyle name="Normal 4 9 2 3 2 2 2" xfId="29302" xr:uid="{81E919EC-171F-4337-8F54-BAF4FAA1875E}"/>
    <cellStyle name="Normal 4 9 2 3 2 2 3" xfId="19707" xr:uid="{AEF3400C-B76F-41BC-A7D4-E6ACE6A7356F}"/>
    <cellStyle name="Normal 4 9 2 3 2 3" xfId="12160" xr:uid="{3A9B6F7D-697F-4A82-94EE-0008EAD9B053}"/>
    <cellStyle name="Normal 4 9 2 3 2 3 2" xfId="22540" xr:uid="{EF7F18C2-0586-4A8A-BEE2-3AFDB87ABC8E}"/>
    <cellStyle name="Normal 4 9 2 3 2 4" xfId="24302" xr:uid="{281778F3-8B05-4B77-B5C9-E8664219A3E7}"/>
    <cellStyle name="Normal 4 9 2 3 2 5" xfId="16874" xr:uid="{26292AE9-A676-4867-8354-8FDF65FF8704}"/>
    <cellStyle name="Normal 4 9 2 3 3" xfId="6454" xr:uid="{E0E8314D-1134-4E1C-B19E-01A0BC6639B8}"/>
    <cellStyle name="Normal 4 9 2 3 3 2" xfId="26876" xr:uid="{54796271-879F-4167-BA9B-BD66C88C0419}"/>
    <cellStyle name="Normal 4 9 2 3 3 3" xfId="16023" xr:uid="{51271DC9-1A29-44F5-97D7-BCACACE46210}"/>
    <cellStyle name="Normal 4 9 2 3 4" xfId="8476" xr:uid="{AB9A5261-844D-4CD8-A4BA-30EAD92011D8}"/>
    <cellStyle name="Normal 4 9 2 3 4 2" xfId="18856" xr:uid="{AD961A38-47B8-4F6B-937B-81803D0557EA}"/>
    <cellStyle name="Normal 4 9 2 3 5" xfId="11309" xr:uid="{B27C72B8-AD1B-44BC-BDD7-12ADA905F9B6}"/>
    <cellStyle name="Normal 4 9 2 3 5 2" xfId="21689" xr:uid="{B3F3CBB2-6F69-4275-AAFA-CB8D22E05A51}"/>
    <cellStyle name="Normal 4 9 2 3 6" xfId="23990" xr:uid="{EE707BDF-7721-4690-8488-D9E5F4960A9C}"/>
    <cellStyle name="Normal 4 9 2 3 7" xfId="13964" xr:uid="{425ACECC-3E0F-46C2-8378-FFD904F5B98A}"/>
    <cellStyle name="Normal 4 9 2 4" xfId="3394" xr:uid="{00000000-0005-0000-0000-0000BE060000}"/>
    <cellStyle name="Normal 4 9 2 4 2" xfId="6452" xr:uid="{E9DBFBC1-94F8-4265-B53D-C168DE8425DE}"/>
    <cellStyle name="Normal 4 9 2 4 2 2" xfId="27636" xr:uid="{D134B4F9-958C-4105-8EB7-56E094FF549D}"/>
    <cellStyle name="Normal 4 9 2 4 2 3" xfId="16021" xr:uid="{CD533D81-4227-4367-AD8A-972D87E4277A}"/>
    <cellStyle name="Normal 4 9 2 4 3" xfId="8474" xr:uid="{3F24AFFD-A75E-450C-A9EF-92566A7C3F04}"/>
    <cellStyle name="Normal 4 9 2 4 3 2" xfId="18854" xr:uid="{558DB0AB-D2E0-4ADC-8A48-18296A3BBF68}"/>
    <cellStyle name="Normal 4 9 2 4 4" xfId="11307" xr:uid="{1A76F0A1-8D28-4290-8946-F2B4A37D6264}"/>
    <cellStyle name="Normal 4 9 2 4 4 2" xfId="21687" xr:uid="{8B7841B6-B6A5-43C6-9864-9348B6A6EB0E}"/>
    <cellStyle name="Normal 4 9 2 4 5" xfId="25330" xr:uid="{7C7C8256-B9E5-4613-B263-AB4056C9349D}"/>
    <cellStyle name="Normal 4 9 2 4 6" xfId="13962" xr:uid="{FF2032C4-8BF9-4137-BD49-7B217EF6F85A}"/>
    <cellStyle name="Normal 4 9 2 5" xfId="2657" xr:uid="{00000000-0005-0000-0000-0000BF060000}"/>
    <cellStyle name="Normal 4 9 2 5 2" xfId="5917" xr:uid="{41952D99-ABDB-4293-834B-F38C838B1168}"/>
    <cellStyle name="Normal 4 9 2 5 2 2" xfId="27668" xr:uid="{B83C8430-3C67-4460-8840-7F0BDA03DB8B}"/>
    <cellStyle name="Normal 4 9 2 5 2 3" xfId="15329" xr:uid="{BC35F09B-CE5B-4916-9597-B10216CAA486}"/>
    <cellStyle name="Normal 4 9 2 5 3" xfId="7782" xr:uid="{9DD94790-E2C5-4C61-9D03-570B091E3C4D}"/>
    <cellStyle name="Normal 4 9 2 5 3 2" xfId="18162" xr:uid="{0ABF3531-97C8-4476-9FAD-A96156326B2F}"/>
    <cellStyle name="Normal 4 9 2 5 4" xfId="10615" xr:uid="{8C1CF07B-3467-4C48-912E-2E1C444A4F06}"/>
    <cellStyle name="Normal 4 9 2 5 4 2" xfId="20995" xr:uid="{252AC7F1-0AB2-4B98-9212-B2CC72E9BB0C}"/>
    <cellStyle name="Normal 4 9 2 5 5" xfId="24390" xr:uid="{531B2959-78A0-4777-AF18-50FB596D273D}"/>
    <cellStyle name="Normal 4 9 2 5 6" xfId="13059" xr:uid="{1A269D4F-B737-489D-B7A7-D1D28B78EA22}"/>
    <cellStyle name="Normal 4 9 2 6" xfId="2378" xr:uid="{00000000-0005-0000-0000-0000BA060000}"/>
    <cellStyle name="Normal 4 9 2 6 2" xfId="7505" xr:uid="{D6504F32-9E30-4636-8E43-11D3A1544429}"/>
    <cellStyle name="Normal 4 9 2 6 2 2" xfId="17885" xr:uid="{0A365267-F0E1-4CB9-8305-0282D4AD3D06}"/>
    <cellStyle name="Normal 4 9 2 6 3" xfId="10338" xr:uid="{E4B342D6-E1E6-4E71-B82A-B35FC665DD40}"/>
    <cellStyle name="Normal 4 9 2 6 3 2" xfId="20718" xr:uid="{6073AC3D-C593-4C95-970E-A50E189650EC}"/>
    <cellStyle name="Normal 4 9 2 6 4" xfId="24543" xr:uid="{215AFCB9-7E53-4A64-A0F6-85835A7537F7}"/>
    <cellStyle name="Normal 4 9 2 6 5" xfId="15052" xr:uid="{99D15716-0A26-4820-A1B9-0E615D69DB7C}"/>
    <cellStyle name="Normal 4 9 2 7" xfId="3955" xr:uid="{5662DC37-F90E-41B1-8934-44962F194A3A}"/>
    <cellStyle name="Normal 4 9 2 7 2" xfId="8787" xr:uid="{7D06C3E6-4AF0-4B89-8901-A8CEEF48497E}"/>
    <cellStyle name="Normal 4 9 2 7 2 2" xfId="19167" xr:uid="{D8782B79-623B-4E23-BD16-08969CEE0135}"/>
    <cellStyle name="Normal 4 9 2 7 3" xfId="11620" xr:uid="{24202C2E-E9BC-4B30-A123-54FB0FE2BA5B}"/>
    <cellStyle name="Normal 4 9 2 7 3 2" xfId="22000" xr:uid="{6B243055-76E8-4D7F-93D0-717A0B52A8C3}"/>
    <cellStyle name="Normal 4 9 2 7 4" xfId="16334" xr:uid="{D16B8EEB-DBF4-45EA-8E00-E56CA3FA07FB}"/>
    <cellStyle name="Normal 4 9 2 8" xfId="5344" xr:uid="{FA09D750-66D3-46F2-AA20-E5C5C6D5A7A2}"/>
    <cellStyle name="Normal 4 9 2 8 2" xfId="14642" xr:uid="{EB460EF6-969D-48F3-9585-CD572D0075A6}"/>
    <cellStyle name="Normal 4 9 2 9" xfId="7095" xr:uid="{7A8048F7-241E-4979-B207-70F8C28C3BBA}"/>
    <cellStyle name="Normal 4 9 2 9 2" xfId="17475" xr:uid="{9DD638C0-C0F0-4C0A-A277-0655FAB0BB6A}"/>
    <cellStyle name="Normal 4 9 3" xfId="1043" xr:uid="{00000000-0005-0000-0000-0000C5050000}"/>
    <cellStyle name="Normal 4 9 3 2" xfId="3397" xr:uid="{00000000-0005-0000-0000-0000C1060000}"/>
    <cellStyle name="Normal 4 9 3 2 2" xfId="6455" xr:uid="{EC58CF77-95B6-42C0-8B6D-E6C38386E713}"/>
    <cellStyle name="Normal 4 9 3 2 2 2" xfId="23775" xr:uid="{DC92D57D-5795-4BFD-B9C6-40860AECCF78}"/>
    <cellStyle name="Normal 4 9 3 2 2 3" xfId="27659" xr:uid="{BD270951-A7CB-4512-B042-ED92B3AF51B0}"/>
    <cellStyle name="Normal 4 9 3 2 2 4" xfId="16024" xr:uid="{F7DFEFAD-B8A4-4014-A965-79AC03EE98CA}"/>
    <cellStyle name="Normal 4 9 3 2 3" xfId="8477" xr:uid="{D017D5D2-9F67-46D6-9C65-8D3ADB37B85E}"/>
    <cellStyle name="Normal 4 9 3 2 3 2" xfId="28924" xr:uid="{3CE00559-6AD8-4A77-8FD5-69456922A500}"/>
    <cellStyle name="Normal 4 9 3 2 3 3" xfId="18857" xr:uid="{127CBB48-2A01-470A-BD74-3890FD0642C8}"/>
    <cellStyle name="Normal 4 9 3 2 4" xfId="11310" xr:uid="{72168985-3B71-4213-80CA-7C09896A4598}"/>
    <cellStyle name="Normal 4 9 3 2 4 2" xfId="21690" xr:uid="{BD9DCD0E-2F77-44EF-97C0-5BB4BFF291DF}"/>
    <cellStyle name="Normal 4 9 3 2 5" xfId="24906" xr:uid="{9BFE87F1-B694-4E99-B970-076C7ACAE04A}"/>
    <cellStyle name="Normal 4 9 3 2 6" xfId="13965" xr:uid="{BCF44529-9CE9-460D-B060-C9F0FB761974}"/>
    <cellStyle name="Normal 4 9 3 3" xfId="2803" xr:uid="{00000000-0005-0000-0000-0000C2060000}"/>
    <cellStyle name="Normal 4 9 3 3 2" xfId="6021" xr:uid="{9EDD67D1-5C2C-41FB-8DB5-F20ED392B8C6}"/>
    <cellStyle name="Normal 4 9 3 3 2 2" xfId="26495" xr:uid="{D2B1457E-7C6D-43FE-97D1-D741065D3543}"/>
    <cellStyle name="Normal 4 9 3 3 2 3" xfId="15474" xr:uid="{4C1DDB65-F2A6-453B-9303-D769A622CC45}"/>
    <cellStyle name="Normal 4 9 3 3 3" xfId="7927" xr:uid="{C4B41890-42D4-4559-BB21-ACCE2AE869DB}"/>
    <cellStyle name="Normal 4 9 3 3 3 2" xfId="18307" xr:uid="{3A0D7D73-2444-4B2D-AE17-EAC42634EFA4}"/>
    <cellStyle name="Normal 4 9 3 3 4" xfId="10760" xr:uid="{CFAD69D5-A814-46DE-87BE-BF954F5E5BF9}"/>
    <cellStyle name="Normal 4 9 3 3 4 2" xfId="21140" xr:uid="{EBAEB439-29CF-471F-B1AE-7CBD9143C4D3}"/>
    <cellStyle name="Normal 4 9 3 3 5" xfId="23430" xr:uid="{5E6BB81F-081E-4ACD-B0C1-13DEA25765B8}"/>
    <cellStyle name="Normal 4 9 3 3 6" xfId="13268" xr:uid="{17F04C83-C241-4809-AF38-EF377A2E1468}"/>
    <cellStyle name="Normal 4 9 3 4" xfId="4204" xr:uid="{59B0931E-45F8-4742-866F-5C5AC23997A1}"/>
    <cellStyle name="Normal 4 9 3 4 2" xfId="8976" xr:uid="{154E08C5-8FF7-48F4-B67A-35F5CAF52B32}"/>
    <cellStyle name="Normal 4 9 3 4 2 2" xfId="29058" xr:uid="{039F68C9-4D7A-420B-A116-ED61329DE099}"/>
    <cellStyle name="Normal 4 9 3 4 2 3" xfId="19356" xr:uid="{75FD03FC-72A0-4F5E-A0CA-5FE0B27F42F2}"/>
    <cellStyle name="Normal 4 9 3 4 3" xfId="11809" xr:uid="{B23AF0B9-02E9-4983-96E2-542D5F5C0818}"/>
    <cellStyle name="Normal 4 9 3 4 3 2" xfId="22189" xr:uid="{B783A89E-86D7-4233-B590-0C0232E081AF}"/>
    <cellStyle name="Normal 4 9 3 4 4" xfId="24448" xr:uid="{ECE1713B-6C36-4DD6-816C-09DF059B87B7}"/>
    <cellStyle name="Normal 4 9 3 4 5" xfId="16523" xr:uid="{D0E91311-55B1-4F1E-B6D0-1D0E1521AF8F}"/>
    <cellStyle name="Normal 4 9 3 5" xfId="5346" xr:uid="{B95C7F4B-9A71-4AEC-BF82-3710F3D2C35B}"/>
    <cellStyle name="Normal 4 9 3 5 2" xfId="26033" xr:uid="{D5C88AE1-B3BD-4C8F-BA05-C1B0AB621E4B}"/>
    <cellStyle name="Normal 4 9 3 5 3" xfId="14644" xr:uid="{946793D5-930B-438A-BA01-92F106EAA79C}"/>
    <cellStyle name="Normal 4 9 3 6" xfId="7097" xr:uid="{45A6AE62-1A27-4679-9355-C7565243CC36}"/>
    <cellStyle name="Normal 4 9 3 6 2" xfId="17477" xr:uid="{5E875325-DDEF-43E5-88B0-36663A002E3A}"/>
    <cellStyle name="Normal 4 9 3 7" xfId="9930" xr:uid="{438C59F0-280F-4A01-B1FA-B98BB434E128}"/>
    <cellStyle name="Normal 4 9 3 7 2" xfId="20310" xr:uid="{9760F551-7F49-4B66-9392-BC4ED1C07275}"/>
    <cellStyle name="Normal 4 9 3 8" xfId="24810" xr:uid="{06BCB86A-1997-4F11-B114-820C012B0138}"/>
    <cellStyle name="Normal 4 9 3 9" xfId="12770" xr:uid="{4234F2F0-DD76-48C3-858A-37108DC7FF33}"/>
    <cellStyle name="Normal 4 9 4" xfId="1044" xr:uid="{00000000-0005-0000-0000-0000C6050000}"/>
    <cellStyle name="Normal 4 9 4 2" xfId="4556" xr:uid="{B60F7FE0-303D-4809-9FF9-BA03D1C69B44}"/>
    <cellStyle name="Normal 4 9 4 2 2" xfId="9328" xr:uid="{D898483C-C1B9-4E7F-8610-5E7B7DD99729}"/>
    <cellStyle name="Normal 4 9 4 2 2 2" xfId="29303" xr:uid="{411B5B70-8F18-4E55-B496-BE944566B165}"/>
    <cellStyle name="Normal 4 9 4 2 2 3" xfId="19708" xr:uid="{091F6D37-CB88-4DE7-8317-5909FD2E580A}"/>
    <cellStyle name="Normal 4 9 4 2 3" xfId="12161" xr:uid="{BB3FE38A-1F1B-4F3D-B629-ADA754C185CC}"/>
    <cellStyle name="Normal 4 9 4 2 3 2" xfId="22541" xr:uid="{5FFEF487-F08A-48EB-A592-4927EE828390}"/>
    <cellStyle name="Normal 4 9 4 2 4" xfId="24397" xr:uid="{BAB0A28D-4E99-4B0E-BBA3-3FA6958A4ED7}"/>
    <cellStyle name="Normal 4 9 4 2 5" xfId="16875" xr:uid="{15504F81-1EA2-4C0E-B012-16BAE8A59B70}"/>
    <cellStyle name="Normal 4 9 4 3" xfId="5347" xr:uid="{0E040CF3-0042-422A-BA5E-6AAA80545842}"/>
    <cellStyle name="Normal 4 9 4 3 2" xfId="26420" xr:uid="{9737F622-9F4D-4215-9D5E-4603C76300E2}"/>
    <cellStyle name="Normal 4 9 4 3 3" xfId="14645" xr:uid="{1605F229-F8A2-4434-9B75-426B7260F6B9}"/>
    <cellStyle name="Normal 4 9 4 4" xfId="7098" xr:uid="{154A79A8-E326-4846-BD3C-FCF566EEFF09}"/>
    <cellStyle name="Normal 4 9 4 4 2" xfId="17478" xr:uid="{48CE7B65-0A47-49AA-A0FB-D19A0D3D9D98}"/>
    <cellStyle name="Normal 4 9 4 5" xfId="9931" xr:uid="{E883B33E-6308-4FF6-9680-F215C520DFC2}"/>
    <cellStyle name="Normal 4 9 4 5 2" xfId="20311" xr:uid="{5F0F5074-2CF6-416D-BFD7-6299FC13A09D}"/>
    <cellStyle name="Normal 4 9 4 6" xfId="25406" xr:uid="{BA7D3C25-E40B-4434-A1BB-73C9F27BBACC}"/>
    <cellStyle name="Normal 4 9 4 7" xfId="13966" xr:uid="{CE3262C7-FE81-4080-A643-90F204935236}"/>
    <cellStyle name="Normal 4 9 5" xfId="2947" xr:uid="{00000000-0005-0000-0000-0000C4060000}"/>
    <cellStyle name="Normal 4 9 5 2" xfId="6127" xr:uid="{8FE178C2-CBA3-433F-A7C2-84FC619F5B81}"/>
    <cellStyle name="Normal 4 9 5 2 2" xfId="24057" xr:uid="{4E4E5A2D-359D-46B2-A19E-DBF03D5EF5F9}"/>
    <cellStyle name="Normal 4 9 5 2 3" xfId="27544" xr:uid="{C39916A2-C003-4C43-9C9A-9AC63521D991}"/>
    <cellStyle name="Normal 4 9 5 2 4" xfId="15605" xr:uid="{4543F762-D666-4FA6-ABE4-C9631A5B5E34}"/>
    <cellStyle name="Normal 4 9 5 3" xfId="8058" xr:uid="{DE5353BF-C4EC-4276-9C20-3C9D1B71ABCA}"/>
    <cellStyle name="Normal 4 9 5 3 2" xfId="28760" xr:uid="{BC05135D-49F9-4C43-8779-B049198642E6}"/>
    <cellStyle name="Normal 4 9 5 3 3" xfId="18438" xr:uid="{AD4191F7-A8FF-4446-ABBC-0AF88631DCE5}"/>
    <cellStyle name="Normal 4 9 5 4" xfId="10891" xr:uid="{FA8A25CE-B31C-43F8-A59B-36EA28645A33}"/>
    <cellStyle name="Normal 4 9 5 4 2" xfId="21271" xr:uid="{4927AD9C-0BD5-4299-BC43-309E2FA370C1}"/>
    <cellStyle name="Normal 4 9 5 5" xfId="23972" xr:uid="{34073EE8-2408-4029-BCA1-F24C370C643F}"/>
    <cellStyle name="Normal 4 9 5 6" xfId="13468" xr:uid="{AC7DC948-1164-4B8F-BA4C-16C1F6D5BBCA}"/>
    <cellStyle name="Normal 4 9 6" xfId="2506" xr:uid="{00000000-0005-0000-0000-0000C5060000}"/>
    <cellStyle name="Normal 4 9 6 2" xfId="5786" xr:uid="{C5DB1F4C-84E0-4922-9AF3-EB13B41C9A24}"/>
    <cellStyle name="Normal 4 9 6 2 2" xfId="27873" xr:uid="{87BC2480-2AB3-4E58-946B-68C1A6688A73}"/>
    <cellStyle name="Normal 4 9 6 2 3" xfId="15178" xr:uid="{6429479B-48DE-4743-A1AE-AE3E25563ABC}"/>
    <cellStyle name="Normal 4 9 6 3" xfId="7631" xr:uid="{DC26186C-24BB-4851-B8BA-E951777B6486}"/>
    <cellStyle name="Normal 4 9 6 3 2" xfId="18011" xr:uid="{8D143DA6-04AA-4573-A04D-157B4DFCECA0}"/>
    <cellStyle name="Normal 4 9 6 4" xfId="10464" xr:uid="{6E09233B-E859-4C16-B2F7-186BEBD86034}"/>
    <cellStyle name="Normal 4 9 6 4 2" xfId="20844" xr:uid="{B2EBD67C-2D94-4BBC-9EC9-755791AC361C}"/>
    <cellStyle name="Normal 4 9 6 5" xfId="23171" xr:uid="{F03EBC55-AE1F-42DF-AB33-8551F9067632}"/>
    <cellStyle name="Normal 4 9 6 6" xfId="12894" xr:uid="{3021E087-4766-4419-B53E-DFF3977350AA}"/>
    <cellStyle name="Normal 4 9 7" xfId="2262" xr:uid="{00000000-0005-0000-0000-0000B9060000}"/>
    <cellStyle name="Normal 4 9 7 2" xfId="7389" xr:uid="{32C9A824-0488-4806-8D99-CFC51AABAF81}"/>
    <cellStyle name="Normal 4 9 7 2 2" xfId="17769" xr:uid="{DA96CD8A-5157-4F8F-9A9C-59010E38E781}"/>
    <cellStyle name="Normal 4 9 7 3" xfId="10222" xr:uid="{DC37B7A9-8333-428A-AFF8-B24F26B0F802}"/>
    <cellStyle name="Normal 4 9 7 3 2" xfId="20602" xr:uid="{09BA70BB-9E2F-4C92-BDE6-A2D55D353E26}"/>
    <cellStyle name="Normal 4 9 7 4" xfId="24845" xr:uid="{4CB515D3-9236-4373-A92A-18A2F5F6E62F}"/>
    <cellStyle name="Normal 4 9 7 5" xfId="14936" xr:uid="{A33D728C-722B-4236-A9CF-7BF81F686EC4}"/>
    <cellStyle name="Normal 4 9 8" xfId="3999" xr:uid="{FB00525F-F625-4EBD-91ED-9DCBAED536F6}"/>
    <cellStyle name="Normal 4 9 8 2" xfId="8823" xr:uid="{18EB733E-EE76-4921-A96E-C69C33C3D8B9}"/>
    <cellStyle name="Normal 4 9 8 2 2" xfId="19203" xr:uid="{30B088D8-493E-4B50-8AE3-E18AEF7C462B}"/>
    <cellStyle name="Normal 4 9 8 3" xfId="11656" xr:uid="{85D8D720-9657-4EE8-BBCD-0244CF3EF351}"/>
    <cellStyle name="Normal 4 9 8 3 2" xfId="22036" xr:uid="{0A524794-595E-421E-98C3-5BD4E863566A}"/>
    <cellStyle name="Normal 4 9 8 4" xfId="16370" xr:uid="{C46AB949-0015-4839-8683-C34DB6ABA655}"/>
    <cellStyle name="Normal 4 9 9" xfId="5343" xr:uid="{9F32A828-194D-41BB-86AC-BC1E9E4BD583}"/>
    <cellStyle name="Normal 4 9 9 2" xfId="14641"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4" xr:uid="{54CDD460-EA0A-4C9F-A2E9-D83616F70B34}"/>
    <cellStyle name="Normal 5 2 2 3 3 2 3 2 2 3" xfId="22975" xr:uid="{4F628876-254C-42A5-A33A-0B9E9D415554}"/>
    <cellStyle name="Normal 5 2 2 3 3 2 3 2 3" xfId="1057" xr:uid="{00000000-0005-0000-0000-0000D3050000}"/>
    <cellStyle name="Normal 5 2 2 3 3 2 3 2 3 2" xfId="1994" xr:uid="{00000000-0005-0000-0000-0000D4050000}"/>
    <cellStyle name="Normal 5 2 2 3 3 2 3 2 3 3" xfId="3718" xr:uid="{00000000-0005-0000-0000-000040050000}"/>
    <cellStyle name="Normal 5 2 2 3 3 2 3 2 3 3 2" xfId="4692" xr:uid="{51905AF2-C163-47F0-8B1F-2980361FD244}"/>
    <cellStyle name="Normal 5 2 2 3 3 2 3 2 4" xfId="25788" xr:uid="{1D08EFFC-DA7F-41BE-978E-EC07123E36B4}"/>
    <cellStyle name="Normal 5 2 2 3 3 2 3 3" xfId="1058" xr:uid="{00000000-0005-0000-0000-0000D5050000}"/>
    <cellStyle name="Normal 5 2 2 3 3 2 3 4" xfId="2949" xr:uid="{00000000-0005-0000-0000-0000D2060000}"/>
    <cellStyle name="Normal 5 2 2 3 3 2 3 5" xfId="2102" xr:uid="{00000000-0005-0000-0000-000062020000}"/>
    <cellStyle name="Normal 5 2 2 3 3 2 3 5 2" xfId="4646" xr:uid="{DCF2241D-14ED-485A-9D65-B2AB943923E7}"/>
    <cellStyle name="Normal 5 2 2 3 3 2 3 6" xfId="4001" xr:uid="{F1B4F0B9-FD33-4680-A501-B9D0765C51F9}"/>
    <cellStyle name="Normal 5 2 2 3 3 2 3 6 2" xfId="4696" xr:uid="{87C651C8-4B39-4467-81FB-F4E1577DF4A5}"/>
    <cellStyle name="Normal 5 2 2 3 3 2 4" xfId="1059" xr:uid="{00000000-0005-0000-0000-0000D6050000}"/>
    <cellStyle name="Normal 5 2 2 3 3 2 4 2" xfId="2948" xr:uid="{00000000-0005-0000-0000-0000D3060000}"/>
    <cellStyle name="Normal 5 2 2 3 3 2 4 3" xfId="25593" xr:uid="{5B9280FC-9264-4B15-A200-680DEEC4D82C}"/>
    <cellStyle name="Normal 5 2 2 3 3 2 4 3 2" xfId="29625" xr:uid="{10ECCC93-74F9-4A09-802F-48DA5B303C31}"/>
    <cellStyle name="Normal 5 2 2 3 3 2 4 3 3" xfId="29601" xr:uid="{C8E61550-9BF6-4809-AD63-521FABB334AF}"/>
    <cellStyle name="Normal 5 2 2 3 3 2 4 3 3 2" xfId="29645" xr:uid="{CBBE4A4C-8051-48A5-A221-A862F98BE9FB}"/>
    <cellStyle name="Normal 5 2 2 3 3 2 5" xfId="2101" xr:uid="{00000000-0005-0000-0000-000060020000}"/>
    <cellStyle name="Normal 5 2 2 3 3 2 5 2" xfId="4665" xr:uid="{456E6ACB-B92B-4E09-90D7-9887AC9A6356}"/>
    <cellStyle name="Normal 5 2 2 3 3 2 6" xfId="4000" xr:uid="{A738EDEF-3EA0-4135-885D-6506E619A596}"/>
    <cellStyle name="Normal 5 2 2 3 3 2 6 2" xfId="4815" xr:uid="{54779593-FE24-451B-9985-E9D706451F82}"/>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5" xr:uid="{00000000-0005-0000-0000-0000DC050000}"/>
    <cellStyle name="Normal 5 2 2 3 3 4 2 2 2 3" xfId="3719" xr:uid="{00000000-0005-0000-0000-000047050000}"/>
    <cellStyle name="Normal 5 2 2 3 3 4 2 2 2 3 2" xfId="4816" xr:uid="{A9DAC7E2-553D-4565-B80F-940B97A51BE8}"/>
    <cellStyle name="Normal 5 2 2 3 3 4 2 2 2 4" xfId="25783" xr:uid="{36E75808-49D3-4D14-9DA6-61DB80D655FD}"/>
    <cellStyle name="Normal 5 2 2 3 3 4 2 2 3" xfId="1996" xr:uid="{00000000-0005-0000-0000-0000DD050000}"/>
    <cellStyle name="Normal 5 2 2 3 3 4 2 2 4" xfId="23414" xr:uid="{BA854DC5-60A5-4E12-82F7-BBD7FC263D3A}"/>
    <cellStyle name="Normal 5 2 2 3 3 4 2 3" xfId="1065" xr:uid="{00000000-0005-0000-0000-0000DE050000}"/>
    <cellStyle name="Normal 5 2 2 3 3 4 2 3 2" xfId="1066" xr:uid="{00000000-0005-0000-0000-0000DF050000}"/>
    <cellStyle name="Normal 5 2 2 3 3 4 2 3 2 2" xfId="25815" xr:uid="{0AE676AB-4C86-4CA3-9C45-55D8413D79AD}"/>
    <cellStyle name="Normal 5 2 2 3 3 4 2 3 2 3" xfId="23197" xr:uid="{A05CFCBC-1C32-439E-B3B0-8BBB5EA27847}"/>
    <cellStyle name="Normal 5 2 2 3 3 4 2 3 3" xfId="1067" xr:uid="{00000000-0005-0000-0000-0000E0050000}"/>
    <cellStyle name="Normal 5 2 2 3 3 4 2 3 3 2" xfId="24262" xr:uid="{4E635149-A9CA-4E61-A008-49F6F6E6E5A8}"/>
    <cellStyle name="Normal 5 2 2 3 3 4 2 3 3 3" xfId="24683" xr:uid="{F7A47AF9-6E5B-4813-8096-B603E3BB974D}"/>
    <cellStyle name="Normal 5 2 2 3 3 4 2 3 4" xfId="2104" xr:uid="{00000000-0005-0000-0000-000068020000}"/>
    <cellStyle name="Normal 5 2 2 3 3 4 2 3 4 2" xfId="4709" xr:uid="{B07E0505-B8A6-484D-AAA8-0C41974ED4F4}"/>
    <cellStyle name="Normal 5 2 2 3 3 4 2 3 5" xfId="25793" xr:uid="{BE81E2B3-54B5-44DA-A7B7-DF27FBF44B0E}"/>
    <cellStyle name="Normal 5 2 2 3 3 4 2 4" xfId="24195" xr:uid="{8D3CA287-FEA1-4E49-ADF5-2EF14E33D055}"/>
    <cellStyle name="Normal 5 2 2 3 3 4 3" xfId="1068" xr:uid="{00000000-0005-0000-0000-0000E1050000}"/>
    <cellStyle name="Normal 5 2 2 3 3 4 4" xfId="2950" xr:uid="{00000000-0005-0000-0000-0000DB060000}"/>
    <cellStyle name="Normal 5 2 2 3 3 4 5" xfId="2103" xr:uid="{00000000-0005-0000-0000-000065020000}"/>
    <cellStyle name="Normal 5 2 2 3 3 4 5 2" xfId="3791" xr:uid="{BC5A38D1-BFF3-476A-8A69-EA1EE0617EC6}"/>
    <cellStyle name="Normal 5 2 2 3 3 4 6" xfId="4002" xr:uid="{D8FD9E04-9092-4C4B-A910-C73C5CD42691}"/>
    <cellStyle name="Normal 5 2 2 3 3 4 6 2" xfId="4695" xr:uid="{E279391E-A262-4102-8448-E71B06C35C79}"/>
    <cellStyle name="Normal 5 2 2 3 3 5" xfId="1069" xr:uid="{00000000-0005-0000-0000-0000E2050000}"/>
    <cellStyle name="Normal 5 2 2 3 3 5 2" xfId="1070" xr:uid="{00000000-0005-0000-0000-0000E3050000}"/>
    <cellStyle name="Normal 5 2 2 3 3 5 3" xfId="3720" xr:uid="{00000000-0005-0000-0000-00004E050000}"/>
    <cellStyle name="Normal 5 2 2 3 3 5 3 2" xfId="4795" xr:uid="{DF0BC7BF-5428-4780-84E3-7F8E288418C8}"/>
    <cellStyle name="Normal 5 2 2 3 3 5 3 2 2" xfId="27327" xr:uid="{F12C00FE-6AFB-4D00-84B2-71822DC2DF6A}"/>
    <cellStyle name="Normal 5 2 2 3 3 5 3 3" xfId="22849" xr:uid="{659AE614-353A-4FE0-9C98-E3D2FE7BC367}"/>
    <cellStyle name="Normal 5 2 2 3 3 5 4" xfId="25353"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2" xr:uid="{B47C1D1D-4990-4E6D-8D87-F2D0EA821190}"/>
    <cellStyle name="Normal 5 2 2 3 4 3 2 2 3" xfId="25685" xr:uid="{C0596603-1DB0-4B26-9F87-3B5181B6B939}"/>
    <cellStyle name="Normal 5 2 2 3 4 3 2 3" xfId="1076" xr:uid="{00000000-0005-0000-0000-0000E9050000}"/>
    <cellStyle name="Normal 5 2 2 3 4 3 2 3 2" xfId="1997" xr:uid="{00000000-0005-0000-0000-0000EA050000}"/>
    <cellStyle name="Normal 5 2 2 3 4 3 2 3 3" xfId="3721" xr:uid="{00000000-0005-0000-0000-000055050000}"/>
    <cellStyle name="Normal 5 2 2 3 4 3 2 3 3 2" xfId="4779" xr:uid="{2AAB0A08-DE9A-4C96-9B2A-1DB1A63BD9DB}"/>
    <cellStyle name="Normal 5 2 2 3 4 3 2 4" xfId="25686" xr:uid="{D36B2ED3-0F57-4BA2-8ECD-62BF05B0572F}"/>
    <cellStyle name="Normal 5 2 2 3 4 3 3" xfId="1077" xr:uid="{00000000-0005-0000-0000-0000EB050000}"/>
    <cellStyle name="Normal 5 2 2 3 4 3 4" xfId="2951" xr:uid="{00000000-0005-0000-0000-0000E1060000}"/>
    <cellStyle name="Normal 5 2 2 3 4 3 5" xfId="2106" xr:uid="{00000000-0005-0000-0000-00006C020000}"/>
    <cellStyle name="Normal 5 2 2 3 4 3 5 2" xfId="4053" xr:uid="{49B8B7A8-4856-40A4-A58F-9BFE37881BD3}"/>
    <cellStyle name="Normal 5 2 2 3 4 3 6" xfId="4004" xr:uid="{2E9BA179-24FF-4822-9D6C-F2734EFD2CB0}"/>
    <cellStyle name="Normal 5 2 2 3 4 3 6 2" xfId="4805" xr:uid="{2387F2B7-3B47-4789-BF4E-B979001A8FAA}"/>
    <cellStyle name="Normal 5 2 2 3 4 4" xfId="1078" xr:uid="{00000000-0005-0000-0000-0000EC050000}"/>
    <cellStyle name="Normal 5 2 2 3 4 4 2" xfId="1998" xr:uid="{00000000-0005-0000-0000-0000ED050000}"/>
    <cellStyle name="Normal 5 2 2 3 4 4 3" xfId="3722" xr:uid="{00000000-0005-0000-0000-000058050000}"/>
    <cellStyle name="Normal 5 2 2 3 4 4 3 2" xfId="4707" xr:uid="{FB999CD8-02A8-4F7C-89CE-DB6631DE48C4}"/>
    <cellStyle name="Normal 5 2 2 3 4 5" xfId="2105" xr:uid="{00000000-0005-0000-0000-00006A020000}"/>
    <cellStyle name="Normal 5 2 2 3 4 5 2" xfId="4659" xr:uid="{67E9FDA9-5A2B-445D-B40D-93E8A98A8238}"/>
    <cellStyle name="Normal 5 2 2 3 4 6" xfId="4003" xr:uid="{483D2F10-7048-47B5-8EC8-C27C7ED5C5D2}"/>
    <cellStyle name="Normal 5 2 2 3 4 6 2" xfId="4722" xr:uid="{9099B238-0B4B-4E4D-B266-C731E14F65F2}"/>
    <cellStyle name="Normal 5 2 2 3 5" xfId="2067" xr:uid="{00000000-0005-0000-0000-00005D020000}"/>
    <cellStyle name="Normal 5 2 2 3 5 2" xfId="4745" xr:uid="{D9BCE5B0-F41F-41F6-A6AC-41E5B78235A9}"/>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6" xr:uid="{B7ABCA13-C252-49DE-8A75-C393116E6978}"/>
    <cellStyle name="Normal 5 2 2 4 3 2 2 3" xfId="25772" xr:uid="{D99DDDD1-ADF3-4C2F-9B0B-0766981E1FE4}"/>
    <cellStyle name="Normal 5 2 2 4 3 2 3" xfId="1084" xr:uid="{00000000-0005-0000-0000-0000F3050000}"/>
    <cellStyle name="Normal 5 2 2 4 3 2 3 2" xfId="1999" xr:uid="{00000000-0005-0000-0000-0000F4050000}"/>
    <cellStyle name="Normal 5 2 2 4 3 2 3 3" xfId="3723" xr:uid="{00000000-0005-0000-0000-00005F050000}"/>
    <cellStyle name="Normal 5 2 2 4 3 2 3 3 2" xfId="4737" xr:uid="{E49EB17C-CF0A-4F32-A8B8-D0C3423F7ADE}"/>
    <cellStyle name="Normal 5 2 2 4 3 2 4" xfId="24571" xr:uid="{CA10D6C3-1290-4ABF-AABF-26E17988ED1A}"/>
    <cellStyle name="Normal 5 2 2 4 3 3" xfId="1085" xr:uid="{00000000-0005-0000-0000-0000F5050000}"/>
    <cellStyle name="Normal 5 2 2 4 3 4" xfId="2952" xr:uid="{00000000-0005-0000-0000-0000E8060000}"/>
    <cellStyle name="Normal 5 2 2 4 3 5" xfId="2108" xr:uid="{00000000-0005-0000-0000-000070020000}"/>
    <cellStyle name="Normal 5 2 2 4 3 5 2" xfId="4630" xr:uid="{CB491582-F2CB-4E36-BE6E-EFC681D7156D}"/>
    <cellStyle name="Normal 5 2 2 4 3 6" xfId="4006" xr:uid="{D558FD0F-23C1-46DD-B9F0-9F8795729785}"/>
    <cellStyle name="Normal 5 2 2 4 3 6 2" xfId="4714" xr:uid="{B120F520-B966-4AD5-8EBE-409F270073F9}"/>
    <cellStyle name="Normal 5 2 2 4 4" xfId="1086" xr:uid="{00000000-0005-0000-0000-0000F6050000}"/>
    <cellStyle name="Normal 5 2 2 4 4 2" xfId="1087" xr:uid="{00000000-0005-0000-0000-0000F7050000}"/>
    <cellStyle name="Normal 5 2 2 4 4 3" xfId="3724" xr:uid="{00000000-0005-0000-0000-000062050000}"/>
    <cellStyle name="Normal 5 2 2 4 4 3 2" xfId="4742" xr:uid="{85B5A93A-A824-41A3-9870-5FB5020B28AB}"/>
    <cellStyle name="Normal 5 2 2 4 5" xfId="2107" xr:uid="{00000000-0005-0000-0000-00006E020000}"/>
    <cellStyle name="Normal 5 2 2 4 5 2" xfId="4679" xr:uid="{1C1F360D-C6E5-496D-8E0B-7C61EF688A4B}"/>
    <cellStyle name="Normal 5 2 2 4 6" xfId="4005" xr:uid="{487C8B09-2829-42FC-9B86-25DB3AB10663}"/>
    <cellStyle name="Normal 5 2 2 4 6 2" xfId="4778" xr:uid="{C7B64242-53F0-4D37-B483-14A3329CCC0F}"/>
    <cellStyle name="Normal 5 2 2 5" xfId="29602" xr:uid="{51A7D0CB-4AEF-4815-897D-E9DF6C04761B}"/>
    <cellStyle name="Normal 5 2 2 5 2" xfId="29633" xr:uid="{4D46F027-DFAF-43F3-8432-E8ADA4FEF75B}"/>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8" xr:uid="{4777385D-2B03-4739-880A-360C2F6CA172}"/>
    <cellStyle name="Normal 5 2 4 3 2 3 2 2 3" xfId="25592" xr:uid="{4194AEC9-B5D1-4293-B8C5-62D7DE423C61}"/>
    <cellStyle name="Normal 5 2 4 3 2 3 2 3" xfId="1100" xr:uid="{00000000-0005-0000-0000-000004060000}"/>
    <cellStyle name="Normal 5 2 4 3 2 3 2 3 2" xfId="2000" xr:uid="{00000000-0005-0000-0000-000005060000}"/>
    <cellStyle name="Normal 5 2 4 3 2 3 2 3 3" xfId="3725" xr:uid="{00000000-0005-0000-0000-000070050000}"/>
    <cellStyle name="Normal 5 2 4 3 2 3 2 3 3 2" xfId="4754" xr:uid="{FD3276C6-408C-4237-B809-AE73C12F6AE6}"/>
    <cellStyle name="Normal 5 2 4 3 2 3 2 4" xfId="23146" xr:uid="{70717655-02F4-404C-95BB-4DB5536E3E99}"/>
    <cellStyle name="Normal 5 2 4 3 2 3 3" xfId="1101" xr:uid="{00000000-0005-0000-0000-000006060000}"/>
    <cellStyle name="Normal 5 2 4 3 2 3 4" xfId="2954" xr:uid="{00000000-0005-0000-0000-0000F4060000}"/>
    <cellStyle name="Normal 5 2 4 3 2 3 5" xfId="2110" xr:uid="{00000000-0005-0000-0000-000079020000}"/>
    <cellStyle name="Normal 5 2 4 3 2 3 5 2" xfId="4629" xr:uid="{D9BC3CB2-5DA1-450C-BCAA-C84E226AB1E6}"/>
    <cellStyle name="Normal 5 2 4 3 2 3 6" xfId="4008" xr:uid="{993A1062-C514-464B-A529-806C1AF30B6A}"/>
    <cellStyle name="Normal 5 2 4 3 2 3 6 2" xfId="4694" xr:uid="{C18C23D0-B407-4C1A-B972-7E83A621B743}"/>
    <cellStyle name="Normal 5 2 4 3 2 4" xfId="1102" xr:uid="{00000000-0005-0000-0000-000007060000}"/>
    <cellStyle name="Normal 5 2 4 3 2 4 2" xfId="2953" xr:uid="{00000000-0005-0000-0000-0000F5060000}"/>
    <cellStyle name="Normal 5 2 4 3 2 4 3" xfId="24690" xr:uid="{973BBD0D-C702-493A-B63A-7B759697D574}"/>
    <cellStyle name="Normal 5 2 4 3 2 4 3 2" xfId="29622" xr:uid="{75BA985B-775E-4986-B0DE-8AF96A156831}"/>
    <cellStyle name="Normal 5 2 4 3 2 4 3 3" xfId="29603" xr:uid="{406D4EA0-1A70-4389-8944-9FA1A8219A8A}"/>
    <cellStyle name="Normal 5 2 4 3 2 4 3 3 2" xfId="29646" xr:uid="{923DCAA1-B380-4E41-9BA9-6417B9F666E0}"/>
    <cellStyle name="Normal 5 2 4 3 2 5" xfId="2109" xr:uid="{00000000-0005-0000-0000-000077020000}"/>
    <cellStyle name="Normal 5 2 4 3 2 5 2" xfId="4634" xr:uid="{CE0C5B6A-2719-4A04-925F-57872C2DEC2B}"/>
    <cellStyle name="Normal 5 2 4 3 2 6" xfId="4007" xr:uid="{21BCC244-DE2D-4E05-B4CA-800C7ACB717D}"/>
    <cellStyle name="Normal 5 2 4 3 2 6 2" xfId="4809" xr:uid="{FE4BE598-DEBE-491E-8102-65FC12E0DC06}"/>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1" xr:uid="{00000000-0005-0000-0000-00000D060000}"/>
    <cellStyle name="Normal 5 2 4 3 4 2 2 2 3" xfId="3726" xr:uid="{00000000-0005-0000-0000-000077050000}"/>
    <cellStyle name="Normal 5 2 4 3 4 2 2 2 3 2" xfId="4700" xr:uid="{D86AE0E5-80AB-45CC-BB51-27009840DF19}"/>
    <cellStyle name="Normal 5 2 4 3 4 2 2 2 4" xfId="25814" xr:uid="{68E33F85-01FB-4372-96FF-2C95551D6F42}"/>
    <cellStyle name="Normal 5 2 4 3 4 2 2 3" xfId="2002" xr:uid="{00000000-0005-0000-0000-00000E060000}"/>
    <cellStyle name="Normal 5 2 4 3 4 2 2 4" xfId="24563" xr:uid="{1ABF2154-0515-420D-BA6C-050AA83C1161}"/>
    <cellStyle name="Normal 5 2 4 3 4 2 3" xfId="1108" xr:uid="{00000000-0005-0000-0000-00000F060000}"/>
    <cellStyle name="Normal 5 2 4 3 4 2 3 2" xfId="1109" xr:uid="{00000000-0005-0000-0000-000010060000}"/>
    <cellStyle name="Normal 5 2 4 3 4 2 3 2 2" xfId="25780" xr:uid="{C55AA561-4A9A-4C64-850D-C3D11D4FEE4B}"/>
    <cellStyle name="Normal 5 2 4 3 4 2 3 2 3" xfId="24693" xr:uid="{A05F800E-9125-4B87-98E6-688A386B1177}"/>
    <cellStyle name="Normal 5 2 4 3 4 2 3 3" xfId="1110" xr:uid="{00000000-0005-0000-0000-000011060000}"/>
    <cellStyle name="Normal 5 2 4 3 4 2 3 3 2" xfId="25379" xr:uid="{F68CF08F-A168-4264-B126-2A6CE38A1A26}"/>
    <cellStyle name="Normal 5 2 4 3 4 2 3 3 3" xfId="25764" xr:uid="{FAF7D7DA-B154-4388-9D93-722B021D173F}"/>
    <cellStyle name="Normal 5 2 4 3 4 2 3 4" xfId="2112" xr:uid="{00000000-0005-0000-0000-00007F020000}"/>
    <cellStyle name="Normal 5 2 4 3 4 2 3 4 2" xfId="4772" xr:uid="{C01071CA-2E5F-4969-B1C0-9DBB04C21783}"/>
    <cellStyle name="Normal 5 2 4 3 4 2 3 5" xfId="25282" xr:uid="{C7B4FAF3-1BA0-45BB-BA6F-44260C736B84}"/>
    <cellStyle name="Normal 5 2 4 3 4 2 4" xfId="23058" xr:uid="{C7716834-6B7F-4C7C-AB0F-D110ACFBAC7A}"/>
    <cellStyle name="Normal 5 2 4 3 4 3" xfId="1111" xr:uid="{00000000-0005-0000-0000-000012060000}"/>
    <cellStyle name="Normal 5 2 4 3 4 4" xfId="2955" xr:uid="{00000000-0005-0000-0000-0000FD060000}"/>
    <cellStyle name="Normal 5 2 4 3 4 5" xfId="2111" xr:uid="{00000000-0005-0000-0000-00007C020000}"/>
    <cellStyle name="Normal 5 2 4 3 4 5 2" xfId="4640" xr:uid="{9499810A-4B41-448D-89FA-46D00AE72935}"/>
    <cellStyle name="Normal 5 2 4 3 4 6" xfId="4009" xr:uid="{F6561F36-B5FA-449D-8623-6523BDF6513B}"/>
    <cellStyle name="Normal 5 2 4 3 4 6 2" xfId="4822" xr:uid="{2C1739FD-A387-4815-9D44-5238B913A269}"/>
    <cellStyle name="Normal 5 2 4 3 5" xfId="1112" xr:uid="{00000000-0005-0000-0000-000013060000}"/>
    <cellStyle name="Normal 5 2 4 3 5 2" xfId="1113" xr:uid="{00000000-0005-0000-0000-000014060000}"/>
    <cellStyle name="Normal 5 2 4 3 5 3" xfId="3727" xr:uid="{00000000-0005-0000-0000-00007E050000}"/>
    <cellStyle name="Normal 5 2 4 3 5 3 2" xfId="4770" xr:uid="{CC143ED1-937D-4F73-A068-C4CF9C5A1DF7}"/>
    <cellStyle name="Normal 5 2 4 3 5 3 2 2" xfId="27328" xr:uid="{17D2031A-E82D-4478-9366-F21AB81BBD6E}"/>
    <cellStyle name="Normal 5 2 4 3 5 3 3" xfId="25641" xr:uid="{DFF53FD4-FEAE-46B9-BCF3-B4723EA48D7C}"/>
    <cellStyle name="Normal 5 2 4 3 5 4" xfId="24430"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5" xr:uid="{AF438C16-2BAB-4175-8465-C867CB828BCF}"/>
    <cellStyle name="Normal 5 2 4 4 3 2 2 3" xfId="25292" xr:uid="{7DBC5392-EC70-48EA-818B-C50A30347B3B}"/>
    <cellStyle name="Normal 5 2 4 4 3 2 3" xfId="1119" xr:uid="{00000000-0005-0000-0000-00001A060000}"/>
    <cellStyle name="Normal 5 2 4 4 3 2 3 2" xfId="2003" xr:uid="{00000000-0005-0000-0000-00001B060000}"/>
    <cellStyle name="Normal 5 2 4 4 3 2 3 3" xfId="3728" xr:uid="{00000000-0005-0000-0000-000085050000}"/>
    <cellStyle name="Normal 5 2 4 4 3 2 3 3 2" xfId="4720" xr:uid="{F35494D6-FE07-48A7-A0C8-E98B5ABBC110}"/>
    <cellStyle name="Normal 5 2 4 4 3 2 4" xfId="24799" xr:uid="{868BB01E-4989-41C7-8624-51DC12DB0459}"/>
    <cellStyle name="Normal 5 2 4 4 3 3" xfId="1120" xr:uid="{00000000-0005-0000-0000-00001C060000}"/>
    <cellStyle name="Normal 5 2 4 4 3 4" xfId="2956" xr:uid="{00000000-0005-0000-0000-000003070000}"/>
    <cellStyle name="Normal 5 2 4 4 3 5" xfId="2114" xr:uid="{00000000-0005-0000-0000-000083020000}"/>
    <cellStyle name="Normal 5 2 4 4 3 5 2" xfId="3783" xr:uid="{D037D556-2DF5-490C-8D04-4D0D0B902C7F}"/>
    <cellStyle name="Normal 5 2 4 4 3 6" xfId="4011" xr:uid="{48584F99-0955-4DD2-8F83-B7B1E99DDE13}"/>
    <cellStyle name="Normal 5 2 4 4 3 6 2" xfId="4710" xr:uid="{05F490C6-261E-4F3C-99BE-89B9730F2236}"/>
    <cellStyle name="Normal 5 2 4 4 4" xfId="1121" xr:uid="{00000000-0005-0000-0000-00001D060000}"/>
    <cellStyle name="Normal 5 2 4 4 4 2" xfId="1122" xr:uid="{00000000-0005-0000-0000-00001E060000}"/>
    <cellStyle name="Normal 5 2 4 4 4 3" xfId="3729" xr:uid="{00000000-0005-0000-0000-000088050000}"/>
    <cellStyle name="Normal 5 2 4 4 4 3 2" xfId="4705" xr:uid="{2B3CDEAC-4952-4F4E-97D6-E795D826D395}"/>
    <cellStyle name="Normal 5 2 4 4 5" xfId="1123" xr:uid="{00000000-0005-0000-0000-00001F060000}"/>
    <cellStyle name="Normal 5 2 4 4 5 2" xfId="4685" xr:uid="{00564EB2-1CAC-4E4B-B4B3-F5A40DFD44F8}"/>
    <cellStyle name="Normal 5 2 4 4 5 2 2" xfId="4826" xr:uid="{83E1FB17-2E9A-4803-B6F4-091CC3A05E18}"/>
    <cellStyle name="Normal 5 2 4 4 5 3" xfId="4660" xr:uid="{B6A07F6F-9F13-4228-A8E1-D1C6B6C8E7AD}"/>
    <cellStyle name="Normal 5 2 4 4 5 4" xfId="24642" xr:uid="{11EB602C-CBF5-439D-843C-5A00AA8F3884}"/>
    <cellStyle name="Normal 5 2 4 4 6" xfId="2113" xr:uid="{00000000-0005-0000-0000-000081020000}"/>
    <cellStyle name="Normal 5 2 4 4 6 2" xfId="4697" xr:uid="{FE5B8EF5-9CD7-4287-865B-5A904A0E530B}"/>
    <cellStyle name="Normal 5 2 4 4 7" xfId="4010" xr:uid="{AD80C160-AEC5-4928-B410-574B477C1DBC}"/>
    <cellStyle name="Normal 5 2 4 4 7 2" xfId="4787" xr:uid="{F6E3D3A6-20C3-4DDD-A8D0-C82F8B32B771}"/>
    <cellStyle name="Normal 5 2 4 5" xfId="1124" xr:uid="{00000000-0005-0000-0000-000020060000}"/>
    <cellStyle name="Normal 5 2 4 5 2" xfId="1125" xr:uid="{00000000-0005-0000-0000-000021060000}"/>
    <cellStyle name="Normal 5 2 4 5 3" xfId="3730" xr:uid="{00000000-0005-0000-0000-00008A050000}"/>
    <cellStyle name="Normal 5 2 4 5 3 2" xfId="4794" xr:uid="{D64666DE-161D-45A7-8501-FCDF6FF74294}"/>
    <cellStyle name="Normal 5 2 4 5 4" xfId="29666" xr:uid="{1686F4AC-3FDA-4AF9-932B-390C8F7A92F3}"/>
    <cellStyle name="Normal 5 2 4 5 5" xfId="29656" xr:uid="{578F3A7F-0408-44FE-B3E6-F0FE7F2AE3C1}"/>
    <cellStyle name="Normal 5 2 4 6" xfId="2068" xr:uid="{00000000-0005-0000-0000-000074020000}"/>
    <cellStyle name="Normal 5 2 4 6 2" xfId="4761" xr:uid="{35A1BC4F-2451-4737-BD49-D3AC91FFB2BF}"/>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81" xr:uid="{C484C0D9-74CC-4C6B-88A9-79BE48F69CF0}"/>
    <cellStyle name="Normal 5 2 6 3 2 2 3" xfId="23164" xr:uid="{577E5655-507A-4621-891F-DE0F7D1E369D}"/>
    <cellStyle name="Normal 5 2 6 3 2 3" xfId="1132" xr:uid="{00000000-0005-0000-0000-000028060000}"/>
    <cellStyle name="Normal 5 2 6 3 2 3 2" xfId="2004" xr:uid="{00000000-0005-0000-0000-000029060000}"/>
    <cellStyle name="Normal 5 2 6 3 2 3 3" xfId="3731" xr:uid="{00000000-0005-0000-0000-000092050000}"/>
    <cellStyle name="Normal 5 2 6 3 2 3 3 2" xfId="4712" xr:uid="{7604220B-D70E-4A63-A63C-24114FAE80C9}"/>
    <cellStyle name="Normal 5 2 6 3 2 4" xfId="23097" xr:uid="{84EBBAC2-5BAF-4007-9F20-78E3A440C6FD}"/>
    <cellStyle name="Normal 5 2 6 3 3" xfId="1133" xr:uid="{00000000-0005-0000-0000-00002A060000}"/>
    <cellStyle name="Normal 5 2 6 3 4" xfId="2958" xr:uid="{00000000-0005-0000-0000-00000B070000}"/>
    <cellStyle name="Normal 5 2 6 3 5" xfId="2116" xr:uid="{00000000-0005-0000-0000-000088020000}"/>
    <cellStyle name="Normal 5 2 6 3 5 2" xfId="4643" xr:uid="{55F936E5-2268-4048-890B-2E7F45921A47}"/>
    <cellStyle name="Normal 5 2 6 3 6" xfId="4013" xr:uid="{28ED6A24-2FD5-4CA1-A14B-0556FD75683B}"/>
    <cellStyle name="Normal 5 2 6 3 6 2" xfId="4702" xr:uid="{B1BE088F-0CAA-4678-941E-5E508D832414}"/>
    <cellStyle name="Normal 5 2 6 4" xfId="2957" xr:uid="{00000000-0005-0000-0000-00000C070000}"/>
    <cellStyle name="Normal 5 2 6 4 2" xfId="24398" xr:uid="{2449F7EF-3427-4B32-B170-EFC2A75FD0B4}"/>
    <cellStyle name="Normal 5 2 6 4 2 2" xfId="29620" xr:uid="{6BBA2B63-2EFB-461D-82A5-559378679EC0}"/>
    <cellStyle name="Normal 5 2 6 4 2 3" xfId="29604" xr:uid="{134584C4-53AD-45C7-B411-6D77BBDF85B0}"/>
    <cellStyle name="Normal 5 2 6 4 2 3 2" xfId="29647" xr:uid="{461ECB6C-10C9-41E7-B594-2C35C2ABB073}"/>
    <cellStyle name="Normal 5 2 6 4 3" xfId="25736" xr:uid="{4B868893-5D9C-42B3-BD3C-3EDE8A95AE5E}"/>
    <cellStyle name="Normal 5 2 6 5" xfId="2115" xr:uid="{00000000-0005-0000-0000-000086020000}"/>
    <cellStyle name="Normal 5 2 6 5 2" xfId="3961" xr:uid="{FFE7DF02-3E33-41D1-A9B4-B30866C5927C}"/>
    <cellStyle name="Normal 5 2 6 6" xfId="4012" xr:uid="{C0B50273-D7A8-4911-83A8-B33EA77B3B8D}"/>
    <cellStyle name="Normal 5 2 6 6 2" xfId="4768" xr:uid="{B2AFAC66-1BE6-4CD0-9FFF-950CE52A8934}"/>
    <cellStyle name="Normal 5 2 7" xfId="1134" xr:uid="{00000000-0005-0000-0000-00002B060000}"/>
    <cellStyle name="Normal 5 2 7 2" xfId="1135" xr:uid="{00000000-0005-0000-0000-00002C060000}"/>
    <cellStyle name="Normal 5 2 7 3" xfId="1136" xr:uid="{00000000-0005-0000-0000-00002D060000}"/>
    <cellStyle name="Normal 5 2 7 4" xfId="3732" xr:uid="{00000000-0005-0000-0000-000095050000}"/>
    <cellStyle name="Normal 5 2 7 4 2" xfId="4773" xr:uid="{5E06A59F-611A-44B3-A971-E98276EE6A1C}"/>
    <cellStyle name="Normal 5 2 7 5" xfId="29605" xr:uid="{0A6BA937-6FA9-46C5-B401-7A4E2A3B41BE}"/>
    <cellStyle name="Normal 5 2 7 5 2" xfId="29636" xr:uid="{35914BEE-4FA7-4AE4-8E19-11A63582B5DB}"/>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9" xr:uid="{7AABC8CD-E7F8-4AD3-82FF-7CFED1DB242B}"/>
    <cellStyle name="Normal 5 3 3 2 3 2 2 3" xfId="23202" xr:uid="{D84663E2-9630-4E63-AD15-6FC3E0D20873}"/>
    <cellStyle name="Normal 5 3 3 2 3 2 3" xfId="1145" xr:uid="{00000000-0005-0000-0000-000036060000}"/>
    <cellStyle name="Normal 5 3 3 2 3 2 3 2" xfId="2005" xr:uid="{00000000-0005-0000-0000-000037060000}"/>
    <cellStyle name="Normal 5 3 3 2 3 2 3 3" xfId="3733" xr:uid="{00000000-0005-0000-0000-00009F050000}"/>
    <cellStyle name="Normal 5 3 3 2 3 2 3 3 2" xfId="4801" xr:uid="{3B592359-610D-414E-8647-51F1C23BDEBE}"/>
    <cellStyle name="Normal 5 3 3 2 3 2 4" xfId="25763" xr:uid="{228DCD5C-5DC3-4868-97DD-445981D2F756}"/>
    <cellStyle name="Normal 5 3 3 2 3 3" xfId="1146" xr:uid="{00000000-0005-0000-0000-000038060000}"/>
    <cellStyle name="Normal 5 3 3 2 3 4" xfId="2959" xr:uid="{00000000-0005-0000-0000-000015070000}"/>
    <cellStyle name="Normal 5 3 3 2 3 5" xfId="2118" xr:uid="{00000000-0005-0000-0000-00008F020000}"/>
    <cellStyle name="Normal 5 3 3 2 3 5 2" xfId="4667" xr:uid="{9506A050-893F-44B9-8047-501E583497C1}"/>
    <cellStyle name="Normal 5 3 3 2 3 6" xfId="4015" xr:uid="{31A0DB43-85D3-4869-AD70-E01D62E64B6B}"/>
    <cellStyle name="Normal 5 3 3 2 3 6 2" xfId="4746" xr:uid="{6436B6BC-B08C-4B15-8C97-B396796FEFE9}"/>
    <cellStyle name="Normal 5 3 3 2 4" xfId="1147" xr:uid="{00000000-0005-0000-0000-000039060000}"/>
    <cellStyle name="Normal 5 3 3 2 4 2" xfId="1148" xr:uid="{00000000-0005-0000-0000-00003A060000}"/>
    <cellStyle name="Normal 5 3 3 2 4 3" xfId="1149" xr:uid="{00000000-0005-0000-0000-00003B060000}"/>
    <cellStyle name="Normal 5 3 3 2 4 4" xfId="3734" xr:uid="{00000000-0005-0000-0000-0000A2050000}"/>
    <cellStyle name="Normal 5 3 3 2 4 4 2" xfId="4825" xr:uid="{D70A007E-549D-49FA-BB0C-2AAD55339FA5}"/>
    <cellStyle name="Normal 5 3 3 2 5" xfId="2117" xr:uid="{00000000-0005-0000-0000-00008D020000}"/>
    <cellStyle name="Normal 5 3 3 2 5 2" xfId="4642" xr:uid="{6378A6EC-FE82-4A4D-B72E-F6F245354E18}"/>
    <cellStyle name="Normal 5 3 3 2 6" xfId="4014" xr:uid="{336F4594-40A6-452F-A442-AD096348AEFF}"/>
    <cellStyle name="Normal 5 3 3 2 6 2" xfId="4753" xr:uid="{9079EEE4-247F-4C6E-9514-EE91EF9D4BBA}"/>
    <cellStyle name="Normal 5 3 3 3" xfId="1150" xr:uid="{00000000-0005-0000-0000-00003C060000}"/>
    <cellStyle name="Normal 5 3 3 3 2" xfId="1151" xr:uid="{00000000-0005-0000-0000-00003D060000}"/>
    <cellStyle name="Normal 5 3 3 3 3" xfId="3735" xr:uid="{00000000-0005-0000-0000-0000A4050000}"/>
    <cellStyle name="Normal 5 3 3 3 3 2" xfId="4719" xr:uid="{8F567422-14B6-49FC-9961-886E57C38FD3}"/>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6" xr:uid="{00000000-0005-0000-0000-000042060000}"/>
    <cellStyle name="Normal 5 3 3 4 2 2 2 3" xfId="3736" xr:uid="{00000000-0005-0000-0000-0000A9050000}"/>
    <cellStyle name="Normal 5 3 3 4 2 2 2 3 2" xfId="4718" xr:uid="{445C2ED0-AA7A-4C15-99E2-A6CE07F7E750}"/>
    <cellStyle name="Normal 5 3 3 4 2 2 2 4" xfId="24307" xr:uid="{B84CB32D-E550-4F7F-8234-69C0A8DFB328}"/>
    <cellStyle name="Normal 5 3 3 4 2 2 3" xfId="2007" xr:uid="{00000000-0005-0000-0000-000043060000}"/>
    <cellStyle name="Normal 5 3 3 4 2 2 4" xfId="25457" xr:uid="{8817E783-FA64-4F82-BECB-0B2150089D6E}"/>
    <cellStyle name="Normal 5 3 3 4 2 3" xfId="1156" xr:uid="{00000000-0005-0000-0000-000044060000}"/>
    <cellStyle name="Normal 5 3 3 4 2 3 2" xfId="1157" xr:uid="{00000000-0005-0000-0000-000045060000}"/>
    <cellStyle name="Normal 5 3 3 4 2 3 2 2" xfId="23075" xr:uid="{734DB718-C965-4982-84A7-9AB74327D0C2}"/>
    <cellStyle name="Normal 5 3 3 4 2 3 2 3" xfId="23239" xr:uid="{B7DA6B19-166C-4C18-AA12-FA39D1A5F057}"/>
    <cellStyle name="Normal 5 3 3 4 2 3 3" xfId="1158" xr:uid="{00000000-0005-0000-0000-000046060000}"/>
    <cellStyle name="Normal 5 3 3 4 2 3 3 2" xfId="25739" xr:uid="{F10BEF07-3DB5-4991-93CD-1FB98106BECB}"/>
    <cellStyle name="Normal 5 3 3 4 2 3 3 3" xfId="25090" xr:uid="{F1AF3DEA-DD47-4D7C-AA76-F553B9892BA2}"/>
    <cellStyle name="Normal 5 3 3 4 2 3 4" xfId="2120" xr:uid="{00000000-0005-0000-0000-000095020000}"/>
    <cellStyle name="Normal 5 3 3 4 2 3 4 2" xfId="4717" xr:uid="{9B130290-3EDE-4BC8-974D-86A484E65339}"/>
    <cellStyle name="Normal 5 3 3 4 2 3 5" xfId="24944" xr:uid="{9F045087-C642-46A8-91FD-AAF692F573EC}"/>
    <cellStyle name="Normal 5 3 3 4 2 4" xfId="24108" xr:uid="{948204CC-FE7E-44DB-B145-20BC57C9DDCF}"/>
    <cellStyle name="Normal 5 3 3 4 3" xfId="1159" xr:uid="{00000000-0005-0000-0000-000047060000}"/>
    <cellStyle name="Normal 5 3 3 4 4" xfId="2960" xr:uid="{00000000-0005-0000-0000-00001E070000}"/>
    <cellStyle name="Normal 5 3 3 4 5" xfId="2119" xr:uid="{00000000-0005-0000-0000-000092020000}"/>
    <cellStyle name="Normal 5 3 3 4 5 2" xfId="4670" xr:uid="{C1D65F0E-85F0-4012-A373-B75FD3E1BAA3}"/>
    <cellStyle name="Normal 5 3 3 4 6" xfId="4016" xr:uid="{D2756F3F-6B90-4F0D-A058-F63FBCF3FF7E}"/>
    <cellStyle name="Normal 5 3 3 4 6 2" xfId="4783" xr:uid="{6E3C98E3-D3AA-4BD6-A38C-7B56FF88A673}"/>
    <cellStyle name="Normal 5 3 3 5" xfId="1160" xr:uid="{00000000-0005-0000-0000-000048060000}"/>
    <cellStyle name="Normal 5 3 3 5 2" xfId="1161" xr:uid="{00000000-0005-0000-0000-000049060000}"/>
    <cellStyle name="Normal 5 3 3 5 3" xfId="3737" xr:uid="{00000000-0005-0000-0000-0000B0050000}"/>
    <cellStyle name="Normal 5 3 3 5 3 2" xfId="4808" xr:uid="{13429663-B3E8-4F7D-8BB0-5D8781B62C1D}"/>
    <cellStyle name="Normal 5 3 3 5 3 2 2" xfId="27329" xr:uid="{D1D742DB-1D3F-4ADA-891E-043A0C8CE4C5}"/>
    <cellStyle name="Normal 5 3 3 5 3 3" xfId="25684" xr:uid="{AE73F470-D748-4439-B078-FE8783C376B5}"/>
    <cellStyle name="Normal 5 3 3 5 4" xfId="25356" xr:uid="{F5A8C535-4FB1-4A24-9D3B-16620EFF46D1}"/>
    <cellStyle name="Normal 5 3 3 6" xfId="1162" xr:uid="{00000000-0005-0000-0000-00004A060000}"/>
    <cellStyle name="Normal 5 3 3 6 2" xfId="2008" xr:uid="{00000000-0005-0000-0000-00004B060000}"/>
    <cellStyle name="Normal 5 3 3 6 3" xfId="3738" xr:uid="{00000000-0005-0000-0000-0000B2050000}"/>
    <cellStyle name="Normal 5 3 3 6 3 2" xfId="4733" xr:uid="{F69489D8-2553-48CA-8E76-55D2E5877230}"/>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3" xr:uid="{84C347B8-748F-45AB-A28A-FBC4824CE893}"/>
    <cellStyle name="Normal 5 3 4 3 2 2 3" xfId="24140" xr:uid="{FA3D550E-3B4F-40AE-8C7B-1B723D4CDDFF}"/>
    <cellStyle name="Normal 5 3 4 3 2 3" xfId="1168" xr:uid="{00000000-0005-0000-0000-000051060000}"/>
    <cellStyle name="Normal 5 3 4 3 2 3 2" xfId="2009" xr:uid="{00000000-0005-0000-0000-000052060000}"/>
    <cellStyle name="Normal 5 3 4 3 2 3 3" xfId="3739" xr:uid="{00000000-0005-0000-0000-0000B9050000}"/>
    <cellStyle name="Normal 5 3 4 3 2 3 3 2" xfId="4759" xr:uid="{27CD84D7-B911-4190-A3D0-FB0C125E7707}"/>
    <cellStyle name="Normal 5 3 4 3 2 4" xfId="24655" xr:uid="{5F063B03-3FE5-47FE-9028-D7BB1C893E88}"/>
    <cellStyle name="Normal 5 3 4 3 3" xfId="1169" xr:uid="{00000000-0005-0000-0000-000053060000}"/>
    <cellStyle name="Normal 5 3 4 3 4" xfId="2961" xr:uid="{00000000-0005-0000-0000-000024070000}"/>
    <cellStyle name="Normal 5 3 4 3 5" xfId="2122" xr:uid="{00000000-0005-0000-0000-000099020000}"/>
    <cellStyle name="Normal 5 3 4 3 5 2" xfId="3818" xr:uid="{9369DBB9-DD67-4338-8EB8-DA10B04D3AFA}"/>
    <cellStyle name="Normal 5 3 4 3 6" xfId="4018" xr:uid="{1613ADCD-F7DC-4D24-BE2E-0512CCDB9F7E}"/>
    <cellStyle name="Normal 5 3 4 3 6 2" xfId="4698" xr:uid="{DE044A17-1F25-42F0-A6B5-42ABCA6D7CD9}"/>
    <cellStyle name="Normal 5 3 4 4" xfId="1170" xr:uid="{00000000-0005-0000-0000-000054060000}"/>
    <cellStyle name="Normal 5 3 4 4 2" xfId="2010" xr:uid="{00000000-0005-0000-0000-000055060000}"/>
    <cellStyle name="Normal 5 3 4 4 3" xfId="3740" xr:uid="{00000000-0005-0000-0000-0000BC050000}"/>
    <cellStyle name="Normal 5 3 4 4 3 2" xfId="4814" xr:uid="{0CFAAAB0-0B1B-448C-AA6F-6335CBAD8CA9}"/>
    <cellStyle name="Normal 5 3 4 5" xfId="2121" xr:uid="{00000000-0005-0000-0000-000097020000}"/>
    <cellStyle name="Normal 5 3 4 5 2" xfId="4652" xr:uid="{AE4239F0-8210-40A2-B60A-C02B564418C5}"/>
    <cellStyle name="Normal 5 3 4 6" xfId="4017" xr:uid="{CB599806-7C8A-45F6-9C5C-00B11E4887E0}"/>
    <cellStyle name="Normal 5 3 4 6 2" xfId="4689" xr:uid="{C33C1D9E-89E1-44FF-859F-F450C4814C70}"/>
    <cellStyle name="Normal 5 3 5" xfId="2069" xr:uid="{00000000-0005-0000-0000-00008A020000}"/>
    <cellStyle name="Normal 5 3 5 2" xfId="4724" xr:uid="{FB219402-4458-4731-8217-11E2AB428DAD}"/>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1" xr:uid="{00000000-0005-0000-0000-0000C0050000}"/>
    <cellStyle name="Normal 5 4 3 3 2" xfId="4735" xr:uid="{BBB8E0E2-487A-48FB-95C7-D6B07942FE10}"/>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4" xr:uid="{7BEF7BD9-5746-4FE3-9C2C-1E90F10823D3}"/>
    <cellStyle name="Normal 5 5 10 2 2 3" xfId="24785" xr:uid="{48FBF7A8-E27A-4A77-93F4-283DB42E8DF1}"/>
    <cellStyle name="Normal 5 5 10 2 3" xfId="1179" xr:uid="{00000000-0005-0000-0000-00005E060000}"/>
    <cellStyle name="Normal 5 5 10 2 3 2" xfId="2011" xr:uid="{00000000-0005-0000-0000-00005F060000}"/>
    <cellStyle name="Normal 5 5 10 2 3 3" xfId="3742" xr:uid="{00000000-0005-0000-0000-0000C6050000}"/>
    <cellStyle name="Normal 5 5 10 2 3 3 2" xfId="4769" xr:uid="{D86CB2CB-E6BC-4EBE-8C63-9FA0944B44AD}"/>
    <cellStyle name="Normal 5 5 10 2 4" xfId="25773" xr:uid="{C3D50B18-259C-4014-9BCC-0D850B8A97C8}"/>
    <cellStyle name="Normal 5 5 10 3" xfId="1180" xr:uid="{00000000-0005-0000-0000-000060060000}"/>
    <cellStyle name="Normal 5 5 10 4" xfId="2962" xr:uid="{00000000-0005-0000-0000-00002C070000}"/>
    <cellStyle name="Normal 5 5 10 5" xfId="2124" xr:uid="{00000000-0005-0000-0000-00009E020000}"/>
    <cellStyle name="Normal 5 5 10 5 2" xfId="3790" xr:uid="{3E02F4FD-1C4C-4539-A2B7-19465E26278C}"/>
    <cellStyle name="Normal 5 5 10 6" xfId="4020" xr:uid="{337F88F3-5843-4A8A-A4B2-DC8C7B59A64B}"/>
    <cellStyle name="Normal 5 5 10 6 2" xfId="4806" xr:uid="{9AEE980B-AC49-472C-ABA8-56F2FAA76E03}"/>
    <cellStyle name="Normal 5 5 11" xfId="1181" xr:uid="{00000000-0005-0000-0000-000061060000}"/>
    <cellStyle name="Normal 5 5 11 10" xfId="12613" xr:uid="{3695D5BB-0027-43FC-862D-FE558296E53C}"/>
    <cellStyle name="Normal 5 5 11 2" xfId="2422" xr:uid="{00000000-0005-0000-0000-00002E070000}"/>
    <cellStyle name="Normal 5 5 11 2 2" xfId="2963" xr:uid="{00000000-0005-0000-0000-00002F070000}"/>
    <cellStyle name="Normal 5 5 11 2 2 2" xfId="6128" xr:uid="{6B6DFC32-4C86-484E-9F0D-05B0CA9AFC4E}"/>
    <cellStyle name="Normal 5 5 11 2 2 2 2" xfId="28663" xr:uid="{AB134B89-BE15-45E9-8841-CE546E5E36B1}"/>
    <cellStyle name="Normal 5 5 11 2 2 2 3" xfId="15606" xr:uid="{4D39A6A8-7A7F-438F-A7D2-922C4E407832}"/>
    <cellStyle name="Normal 5 5 11 2 2 3" xfId="8059" xr:uid="{D73A85DE-8AFC-4B29-A497-15A97CDC8239}"/>
    <cellStyle name="Normal 5 5 11 2 2 3 2" xfId="18439" xr:uid="{D015D82A-5C92-43F1-A834-20DE716815CA}"/>
    <cellStyle name="Normal 5 5 11 2 2 4" xfId="10892" xr:uid="{D7F68CFE-1F16-43B1-91AF-967BDDF8B1EA}"/>
    <cellStyle name="Normal 5 5 11 2 2 4 2" xfId="21272" xr:uid="{3E5E31A2-BC10-4DEC-A3C3-1B5362DBF4E4}"/>
    <cellStyle name="Normal 5 5 11 2 2 5" xfId="22810" xr:uid="{E340BE55-C53D-4F9C-AA48-991977BA3FFB}"/>
    <cellStyle name="Normal 5 5 11 2 2 6" xfId="13469" xr:uid="{7CC0BDF1-6F6C-4746-850D-023E13317478}"/>
    <cellStyle name="Normal 5 5 11 2 3" xfId="5722" xr:uid="{9BE5C6E4-E2C9-48C3-AB52-3478219966FB}"/>
    <cellStyle name="Normal 5 5 11 2 3 2" xfId="27026" xr:uid="{B1287434-8E5C-4373-8888-488DDEEC0B6C}"/>
    <cellStyle name="Normal 5 5 11 2 3 3" xfId="27159" xr:uid="{806EAF91-4C2D-47DE-B377-2CE9A7AA0708}"/>
    <cellStyle name="Normal 5 5 11 2 3 4" xfId="15096" xr:uid="{C3B6A006-328F-418C-BB38-F69FBD755191}"/>
    <cellStyle name="Normal 5 5 11 2 4" xfId="7549" xr:uid="{415416B5-E375-4437-87B7-0758EC39A30B}"/>
    <cellStyle name="Normal 5 5 11 2 4 2" xfId="27291" xr:uid="{AEFB8BCF-F11B-45DE-9971-ECE126C5CE6F}"/>
    <cellStyle name="Normal 5 5 11 2 4 3" xfId="17929" xr:uid="{E548CEBA-9B5D-4B7E-9B3E-8136EECC299E}"/>
    <cellStyle name="Normal 5 5 11 2 5" xfId="10382" xr:uid="{B7434DEA-6F17-46AA-9E39-B50A5312E7E5}"/>
    <cellStyle name="Normal 5 5 11 2 5 2" xfId="20762" xr:uid="{FC75A6E3-5DDB-43D4-B3A6-95BBF0818C2D}"/>
    <cellStyle name="Normal 5 5 11 2 6" xfId="24107" xr:uid="{2D4EA2C9-7135-49BC-ADCE-AA5ACAC67B81}"/>
    <cellStyle name="Normal 5 5 11 2 7" xfId="12771" xr:uid="{62206668-18DB-43EA-9408-0077C7249362}"/>
    <cellStyle name="Normal 5 5 11 3" xfId="2804" xr:uid="{00000000-0005-0000-0000-000030070000}"/>
    <cellStyle name="Normal 5 5 11 3 2" xfId="6022" xr:uid="{76E518A2-B733-4064-B276-5CD1D06EB90E}"/>
    <cellStyle name="Normal 5 5 11 3 2 2" xfId="27256" xr:uid="{425BE3AF-6ED2-44EB-9844-BC4DA8F32718}"/>
    <cellStyle name="Normal 5 5 11 3 2 3" xfId="15475" xr:uid="{FFB8BC64-B790-495D-9EA9-B7745AC47F64}"/>
    <cellStyle name="Normal 5 5 11 3 3" xfId="7928" xr:uid="{4DB0E811-7A07-4B47-94C9-51910B29B70F}"/>
    <cellStyle name="Normal 5 5 11 3 3 2" xfId="18308" xr:uid="{6F54EB1A-1311-4D27-8097-8CD8D1563D00}"/>
    <cellStyle name="Normal 5 5 11 3 4" xfId="10761" xr:uid="{48B315A3-3C3E-4BEA-8461-C941A4EB87CC}"/>
    <cellStyle name="Normal 5 5 11 3 4 2" xfId="21141" xr:uid="{B930A244-317C-412E-8650-57C826C87A35}"/>
    <cellStyle name="Normal 5 5 11 3 5" xfId="22662" xr:uid="{4334BD2E-352E-42EE-A7C7-D2F9B2A11289}"/>
    <cellStyle name="Normal 5 5 11 3 6" xfId="13270" xr:uid="{604FBC59-3295-4B13-A9F1-F981AAB3DE81}"/>
    <cellStyle name="Normal 5 5 11 4" xfId="2379" xr:uid="{00000000-0005-0000-0000-00002D070000}"/>
    <cellStyle name="Normal 5 5 11 4 2" xfId="7506" xr:uid="{FCF08EC3-F309-4899-81CE-96FD1B16F63A}"/>
    <cellStyle name="Normal 5 5 11 4 2 2" xfId="25977" xr:uid="{2F8CFD30-2F39-4BF0-AA2D-0FF044118CA5}"/>
    <cellStyle name="Normal 5 5 11 4 2 3" xfId="17886" xr:uid="{04A88E33-8E60-442A-ACB4-D5B6750B17F3}"/>
    <cellStyle name="Normal 5 5 11 4 3" xfId="10339" xr:uid="{17D7B839-A0C6-4451-8C04-70D84E4DBEDC}"/>
    <cellStyle name="Normal 5 5 11 4 3 2" xfId="20719" xr:uid="{DCCB5FD8-3287-41BE-881B-BF4A28D4EB70}"/>
    <cellStyle name="Normal 5 5 11 4 4" xfId="24784" xr:uid="{9C89D61B-0979-4EE4-8EAE-4F41590389BD}"/>
    <cellStyle name="Normal 5 5 11 4 5" xfId="15053" xr:uid="{EE4A4ECD-ED50-426C-A966-AC3CA98DA575}"/>
    <cellStyle name="Normal 5 5 11 5" xfId="4021" xr:uid="{48FCAB28-1DBD-45FB-903C-24765057A287}"/>
    <cellStyle name="Normal 5 5 11 5 2" xfId="8824" xr:uid="{9DCC1B39-D915-4DEC-98C8-9A4B33B982B5}"/>
    <cellStyle name="Normal 5 5 11 5 2 2" xfId="19204" xr:uid="{3836725B-8785-4F07-A102-D6BA5B9BBB56}"/>
    <cellStyle name="Normal 5 5 11 5 3" xfId="11657" xr:uid="{9912C377-C28E-4D27-BE9A-6F6221DE7E31}"/>
    <cellStyle name="Normal 5 5 11 5 3 2" xfId="22037" xr:uid="{E4CC2B2D-5B99-4DD1-8C43-1C4FEE8F706D}"/>
    <cellStyle name="Normal 5 5 11 5 4" xfId="27259" xr:uid="{E1C89664-C2E8-43E4-9FBC-FFE5060CDD3E}"/>
    <cellStyle name="Normal 5 5 11 5 5" xfId="16371" xr:uid="{17B663D9-77B7-4F71-B339-7819DE68ED7F}"/>
    <cellStyle name="Normal 5 5 11 6" xfId="5348" xr:uid="{8A7CB6DC-62A6-4A41-BD63-39B130266C07}"/>
    <cellStyle name="Normal 5 5 11 6 2" xfId="14646" xr:uid="{8502C43C-794E-4B6F-B67D-BD0D4D682ECE}"/>
    <cellStyle name="Normal 5 5 11 6 3" xfId="30244" xr:uid="{B7C25031-1F08-4878-9736-625489A403D1}"/>
    <cellStyle name="Normal 5 5 11 6 4" xfId="30644" xr:uid="{21E9022A-7EEE-4BD3-8A78-072966D7F473}"/>
    <cellStyle name="Normal 5 5 11 7" xfId="7099" xr:uid="{75D9ED91-7E43-489A-A8B4-89D35DF5508A}"/>
    <cellStyle name="Normal 5 5 11 7 2" xfId="17479" xr:uid="{D3798922-15BD-4391-B2DB-2869E632F67C}"/>
    <cellStyle name="Normal 5 5 11 8" xfId="9932" xr:uid="{C9B053E7-DAD6-4D4E-AF63-D9C4E93DF7D7}"/>
    <cellStyle name="Normal 5 5 11 8 2" xfId="20312" xr:uid="{6D49E5DE-4DD4-4781-A18A-ECEDA2030118}"/>
    <cellStyle name="Normal 5 5 11 9" xfId="24225" xr:uid="{7F2AEEC7-788B-48EF-8D12-1F317B985EA8}"/>
    <cellStyle name="Normal 5 5 12" xfId="1182" xr:uid="{00000000-0005-0000-0000-000062060000}"/>
    <cellStyle name="Normal 5 5 12 2" xfId="1183" xr:uid="{00000000-0005-0000-0000-000063060000}"/>
    <cellStyle name="Normal 5 5 12 2 2" xfId="25907" xr:uid="{ACDBEB07-C175-4F8A-AF35-7A83D073F597}"/>
    <cellStyle name="Normal 5 5 12 2 2 2" xfId="27059" xr:uid="{73488BCF-2C51-42DE-9E58-72168444506D}"/>
    <cellStyle name="Normal 5 5 12 2 2 3" xfId="29748" xr:uid="{CE1EF072-8FE4-4D10-BDE4-3044258E6731}"/>
    <cellStyle name="Normal 5 5 12 2 3" xfId="27500" xr:uid="{C60B8A07-C87E-417E-81F5-A75D4AE0518D}"/>
    <cellStyle name="Normal 5 5 12 2 4" xfId="27364" xr:uid="{FCABEA70-D790-4657-BF9A-CD1687570BD1}"/>
    <cellStyle name="Normal 5 5 12 3" xfId="1184" xr:uid="{00000000-0005-0000-0000-000064060000}"/>
    <cellStyle name="Normal 5 5 12 3 2" xfId="1185" xr:uid="{00000000-0005-0000-0000-000065060000}"/>
    <cellStyle name="Normal 5 5 12 3 2 2" xfId="7100" xr:uid="{7DC8D161-DB25-42F7-A675-B9ABA09E6623}"/>
    <cellStyle name="Normal 5 5 12 3 2 2 2" xfId="17480" xr:uid="{CB8E9133-3D83-4494-9F60-E776A3EA70F0}"/>
    <cellStyle name="Normal 5 5 12 3 2 3" xfId="9933" xr:uid="{75CD5C8B-75F0-4E18-B7D2-91830223CFAA}"/>
    <cellStyle name="Normal 5 5 12 3 2 3 2" xfId="20313" xr:uid="{4A077567-9598-4D3C-9AEB-03C07E8EA24F}"/>
    <cellStyle name="Normal 5 5 12 3 2 4" xfId="25581" xr:uid="{DBCD1220-8789-4BF8-809A-A3A65496A92B}"/>
    <cellStyle name="Normal 5 5 12 3 2 5" xfId="14647" xr:uid="{A45105C8-7446-4B1D-BB0F-E6E66EEAF4EB}"/>
    <cellStyle name="Normal 5 5 12 3 3" xfId="3773" xr:uid="{D3491984-6149-4A4F-97CA-96AC04F0A2CD}"/>
    <cellStyle name="Normal 5 5 12 3 3 2" xfId="4807" xr:uid="{62869006-B692-4B88-AA1D-967FD650D28C}"/>
    <cellStyle name="Normal 5 5 12 3 3 2 2" xfId="29895" xr:uid="{D2B9522B-5A3D-4137-9906-A677E91A5DAE}"/>
    <cellStyle name="Normal 5 5 12 3 3 3" xfId="30154" xr:uid="{02E12D95-364D-41E9-A505-F985BE40CBD8}"/>
    <cellStyle name="Normal 5 5 12 3 3 4" xfId="30508" xr:uid="{11BF2033-2F6B-491A-BF61-A14A6A7DFC0F}"/>
    <cellStyle name="Normal 5 5 12 3 3 5" xfId="29774" xr:uid="{F2A248A6-DCB0-4FC9-B626-E2A3867498B4}"/>
    <cellStyle name="Normal 5 5 12 3 4" xfId="24796" xr:uid="{EC1A1E87-7558-46ED-8398-DDED782A19A9}"/>
    <cellStyle name="Normal 5 5 12 3 4 2" xfId="29955" xr:uid="{AC57BDC2-C1E3-4721-BB31-D43906A79755}"/>
    <cellStyle name="Normal 5 5 12 3 4 3" xfId="30227" xr:uid="{2B6C71B3-F2FD-4C59-A341-B97B3E62CAF7}"/>
    <cellStyle name="Normal 5 5 12 3 4 4" xfId="30619" xr:uid="{1825C3C0-CF70-4E83-8772-39D3BEB82B58}"/>
    <cellStyle name="Normal 5 5 12 3 4 5" xfId="29752" xr:uid="{BEB3ACC5-F006-4705-AC17-D827D171307E}"/>
    <cellStyle name="Normal 5 5 12 3 5" xfId="29660" xr:uid="{6DB3C02D-3656-4242-B7A3-B545F52A5408}"/>
    <cellStyle name="Normal 5 5 12 4" xfId="1186" xr:uid="{00000000-0005-0000-0000-000066060000}"/>
    <cellStyle name="Normal 5 5 12 4 2" xfId="2012" xr:uid="{00000000-0005-0000-0000-000067060000}"/>
    <cellStyle name="Normal 5 5 12 4 2 2" xfId="28245" xr:uid="{C0C981C0-058E-4026-91E4-71DD03B00545}"/>
    <cellStyle name="Normal 5 5 12 4 2 3" xfId="27488" xr:uid="{1A5E8FF4-C6F3-4045-99D5-5EFB1C02A4ED}"/>
    <cellStyle name="Normal 5 5 12 4 3" xfId="3743" xr:uid="{00000000-0005-0000-0000-0000CD050000}"/>
    <cellStyle name="Normal 5 5 12 4 3 2" xfId="4732" xr:uid="{D383C0AB-15AA-4183-8653-F3BF4C9DCA49}"/>
    <cellStyle name="Normal 5 5 12 4 4" xfId="23739" xr:uid="{584E66C2-83BD-4415-897A-413EAACEC637}"/>
    <cellStyle name="Normal 5 5 12 4 5" xfId="23070" xr:uid="{445314E8-3702-42F9-96C4-4F1E3E1FC2C9}"/>
    <cellStyle name="Normal 5 5 12 4 6" xfId="26121" xr:uid="{972A4539-7000-4879-8DC1-AC3C9DAB57C7}"/>
    <cellStyle name="Normal 5 5 12 5" xfId="1187" xr:uid="{00000000-0005-0000-0000-000068060000}"/>
    <cellStyle name="Normal 5 5 12 5 2" xfId="26128" xr:uid="{0C3713C4-0CF4-45B5-BE60-F039348800A1}"/>
    <cellStyle name="Normal 5 5 12 5 3" xfId="26556" xr:uid="{46B5948C-5A50-4947-9B43-BD3926155E12}"/>
    <cellStyle name="Normal 5 5 12 6" xfId="2013" xr:uid="{00000000-0005-0000-0000-000069060000}"/>
    <cellStyle name="Normal 5 5 12 6 2" xfId="25719" xr:uid="{6E76D09D-B907-43F5-8545-1CFD81722536}"/>
    <cellStyle name="Normal 5 5 12 6 3" xfId="24485" xr:uid="{D6BD1202-D166-4806-99B6-7721F3E5DC6E}"/>
    <cellStyle name="Normal 5 5 12 7" xfId="2134" xr:uid="{00000000-0005-0000-0000-0000A1020000}"/>
    <cellStyle name="Normal 5 5 12 7 2" xfId="4820" xr:uid="{933CD350-3DDB-4FFC-B65F-DBC9B5AC6FAA}"/>
    <cellStyle name="Normal 5 5 12 8" xfId="4040" xr:uid="{339DDFF4-B60C-4AB4-A281-8CA03C0100FF}"/>
    <cellStyle name="Normal 5 5 12 8 2" xfId="4818" xr:uid="{7550A7D3-C1EF-43A3-A121-A8E9FC3C1D0F}"/>
    <cellStyle name="Normal 5 5 12 9" xfId="25796" xr:uid="{E3CEE472-2575-4086-9B70-8587E190341C}"/>
    <cellStyle name="Normal 5 5 12 9 2" xfId="26401" xr:uid="{EE6D3784-0C10-40B4-B5A5-246641421871}"/>
    <cellStyle name="Normal 5 5 13" xfId="1188" xr:uid="{00000000-0005-0000-0000-00006A060000}"/>
    <cellStyle name="Normal 5 5 13 2" xfId="4557" xr:uid="{38105DB8-0B13-45DB-93CB-A7A2B7B10682}"/>
    <cellStyle name="Normal 5 5 13 2 2" xfId="9329" xr:uid="{0F5DC92B-D17F-4932-B880-4EB216E0BB19}"/>
    <cellStyle name="Normal 5 5 13 2 2 2" xfId="29304" xr:uid="{A528E6A3-E5CF-41CD-8A5A-85D9B57ECB1A}"/>
    <cellStyle name="Normal 5 5 13 2 2 3" xfId="19709" xr:uid="{B187A614-F1FD-4C04-8325-25B84F0A4B75}"/>
    <cellStyle name="Normal 5 5 13 2 3" xfId="12162" xr:uid="{7CDD758D-F939-4E92-9942-827284B6582E}"/>
    <cellStyle name="Normal 5 5 13 2 3 2" xfId="22542" xr:uid="{15B03982-7DF5-45B6-B4D5-42116C944D4D}"/>
    <cellStyle name="Normal 5 5 13 2 4" xfId="23764" xr:uid="{1C157A74-79B0-4AE9-B1C8-C0BCC2BE83BE}"/>
    <cellStyle name="Normal 5 5 13 2 5" xfId="16876" xr:uid="{039AE286-CAD9-40EC-9813-C989AE274BDE}"/>
    <cellStyle name="Normal 5 5 13 3" xfId="5349" xr:uid="{5A847891-704E-4D1C-A49B-5183AFA3F5F8}"/>
    <cellStyle name="Normal 5 5 13 3 2" xfId="25718" xr:uid="{BA89B0B9-DB42-4CE7-A4A3-ECE24486E886}"/>
    <cellStyle name="Normal 5 5 13 3 3" xfId="25874" xr:uid="{45F60256-2B71-41F7-8537-374E0F6D4207}"/>
    <cellStyle name="Normal 5 5 13 3 4" xfId="14648" xr:uid="{5CE4162D-AD48-4C0F-BA62-B934F4EA9B59}"/>
    <cellStyle name="Normal 5 5 13 4" xfId="7101" xr:uid="{9A900B08-9AE9-41AC-BA20-2AA538F9927D}"/>
    <cellStyle name="Normal 5 5 13 4 2" xfId="22948" xr:uid="{97C5DAE0-DA9C-4F0F-BCD1-117901AE5D5C}"/>
    <cellStyle name="Normal 5 5 13 4 3" xfId="27065" xr:uid="{D13F99A1-37DD-4A26-B175-7EDE3659B42B}"/>
    <cellStyle name="Normal 5 5 13 4 4" xfId="17481" xr:uid="{5AED7AF1-2763-4797-82AA-CF475C5E3EE4}"/>
    <cellStyle name="Normal 5 5 13 5" xfId="9934" xr:uid="{18FE5CF4-E9A5-4356-8158-B3F8919FD961}"/>
    <cellStyle name="Normal 5 5 13 5 2" xfId="29433" xr:uid="{5879B14D-2429-4E4A-9882-196F79DE5875}"/>
    <cellStyle name="Normal 5 5 13 5 3" xfId="20314" xr:uid="{0267A0D3-C892-4DAA-A391-47195DB4C23E}"/>
    <cellStyle name="Normal 5 5 13 6" xfId="24214" xr:uid="{6BA6356E-FEFE-4288-B90B-406AF9C7B10D}"/>
    <cellStyle name="Normal 5 5 13 7" xfId="13967" xr:uid="{9949E944-6653-48A5-B6AF-827C31A6C8F2}"/>
    <cellStyle name="Normal 5 5 14" xfId="1189" xr:uid="{00000000-0005-0000-0000-00006B060000}"/>
    <cellStyle name="Normal 5 5 14 2" xfId="1190" xr:uid="{00000000-0005-0000-0000-00006C060000}"/>
    <cellStyle name="Normal 5 5 14 3" xfId="3744" xr:uid="{00000000-0005-0000-0000-0000D2050000}"/>
    <cellStyle name="Normal 5 5 14 3 2" xfId="4727" xr:uid="{38D387F4-79B0-4AC8-8B84-16D0B67DE4C8}"/>
    <cellStyle name="Normal 5 5 14 3 2 2" xfId="28467" xr:uid="{8C94C9FE-AE2A-4793-A8B8-55E759787D53}"/>
    <cellStyle name="Normal 5 5 14 3 3" xfId="26889" xr:uid="{B149FF73-7C82-4791-B193-8AF6ACE56154}"/>
    <cellStyle name="Normal 5 5 14 4" xfId="28548" xr:uid="{11F1C702-C94E-40E4-AA7E-C36BBAF97840}"/>
    <cellStyle name="Normal 5 5 15" xfId="2440" xr:uid="{00000000-0005-0000-0000-000035070000}"/>
    <cellStyle name="Normal 5 5 15 2" xfId="5735" xr:uid="{7DB3CBEA-D902-42B2-B26F-9421550EC6CD}"/>
    <cellStyle name="Normal 5 5 15 2 2" xfId="27303" xr:uid="{F2621A6C-0918-4A36-97E3-78A546121BE8}"/>
    <cellStyle name="Normal 5 5 15 2 3" xfId="15112" xr:uid="{05B98610-ECCC-4335-8398-4FB0B93CE0B1}"/>
    <cellStyle name="Normal 5 5 15 3" xfId="7565" xr:uid="{35D911EE-CA73-4C5D-9B99-8E5C459EE06E}"/>
    <cellStyle name="Normal 5 5 15 3 2" xfId="17945" xr:uid="{38B158EE-2C47-4BA9-93C3-58BBE1E0AD96}"/>
    <cellStyle name="Normal 5 5 15 4" xfId="10398" xr:uid="{5DEE6F7F-8E03-4FC8-9594-1274073636D5}"/>
    <cellStyle name="Normal 5 5 15 4 2" xfId="20778" xr:uid="{9D104917-06C4-40D3-830F-73A016A7D825}"/>
    <cellStyle name="Normal 5 5 15 5" xfId="24794" xr:uid="{98197A97-5624-49B2-8B85-1F5369343C3E}"/>
    <cellStyle name="Normal 5 5 15 6" xfId="12827" xr:uid="{25B2FA1F-E539-4D97-AD51-FB2C4B7972FE}"/>
    <cellStyle name="Normal 5 5 16" xfId="2170" xr:uid="{00000000-0005-0000-0000-000028070000}"/>
    <cellStyle name="Normal 5 5 16 2" xfId="7297" xr:uid="{E92BBBE8-8A65-484D-9CC1-3D51172C4C28}"/>
    <cellStyle name="Normal 5 5 16 2 2" xfId="28153" xr:uid="{A3A849C5-5574-4D15-95F8-4036D0CDEF59}"/>
    <cellStyle name="Normal 5 5 16 2 3" xfId="17677" xr:uid="{09A459B7-30EB-40B8-87C5-77F00D92A2FA}"/>
    <cellStyle name="Normal 5 5 16 3" xfId="10130" xr:uid="{F0A238C6-4582-4CBB-BADA-A9399A706E74}"/>
    <cellStyle name="Normal 5 5 16 3 2" xfId="20510" xr:uid="{334612D8-071C-4D16-88C2-0DED4F515CFC}"/>
    <cellStyle name="Normal 5 5 16 4" xfId="22845" xr:uid="{73C69CF9-2844-4024-B796-ADEC93F6100C}"/>
    <cellStyle name="Normal 5 5 16 5" xfId="14844" xr:uid="{0D04833F-70A4-4B17-A011-739F53913398}"/>
    <cellStyle name="Normal 5 5 17" xfId="2123" xr:uid="{00000000-0005-0000-0000-00009D020000}"/>
    <cellStyle name="Normal 5 5 17 2" xfId="4711" xr:uid="{1F0EAC01-3B78-43E3-B983-74B1E0899491}"/>
    <cellStyle name="Normal 5 5 17 2 2" xfId="28529" xr:uid="{9F244A23-EF37-4CA3-9C32-8399EE7045C9}"/>
    <cellStyle name="Normal 5 5 17 3" xfId="27863" xr:uid="{94C316B2-9303-4343-AB75-17DFAF12E21D}"/>
    <cellStyle name="Normal 5 5 18" xfId="4019" xr:uid="{F3938208-EDFC-4F17-ABB5-42A544677995}"/>
    <cellStyle name="Normal 5 5 18 2" xfId="4811" xr:uid="{F76BFFF7-F65C-4C10-94AE-340164E71EC1}"/>
    <cellStyle name="Normal 5 5 18 3" xfId="30331" xr:uid="{475AED6D-3FFB-4567-8493-127C78C212AB}"/>
    <cellStyle name="Normal 5 5 19" xfId="24511" xr:uid="{2A1B3C75-EDBD-4134-9FA6-33FD8035DA32}"/>
    <cellStyle name="Normal 5 5 2" xfId="1191" xr:uid="{00000000-0005-0000-0000-00006D060000}"/>
    <cellStyle name="Normal 5 5 2 10" xfId="26257" xr:uid="{5DE0041A-A395-4337-A4C4-595A0109A733}"/>
    <cellStyle name="Normal 5 5 2 11" xfId="27202" xr:uid="{576765FF-1DD2-4048-9596-D0B7D8E5602E}"/>
    <cellStyle name="Normal 5 5 2 12" xfId="12425" xr:uid="{362E694F-978F-4355-B29B-573EACCA035C}"/>
    <cellStyle name="Normal 5 5 2 2" xfId="1192" xr:uid="{00000000-0005-0000-0000-00006E060000}"/>
    <cellStyle name="Normal 5 5 2 2 10" xfId="7102" xr:uid="{B0B4E6F4-CC37-40E9-80EA-BED5690BE15D}"/>
    <cellStyle name="Normal 5 5 2 2 10 2" xfId="17482" xr:uid="{2E4C73EB-3E1A-4761-96CA-1DE9565E7346}"/>
    <cellStyle name="Normal 5 5 2 2 11" xfId="9935" xr:uid="{F88CE84F-A75A-405A-85F5-7077666D2DA0}"/>
    <cellStyle name="Normal 5 5 2 2 11 2" xfId="20315" xr:uid="{7BAFE316-3944-4915-8BE3-1A5642390C24}"/>
    <cellStyle name="Normal 5 5 2 2 12" xfId="24558" xr:uid="{DB9B9E18-2DAE-4360-A9FC-C823D4674C38}"/>
    <cellStyle name="Normal 5 5 2 2 13" xfId="12485" xr:uid="{C15E1874-5A7B-419B-A795-ECC2719E4B4E}"/>
    <cellStyle name="Normal 5 5 2 2 2" xfId="1193" xr:uid="{00000000-0005-0000-0000-00006F060000}"/>
    <cellStyle name="Normal 5 5 2 2 2 10" xfId="9936" xr:uid="{F46A6A26-8631-4AEC-8C24-F217A2A7B3F9}"/>
    <cellStyle name="Normal 5 5 2 2 2 10 2" xfId="20316" xr:uid="{0F1B2E8D-661B-421F-A428-2548615D2947}"/>
    <cellStyle name="Normal 5 5 2 2 2 11" xfId="22903" xr:uid="{0ACF97C6-F5AF-4F36-A2CC-B0340721807C}"/>
    <cellStyle name="Normal 5 5 2 2 2 12" xfId="12614" xr:uid="{1A299909-22DC-4007-AC4D-C1AE15C09573}"/>
    <cellStyle name="Normal 5 5 2 2 2 2" xfId="2806" xr:uid="{00000000-0005-0000-0000-000039070000}"/>
    <cellStyle name="Normal 5 5 2 2 2 2 2" xfId="3399" xr:uid="{00000000-0005-0000-0000-00003A070000}"/>
    <cellStyle name="Normal 5 5 2 2 2 2 2 2" xfId="6457" xr:uid="{B693116F-FEF4-432D-A5BF-701A0649DF30}"/>
    <cellStyle name="Normal 5 5 2 2 2 2 2 2 2" xfId="27808" xr:uid="{004B866A-C76F-45A8-808C-C75755EC1086}"/>
    <cellStyle name="Normal 5 5 2 2 2 2 2 2 3" xfId="26535" xr:uid="{5EEAA4AB-3C3E-4C53-A277-A707876DE5EC}"/>
    <cellStyle name="Normal 5 5 2 2 2 2 2 2 4" xfId="16026" xr:uid="{C3ACAFC0-D7C2-42C7-B4DB-7ED8EAC47E68}"/>
    <cellStyle name="Normal 5 5 2 2 2 2 2 3" xfId="8479" xr:uid="{17E6980B-06A1-43B6-BE43-611354CBBEB0}"/>
    <cellStyle name="Normal 5 5 2 2 2 2 2 3 2" xfId="28925" xr:uid="{2BA3EE89-B748-4827-8F21-A2E506D72BC1}"/>
    <cellStyle name="Normal 5 5 2 2 2 2 2 3 3" xfId="18859" xr:uid="{230430B1-9100-4B76-B9BD-F64508174F52}"/>
    <cellStyle name="Normal 5 5 2 2 2 2 2 4" xfId="11312" xr:uid="{ED3C4ACD-C51D-4BCF-A4E8-96036E058BC2}"/>
    <cellStyle name="Normal 5 5 2 2 2 2 2 4 2" xfId="21692" xr:uid="{C080D9CA-17F9-461C-BB69-7B4915B83AEE}"/>
    <cellStyle name="Normal 5 5 2 2 2 2 2 5" xfId="25284" xr:uid="{7EECCA54-9783-4BBF-8C42-BADB856D8B4F}"/>
    <cellStyle name="Normal 5 5 2 2 2 2 2 6" xfId="13969" xr:uid="{EACC5766-D3D6-44EE-B595-1F5883978ED0}"/>
    <cellStyle name="Normal 5 5 2 2 2 2 3" xfId="4356" xr:uid="{42FF46A1-3943-4358-A655-8294E62CEED5}"/>
    <cellStyle name="Normal 5 5 2 2 2 2 3 2" xfId="9128" xr:uid="{45B9D55E-2186-44A0-B273-E1A0BC1506FA}"/>
    <cellStyle name="Normal 5 5 2 2 2 2 3 2 2" xfId="29171" xr:uid="{1140FD3F-198E-4BE1-8F06-A8CC335DBE44}"/>
    <cellStyle name="Normal 5 5 2 2 2 2 3 2 3" xfId="19508" xr:uid="{D17F7F4F-1A46-4910-97EE-82CDCD2E107F}"/>
    <cellStyle name="Normal 5 5 2 2 2 2 3 3" xfId="11961" xr:uid="{EFE23553-F273-457E-8C06-1E2A03F6FE27}"/>
    <cellStyle name="Normal 5 5 2 2 2 2 3 3 2" xfId="22341" xr:uid="{6CADACF1-9D51-44A3-9B24-E581EC859066}"/>
    <cellStyle name="Normal 5 5 2 2 2 2 3 4" xfId="23124" xr:uid="{B72063E7-D175-445C-9430-BB26FE783578}"/>
    <cellStyle name="Normal 5 5 2 2 2 2 3 5" xfId="16675" xr:uid="{255421F1-8B49-49EF-B50C-7FEA55A0C4D7}"/>
    <cellStyle name="Normal 5 5 2 2 2 2 4" xfId="6024" xr:uid="{7E2B3A4D-18A7-41AE-9703-8F1DD1C41124}"/>
    <cellStyle name="Normal 5 5 2 2 2 2 4 2" xfId="26662" xr:uid="{F952BBFA-15EB-48C0-894C-CF0A26F279D2}"/>
    <cellStyle name="Normal 5 5 2 2 2 2 4 3" xfId="15477" xr:uid="{3DA3D78E-B3D0-4042-BBF9-EADB3DB9540E}"/>
    <cellStyle name="Normal 5 5 2 2 2 2 5" xfId="7930" xr:uid="{028A5E22-1E60-4C6D-B1A8-9DE76CBD3299}"/>
    <cellStyle name="Normal 5 5 2 2 2 2 5 2" xfId="18310" xr:uid="{5B658F29-19A3-4C8F-8C89-874C7FC593B0}"/>
    <cellStyle name="Normal 5 5 2 2 2 2 6" xfId="10763" xr:uid="{39021503-6D23-4026-AADD-CEECF31F2E18}"/>
    <cellStyle name="Normal 5 5 2 2 2 2 6 2" xfId="21143" xr:uid="{79DF7F93-3D36-4E82-B3C2-21FBC05247DD}"/>
    <cellStyle name="Normal 5 5 2 2 2 2 7" xfId="23801" xr:uid="{B54B0BB9-E6CF-4A46-9F3A-B3E751558D28}"/>
    <cellStyle name="Normal 5 5 2 2 2 2 8" xfId="13272" xr:uid="{C4529065-302D-4BBB-8DEA-0825232BFC5B}"/>
    <cellStyle name="Normal 5 5 2 2 2 3" xfId="3400" xr:uid="{00000000-0005-0000-0000-00003B070000}"/>
    <cellStyle name="Normal 5 5 2 2 2 3 2" xfId="4558" xr:uid="{5061FD9F-2244-4556-BA81-017209E54E57}"/>
    <cellStyle name="Normal 5 5 2 2 2 3 2 2" xfId="9330" xr:uid="{63D3143B-3A50-4839-B294-F3935BB8C913}"/>
    <cellStyle name="Normal 5 5 2 2 2 3 2 2 2" xfId="29305" xr:uid="{9C4F8361-A348-40D6-BDC8-184E1ED0AEEB}"/>
    <cellStyle name="Normal 5 5 2 2 2 3 2 2 3" xfId="19710" xr:uid="{2232B086-86C9-44E8-ACC9-F05AE9E85F48}"/>
    <cellStyle name="Normal 5 5 2 2 2 3 2 3" xfId="12163" xr:uid="{F278D5A6-BB19-4A71-909D-4B185E053A15}"/>
    <cellStyle name="Normal 5 5 2 2 2 3 2 3 2" xfId="22543" xr:uid="{FF77EDCE-32AF-4B79-86CC-5D0FC410DFDE}"/>
    <cellStyle name="Normal 5 5 2 2 2 3 2 4" xfId="28116" xr:uid="{21DB635F-914E-44BB-A5BA-96824586B764}"/>
    <cellStyle name="Normal 5 5 2 2 2 3 2 5" xfId="16877" xr:uid="{DA1DE3AE-D369-465E-B70F-9C5DCCD86772}"/>
    <cellStyle name="Normal 5 5 2 2 2 3 3" xfId="6458" xr:uid="{6C9958EC-64CD-4EFE-AD25-5341EAC58E19}"/>
    <cellStyle name="Normal 5 5 2 2 2 3 3 2" xfId="26307" xr:uid="{10785CCF-BC71-459D-8435-C52D33AD31DA}"/>
    <cellStyle name="Normal 5 5 2 2 2 3 3 3" xfId="16027" xr:uid="{2AC0485A-BBA8-4B3B-8289-888B36D3D1A8}"/>
    <cellStyle name="Normal 5 5 2 2 2 3 4" xfId="8480" xr:uid="{35104300-7B7B-4930-AA22-97CBEA0E597A}"/>
    <cellStyle name="Normal 5 5 2 2 2 3 4 2" xfId="18860" xr:uid="{BCD25388-0DE1-4453-B0E2-7C53AEE133CA}"/>
    <cellStyle name="Normal 5 5 2 2 2 3 5" xfId="11313" xr:uid="{7B72F5E2-F4A0-4DAF-A072-8BB8EE9CF698}"/>
    <cellStyle name="Normal 5 5 2 2 2 3 5 2" xfId="21693" xr:uid="{4A7BD036-C2BA-45A6-87CB-029FEA504C56}"/>
    <cellStyle name="Normal 5 5 2 2 2 3 6" xfId="25116" xr:uid="{82B60B71-A98F-4867-B481-3777DF42A92A}"/>
    <cellStyle name="Normal 5 5 2 2 2 3 7" xfId="13970" xr:uid="{CDB8CBB4-B877-4130-B85B-07A03F751A31}"/>
    <cellStyle name="Normal 5 5 2 2 2 4" xfId="3398" xr:uid="{00000000-0005-0000-0000-00003C070000}"/>
    <cellStyle name="Normal 5 5 2 2 2 4 2" xfId="6456" xr:uid="{65CAC8DB-A56D-46C3-87F9-F4F75AAA66E8}"/>
    <cellStyle name="Normal 5 5 2 2 2 4 2 2" xfId="26022" xr:uid="{17070FC0-3C6C-4245-8F38-027CA186084B}"/>
    <cellStyle name="Normal 5 5 2 2 2 4 2 3" xfId="16025" xr:uid="{ECC0695D-BED6-47AA-9185-A5C5234CEBF3}"/>
    <cellStyle name="Normal 5 5 2 2 2 4 3" xfId="8478" xr:uid="{14C93518-D0C9-4908-BAB1-9DCD1EEEA571}"/>
    <cellStyle name="Normal 5 5 2 2 2 4 3 2" xfId="18858" xr:uid="{ECDDFA73-36FF-49D5-82B7-03A53E73BDAB}"/>
    <cellStyle name="Normal 5 5 2 2 2 4 4" xfId="11311" xr:uid="{8B1E5D26-8A8D-4AC7-9715-3F1243DFF57E}"/>
    <cellStyle name="Normal 5 5 2 2 2 4 4 2" xfId="21691" xr:uid="{344B6013-3AA0-45E1-85B1-D40B03FD4C40}"/>
    <cellStyle name="Normal 5 5 2 2 2 4 5" xfId="24507" xr:uid="{5CB2466F-53D5-49FA-A5CA-E50A3B9646E6}"/>
    <cellStyle name="Normal 5 5 2 2 2 4 6" xfId="13968" xr:uid="{C763E544-01F0-4302-8299-E43E37CE24BA}"/>
    <cellStyle name="Normal 5 5 2 2 2 5" xfId="2650" xr:uid="{00000000-0005-0000-0000-00003D070000}"/>
    <cellStyle name="Normal 5 5 2 2 2 5 2" xfId="5912" xr:uid="{E9B39E86-C76E-4FBD-A137-EE230CDA99AC}"/>
    <cellStyle name="Normal 5 5 2 2 2 5 2 2" xfId="26218" xr:uid="{691A211D-DDC5-4CF4-9FFE-159D307D29B3}"/>
    <cellStyle name="Normal 5 5 2 2 2 5 2 3" xfId="15322" xr:uid="{855B6DC1-1534-436D-91E0-D2640689A3F2}"/>
    <cellStyle name="Normal 5 5 2 2 2 5 3" xfId="7775" xr:uid="{60B7B1BA-B192-4DB5-8FB7-5B1053A8F3F3}"/>
    <cellStyle name="Normal 5 5 2 2 2 5 3 2" xfId="18155" xr:uid="{EC3B7F3F-BCF3-470D-9D43-126F2EB40004}"/>
    <cellStyle name="Normal 5 5 2 2 2 5 4" xfId="10608" xr:uid="{531C608E-CD0C-4B40-BC39-F0CCB15B2BDB}"/>
    <cellStyle name="Normal 5 5 2 2 2 5 4 2" xfId="20988" xr:uid="{29A04457-3328-4866-8B61-39382E330D84}"/>
    <cellStyle name="Normal 5 5 2 2 2 5 5" xfId="25347" xr:uid="{FA1D4321-F923-4174-B5D0-070FD482717B}"/>
    <cellStyle name="Normal 5 5 2 2 2 5 6" xfId="13050" xr:uid="{414A8D75-BE7B-45D4-8C3A-A99EAB138365}"/>
    <cellStyle name="Normal 5 5 2 2 2 6" xfId="2380" xr:uid="{00000000-0005-0000-0000-000038070000}"/>
    <cellStyle name="Normal 5 5 2 2 2 6 2" xfId="7507" xr:uid="{A1858BD0-3E6E-4D42-83BF-145C6C4D43DF}"/>
    <cellStyle name="Normal 5 5 2 2 2 6 2 2" xfId="17887" xr:uid="{FACD421A-A9BB-4B7F-906E-07EE7C2EF2B8}"/>
    <cellStyle name="Normal 5 5 2 2 2 6 3" xfId="10340" xr:uid="{6D389701-D329-41F9-BFEA-4C1354AC4875}"/>
    <cellStyle name="Normal 5 5 2 2 2 6 3 2" xfId="20720" xr:uid="{F1A12A08-1164-4488-A8B4-F6266E11AB30}"/>
    <cellStyle name="Normal 5 5 2 2 2 6 4" xfId="24991" xr:uid="{67298546-BF93-45C6-AFAE-B9A60F49A89F}"/>
    <cellStyle name="Normal 5 5 2 2 2 6 5" xfId="15054" xr:uid="{23599E62-A5C5-4F45-A758-20E3649CEB60}"/>
    <cellStyle name="Normal 5 5 2 2 2 7" xfId="4052" xr:uid="{EC54DFC6-9A1E-4C42-8373-D8A0D006B582}"/>
    <cellStyle name="Normal 5 5 2 2 2 7 2" xfId="8838" xr:uid="{F198D4A2-3B39-49A2-8553-811CD5569DB0}"/>
    <cellStyle name="Normal 5 5 2 2 2 7 2 2" xfId="19218" xr:uid="{695B1472-84E2-4093-ABA0-2537DF9ADA20}"/>
    <cellStyle name="Normal 5 5 2 2 2 7 3" xfId="11671" xr:uid="{358B6E7B-0337-430F-9A6B-737BE1E2DA12}"/>
    <cellStyle name="Normal 5 5 2 2 2 7 3 2" xfId="22051" xr:uid="{B5C359F9-33D3-4677-911E-4FBEB3C90639}"/>
    <cellStyle name="Normal 5 5 2 2 2 7 4" xfId="16385" xr:uid="{2F36583D-13FE-480E-AFDA-6739E674159F}"/>
    <cellStyle name="Normal 5 5 2 2 2 8" xfId="5351" xr:uid="{7A875D4A-C397-4525-BE3A-8192E68F8551}"/>
    <cellStyle name="Normal 5 5 2 2 2 8 2" xfId="14650" xr:uid="{2F2081C4-AAE6-4920-8CA4-EBB5256087C6}"/>
    <cellStyle name="Normal 5 5 2 2 2 9" xfId="7103" xr:uid="{2B3871C3-57A8-4A8B-88EE-B3736054FB29}"/>
    <cellStyle name="Normal 5 5 2 2 2 9 2" xfId="17483" xr:uid="{070D8DBB-57B4-4D3B-B9B3-AC7655AB8F30}"/>
    <cellStyle name="Normal 5 5 2 2 3" xfId="1194" xr:uid="{00000000-0005-0000-0000-000070060000}"/>
    <cellStyle name="Normal 5 5 2 2 3 2" xfId="3401" xr:uid="{00000000-0005-0000-0000-00003F070000}"/>
    <cellStyle name="Normal 5 5 2 2 3 2 2" xfId="6459" xr:uid="{5F4BDF0C-AD38-489E-945C-592418F3D60F}"/>
    <cellStyle name="Normal 5 5 2 2 3 2 2 2" xfId="27907" xr:uid="{59078814-849A-48FA-838A-3AFDDFEFD8E7}"/>
    <cellStyle name="Normal 5 5 2 2 3 2 2 3" xfId="28004" xr:uid="{28FDFF76-16BE-4E21-9F52-18072D3E868F}"/>
    <cellStyle name="Normal 5 5 2 2 3 2 2 4" xfId="16028" xr:uid="{38177F33-B1C7-46B5-A5E4-6B6D90111A41}"/>
    <cellStyle name="Normal 5 5 2 2 3 2 3" xfId="8481" xr:uid="{0542C4C6-33F3-4561-ABF9-B301DE495CC8}"/>
    <cellStyle name="Normal 5 5 2 2 3 2 3 2" xfId="28926" xr:uid="{DF4CA095-1D0A-4D01-AE9E-CD634DC17B5F}"/>
    <cellStyle name="Normal 5 5 2 2 3 2 3 3" xfId="18861" xr:uid="{37AFCBB9-FBB2-4771-AE08-1F6302956FA8}"/>
    <cellStyle name="Normal 5 5 2 2 3 2 4" xfId="11314" xr:uid="{BF39D8A6-DE77-46ED-8E7C-2A59A59A9E7E}"/>
    <cellStyle name="Normal 5 5 2 2 3 2 4 2" xfId="21694" xr:uid="{0A1F768E-1922-4983-B1A0-87585BE81350}"/>
    <cellStyle name="Normal 5 5 2 2 3 2 5" xfId="24720" xr:uid="{82D4A560-5319-4D31-AF03-8AE6CFD5F1B4}"/>
    <cellStyle name="Normal 5 5 2 2 3 2 6" xfId="13971" xr:uid="{ADBDC445-9129-45A7-9B94-818CEE590A24}"/>
    <cellStyle name="Normal 5 5 2 2 3 3" xfId="2805" xr:uid="{00000000-0005-0000-0000-000040070000}"/>
    <cellStyle name="Normal 5 5 2 2 3 3 2" xfId="6023" xr:uid="{029B14EC-CF2B-481F-91F2-B0945A0C6EF0}"/>
    <cellStyle name="Normal 5 5 2 2 3 3 2 2" xfId="26998" xr:uid="{E5486205-ECBC-4852-924A-35CB4B00C793}"/>
    <cellStyle name="Normal 5 5 2 2 3 3 2 3" xfId="15476" xr:uid="{B4C09E91-DD80-4E71-92A6-C67FE0301C28}"/>
    <cellStyle name="Normal 5 5 2 2 3 3 3" xfId="7929" xr:uid="{C889EAB7-8D62-4D1F-9E5B-398749ABC41B}"/>
    <cellStyle name="Normal 5 5 2 2 3 3 3 2" xfId="18309" xr:uid="{824B5F40-8C47-4CBC-91EB-361E40A47A1B}"/>
    <cellStyle name="Normal 5 5 2 2 3 3 4" xfId="10762" xr:uid="{3DC114F8-6FC0-4D7E-A8C4-1B9E3BA197CA}"/>
    <cellStyle name="Normal 5 5 2 2 3 3 4 2" xfId="21142" xr:uid="{6C576C60-FC58-4C63-A93E-E194261DE55E}"/>
    <cellStyle name="Normal 5 5 2 2 3 3 5" xfId="23102" xr:uid="{AEBA479B-8B2B-4998-9E1E-9D0CC7F7AB55}"/>
    <cellStyle name="Normal 5 5 2 2 3 3 6" xfId="13271" xr:uid="{E80B7A3C-79FD-4DE7-AB06-D90D9C613D3B}"/>
    <cellStyle name="Normal 5 5 2 2 3 4" xfId="4205" xr:uid="{6834EE51-D997-4526-AFF7-7674E8CD52E1}"/>
    <cellStyle name="Normal 5 5 2 2 3 4 2" xfId="8977" xr:uid="{52CD7849-99F2-4A76-BEEC-7B45BE4C8AF9}"/>
    <cellStyle name="Normal 5 5 2 2 3 4 2 2" xfId="29059" xr:uid="{B9264E2E-ADFB-412E-B317-31A678C723CF}"/>
    <cellStyle name="Normal 5 5 2 2 3 4 2 3" xfId="19357" xr:uid="{179490EC-FDCB-402B-94EF-CA95ADD2D46F}"/>
    <cellStyle name="Normal 5 5 2 2 3 4 3" xfId="11810" xr:uid="{B5398A6F-9362-45CF-AD20-330DCF6A5113}"/>
    <cellStyle name="Normal 5 5 2 2 3 4 3 2" xfId="22190" xr:uid="{E683215B-69A9-4332-9ECA-A7146EBB9B6E}"/>
    <cellStyle name="Normal 5 5 2 2 3 4 4" xfId="24703" xr:uid="{1937E98F-1082-4654-912E-0E73F0FDECC6}"/>
    <cellStyle name="Normal 5 5 2 2 3 4 5" xfId="16524" xr:uid="{5FADDBF1-E6AD-4528-9DFD-7644B9EB274D}"/>
    <cellStyle name="Normal 5 5 2 2 3 5" xfId="5352" xr:uid="{D5B7A08C-93AF-4A8B-BAA3-33FC879FD868}"/>
    <cellStyle name="Normal 5 5 2 2 3 5 2" xfId="25877" xr:uid="{FFA69AF7-DCDD-478C-8045-146B1AA29976}"/>
    <cellStyle name="Normal 5 5 2 2 3 5 3" xfId="14651" xr:uid="{10343649-8127-45A8-BAD7-61F3D08369E2}"/>
    <cellStyle name="Normal 5 5 2 2 3 6" xfId="7104" xr:uid="{D97AF51E-6842-470A-A302-FB9E180CC5C0}"/>
    <cellStyle name="Normal 5 5 2 2 3 6 2" xfId="17484" xr:uid="{26D064AD-96E7-408C-B91A-A1976D6CC141}"/>
    <cellStyle name="Normal 5 5 2 2 3 7" xfId="9937" xr:uid="{9DD9D7F5-B940-4982-9CA5-B0B35070AC85}"/>
    <cellStyle name="Normal 5 5 2 2 3 7 2" xfId="20317" xr:uid="{007E509E-1ECD-466D-BDF6-DBFFD34B46D0}"/>
    <cellStyle name="Normal 5 5 2 2 3 8" xfId="25199" xr:uid="{D07689EE-8698-490A-8B28-CDB5E7DC64F0}"/>
    <cellStyle name="Normal 5 5 2 2 3 9" xfId="12772" xr:uid="{043A9170-707A-4857-BAA4-9D3A7C21999E}"/>
    <cellStyle name="Normal 5 5 2 2 4" xfId="3402" xr:uid="{00000000-0005-0000-0000-000041070000}"/>
    <cellStyle name="Normal 5 5 2 2 4 2" xfId="4559" xr:uid="{3CF4326C-D6BE-478D-A5AB-70D5107A7187}"/>
    <cellStyle name="Normal 5 5 2 2 4 2 2" xfId="9331" xr:uid="{E4D7FA6F-D905-4DC4-9BC7-4EA3BE03A3B3}"/>
    <cellStyle name="Normal 5 5 2 2 4 2 2 2" xfId="29306" xr:uid="{F28EC19A-FBD0-4F93-B03F-F0F80AE7A4BE}"/>
    <cellStyle name="Normal 5 5 2 2 4 2 2 3" xfId="19711" xr:uid="{76CB73A2-CD86-444B-A7AF-35AC7FBC6DB6}"/>
    <cellStyle name="Normal 5 5 2 2 4 2 3" xfId="12164" xr:uid="{96400753-8A15-46A2-9112-817415644141}"/>
    <cellStyle name="Normal 5 5 2 2 4 2 3 2" xfId="22544" xr:uid="{15C8712E-B6BD-43DB-93B4-B04017EF9B83}"/>
    <cellStyle name="Normal 5 5 2 2 4 2 4" xfId="25462" xr:uid="{A66370E2-A123-4049-9C50-5E66FB73A7CC}"/>
    <cellStyle name="Normal 5 5 2 2 4 2 5" xfId="16878" xr:uid="{D0372305-A075-40F8-B8D7-65EB360A5A6E}"/>
    <cellStyle name="Normal 5 5 2 2 4 3" xfId="6460" xr:uid="{1BDBD616-9D9B-470F-BE62-BB461EBDAC3C}"/>
    <cellStyle name="Normal 5 5 2 2 4 3 2" xfId="26233" xr:uid="{3437AC94-B370-44C3-8889-2FAC6B023C10}"/>
    <cellStyle name="Normal 5 5 2 2 4 3 3" xfId="16029" xr:uid="{A6F22AD9-7E49-48EB-A5FA-DD22D02FC106}"/>
    <cellStyle name="Normal 5 5 2 2 4 4" xfId="8482" xr:uid="{E508F1DE-AC46-406E-A968-8C7B9890A961}"/>
    <cellStyle name="Normal 5 5 2 2 4 4 2" xfId="18862" xr:uid="{DB266FA3-4845-4CA2-AE74-C3C8B71D49F3}"/>
    <cellStyle name="Normal 5 5 2 2 4 5" xfId="11315" xr:uid="{770BB5C3-0630-41B4-AC16-F438244C8242}"/>
    <cellStyle name="Normal 5 5 2 2 4 5 2" xfId="21695" xr:uid="{EC9D17BB-1761-454D-A2BA-8FF176B720FD}"/>
    <cellStyle name="Normal 5 5 2 2 4 6" xfId="25540" xr:uid="{898599E5-9CB3-47E9-8971-60A8327E7668}"/>
    <cellStyle name="Normal 5 5 2 2 4 7" xfId="13972" xr:uid="{0C57B530-4AC9-424F-BCEE-5551DD13B8FB}"/>
    <cellStyle name="Normal 5 5 2 2 5" xfId="2964" xr:uid="{00000000-0005-0000-0000-000042070000}"/>
    <cellStyle name="Normal 5 5 2 2 5 2" xfId="6129" xr:uid="{A2F16BF5-A93E-40B9-8DBC-6EECDD65DC6E}"/>
    <cellStyle name="Normal 5 5 2 2 5 2 2" xfId="27129" xr:uid="{0F1740B9-5506-4D8B-BF47-9E6F97236B49}"/>
    <cellStyle name="Normal 5 5 2 2 5 2 3" xfId="28394" xr:uid="{CAD045D7-C12F-4298-87A4-D0C3120DCD7B}"/>
    <cellStyle name="Normal 5 5 2 2 5 2 4" xfId="15607" xr:uid="{A8517938-CEC1-4531-88B4-43823CE6C60C}"/>
    <cellStyle name="Normal 5 5 2 2 5 3" xfId="8060" xr:uid="{94BC6C1E-C567-4FF0-AB86-7A65091721BD}"/>
    <cellStyle name="Normal 5 5 2 2 5 3 2" xfId="28376" xr:uid="{3A49D794-A173-4EFD-83E0-CE1E571F5A7B}"/>
    <cellStyle name="Normal 5 5 2 2 5 3 3" xfId="18440" xr:uid="{BCB46D85-B729-4F78-AEDD-ADF9162296B5}"/>
    <cellStyle name="Normal 5 5 2 2 5 4" xfId="10893" xr:uid="{A581CCAB-C95C-4C85-8035-5199D9553ABA}"/>
    <cellStyle name="Normal 5 5 2 2 5 4 2" xfId="21273" xr:uid="{6D12C64E-5F7B-47D3-AF52-9C6EE78B4D4F}"/>
    <cellStyle name="Normal 5 5 2 2 5 5" xfId="25571" xr:uid="{58D85909-3552-4170-B731-750D31FA0AB3}"/>
    <cellStyle name="Normal 5 5 2 2 5 6" xfId="13470" xr:uid="{E4338547-CC90-4D03-819C-605347135C7D}"/>
    <cellStyle name="Normal 5 5 2 2 6" xfId="2559" xr:uid="{00000000-0005-0000-0000-000043070000}"/>
    <cellStyle name="Normal 5 5 2 2 6 2" xfId="5829" xr:uid="{43281724-D4D4-4764-81AA-98673E3322C3}"/>
    <cellStyle name="Normal 5 5 2 2 6 2 2" xfId="26725" xr:uid="{037DAB8A-A842-4E5A-AC02-442EAB320EA5}"/>
    <cellStyle name="Normal 5 5 2 2 6 2 3" xfId="15231" xr:uid="{05099115-2671-4B30-83DA-8E993BD66C2A}"/>
    <cellStyle name="Normal 5 5 2 2 6 3" xfId="7684" xr:uid="{43F33238-6FFD-46D7-B783-DE99BEC24EC2}"/>
    <cellStyle name="Normal 5 5 2 2 6 3 2" xfId="18064" xr:uid="{376E7D56-6148-425B-B483-814B2A8D37CD}"/>
    <cellStyle name="Normal 5 5 2 2 6 4" xfId="10517" xr:uid="{DC3FE7B2-5804-462E-8778-5DF87623DF50}"/>
    <cellStyle name="Normal 5 5 2 2 6 4 2" xfId="20897" xr:uid="{CE690DC8-0FFC-4375-BF91-2DBCE44D3D30}"/>
    <cellStyle name="Normal 5 5 2 2 6 5" xfId="25474" xr:uid="{6E000032-F3D2-476D-804F-CBF5DEE81C48}"/>
    <cellStyle name="Normal 5 5 2 2 6 6" xfId="12947" xr:uid="{13182B47-0B63-49C6-BEF4-076BB4AB75D6}"/>
    <cellStyle name="Normal 5 5 2 2 7" xfId="2253" xr:uid="{00000000-0005-0000-0000-000037070000}"/>
    <cellStyle name="Normal 5 5 2 2 7 2" xfId="7380" xr:uid="{F8DEDDF5-4CEE-44B7-B924-98AEC26CB4E5}"/>
    <cellStyle name="Normal 5 5 2 2 7 2 2" xfId="17760" xr:uid="{337FD57F-5CE4-4D3C-B6A0-7F7572727214}"/>
    <cellStyle name="Normal 5 5 2 2 7 3" xfId="10213" xr:uid="{D8870ABD-E42D-45A4-82BD-D189C9EEA9FB}"/>
    <cellStyle name="Normal 5 5 2 2 7 3 2" xfId="20593" xr:uid="{11F17349-93D9-410C-9CDA-D0F712E1D062}"/>
    <cellStyle name="Normal 5 5 2 2 7 4" xfId="24675" xr:uid="{24398855-A23C-4216-A2AF-3DDF48A6DB9E}"/>
    <cellStyle name="Normal 5 5 2 2 7 5" xfId="14927" xr:uid="{ED22AC1C-E455-4E46-AC67-7F3F9C5E91CD}"/>
    <cellStyle name="Normal 5 5 2 2 8" xfId="4022" xr:uid="{B1921A58-8808-4F6C-B5BC-E2AC5A4EE5C5}"/>
    <cellStyle name="Normal 5 5 2 2 8 2" xfId="8825" xr:uid="{355ADFE8-D0B3-41F3-AA5B-6C8A7E98C54C}"/>
    <cellStyle name="Normal 5 5 2 2 8 2 2" xfId="19205" xr:uid="{0F339977-E116-46A0-B68E-677107876C12}"/>
    <cellStyle name="Normal 5 5 2 2 8 3" xfId="11658" xr:uid="{23C04812-C2E2-464A-B0E6-ABB95E3448B6}"/>
    <cellStyle name="Normal 5 5 2 2 8 3 2" xfId="22038" xr:uid="{10A5FB37-77EA-4271-8EA8-51E9FEFCE395}"/>
    <cellStyle name="Normal 5 5 2 2 8 4" xfId="16372" xr:uid="{9EE5A92E-77EA-4544-A2CD-1A6188350FBB}"/>
    <cellStyle name="Normal 5 5 2 2 9" xfId="5350" xr:uid="{141EAECA-CA83-4339-AB67-783AC0F0C1AB}"/>
    <cellStyle name="Normal 5 5 2 2 9 2" xfId="14649" xr:uid="{9FD627CF-5ACD-42F5-A83A-37F220194639}"/>
    <cellStyle name="Normal 5 5 2 3" xfId="1195" xr:uid="{00000000-0005-0000-0000-000071060000}"/>
    <cellStyle name="Normal 5 5 2 3 2" xfId="2808" xr:uid="{00000000-0005-0000-0000-000045070000}"/>
    <cellStyle name="Normal 5 5 2 3 2 2" xfId="3403" xr:uid="{00000000-0005-0000-0000-000046070000}"/>
    <cellStyle name="Normal 5 5 2 3 2 2 2" xfId="6461" xr:uid="{0E94E64F-DA8E-462B-A0AD-213059A35888}"/>
    <cellStyle name="Normal 5 5 2 3 2 2 2 2" xfId="27813" xr:uid="{53E02BFC-75AA-4874-A785-DB6306329D5B}"/>
    <cellStyle name="Normal 5 5 2 3 2 2 2 3" xfId="16030" xr:uid="{8DB3C3CA-6250-4251-8F5A-54DD04A575F8}"/>
    <cellStyle name="Normal 5 5 2 3 2 2 3" xfId="8483" xr:uid="{F60E9374-60EB-4CD0-BF3D-25BF61510848}"/>
    <cellStyle name="Normal 5 5 2 3 2 2 3 2" xfId="18863" xr:uid="{12B7C18D-4BB4-4A77-93A6-DB76E0496879}"/>
    <cellStyle name="Normal 5 5 2 3 2 2 4" xfId="11316" xr:uid="{F90D3A1A-CBE1-4691-BC16-C28722459F61}"/>
    <cellStyle name="Normal 5 5 2 3 2 2 4 2" xfId="21696" xr:uid="{CC58664D-2D50-455B-9893-3E24DFED6269}"/>
    <cellStyle name="Normal 5 5 2 3 2 2 5" xfId="23963" xr:uid="{6D2038FD-35E5-4C41-A8E3-88C4481B43AC}"/>
    <cellStyle name="Normal 5 5 2 3 2 2 6" xfId="13973" xr:uid="{F06C5421-9381-4EEA-BC1A-D91B49485E42}"/>
    <cellStyle name="Normal 5 5 2 3 2 3" xfId="4357" xr:uid="{DF391442-0F86-42A3-BB5A-C56DACB37174}"/>
    <cellStyle name="Normal 5 5 2 3 2 3 2" xfId="9129" xr:uid="{D6344311-8138-43CA-AF7B-5CBA192FF44C}"/>
    <cellStyle name="Normal 5 5 2 3 2 3 2 2" xfId="29172" xr:uid="{2A790C22-85A1-4413-87B7-1EF889C4D3DC}"/>
    <cellStyle name="Normal 5 5 2 3 2 3 2 3" xfId="19509" xr:uid="{67C25286-98AC-4787-826E-039D9F25AB1C}"/>
    <cellStyle name="Normal 5 5 2 3 2 3 3" xfId="11962" xr:uid="{DB176056-A70E-41F8-9C12-028E41C4528D}"/>
    <cellStyle name="Normal 5 5 2 3 2 3 3 2" xfId="22342" xr:uid="{D59AE9D9-970B-4E2C-87BC-E787ED0735CE}"/>
    <cellStyle name="Normal 5 5 2 3 2 3 4" xfId="24931" xr:uid="{4E06B9E5-64E3-4A8E-B09E-E067E712619F}"/>
    <cellStyle name="Normal 5 5 2 3 2 3 5" xfId="16676" xr:uid="{2B9A8F69-1ECA-41E3-BD61-796B23773C23}"/>
    <cellStyle name="Normal 5 5 2 3 2 4" xfId="6025" xr:uid="{FE446DA6-D06C-4DDB-A70B-A660F8B35E99}"/>
    <cellStyle name="Normal 5 5 2 3 2 4 2" xfId="28540" xr:uid="{4ADA7BED-3595-4230-9E32-77C96B340840}"/>
    <cellStyle name="Normal 5 5 2 3 2 4 3" xfId="15478" xr:uid="{922D9B3A-8BA9-4F2D-B188-27D4F991D461}"/>
    <cellStyle name="Normal 5 5 2 3 2 5" xfId="7931" xr:uid="{4A30BBEF-0CAE-4BE1-98FA-ED028CD2610C}"/>
    <cellStyle name="Normal 5 5 2 3 2 5 2" xfId="18311" xr:uid="{AD1F875A-F420-4F90-A14F-908D448EE071}"/>
    <cellStyle name="Normal 5 5 2 3 2 6" xfId="10764" xr:uid="{F29C2DCF-40EE-4411-B19B-1BF0F5270DDF}"/>
    <cellStyle name="Normal 5 5 2 3 2 6 2" xfId="21144" xr:uid="{E0EA8BB4-920A-485C-A97A-6971A878D407}"/>
    <cellStyle name="Normal 5 5 2 3 2 7" xfId="24711" xr:uid="{68A8C8ED-B556-4A33-8A4B-3798DE25C52A}"/>
    <cellStyle name="Normal 5 5 2 3 2 8" xfId="13273" xr:uid="{F2B9F6A5-3EFA-41E5-B301-1EBCC11EA36F}"/>
    <cellStyle name="Normal 5 5 2 3 3" xfId="2807" xr:uid="{00000000-0005-0000-0000-000047070000}"/>
    <cellStyle name="Normal 5 5 2 3 4" xfId="3404" xr:uid="{00000000-0005-0000-0000-000048070000}"/>
    <cellStyle name="Normal 5 5 2 3 4 2" xfId="4560" xr:uid="{0D7D5A7B-D219-43F7-814F-1DB6674AD56C}"/>
    <cellStyle name="Normal 5 5 2 3 4 2 2" xfId="9332" xr:uid="{532AA147-2732-466A-8BDC-3D39498BB9FC}"/>
    <cellStyle name="Normal 5 5 2 3 4 2 2 2" xfId="29307" xr:uid="{F2A23D7E-53B9-4A98-9A05-7D8C70CCEDE6}"/>
    <cellStyle name="Normal 5 5 2 3 4 2 2 3" xfId="19712" xr:uid="{7214BEDC-84AD-4F43-8C13-765C856447D5}"/>
    <cellStyle name="Normal 5 5 2 3 4 2 3" xfId="12165" xr:uid="{3C137FF7-E0D9-4A21-9156-761BE2A53BA8}"/>
    <cellStyle name="Normal 5 5 2 3 4 2 3 2" xfId="22545" xr:uid="{EAD0D8A6-6B3F-42CE-9BE8-939A31D1EF32}"/>
    <cellStyle name="Normal 5 5 2 3 4 2 4" xfId="24287" xr:uid="{3CFF6EAA-EDB0-499A-9796-7F66AB3210EC}"/>
    <cellStyle name="Normal 5 5 2 3 4 2 5" xfId="16879" xr:uid="{2D32F98B-B02E-4001-9DE0-3512A9204993}"/>
    <cellStyle name="Normal 5 5 2 3 4 3" xfId="6462" xr:uid="{2FB364DC-9F63-4378-A765-FFE26852EFA1}"/>
    <cellStyle name="Normal 5 5 2 3 4 3 2" xfId="28507" xr:uid="{E46FEC19-25A8-41D1-9E9E-F837B82D817F}"/>
    <cellStyle name="Normal 5 5 2 3 4 3 3" xfId="16031" xr:uid="{6B1741DC-DD47-4366-A77A-6C91FB96F7E8}"/>
    <cellStyle name="Normal 5 5 2 3 4 4" xfId="8484" xr:uid="{26F589C5-8AA2-46F8-8D30-0C3957415999}"/>
    <cellStyle name="Normal 5 5 2 3 4 4 2" xfId="18864" xr:uid="{C2F0E494-D165-447D-9C73-A07C3E213218}"/>
    <cellStyle name="Normal 5 5 2 3 4 5" xfId="11317" xr:uid="{F1100F0A-5524-485F-97EF-198837DD2B12}"/>
    <cellStyle name="Normal 5 5 2 3 4 5 2" xfId="21697" xr:uid="{C2512AFB-C13F-4200-BFD6-460666FE85D9}"/>
    <cellStyle name="Normal 5 5 2 3 4 6" xfId="25460" xr:uid="{39A89928-82E4-42AA-AACE-414D949F0D52}"/>
    <cellStyle name="Normal 5 5 2 3 4 7" xfId="13974" xr:uid="{B931D6F4-09D9-4878-AA4E-83C74FEEC357}"/>
    <cellStyle name="Normal 5 5 2 3 5" xfId="2602" xr:uid="{00000000-0005-0000-0000-000049070000}"/>
    <cellStyle name="Normal 5 5 2 3 5 2" xfId="5867" xr:uid="{8CA84A59-3D12-4140-B704-810F7F8BB9B5}"/>
    <cellStyle name="Normal 5 5 2 3 5 2 2" xfId="27678" xr:uid="{B34AA183-AF95-4421-BD12-6CA45FD1F7EC}"/>
    <cellStyle name="Normal 5 5 2 3 5 2 3" xfId="15274" xr:uid="{8D3D921D-3627-4DBB-8190-3285C2924F5C}"/>
    <cellStyle name="Normal 5 5 2 3 5 3" xfId="7727" xr:uid="{3683B3FC-E6CD-4740-9AA9-5A4F8BE774F9}"/>
    <cellStyle name="Normal 5 5 2 3 5 3 2" xfId="18107" xr:uid="{E734DFCF-DE69-49E3-B3CB-38185BB03C8F}"/>
    <cellStyle name="Normal 5 5 2 3 5 4" xfId="10560" xr:uid="{1C724209-78D5-484E-A28F-699333AF832B}"/>
    <cellStyle name="Normal 5 5 2 3 5 4 2" xfId="20940" xr:uid="{7E771965-5606-45B5-B080-F4AC3DA3A46B}"/>
    <cellStyle name="Normal 5 5 2 3 5 5" xfId="22951" xr:uid="{05A09500-D41E-4758-B579-BAC8258145FF}"/>
    <cellStyle name="Normal 5 5 2 3 5 6" xfId="12990" xr:uid="{2B788BB1-C6D6-4797-9F95-7985B9F54858}"/>
    <cellStyle name="Normal 5 5 2 4" xfId="1196" xr:uid="{00000000-0005-0000-0000-000072060000}"/>
    <cellStyle name="Normal 5 5 2 4 10" xfId="12615" xr:uid="{AED3A222-BE3F-43A8-A2CD-B3B6A7D3D31F}"/>
    <cellStyle name="Normal 5 5 2 4 2" xfId="2423" xr:uid="{00000000-0005-0000-0000-00004B070000}"/>
    <cellStyle name="Normal 5 5 2 4 2 2" xfId="2965" xr:uid="{00000000-0005-0000-0000-00004C070000}"/>
    <cellStyle name="Normal 5 5 2 4 2 2 2" xfId="6130" xr:uid="{B3F3E835-BA36-4B91-ACB6-07FE4F08BDFA}"/>
    <cellStyle name="Normal 5 5 2 4 2 2 2 2" xfId="28455" xr:uid="{9415BD04-6CBF-4AD5-925A-00197043B54D}"/>
    <cellStyle name="Normal 5 5 2 4 2 2 2 3" xfId="15608" xr:uid="{F82E2E44-F54D-4AE3-8704-A3D143665C0F}"/>
    <cellStyle name="Normal 5 5 2 4 2 2 3" xfId="8061" xr:uid="{D09C5622-EC48-4741-84A2-E66803103994}"/>
    <cellStyle name="Normal 5 5 2 4 2 2 3 2" xfId="18441" xr:uid="{376970FA-94EC-46ED-8FD2-69263C98A43F}"/>
    <cellStyle name="Normal 5 5 2 4 2 2 4" xfId="10894" xr:uid="{3E796100-E2F8-4174-82A4-99B0D96B7952}"/>
    <cellStyle name="Normal 5 5 2 4 2 2 4 2" xfId="21274" xr:uid="{0570EA1B-E07A-4F0D-A53F-E28CC566A038}"/>
    <cellStyle name="Normal 5 5 2 4 2 2 5" xfId="24658" xr:uid="{4DB03E19-2133-4F4A-8F72-10283576C025}"/>
    <cellStyle name="Normal 5 5 2 4 2 2 6" xfId="13471" xr:uid="{67250B66-8465-45F2-98BA-878749E54BD2}"/>
    <cellStyle name="Normal 5 5 2 4 2 3" xfId="5723" xr:uid="{44EF2934-2F80-47C0-9F33-1624D1649667}"/>
    <cellStyle name="Normal 5 5 2 4 2 3 2" xfId="27462" xr:uid="{7C929BAF-0485-40A0-AAFD-610B3F638FC8}"/>
    <cellStyle name="Normal 5 5 2 4 2 3 3" xfId="27183" xr:uid="{43ACC9D2-DA91-4B56-A4FB-F4488E58E4D4}"/>
    <cellStyle name="Normal 5 5 2 4 2 3 4" xfId="15097" xr:uid="{DA1AFAD7-ED03-45FD-82C0-FA804A0F63C8}"/>
    <cellStyle name="Normal 5 5 2 4 2 4" xfId="7550" xr:uid="{C5938237-BB39-457E-B136-B74CE64AC8EE}"/>
    <cellStyle name="Normal 5 5 2 4 2 4 2" xfId="28244" xr:uid="{C3A8557A-288D-40CB-8222-F57CCE20C34D}"/>
    <cellStyle name="Normal 5 5 2 4 2 4 3" xfId="17930" xr:uid="{065ED13D-6CFC-495C-AE7E-FE30859530A2}"/>
    <cellStyle name="Normal 5 5 2 4 2 5" xfId="10383" xr:uid="{9FC2122C-CA08-4247-8CD6-E1A221A8F818}"/>
    <cellStyle name="Normal 5 5 2 4 2 5 2" xfId="20763" xr:uid="{69806764-73CF-4D07-A782-39DD33E4AE43}"/>
    <cellStyle name="Normal 5 5 2 4 2 6" xfId="23772" xr:uid="{62729883-A282-4377-BD03-E0865EC4662F}"/>
    <cellStyle name="Normal 5 5 2 4 2 7" xfId="12773" xr:uid="{2A5C010A-51B8-4FC5-BC6F-64208D94E644}"/>
    <cellStyle name="Normal 5 5 2 4 3" xfId="2809" xr:uid="{00000000-0005-0000-0000-00004D070000}"/>
    <cellStyle name="Normal 5 5 2 4 3 2" xfId="6026" xr:uid="{FBE50FBE-3A2C-4A7D-88F9-5A6E0D77A724}"/>
    <cellStyle name="Normal 5 5 2 4 3 2 2" xfId="27871" xr:uid="{32C14809-69F7-4F3A-93CD-41800AE5CD54}"/>
    <cellStyle name="Normal 5 5 2 4 3 2 3" xfId="15479" xr:uid="{4C6DCDF4-F18D-4F3F-9976-324B24CBB7F6}"/>
    <cellStyle name="Normal 5 5 2 4 3 3" xfId="7932" xr:uid="{DB16F39B-ABC6-4E92-B34F-D70FA568089F}"/>
    <cellStyle name="Normal 5 5 2 4 3 3 2" xfId="18312" xr:uid="{BE68AA58-EBE5-4C97-936D-B092D26CD059}"/>
    <cellStyle name="Normal 5 5 2 4 3 4" xfId="10765" xr:uid="{FDB41842-2E59-4D59-99C5-80FBBF7FF983}"/>
    <cellStyle name="Normal 5 5 2 4 3 4 2" xfId="21145" xr:uid="{D18DB3D3-5D22-405E-93D5-0F4D155FF206}"/>
    <cellStyle name="Normal 5 5 2 4 3 5" xfId="25479" xr:uid="{83EE6245-E592-4831-9006-F21D196F58CC}"/>
    <cellStyle name="Normal 5 5 2 4 3 6" xfId="13274" xr:uid="{E5A40150-443A-4202-A762-0D460E5016B9}"/>
    <cellStyle name="Normal 5 5 2 4 4" xfId="2381" xr:uid="{00000000-0005-0000-0000-00004A070000}"/>
    <cellStyle name="Normal 5 5 2 4 4 2" xfId="7508" xr:uid="{FFDDCE91-1D08-43C2-934F-A882706053FB}"/>
    <cellStyle name="Normal 5 5 2 4 4 2 2" xfId="28635" xr:uid="{24930D2C-219D-4311-B392-9B6E8F098307}"/>
    <cellStyle name="Normal 5 5 2 4 4 2 3" xfId="17888" xr:uid="{8622FF66-B01B-4F1A-8F89-95BC46CC0386}"/>
    <cellStyle name="Normal 5 5 2 4 4 3" xfId="10341" xr:uid="{E90C3D35-6568-44B0-9985-3528F324CF10}"/>
    <cellStyle name="Normal 5 5 2 4 4 3 2" xfId="20721" xr:uid="{6F5A0F75-87B6-4F68-9D74-C2F4475F3C38}"/>
    <cellStyle name="Normal 5 5 2 4 4 4" xfId="23955" xr:uid="{B2D872B9-4242-48A8-8273-1F20FEDEB6E7}"/>
    <cellStyle name="Normal 5 5 2 4 4 5" xfId="15055" xr:uid="{138935BD-B8EE-4D60-B335-9F500E2C10C4}"/>
    <cellStyle name="Normal 5 5 2 4 5" xfId="4024" xr:uid="{671DDBE0-1E03-455F-BE11-51E48C0C8972}"/>
    <cellStyle name="Normal 5 5 2 4 5 2" xfId="8826" xr:uid="{B81C1E26-8004-4416-B432-D718C45A0979}"/>
    <cellStyle name="Normal 5 5 2 4 5 2 2" xfId="19206" xr:uid="{C70BC956-E42F-454D-B624-C6FCD21A8531}"/>
    <cellStyle name="Normal 5 5 2 4 5 3" xfId="11659" xr:uid="{2624B5EC-A761-408F-9526-438B9BA344BD}"/>
    <cellStyle name="Normal 5 5 2 4 5 3 2" xfId="22039" xr:uid="{BF0A99E9-F76A-41FC-8250-C321BA06386B}"/>
    <cellStyle name="Normal 5 5 2 4 5 4" xfId="25972" xr:uid="{7544DCCB-3EAA-45FC-BCB7-130CCA7CAECC}"/>
    <cellStyle name="Normal 5 5 2 4 5 5" xfId="16373" xr:uid="{8A667B9E-E4F8-443E-9D44-380166ACEB80}"/>
    <cellStyle name="Normal 5 5 2 4 6" xfId="5353" xr:uid="{A82351A2-39FF-417B-B3B0-9483C0F67AB8}"/>
    <cellStyle name="Normal 5 5 2 4 6 2" xfId="14652" xr:uid="{95FF415D-37D2-45D4-BF99-3FC362DD4F5C}"/>
    <cellStyle name="Normal 5 5 2 4 6 3" xfId="30245" xr:uid="{757E9667-D7CA-4321-8B3C-80C63E9D4D1E}"/>
    <cellStyle name="Normal 5 5 2 4 6 4" xfId="30645" xr:uid="{42AC4B6D-ED67-4BC7-B316-ED8F91F85B89}"/>
    <cellStyle name="Normal 5 5 2 4 7" xfId="7105" xr:uid="{244CAE16-D26C-4590-AB54-46B9FAFCFA5B}"/>
    <cellStyle name="Normal 5 5 2 4 7 2" xfId="17485" xr:uid="{82989ACA-8AA6-404C-AD12-B4FA8B9BEFFF}"/>
    <cellStyle name="Normal 5 5 2 4 8" xfId="9938" xr:uid="{6EB0AB2B-3B8C-4C8A-B176-4EECBEBDD1DB}"/>
    <cellStyle name="Normal 5 5 2 4 8 2" xfId="20318" xr:uid="{FF0B0700-2C81-48D2-B3E7-97DDEB03F8F1}"/>
    <cellStyle name="Normal 5 5 2 4 9" xfId="22960" xr:uid="{C2B43556-5293-486B-81DB-B96B19651364}"/>
    <cellStyle name="Normal 5 5 2 5" xfId="1197" xr:uid="{00000000-0005-0000-0000-000073060000}"/>
    <cellStyle name="Normal 5 5 2 5 2" xfId="1198" xr:uid="{00000000-0005-0000-0000-000074060000}"/>
    <cellStyle name="Normal 5 5 2 5 2 2" xfId="7106" xr:uid="{97E7EDD7-21E0-4126-95E3-3D5BD3FF3425}"/>
    <cellStyle name="Normal 5 5 2 5 2 2 2" xfId="28450" xr:uid="{9C440D20-8335-4D3E-88FB-87C4C2F61B76}"/>
    <cellStyle name="Normal 5 5 2 5 2 2 3" xfId="28664" xr:uid="{5E38FB1F-1E9F-4190-8FC2-B039CB915A94}"/>
    <cellStyle name="Normal 5 5 2 5 2 2 4" xfId="17486" xr:uid="{937FDCC8-F30E-4761-A048-6556407477F4}"/>
    <cellStyle name="Normal 5 5 2 5 2 3" xfId="9939" xr:uid="{9CA1C17F-3392-45DB-B2DA-0490BDC17265}"/>
    <cellStyle name="Normal 5 5 2 5 2 3 2" xfId="29434" xr:uid="{E3E74FB9-EC5A-437C-8C55-0A8160E9C3AE}"/>
    <cellStyle name="Normal 5 5 2 5 2 3 3" xfId="20319" xr:uid="{B4EABE79-2C23-4200-92C3-772C5DD0F6FE}"/>
    <cellStyle name="Normal 5 5 2 5 2 3 4" xfId="30620" xr:uid="{6DB45465-2289-40D7-88C6-D9008DF5CD4A}"/>
    <cellStyle name="Normal 5 5 2 5 2 4" xfId="23355" xr:uid="{EDD01117-1EC6-4A4C-8E8E-423BA0D6A18F}"/>
    <cellStyle name="Normal 5 5 2 5 2 5" xfId="14653" xr:uid="{4D88578B-E63F-48DA-ABF5-4353C5517A4B}"/>
    <cellStyle name="Normal 5 5 2 5 2 6" xfId="30431" xr:uid="{10D39712-35F0-4A40-8175-C206EBC2E7C8}"/>
    <cellStyle name="Normal 5 5 2 5 3" xfId="25918" xr:uid="{03506BAC-CF3B-4C18-AC04-9342DA125D85}"/>
    <cellStyle name="Normal 5 5 2 5 4" xfId="26441" xr:uid="{4E93CD67-1F3F-481C-A7B7-34C0833E5964}"/>
    <cellStyle name="Normal 5 5 2 6" xfId="1199" xr:uid="{00000000-0005-0000-0000-000075060000}"/>
    <cellStyle name="Normal 5 5 2 6 2" xfId="4561" xr:uid="{8276A7AA-FCB1-47CA-A2FC-9B2BCF877972}"/>
    <cellStyle name="Normal 5 5 2 6 2 2" xfId="9333" xr:uid="{26B080D8-BD5E-4EB4-B4AD-CA46C053269B}"/>
    <cellStyle name="Normal 5 5 2 6 2 2 2" xfId="29308" xr:uid="{89DA6ECB-CA1B-4528-A6EE-61F83A43E277}"/>
    <cellStyle name="Normal 5 5 2 6 2 2 3" xfId="19713" xr:uid="{E48EA0F4-AEE7-47B7-B745-03148457C410}"/>
    <cellStyle name="Normal 5 5 2 6 2 3" xfId="12166" xr:uid="{B02950FD-D99E-4032-8B6D-C1E52231EBBE}"/>
    <cellStyle name="Normal 5 5 2 6 2 3 2" xfId="22546" xr:uid="{D95FF548-C712-4EDA-87D3-4349A22F88AE}"/>
    <cellStyle name="Normal 5 5 2 6 2 4" xfId="25715" xr:uid="{84929477-A5FB-4928-8C8D-294C583229ED}"/>
    <cellStyle name="Normal 5 5 2 6 2 5" xfId="16880" xr:uid="{C6F78005-0801-42E2-8376-0D908C22C004}"/>
    <cellStyle name="Normal 5 5 2 6 3" xfId="5354" xr:uid="{48A05F60-D4F2-4B83-B613-2CBC6165E5E1}"/>
    <cellStyle name="Normal 5 5 2 6 3 2" xfId="24892" xr:uid="{0D175454-90D3-4CCA-9686-E97CDB9F5A71}"/>
    <cellStyle name="Normal 5 5 2 6 3 3" xfId="26260" xr:uid="{4269AF45-0528-4BA6-927E-86318ACA96EF}"/>
    <cellStyle name="Normal 5 5 2 6 3 4" xfId="14654" xr:uid="{156AF628-997C-400E-9E3F-57A7B7BF5540}"/>
    <cellStyle name="Normal 5 5 2 6 4" xfId="7107" xr:uid="{0E8AAE1D-A365-43C3-B203-FC032C2FE87E}"/>
    <cellStyle name="Normal 5 5 2 6 4 2" xfId="23400" xr:uid="{E108A015-D190-4F73-A0FD-23706EB998F0}"/>
    <cellStyle name="Normal 5 5 2 6 4 3" xfId="26896" xr:uid="{8EC1E2B5-2905-4409-94C2-CBDDCF0CA440}"/>
    <cellStyle name="Normal 5 5 2 6 4 4" xfId="17487" xr:uid="{3CE4B350-E43D-4D98-B40C-ECB2F93E90D8}"/>
    <cellStyle name="Normal 5 5 2 6 5" xfId="9940" xr:uid="{F113A67F-F1DD-404B-B548-F58CC9F81B59}"/>
    <cellStyle name="Normal 5 5 2 6 5 2" xfId="29435" xr:uid="{2FBE9848-5F1D-494C-84D3-0A9E19001BDA}"/>
    <cellStyle name="Normal 5 5 2 6 5 3" xfId="20320" xr:uid="{1CA482B6-D8C4-4700-A7A8-C4E1FC788323}"/>
    <cellStyle name="Normal 5 5 2 6 6" xfId="24376" xr:uid="{807D5AF4-B7E8-4DCD-8E55-EFD02053F92B}"/>
    <cellStyle name="Normal 5 5 2 6 7" xfId="13975" xr:uid="{F0460784-2F26-41EE-A4DE-BBD8C6CFE42B}"/>
    <cellStyle name="Normal 5 5 2 7" xfId="1200" xr:uid="{00000000-0005-0000-0000-000076060000}"/>
    <cellStyle name="Normal 5 5 2 7 2" xfId="2499" xr:uid="{00000000-0005-0000-0000-000050070000}"/>
    <cellStyle name="Normal 5 5 2 7 2 2" xfId="7624" xr:uid="{F6DD768C-D942-44DD-8091-01DABA0D6258}"/>
    <cellStyle name="Normal 5 5 2 7 2 2 2" xfId="18004" xr:uid="{90D7B603-8C02-4E3A-BF09-F12C3E8CF518}"/>
    <cellStyle name="Normal 5 5 2 7 2 3" xfId="10457" xr:uid="{5235CB24-28B3-40B9-ABD0-15133B835454}"/>
    <cellStyle name="Normal 5 5 2 7 2 3 2" xfId="20837" xr:uid="{5E4DF5BD-93A5-4C49-8A6F-7A526D59B968}"/>
    <cellStyle name="Normal 5 5 2 7 2 4" xfId="26901" xr:uid="{DD12FBF8-136E-4165-B3E5-887D9666185B}"/>
    <cellStyle name="Normal 5 5 2 7 2 5" xfId="15171" xr:uid="{DA4640D9-0BBA-4F23-83D5-D34CF3C3C93A}"/>
    <cellStyle name="Normal 5 5 2 7 3" xfId="2045" xr:uid="{00000000-0005-0000-0000-000076060000}"/>
    <cellStyle name="Normal 5 5 2 7 4" xfId="5355" xr:uid="{F5340E53-A44D-4D2F-8268-301B091803A6}"/>
    <cellStyle name="Normal 5 5 2 7 5" xfId="23655" xr:uid="{93B7D103-7087-4DB4-9D26-26B54F67F15C}"/>
    <cellStyle name="Normal 5 5 2 7 6" xfId="12887" xr:uid="{8BDE6A8E-2D51-4457-B797-A8744BEBBFE7}"/>
    <cellStyle name="Normal 5 5 2 8" xfId="2193" xr:uid="{00000000-0005-0000-0000-000036070000}"/>
    <cellStyle name="Normal 5 5 2 8 2" xfId="7320" xr:uid="{0B26B70C-4DCF-4138-82A2-9510C55056CD}"/>
    <cellStyle name="Normal 5 5 2 8 2 2" xfId="27815" xr:uid="{E268D4D9-8759-4BBE-813E-EC462AB9B798}"/>
    <cellStyle name="Normal 5 5 2 8 2 3" xfId="17700" xr:uid="{E00D0AF2-A52D-4FA2-B48A-62B32F6E3F31}"/>
    <cellStyle name="Normal 5 5 2 8 3" xfId="10153" xr:uid="{A8CF45FA-E702-4ABE-96E7-CB68EABB0CE0}"/>
    <cellStyle name="Normal 5 5 2 8 3 2" xfId="20533" xr:uid="{7CF810AE-1252-45AF-9684-D485DE33027F}"/>
    <cellStyle name="Normal 5 5 2 8 4" xfId="22659" xr:uid="{DE67F111-557B-4B89-AD5E-298F50D38034}"/>
    <cellStyle name="Normal 5 5 2 8 5" xfId="14867" xr:uid="{127FABBD-2796-4667-BEAC-DB9CE5AFA8A4}"/>
    <cellStyle name="Normal 5 5 2 9" xfId="23846" xr:uid="{40AEA223-EE62-4E81-96A5-CE8A1908C6D7}"/>
    <cellStyle name="Normal 5 5 2 9 2" xfId="27746" xr:uid="{33B68088-4913-4D7D-813C-D3BC979A5584}"/>
    <cellStyle name="Normal 5 5 20" xfId="12402" xr:uid="{920A1E59-9943-4B33-9F4E-A937B5EE0288}"/>
    <cellStyle name="Normal 5 5 3" xfId="1201" xr:uid="{00000000-0005-0000-0000-000077060000}"/>
    <cellStyle name="Normal 5 5 3 10" xfId="5356" xr:uid="{456F42B0-FDC7-4AC1-BF57-5FBB34825683}"/>
    <cellStyle name="Normal 5 5 3 10 2" xfId="14655" xr:uid="{441A91CA-3B39-4BA2-AA58-911CFE58C0A5}"/>
    <cellStyle name="Normal 5 5 3 11" xfId="7108" xr:uid="{EF7E2884-25DF-4A8A-A804-658FBB21938B}"/>
    <cellStyle name="Normal 5 5 3 11 2" xfId="17488" xr:uid="{F824BE7B-647E-4157-8A69-ED1C21686BC8}"/>
    <cellStyle name="Normal 5 5 3 12" xfId="9941" xr:uid="{B34500C8-B836-41E2-AD32-424C131619F8}"/>
    <cellStyle name="Normal 5 5 3 12 2" xfId="20321" xr:uid="{733F732C-4E98-48F5-B6C2-9689D3022AB3}"/>
    <cellStyle name="Normal 5 5 3 13" xfId="22726" xr:uid="{89692063-D300-45F6-B4DC-8E88388DEB01}"/>
    <cellStyle name="Normal 5 5 3 14" xfId="12462" xr:uid="{562B8F56-0E4A-4E6C-8539-89AD4E39A53D}"/>
    <cellStyle name="Normal 5 5 3 2" xfId="1202" xr:uid="{00000000-0005-0000-0000-000078060000}"/>
    <cellStyle name="Normal 5 5 3 2 10" xfId="9942" xr:uid="{DE90DB23-472F-4DC9-A5D2-E5919C07C289}"/>
    <cellStyle name="Normal 5 5 3 2 10 2" xfId="20322" xr:uid="{C4791485-6491-4A49-966F-A1C9A5D60886}"/>
    <cellStyle name="Normal 5 5 3 2 11" xfId="25058" xr:uid="{9A9F5825-F7A1-40C8-884A-0810AB39EC49}"/>
    <cellStyle name="Normal 5 5 3 2 12" xfId="12616" xr:uid="{7B3EAB81-9AA6-45ED-BF74-895E9A45F7DD}"/>
    <cellStyle name="Normal 5 5 3 2 2" xfId="1203" xr:uid="{00000000-0005-0000-0000-000079060000}"/>
    <cellStyle name="Normal 5 5 3 2 2 2" xfId="3406" xr:uid="{00000000-0005-0000-0000-000054070000}"/>
    <cellStyle name="Normal 5 5 3 2 2 2 2" xfId="6464" xr:uid="{E7480105-5EAA-4C05-A2ED-3E56FF7B07CA}"/>
    <cellStyle name="Normal 5 5 3 2 2 2 2 2" xfId="23389" xr:uid="{6579C5EA-03C2-4905-B2BA-7833C0650A2B}"/>
    <cellStyle name="Normal 5 5 3 2 2 2 2 3" xfId="26320" xr:uid="{37963100-8C4D-410D-B498-49A715F12F1D}"/>
    <cellStyle name="Normal 5 5 3 2 2 2 2 4" xfId="16033" xr:uid="{FC7CE297-E9C4-4E8A-B384-05A6F590E174}"/>
    <cellStyle name="Normal 5 5 3 2 2 2 3" xfId="8486" xr:uid="{9AF4C769-BD12-40D0-B2E5-0DC6FE7BE2AF}"/>
    <cellStyle name="Normal 5 5 3 2 2 2 3 2" xfId="28927" xr:uid="{ACC4B4DE-6F13-48E4-A7C2-ECE1897621B6}"/>
    <cellStyle name="Normal 5 5 3 2 2 2 3 3" xfId="18866" xr:uid="{84DAEF44-DD59-4291-8A39-7AFA1E1F2D1F}"/>
    <cellStyle name="Normal 5 5 3 2 2 2 4" xfId="11319" xr:uid="{567F539D-50B3-4A0A-B7FC-FF3B4D65DA84}"/>
    <cellStyle name="Normal 5 5 3 2 2 2 4 2" xfId="21699" xr:uid="{0EEA066B-8DEF-4345-9D16-51A79A369543}"/>
    <cellStyle name="Normal 5 5 3 2 2 2 5" xfId="24617" xr:uid="{1CE574AF-A5D1-4C5D-BB44-1EC9C5DC51BF}"/>
    <cellStyle name="Normal 5 5 3 2 2 2 6" xfId="13977" xr:uid="{3FFD0F32-1A53-44CA-AC5C-BAB75559B350}"/>
    <cellStyle name="Normal 5 5 3 2 2 3" xfId="4358" xr:uid="{FB5DED6F-4E9F-4956-9132-D1667660322F}"/>
    <cellStyle name="Normal 5 5 3 2 2 3 2" xfId="9130" xr:uid="{0336DB82-CC40-493F-BC7E-EE05B074DF04}"/>
    <cellStyle name="Normal 5 5 3 2 2 3 2 2" xfId="29173" xr:uid="{E0FFC622-6B59-4190-9CE5-A67BE75EC397}"/>
    <cellStyle name="Normal 5 5 3 2 2 3 2 3" xfId="19510" xr:uid="{1C958440-B193-46F0-A017-757FDC6D7615}"/>
    <cellStyle name="Normal 5 5 3 2 2 3 3" xfId="11963" xr:uid="{977EA646-38CD-4B57-97EF-3A5979880242}"/>
    <cellStyle name="Normal 5 5 3 2 2 3 3 2" xfId="22343" xr:uid="{25360484-7FFB-4510-BF26-7D34387ACCB5}"/>
    <cellStyle name="Normal 5 5 3 2 2 3 4" xfId="24250" xr:uid="{3C11B2F3-CF59-4548-92C9-65A7D46AECD7}"/>
    <cellStyle name="Normal 5 5 3 2 2 3 5" xfId="16677" xr:uid="{AAEE34BC-3EED-400E-9F06-1A306FDEEFE9}"/>
    <cellStyle name="Normal 5 5 3 2 2 4" xfId="5358" xr:uid="{E10F6EAE-CF96-47EC-B8B5-09B95CEA86F6}"/>
    <cellStyle name="Normal 5 5 3 2 2 4 2" xfId="26892" xr:uid="{FE0D6A30-EF25-4AEA-A92B-62AD33F5EAF6}"/>
    <cellStyle name="Normal 5 5 3 2 2 4 3" xfId="14657" xr:uid="{4E45BEFB-570F-4186-A416-D136D8E352AF}"/>
    <cellStyle name="Normal 5 5 3 2 2 4 4" xfId="30594" xr:uid="{34BD2CD3-D4A8-4F53-ADDB-17A17FAAE50B}"/>
    <cellStyle name="Normal 5 5 3 2 2 5" xfId="7110" xr:uid="{C94BB74C-3A91-4292-AA77-C57413BB2FFE}"/>
    <cellStyle name="Normal 5 5 3 2 2 5 2" xfId="17490" xr:uid="{474CB33B-EC55-474B-9E3B-BFA82AE27779}"/>
    <cellStyle name="Normal 5 5 3 2 2 5 3" xfId="30281" xr:uid="{E54CDC9A-28BE-4205-9F27-4CB4BC68132E}"/>
    <cellStyle name="Normal 5 5 3 2 2 5 4" xfId="30691" xr:uid="{4D483A9D-F1FA-47D6-BF1F-BF0F4709B0C3}"/>
    <cellStyle name="Normal 5 5 3 2 2 6" xfId="9943" xr:uid="{CFB9ED34-5A32-41DC-808D-9A6C8D0576CF}"/>
    <cellStyle name="Normal 5 5 3 2 2 6 2" xfId="20323" xr:uid="{7AFC8DCF-448E-4800-A6DD-E5A62B69C8AE}"/>
    <cellStyle name="Normal 5 5 3 2 2 7" xfId="24647" xr:uid="{2D341095-51DB-4549-888B-C2BF367FF458}"/>
    <cellStyle name="Normal 5 5 3 2 2 8" xfId="13276" xr:uid="{7C41A364-1F94-4A9A-8BC8-166C83688172}"/>
    <cellStyle name="Normal 5 5 3 2 3" xfId="3407" xr:uid="{00000000-0005-0000-0000-000055070000}"/>
    <cellStyle name="Normal 5 5 3 2 3 2" xfId="4562" xr:uid="{96C5086D-015E-4FAE-9905-A72298283C56}"/>
    <cellStyle name="Normal 5 5 3 2 3 2 2" xfId="9334" xr:uid="{67E26A36-11AE-4A29-8511-D1CF7B1017E6}"/>
    <cellStyle name="Normal 5 5 3 2 3 2 2 2" xfId="29309" xr:uid="{2301B72B-D34C-4C94-9787-19E5D499C880}"/>
    <cellStyle name="Normal 5 5 3 2 3 2 2 3" xfId="19714" xr:uid="{2513DD0D-2A90-4E3B-9FE3-97B1F64D3174}"/>
    <cellStyle name="Normal 5 5 3 2 3 2 3" xfId="12167" xr:uid="{C7F55786-F651-4090-BA9C-72238A0A79C0}"/>
    <cellStyle name="Normal 5 5 3 2 3 2 3 2" xfId="22547" xr:uid="{FA770A09-E417-4A45-86FE-82BDF0AA233D}"/>
    <cellStyle name="Normal 5 5 3 2 3 2 4" xfId="24811" xr:uid="{36D9B331-E89F-46A9-99B5-FF97382973F6}"/>
    <cellStyle name="Normal 5 5 3 2 3 2 5" xfId="16881" xr:uid="{66C7D573-8EE2-4B17-845F-1DABAE8BC7DD}"/>
    <cellStyle name="Normal 5 5 3 2 3 3" xfId="6465" xr:uid="{1FD35532-369E-4AB3-840A-ACBF909A72A5}"/>
    <cellStyle name="Normal 5 5 3 2 3 3 2" xfId="28194" xr:uid="{D30C6959-5345-430D-A752-898148BB14ED}"/>
    <cellStyle name="Normal 5 5 3 2 3 3 3" xfId="16034" xr:uid="{93C0DC4A-6DAE-4861-813F-86425C4D2025}"/>
    <cellStyle name="Normal 5 5 3 2 3 4" xfId="8487" xr:uid="{A5530E9A-0D96-4F24-9A3F-88C8525EC9AF}"/>
    <cellStyle name="Normal 5 5 3 2 3 4 2" xfId="18867" xr:uid="{279A18D5-39D6-414C-B5B5-55E7F5E3688E}"/>
    <cellStyle name="Normal 5 5 3 2 3 5" xfId="11320" xr:uid="{D37DD499-B0E1-442A-AD0D-311E6BF658C2}"/>
    <cellStyle name="Normal 5 5 3 2 3 5 2" xfId="21700" xr:uid="{6B4B354C-1C40-44F3-981F-BC84D7E29FDD}"/>
    <cellStyle name="Normal 5 5 3 2 3 6" xfId="24837" xr:uid="{B0830052-57BF-4E18-AD30-41EFB42E6411}"/>
    <cellStyle name="Normal 5 5 3 2 3 7" xfId="13978" xr:uid="{0FA613A5-4C8A-4372-A92D-3ADFD3F5309B}"/>
    <cellStyle name="Normal 5 5 3 2 4" xfId="3405" xr:uid="{00000000-0005-0000-0000-000056070000}"/>
    <cellStyle name="Normal 5 5 3 2 4 2" xfId="6463" xr:uid="{6AD0319A-2B02-4F43-A7CA-CF1F5D66F6C6}"/>
    <cellStyle name="Normal 5 5 3 2 4 2 2" xfId="26312" xr:uid="{64FC0928-0880-4F12-910D-F8409AED13C7}"/>
    <cellStyle name="Normal 5 5 3 2 4 2 3" xfId="16032" xr:uid="{B7FFE440-985B-4DDE-BE9D-5B472ED89F58}"/>
    <cellStyle name="Normal 5 5 3 2 4 3" xfId="8485" xr:uid="{A69A791C-AB5B-4926-A7BE-B01584419CC5}"/>
    <cellStyle name="Normal 5 5 3 2 4 3 2" xfId="18865" xr:uid="{5CAB69D4-3924-43E2-AAD0-4D6D537F719E}"/>
    <cellStyle name="Normal 5 5 3 2 4 4" xfId="11318" xr:uid="{A5E9B1CF-1A40-498B-86E6-A7DECA86D90F}"/>
    <cellStyle name="Normal 5 5 3 2 4 4 2" xfId="21698" xr:uid="{DA84A1A8-FF62-425D-8C74-9ED688C7B60E}"/>
    <cellStyle name="Normal 5 5 3 2 4 5" xfId="22943" xr:uid="{7551C835-94D9-4F61-A96C-043AFA60FC17}"/>
    <cellStyle name="Normal 5 5 3 2 4 6" xfId="13976" xr:uid="{03F6B80B-08D9-42D3-9DAB-61F864FAB0AE}"/>
    <cellStyle name="Normal 5 5 3 2 5" xfId="2536" xr:uid="{00000000-0005-0000-0000-000057070000}"/>
    <cellStyle name="Normal 5 5 3 2 5 2" xfId="5810" xr:uid="{500B84B4-4BD6-40EC-B25F-D91D2E1043D4}"/>
    <cellStyle name="Normal 5 5 3 2 5 2 2" xfId="26671" xr:uid="{E6D078C9-632B-43F1-A3AC-B26C6B25179A}"/>
    <cellStyle name="Normal 5 5 3 2 5 2 3" xfId="15208" xr:uid="{41FF0603-86C9-4377-B7A6-C58C594710EF}"/>
    <cellStyle name="Normal 5 5 3 2 5 3" xfId="7661" xr:uid="{80C12635-07E8-47F0-B942-36FDC8730632}"/>
    <cellStyle name="Normal 5 5 3 2 5 3 2" xfId="18041" xr:uid="{2C2326AA-B804-4D76-8EE4-123E77EB0105}"/>
    <cellStyle name="Normal 5 5 3 2 5 4" xfId="10494" xr:uid="{4FF09B1C-BF97-42E2-83B5-164182CBFD53}"/>
    <cellStyle name="Normal 5 5 3 2 5 4 2" xfId="20874" xr:uid="{EA39CCBD-998A-439C-AE02-AA411518653E}"/>
    <cellStyle name="Normal 5 5 3 2 5 5" xfId="25350" xr:uid="{59804BE7-6A98-4DB5-B089-960749C03A29}"/>
    <cellStyle name="Normal 5 5 3 2 5 6" xfId="12924" xr:uid="{868AAC3C-8BDE-441D-89CD-5C0006590111}"/>
    <cellStyle name="Normal 5 5 3 2 6" xfId="2382" xr:uid="{00000000-0005-0000-0000-000052070000}"/>
    <cellStyle name="Normal 5 5 3 2 6 2" xfId="7509" xr:uid="{3B6FD838-14E4-47AD-997E-3E4DFF3F2F0B}"/>
    <cellStyle name="Normal 5 5 3 2 6 2 2" xfId="17889" xr:uid="{FF39B6F9-D48C-47CA-9CE1-CD39F3ADAACE}"/>
    <cellStyle name="Normal 5 5 3 2 6 3" xfId="10342" xr:uid="{888701D3-A9B4-48AA-A63C-F78B98915BC4}"/>
    <cellStyle name="Normal 5 5 3 2 6 3 2" xfId="20722" xr:uid="{61EF9B68-5ECC-450A-8272-4F37A8E36E5B}"/>
    <cellStyle name="Normal 5 5 3 2 6 4" xfId="24281" xr:uid="{C27F0CDF-44CB-474F-A9F5-0AC3000892C5}"/>
    <cellStyle name="Normal 5 5 3 2 6 5" xfId="15056" xr:uid="{392F7F30-BB58-4266-A5F3-C322E9BBC5D2}"/>
    <cellStyle name="Normal 5 5 3 2 7" xfId="4026" xr:uid="{63312030-2A9C-4663-932E-5577FE4A2569}"/>
    <cellStyle name="Normal 5 5 3 2 7 2" xfId="8828" xr:uid="{0FF64E3B-7133-4B9C-B3AF-E9854E5E05A5}"/>
    <cellStyle name="Normal 5 5 3 2 7 2 2" xfId="19208" xr:uid="{2CD57BE4-4EAA-4E3F-8BA7-646E49DAF5E0}"/>
    <cellStyle name="Normal 5 5 3 2 7 3" xfId="11661" xr:uid="{0DC6D395-C61F-4D15-8A33-FA21F2E580ED}"/>
    <cellStyle name="Normal 5 5 3 2 7 3 2" xfId="22041" xr:uid="{681AE0DD-A4E1-4F91-A10A-910FADDFFA77}"/>
    <cellStyle name="Normal 5 5 3 2 7 4" xfId="16375" xr:uid="{F4204DCC-0442-4B9C-882A-849C449A92F8}"/>
    <cellStyle name="Normal 5 5 3 2 8" xfId="5357" xr:uid="{04CE837C-8658-4066-93F6-8BAC67C35461}"/>
    <cellStyle name="Normal 5 5 3 2 8 2" xfId="14656" xr:uid="{877BA591-1D54-445F-B6E7-C9D19D52FCAB}"/>
    <cellStyle name="Normal 5 5 3 2 9" xfId="7109" xr:uid="{3970AA2A-4BDF-44C1-951A-08748FE8E826}"/>
    <cellStyle name="Normal 5 5 3 2 9 2" xfId="17489"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10" xr:uid="{00000000-0005-0000-0000-00005A070000}"/>
    <cellStyle name="Normal 5 5 3 3 2 2 2 2" xfId="8489" xr:uid="{3F5165A9-AE88-4D28-AF3C-AED347BCFFE9}"/>
    <cellStyle name="Normal 5 5 3 3 2 2 2 2 2" xfId="28929" xr:uid="{6751F41C-4C44-4B0C-8678-7FF823FECD9C}"/>
    <cellStyle name="Normal 5 5 3 3 2 2 2 2 3" xfId="18869" xr:uid="{0C46DD60-AE4E-4BF0-AD41-59BAB98E9C0B}"/>
    <cellStyle name="Normal 5 5 3 3 2 2 2 3" xfId="11322" xr:uid="{BA7B3DAF-AF81-4F6F-9E4C-BDEDD61C0C31}"/>
    <cellStyle name="Normal 5 5 3 3 2 2 2 3 2" xfId="21702" xr:uid="{512EC35C-8D3B-4E53-995B-0B2E4FCBBB3A}"/>
    <cellStyle name="Normal 5 5 3 3 2 2 2 4" xfId="25100" xr:uid="{B2F1F5AD-ED06-46F0-8FF2-329BAD71BA85}"/>
    <cellStyle name="Normal 5 5 3 3 2 2 2 5" xfId="16036" xr:uid="{C290D445-434F-4158-A64A-B616690A1D18}"/>
    <cellStyle name="Normal 5 5 3 3 2 2 3" xfId="3654" xr:uid="{00000000-0005-0000-0000-00007C060000}"/>
    <cellStyle name="Normal 5 5 3 3 2 2 3 2" xfId="27560" xr:uid="{D7A76E9D-6CD1-4529-BB3E-38008977B488}"/>
    <cellStyle name="Normal 5 5 3 3 2 2 3 2 2" xfId="30768" xr:uid="{CCA12D83-B65A-4C85-AD83-9552BAAB9B26}"/>
    <cellStyle name="Normal 5 5 3 3 2 2 3 3" xfId="27324" xr:uid="{1B2B0B57-551B-4195-B3B1-1771B2582615}"/>
    <cellStyle name="Normal 5 5 3 3 2 2 4" xfId="5359" xr:uid="{0E1F81C9-C0B4-4BD4-BB16-0591CD67C286}"/>
    <cellStyle name="Normal 5 5 3 3 2 2 5" xfId="24695" xr:uid="{E22B5C30-2C6B-4970-B1C3-452F3FFF52A1}"/>
    <cellStyle name="Normal 5 5 3 3 2 2 6" xfId="13980" xr:uid="{C3649F74-66E1-4FD0-90AD-33DFA58BD1ED}"/>
    <cellStyle name="Normal 5 5 3 3 2 3" xfId="3409" xr:uid="{00000000-0005-0000-0000-00005B070000}"/>
    <cellStyle name="Normal 5 5 3 3 2 4" xfId="2811" xr:uid="{00000000-0005-0000-0000-000059070000}"/>
    <cellStyle name="Normal 5 5 3 3 2 4 2" xfId="7934" xr:uid="{A73E06E4-52C6-41C2-A9DE-1360A8EF2073}"/>
    <cellStyle name="Normal 5 5 3 3 2 4 2 2" xfId="25983" xr:uid="{9746B4BB-23E3-4AB4-8C1E-54E016B185AE}"/>
    <cellStyle name="Normal 5 5 3 3 2 4 2 3" xfId="18314" xr:uid="{F60611D6-D7F6-4476-BF99-83546C07164C}"/>
    <cellStyle name="Normal 5 5 3 3 2 4 3" xfId="10767" xr:uid="{5ECCC314-0298-4800-89E5-E4554EF43160}"/>
    <cellStyle name="Normal 5 5 3 3 2 4 3 2" xfId="21147" xr:uid="{F634E57E-2ACB-4738-9EA3-6F08060C9F6A}"/>
    <cellStyle name="Normal 5 5 3 3 2 4 4" xfId="23715" xr:uid="{422C99EC-FA0C-4883-8C15-FBAB8AB12BDA}"/>
    <cellStyle name="Normal 5 5 3 3 2 4 5" xfId="15481" xr:uid="{EDDED4B6-C1B4-4E35-A1C8-B2F304C8BD40}"/>
    <cellStyle name="Normal 5 5 3 3 2 5" xfId="3745" xr:uid="{00000000-0005-0000-0000-0000E2050000}"/>
    <cellStyle name="Normal 5 5 3 3 2 5 2" xfId="3789" xr:uid="{52779A0D-A5E8-4205-873C-EAFFBE836AE9}"/>
    <cellStyle name="Normal 5 5 3 3 2 5 3" xfId="22724" xr:uid="{5EC33E70-0B4D-40F0-A6E8-EF4A4475260D}"/>
    <cellStyle name="Normal 5 5 3 3 2 5 4" xfId="23447" xr:uid="{8571319B-7759-4A87-B13E-0C7FEACCE3F9}"/>
    <cellStyle name="Normal 5 5 3 3 2 6" xfId="23174" xr:uid="{585B73B8-12BC-44A6-82F7-7D9C4E64E545}"/>
    <cellStyle name="Normal 5 5 3 3 2 6 2" xfId="29674" xr:uid="{6DC70123-303C-4943-8938-D75A63A7EF56}"/>
    <cellStyle name="Normal 5 5 3 3 2 7" xfId="13277" xr:uid="{60854C4E-F5E6-4B50-AA94-02CF9A79D755}"/>
    <cellStyle name="Normal 5 5 3 3 3" xfId="1207" xr:uid="{00000000-0005-0000-0000-00007D060000}"/>
    <cellStyle name="Normal 5 5 3 3 3 2" xfId="3411" xr:uid="{00000000-0005-0000-0000-00005C070000}"/>
    <cellStyle name="Normal 5 5 3 3 3 2 2" xfId="8490" xr:uid="{8CE330F0-3265-4F2B-AB02-47DD44B05B5A}"/>
    <cellStyle name="Normal 5 5 3 3 3 2 2 2" xfId="28930" xr:uid="{F1B2B5CC-612B-46F9-9E9B-A15690CC029B}"/>
    <cellStyle name="Normal 5 5 3 3 3 2 2 3" xfId="18870" xr:uid="{BFD8F8CD-D589-4891-83F8-7C14D35219E3}"/>
    <cellStyle name="Normal 5 5 3 3 3 2 3" xfId="11323" xr:uid="{B2C88099-1FD6-45E4-9D6C-38A61BA53D1B}"/>
    <cellStyle name="Normal 5 5 3 3 3 2 3 2" xfId="21703" xr:uid="{4B2A4E7B-AAFC-485E-B963-ED9DE0293EF0}"/>
    <cellStyle name="Normal 5 5 3 3 3 2 4" xfId="25219" xr:uid="{B8090A63-5F28-4185-8095-4F4ECF2CF9D1}"/>
    <cellStyle name="Normal 5 5 3 3 3 2 5" xfId="25637" xr:uid="{EF68925E-02A3-4EB7-A1D7-ABFE95E794DA}"/>
    <cellStyle name="Normal 5 5 3 3 3 2 6" xfId="16037" xr:uid="{FA327224-DD3D-4B58-AF68-65DB995EA5E3}"/>
    <cellStyle name="Normal 5 5 3 3 3 3" xfId="3559" xr:uid="{00000000-0005-0000-0000-00007D060000}"/>
    <cellStyle name="Normal 5 5 3 3 3 3 2" xfId="25599" xr:uid="{2B2D0F06-3883-4FBB-9729-E6CA70224720}"/>
    <cellStyle name="Normal 5 5 3 3 3 3 3" xfId="23156" xr:uid="{96AA7387-D407-4AAD-A008-F71F5F7B6C65}"/>
    <cellStyle name="Normal 5 5 3 3 3 4" xfId="4563" xr:uid="{1DD4ABF9-0AC6-4128-B006-684E9FE610C9}"/>
    <cellStyle name="Normal 5 5 3 3 3 4 2" xfId="9335" xr:uid="{0AF8BA8E-FDE7-4900-8F7D-B5B329270D40}"/>
    <cellStyle name="Normal 5 5 3 3 3 4 2 2" xfId="19715" xr:uid="{011B26BE-78F4-46EA-A2EE-F16F90DEAD00}"/>
    <cellStyle name="Normal 5 5 3 3 3 4 3" xfId="12168" xr:uid="{BA123514-4E82-4769-AFD3-99A79B6FC726}"/>
    <cellStyle name="Normal 5 5 3 3 3 4 3 2" xfId="22548" xr:uid="{487E197D-AF16-4F9E-8A92-1FE77D609998}"/>
    <cellStyle name="Normal 5 5 3 3 3 4 4" xfId="16882" xr:uid="{2FE929DC-E891-4CAA-9BE8-851030E063C4}"/>
    <cellStyle name="Normal 5 5 3 3 3 5" xfId="5360" xr:uid="{CC91ECF4-6A6D-4E86-9763-C1AB30578AAE}"/>
    <cellStyle name="Normal 5 5 3 3 3 6" xfId="23226" xr:uid="{07D2B74A-B30D-4BBA-A7E5-EB342AD9A434}"/>
    <cellStyle name="Normal 5 5 3 3 3 7" xfId="23014" xr:uid="{EEAA545C-FB53-43F8-AC33-2C773C11FF67}"/>
    <cellStyle name="Normal 5 5 3 3 3 8" xfId="13981" xr:uid="{E4637211-795C-4AB7-BFE3-8BF1E9D332EA}"/>
    <cellStyle name="Normal 5 5 3 3 4" xfId="3408" xr:uid="{00000000-0005-0000-0000-00005D070000}"/>
    <cellStyle name="Normal 5 5 3 3 4 2" xfId="6466" xr:uid="{A25B5BAC-44F2-408C-BEC0-85D4D62418DA}"/>
    <cellStyle name="Normal 5 5 3 3 4 2 2" xfId="25789" xr:uid="{192D2398-F9FF-4441-984B-C4D2551A0186}"/>
    <cellStyle name="Normal 5 5 3 3 4 2 3" xfId="26035" xr:uid="{F5FB2520-4BA7-4F5D-9D7C-1AD371AA6455}"/>
    <cellStyle name="Normal 5 5 3 3 4 2 4" xfId="16035" xr:uid="{49A6886E-F465-4B47-B6D8-FA1B4D123904}"/>
    <cellStyle name="Normal 5 5 3 3 4 3" xfId="8488" xr:uid="{6509FA01-A0EC-456E-A862-DAF49E6D20AA}"/>
    <cellStyle name="Normal 5 5 3 3 4 3 2" xfId="28928" xr:uid="{C4D81208-22B8-4018-90E0-7C9AF6EA32DF}"/>
    <cellStyle name="Normal 5 5 3 3 4 3 3" xfId="18868" xr:uid="{A8B22BD6-03F8-4DC4-A58F-AA0434136367}"/>
    <cellStyle name="Normal 5 5 3 3 4 4" xfId="11321" xr:uid="{6D331C84-8C36-4A27-AE3A-3F13C509601A}"/>
    <cellStyle name="Normal 5 5 3 3 4 4 2" xfId="21701" xr:uid="{7EE082D5-2FF2-414E-BAC4-A4CFC4A84400}"/>
    <cellStyle name="Normal 5 5 3 3 4 5" xfId="25081" xr:uid="{D6155E76-2395-4DDF-B9B2-493347F428B3}"/>
    <cellStyle name="Normal 5 5 3 3 4 6" xfId="26255" xr:uid="{7E1F3624-729A-4E27-B35B-DA8D4DBE72A3}"/>
    <cellStyle name="Normal 5 5 3 3 4 7" xfId="13979" xr:uid="{6DB07B96-4051-4092-A480-E23365CF7508}"/>
    <cellStyle name="Normal 5 5 3 3 5" xfId="2638" xr:uid="{00000000-0005-0000-0000-00005E070000}"/>
    <cellStyle name="Normal 5 5 3 3 5 2" xfId="5900" xr:uid="{186A16A8-69D8-4703-B34E-7A9DDBD16197}"/>
    <cellStyle name="Normal 5 5 3 3 5 2 2" xfId="15310" xr:uid="{B088E4D3-F857-46C0-8CFC-6124F53F86C1}"/>
    <cellStyle name="Normal 5 5 3 3 5 3" xfId="7763" xr:uid="{050DE08B-BA64-40DB-9D1D-AEF1C52A83B7}"/>
    <cellStyle name="Normal 5 5 3 3 5 3 2" xfId="18143" xr:uid="{8DF48DD9-C2EA-4C9A-8DF1-BAB4B426AF08}"/>
    <cellStyle name="Normal 5 5 3 3 5 4" xfId="10596" xr:uid="{9F692D93-A96D-468A-854F-99454616E6E8}"/>
    <cellStyle name="Normal 5 5 3 3 5 4 2" xfId="20976" xr:uid="{1DEB8ED8-0F2D-420E-96E7-28EEC59C295E}"/>
    <cellStyle name="Normal 5 5 3 3 5 5" xfId="23016" xr:uid="{5B4EE627-4904-4A06-88F3-0F60708F9BC4}"/>
    <cellStyle name="Normal 5 5 3 3 5 6" xfId="25980" xr:uid="{AD89A197-A5CB-450F-8245-D9DE37D4C38D}"/>
    <cellStyle name="Normal 5 5 3 3 5 7" xfId="13027" xr:uid="{7B6E7E67-601D-400B-BF29-11CFF4D4B6EA}"/>
    <cellStyle name="Normal 5 5 3 3 6" xfId="2125" xr:uid="{00000000-0005-0000-0000-0000AB020000}"/>
    <cellStyle name="Normal 5 5 3 3 6 2" xfId="4650" xr:uid="{39152408-330A-44B7-900D-FA6E2B529A91}"/>
    <cellStyle name="Normal 5 5 3 3 7" xfId="4027" xr:uid="{56D1BCD9-EAD7-442F-BEF3-F5DBF0F48EA4}"/>
    <cellStyle name="Normal 5 5 3 3 7 2" xfId="4756" xr:uid="{3B2AE6C9-CD41-44A4-85EB-03A4D5B5EDAD}"/>
    <cellStyle name="Normal 5 5 3 3 7 2 2" xfId="27785" xr:uid="{580A303F-6BB4-45D3-9C35-7FFFABBC7C95}"/>
    <cellStyle name="Normal 5 5 3 3 7 3" xfId="26288" xr:uid="{E0BDAE02-0061-4AD1-A851-0C0422048092}"/>
    <cellStyle name="Normal 5 5 3 3 7 4" xfId="26362" xr:uid="{2BB7C9BC-9F92-46B9-A4E8-54E7EDCFB1FE}"/>
    <cellStyle name="Normal 5 5 3 4" xfId="1208" xr:uid="{00000000-0005-0000-0000-00007E060000}"/>
    <cellStyle name="Normal 5 5 3 4 2" xfId="3412" xr:uid="{00000000-0005-0000-0000-000060070000}"/>
    <cellStyle name="Normal 5 5 3 4 2 2" xfId="6467" xr:uid="{091CA45F-1415-4786-BD74-62F2691D01A0}"/>
    <cellStyle name="Normal 5 5 3 4 2 2 2" xfId="25689" xr:uid="{D369BE46-53A2-4165-A63E-6DCF57B1B6B5}"/>
    <cellStyle name="Normal 5 5 3 4 2 2 3" xfId="16038" xr:uid="{A22DF215-B07D-4574-ACFB-178005758E72}"/>
    <cellStyle name="Normal 5 5 3 4 2 3" xfId="8491" xr:uid="{7A3C8F66-00F3-4E69-8FCE-2A1F17232FEE}"/>
    <cellStyle name="Normal 5 5 3 4 2 3 2" xfId="18871" xr:uid="{C9D05A51-96C9-44ED-A367-714CCD54E03B}"/>
    <cellStyle name="Normal 5 5 3 4 2 4" xfId="11324" xr:uid="{0BEEC87B-62C8-49C3-A718-6F4DA063F65A}"/>
    <cellStyle name="Normal 5 5 3 4 2 4 2" xfId="21704" xr:uid="{68FC661A-8C76-42A0-813F-166B20BE874E}"/>
    <cellStyle name="Normal 5 5 3 4 2 5" xfId="23339" xr:uid="{5D6AA472-3A32-4EF8-A05D-4D0479AF9BA0}"/>
    <cellStyle name="Normal 5 5 3 4 2 6" xfId="13982" xr:uid="{B9E238CB-6508-4CA3-B03E-8A79E05F87E3}"/>
    <cellStyle name="Normal 5 5 3 4 3" xfId="2810" xr:uid="{00000000-0005-0000-0000-000061070000}"/>
    <cellStyle name="Normal 5 5 3 4 3 2" xfId="6027" xr:uid="{1A84E262-5C66-4876-8988-B9C64750BC56}"/>
    <cellStyle name="Normal 5 5 3 4 3 2 2" xfId="25834" xr:uid="{75B92EC5-AA87-49FE-8CB9-5908B1535483}"/>
    <cellStyle name="Normal 5 5 3 4 3 2 3" xfId="15480" xr:uid="{C6697673-7266-4EEF-92D7-303A24FB0548}"/>
    <cellStyle name="Normal 5 5 3 4 3 3" xfId="7933" xr:uid="{0A15193D-FDFF-4EC3-A906-BC56E5F6002D}"/>
    <cellStyle name="Normal 5 5 3 4 3 3 2" xfId="18313" xr:uid="{156F1083-34F8-4A57-BB95-66C45D08E8A1}"/>
    <cellStyle name="Normal 5 5 3 4 3 4" xfId="10766" xr:uid="{68489397-CF2F-45B8-A765-1909E9CA44D4}"/>
    <cellStyle name="Normal 5 5 3 4 3 4 2" xfId="21146" xr:uid="{BB5C1C8E-2064-4637-B49F-93C358380D67}"/>
    <cellStyle name="Normal 5 5 3 4 3 5" xfId="22774" xr:uid="{0A156C61-6A99-49A7-A4D6-58E67D3277ED}"/>
    <cellStyle name="Normal 5 5 3 4 3 6" xfId="13275" xr:uid="{1C9D7B34-B27F-4326-A60F-35EE8630D162}"/>
    <cellStyle name="Normal 5 5 3 4 4" xfId="4206" xr:uid="{EFB807DE-F504-4F73-8F65-B660665FEC0D}"/>
    <cellStyle name="Normal 5 5 3 4 4 2" xfId="8978" xr:uid="{1598C217-6F5B-428E-A1FB-07FEF1C8031C}"/>
    <cellStyle name="Normal 5 5 3 4 4 2 2" xfId="19358" xr:uid="{CD108EAB-65B3-40E1-A655-815E862C7618}"/>
    <cellStyle name="Normal 5 5 3 4 4 3" xfId="11811" xr:uid="{B3749756-E62E-45C4-8812-35F065F09F12}"/>
    <cellStyle name="Normal 5 5 3 4 4 3 2" xfId="22191" xr:uid="{3CEE6DF3-83F1-4AF7-B6BC-B0A801425AEC}"/>
    <cellStyle name="Normal 5 5 3 4 4 4" xfId="24101" xr:uid="{BEB9EC4F-9B65-4276-A9CD-9404B0C4922D}"/>
    <cellStyle name="Normal 5 5 3 4 4 5" xfId="16525" xr:uid="{4C658C52-180C-4C57-AD4A-70F3D616DAAF}"/>
    <cellStyle name="Normal 5 5 3 4 5" xfId="5361" xr:uid="{5AB1D085-E211-4002-9A68-A779FB65A4A7}"/>
    <cellStyle name="Normal 5 5 3 4 5 2" xfId="14658" xr:uid="{79F76784-48D1-494A-A462-8B146DB212BC}"/>
    <cellStyle name="Normal 5 5 3 4 5 3" xfId="30280" xr:uid="{F715513C-5246-418E-9026-8DE25D5D0895}"/>
    <cellStyle name="Normal 5 5 3 4 5 4" xfId="30690" xr:uid="{7488EF01-A159-4163-9183-75493DCBB883}"/>
    <cellStyle name="Normal 5 5 3 4 6" xfId="7111" xr:uid="{F1C2CF29-7FED-44EA-A7B8-4D977008F5A1}"/>
    <cellStyle name="Normal 5 5 3 4 6 2" xfId="17491" xr:uid="{6FA4D063-4557-496A-B0E1-3528238FE0ED}"/>
    <cellStyle name="Normal 5 5 3 4 7" xfId="9944" xr:uid="{B348D9BA-F377-446F-A189-975FF517BE34}"/>
    <cellStyle name="Normal 5 5 3 4 7 2" xfId="20324" xr:uid="{D56EEEB7-862E-4E75-84EE-5354199E21C2}"/>
    <cellStyle name="Normal 5 5 3 4 8" xfId="25010" xr:uid="{1B5984A8-BDFF-436B-BDA1-C2D38884C3F2}"/>
    <cellStyle name="Normal 5 5 3 4 9" xfId="12774" xr:uid="{207A05E2-44FD-49D4-BB57-844DD163A47F}"/>
    <cellStyle name="Normal 5 5 3 5" xfId="1209" xr:uid="{00000000-0005-0000-0000-00007F060000}"/>
    <cellStyle name="Normal 5 5 3 5 2" xfId="4564" xr:uid="{1BCA9013-97FB-47C4-86AC-6325ACCED00E}"/>
    <cellStyle name="Normal 5 5 3 5 2 2" xfId="9336" xr:uid="{1B079D11-66EE-43CD-B4C1-5CF70D817D4E}"/>
    <cellStyle name="Normal 5 5 3 5 2 2 2" xfId="29310" xr:uid="{28677310-8D44-47B2-8A3B-AA3433DF51E8}"/>
    <cellStyle name="Normal 5 5 3 5 2 2 3" xfId="19716" xr:uid="{5C607BAB-2769-4ECF-BFFA-54B73665BD0B}"/>
    <cellStyle name="Normal 5 5 3 5 2 3" xfId="12169" xr:uid="{25BC621A-EE9D-4329-BB95-F36DE3E1A7D0}"/>
    <cellStyle name="Normal 5 5 3 5 2 3 2" xfId="22549" xr:uid="{8D004C08-7D11-4892-83BD-4F86601205B7}"/>
    <cellStyle name="Normal 5 5 3 5 2 4" xfId="25654" xr:uid="{702AAE8B-8E10-478F-A88A-D4C689F0EC6E}"/>
    <cellStyle name="Normal 5 5 3 5 2 5" xfId="16883" xr:uid="{BA22D103-A3F5-4026-881A-D17B5200DFF6}"/>
    <cellStyle name="Normal 5 5 3 5 3" xfId="5362" xr:uid="{6F1DB607-BB13-42A8-8622-597EC7CCA09E}"/>
    <cellStyle name="Normal 5 5 3 5 3 2" xfId="28575" xr:uid="{598316B3-EE8C-4832-89FF-6741A61A0620}"/>
    <cellStyle name="Normal 5 5 3 5 3 3" xfId="14659" xr:uid="{EE5464CF-BE4B-40D0-A089-A1091CE52773}"/>
    <cellStyle name="Normal 5 5 3 5 4" xfId="7112" xr:uid="{B8FC9F61-DCB1-434B-9165-2BF6972D01BF}"/>
    <cellStyle name="Normal 5 5 3 5 4 2" xfId="17492" xr:uid="{E69F58FD-2F5C-43CA-AD58-447F718E2EEA}"/>
    <cellStyle name="Normal 5 5 3 5 5" xfId="9945" xr:uid="{2068F8F9-21BD-4D3A-B3A3-758FC908E522}"/>
    <cellStyle name="Normal 5 5 3 5 5 2" xfId="20325" xr:uid="{791DC83C-7EEC-4BB2-95C3-33D2C0D6393F}"/>
    <cellStyle name="Normal 5 5 3 5 6" xfId="22706" xr:uid="{26E8B065-FA68-4C76-94AC-0F6A43DAD136}"/>
    <cellStyle name="Normal 5 5 3 5 7" xfId="13983" xr:uid="{3CF2D734-478E-42BA-BA56-5D9DB3FC7DD6}"/>
    <cellStyle name="Normal 5 5 3 6" xfId="2966" xr:uid="{00000000-0005-0000-0000-000063070000}"/>
    <cellStyle name="Normal 5 5 3 6 2" xfId="6131" xr:uid="{0E37E037-9851-4EB9-A3C2-64BD356B9540}"/>
    <cellStyle name="Normal 5 5 3 6 2 2" xfId="25425" xr:uid="{1148EB6E-F740-4167-874A-A1EF65DB568B}"/>
    <cellStyle name="Normal 5 5 3 6 2 3" xfId="15609" xr:uid="{E621157B-6D27-443E-9F26-16E7CBD38180}"/>
    <cellStyle name="Normal 5 5 3 6 3" xfId="8062" xr:uid="{F10D5E6D-B385-4559-A109-D58207B8982F}"/>
    <cellStyle name="Normal 5 5 3 6 3 2" xfId="18442" xr:uid="{C50D9187-302B-4068-A26B-8A8CB3E158FC}"/>
    <cellStyle name="Normal 5 5 3 6 4" xfId="10895" xr:uid="{C921355E-72F7-4125-BAB7-52A6FE548BBF}"/>
    <cellStyle name="Normal 5 5 3 6 4 2" xfId="21275" xr:uid="{9E3667AD-B115-4E65-8125-DC2EA7D4A56D}"/>
    <cellStyle name="Normal 5 5 3 6 5" xfId="24770" xr:uid="{B7E804C6-D9AD-4DE6-A2A9-10FF544E0EF0}"/>
    <cellStyle name="Normal 5 5 3 6 6" xfId="13472" xr:uid="{9A3195F6-BF57-4B18-8247-833348BDB7E5}"/>
    <cellStyle name="Normal 5 5 3 7" xfId="2476" xr:uid="{00000000-0005-0000-0000-000064070000}"/>
    <cellStyle name="Normal 5 5 3 7 2" xfId="5764" xr:uid="{E07183B6-D25C-4CC0-AE13-2A38EE114993}"/>
    <cellStyle name="Normal 5 5 3 7 2 2" xfId="28402" xr:uid="{507B183A-3DB4-4009-B4C0-4F1576EFF074}"/>
    <cellStyle name="Normal 5 5 3 7 2 3" xfId="15148" xr:uid="{652D18B1-F5FF-4845-BFD1-FF8917671EC2}"/>
    <cellStyle name="Normal 5 5 3 7 3" xfId="7601" xr:uid="{18DAE69B-A4F7-477F-8762-6CE1E368E732}"/>
    <cellStyle name="Normal 5 5 3 7 3 2" xfId="17981" xr:uid="{7D96E94B-8809-4955-8F45-38DBBA2CE966}"/>
    <cellStyle name="Normal 5 5 3 7 4" xfId="10434" xr:uid="{44B3FFAF-869E-44AB-B931-CDF9E98397FF}"/>
    <cellStyle name="Normal 5 5 3 7 4 2" xfId="20814" xr:uid="{209C42BD-D008-4B39-A856-564FE070366E}"/>
    <cellStyle name="Normal 5 5 3 7 5" xfId="22730" xr:uid="{6943EE8A-2B33-45B4-95F9-C2EDD1961D07}"/>
    <cellStyle name="Normal 5 5 3 7 6" xfId="12864" xr:uid="{2B0515C8-907A-485B-A591-F0A2A639DF21}"/>
    <cellStyle name="Normal 5 5 3 8" xfId="2230" xr:uid="{00000000-0005-0000-0000-000051070000}"/>
    <cellStyle name="Normal 5 5 3 8 2" xfId="7357" xr:uid="{1618AD18-7B7B-424F-9BEB-D299222C55F2}"/>
    <cellStyle name="Normal 5 5 3 8 2 2" xfId="17737" xr:uid="{83869EBC-213B-40D0-96E1-A1D651B52F92}"/>
    <cellStyle name="Normal 5 5 3 8 3" xfId="10190" xr:uid="{48FB3034-9292-4116-8449-599FDAB40BBA}"/>
    <cellStyle name="Normal 5 5 3 8 3 2" xfId="20570" xr:uid="{57755D7B-7216-4DBE-9B79-50915AF1F3AA}"/>
    <cellStyle name="Normal 5 5 3 8 4" xfId="23117" xr:uid="{D9EF2FC2-8CF3-4C7B-9CFB-936A7DC6878C}"/>
    <cellStyle name="Normal 5 5 3 8 5" xfId="14904" xr:uid="{B773A80F-07C8-4906-B155-A12AE8E35E9E}"/>
    <cellStyle name="Normal 5 5 3 9" xfId="4025" xr:uid="{04E98241-B413-4763-8D87-0C12090244E0}"/>
    <cellStyle name="Normal 5 5 3 9 2" xfId="8827" xr:uid="{2DD4E885-8CED-468B-A0EA-21DF2E8F00A5}"/>
    <cellStyle name="Normal 5 5 3 9 2 2" xfId="19207" xr:uid="{19E384D0-B5F7-4808-B416-14EE8B359BA2}"/>
    <cellStyle name="Normal 5 5 3 9 3" xfId="11660" xr:uid="{D509F8F9-2213-4B96-AEE4-7A6AAADF8F18}"/>
    <cellStyle name="Normal 5 5 3 9 3 2" xfId="22040" xr:uid="{A762BF18-54D9-4BB2-80CE-D7CF47DBE619}"/>
    <cellStyle name="Normal 5 5 3 9 4" xfId="16374" xr:uid="{93FEC0E4-2C60-4A83-9D0A-395AD443D74E}"/>
    <cellStyle name="Normal 5 5 4" xfId="1210" xr:uid="{00000000-0005-0000-0000-000080060000}"/>
    <cellStyle name="Normal 5 5 4 10" xfId="7113" xr:uid="{6E24754F-4139-496A-B256-B3A7608A1E70}"/>
    <cellStyle name="Normal 5 5 4 10 2" xfId="17493" xr:uid="{FEFC9BE0-9D2E-4273-901D-6405ADC29F6E}"/>
    <cellStyle name="Normal 5 5 4 11" xfId="9946" xr:uid="{4E506426-856D-48E1-9830-436B16A4402B}"/>
    <cellStyle name="Normal 5 5 4 11 2" xfId="20326" xr:uid="{56B19307-4070-41C7-97F4-984C9C4ACD71}"/>
    <cellStyle name="Normal 5 5 4 12" xfId="22669" xr:uid="{66F7D1B5-E539-4153-9F8D-61F382AE08F9}"/>
    <cellStyle name="Normal 5 5 4 13" xfId="12442" xr:uid="{1DD33C2E-3DF1-4199-9780-FE1826973C76}"/>
    <cellStyle name="Normal 5 5 4 2" xfId="1211" xr:uid="{00000000-0005-0000-0000-000081060000}"/>
    <cellStyle name="Normal 5 5 4 2 10" xfId="9947" xr:uid="{0AA280C8-05D0-4EDD-A0F0-25F6C4C0E2C2}"/>
    <cellStyle name="Normal 5 5 4 2 10 2" xfId="20327" xr:uid="{B38EED4E-B7E8-43A6-A452-0F3F6AC3A192}"/>
    <cellStyle name="Normal 5 5 4 2 11" xfId="25517" xr:uid="{1F8836FE-5842-48CD-9C27-7130A11C0DF8}"/>
    <cellStyle name="Normal 5 5 4 2 12" xfId="12617" xr:uid="{4ED1B215-A62B-4224-9B08-1DB86D03310D}"/>
    <cellStyle name="Normal 5 5 4 2 2" xfId="1212" xr:uid="{00000000-0005-0000-0000-000082060000}"/>
    <cellStyle name="Normal 5 5 4 2 2 2" xfId="3414" xr:uid="{00000000-0005-0000-0000-000068070000}"/>
    <cellStyle name="Normal 5 5 4 2 2 2 2" xfId="6469" xr:uid="{7CCB15D9-59C9-4526-9A31-724CBEB58938}"/>
    <cellStyle name="Normal 5 5 4 2 2 2 2 2" xfId="27148" xr:uid="{D8DD4CAC-C2B0-4A8C-AB8C-C0B64925EFE3}"/>
    <cellStyle name="Normal 5 5 4 2 2 2 2 3" xfId="27851" xr:uid="{183AD068-030C-4CFA-9598-24BADC3E24B2}"/>
    <cellStyle name="Normal 5 5 4 2 2 2 2 4" xfId="16040" xr:uid="{FBBC1EA9-0576-414A-A822-1E8A36E7878C}"/>
    <cellStyle name="Normal 5 5 4 2 2 2 3" xfId="8493" xr:uid="{7C67B0EB-6874-490A-AB6F-C0E9C43E16A5}"/>
    <cellStyle name="Normal 5 5 4 2 2 2 3 2" xfId="28931" xr:uid="{F9ABDF4E-3479-4731-9FBD-0A7A6F62AC8C}"/>
    <cellStyle name="Normal 5 5 4 2 2 2 3 3" xfId="18873" xr:uid="{1D7D140A-B2B0-4829-A203-C0CCB8E5AD57}"/>
    <cellStyle name="Normal 5 5 4 2 2 2 4" xfId="11326" xr:uid="{BDFB2532-6171-4425-AE58-C640DC6D5C99}"/>
    <cellStyle name="Normal 5 5 4 2 2 2 4 2" xfId="21706" xr:uid="{A6731636-272C-431C-A233-91D4C9F41C59}"/>
    <cellStyle name="Normal 5 5 4 2 2 2 5" xfId="24759" xr:uid="{5E5A21BD-C085-4EBD-8AF6-13C09DC8FD76}"/>
    <cellStyle name="Normal 5 5 4 2 2 2 6" xfId="13985" xr:uid="{25FFA09B-B9F9-4E37-8D5D-5125888B0D71}"/>
    <cellStyle name="Normal 5 5 4 2 2 3" xfId="4359" xr:uid="{88387237-01E0-4B25-8BE5-8B2376BBC437}"/>
    <cellStyle name="Normal 5 5 4 2 2 3 2" xfId="9131" xr:uid="{C2F40767-A121-40AD-A68A-26A92CB2DAB8}"/>
    <cellStyle name="Normal 5 5 4 2 2 3 2 2" xfId="29174" xr:uid="{0DBDF345-5003-44B1-81F2-DF78F3F02DB5}"/>
    <cellStyle name="Normal 5 5 4 2 2 3 2 3" xfId="19511" xr:uid="{98EF1CBC-575B-4F9E-AD57-B6D00E5F04A9}"/>
    <cellStyle name="Normal 5 5 4 2 2 3 3" xfId="11964" xr:uid="{D26025B7-29BB-40AF-AF33-59D08E610285}"/>
    <cellStyle name="Normal 5 5 4 2 2 3 3 2" xfId="22344" xr:uid="{A3B4DB2D-13D6-4FC1-84DB-0774CA906768}"/>
    <cellStyle name="Normal 5 5 4 2 2 3 4" xfId="25176" xr:uid="{61DBC9B9-1E71-4285-9860-27A3D1877045}"/>
    <cellStyle name="Normal 5 5 4 2 2 3 5" xfId="16678" xr:uid="{732B4A0F-9AA6-4BBD-9BA9-43C9B926872C}"/>
    <cellStyle name="Normal 5 5 4 2 2 4" xfId="5365" xr:uid="{0F610BEE-9DE4-4777-8999-E564D9E55943}"/>
    <cellStyle name="Normal 5 5 4 2 2 4 2" xfId="28589" xr:uid="{BE178C20-6377-4C6C-BDB1-3FD1588CEB5D}"/>
    <cellStyle name="Normal 5 5 4 2 2 4 3" xfId="14662" xr:uid="{9FFCFC9D-9C47-4ECB-81BE-AAC034414419}"/>
    <cellStyle name="Normal 5 5 4 2 2 5" xfId="7115" xr:uid="{A101A71D-F59C-4077-B1E0-6EC2FA54C6C6}"/>
    <cellStyle name="Normal 5 5 4 2 2 5 2" xfId="17495" xr:uid="{5700200F-39FB-42A2-B68A-B7B1A184B99E}"/>
    <cellStyle name="Normal 5 5 4 2 2 6" xfId="9948" xr:uid="{81343349-F28D-4BE8-B042-92BC99D6E794}"/>
    <cellStyle name="Normal 5 5 4 2 2 6 2" xfId="20328" xr:uid="{672AA7D8-40C0-41E9-A770-249F7667571C}"/>
    <cellStyle name="Normal 5 5 4 2 2 7" xfId="24135" xr:uid="{6FC67304-0A44-4136-96E5-88EF5A100FCF}"/>
    <cellStyle name="Normal 5 5 4 2 2 8" xfId="13279" xr:uid="{745892F2-0B91-467A-A005-39AED4451CCE}"/>
    <cellStyle name="Normal 5 5 4 2 3" xfId="3415" xr:uid="{00000000-0005-0000-0000-000069070000}"/>
    <cellStyle name="Normal 5 5 4 2 3 2" xfId="4565" xr:uid="{59E9896A-4AE0-410C-A3ED-3816DD832625}"/>
    <cellStyle name="Normal 5 5 4 2 3 2 2" xfId="9337" xr:uid="{D5B29995-C094-4271-9B4B-E6B4761B42CE}"/>
    <cellStyle name="Normal 5 5 4 2 3 2 2 2" xfId="29311" xr:uid="{9E676E7D-8273-4182-875D-83226C40ECF7}"/>
    <cellStyle name="Normal 5 5 4 2 3 2 2 3" xfId="19717" xr:uid="{754A0F1A-A96C-434B-BA8D-594D18240134}"/>
    <cellStyle name="Normal 5 5 4 2 3 2 3" xfId="12170" xr:uid="{A533C767-AE59-4618-8077-BC4435917938}"/>
    <cellStyle name="Normal 5 5 4 2 3 2 3 2" xfId="22550" xr:uid="{28EDD1D9-13C6-4097-A370-AC37D8CD4DB4}"/>
    <cellStyle name="Normal 5 5 4 2 3 2 4" xfId="24830" xr:uid="{07C40AB1-3864-423F-9D25-E01807021BC3}"/>
    <cellStyle name="Normal 5 5 4 2 3 2 5" xfId="16884" xr:uid="{8C01C22A-4D6C-482B-96D7-EE9F25C85FF6}"/>
    <cellStyle name="Normal 5 5 4 2 3 3" xfId="6470" xr:uid="{50345F73-2533-4705-B684-4F6C37935228}"/>
    <cellStyle name="Normal 5 5 4 2 3 3 2" xfId="28178" xr:uid="{B46D0BE0-1686-4D95-8913-518271E217B1}"/>
    <cellStyle name="Normal 5 5 4 2 3 3 3" xfId="16041" xr:uid="{27D10CD0-AA74-4768-95AF-34104D115929}"/>
    <cellStyle name="Normal 5 5 4 2 3 4" xfId="8494" xr:uid="{FC48BE13-1A01-48D6-B418-4542DED64E07}"/>
    <cellStyle name="Normal 5 5 4 2 3 4 2" xfId="18874" xr:uid="{34F15F65-921B-4CFE-A494-3BBF0EC21721}"/>
    <cellStyle name="Normal 5 5 4 2 3 5" xfId="11327" xr:uid="{4118BB6B-36ED-4676-9F40-AD7DB8EBCCE5}"/>
    <cellStyle name="Normal 5 5 4 2 3 5 2" xfId="21707" xr:uid="{C9271C97-0E97-44DE-8798-E7CA744D3D07}"/>
    <cellStyle name="Normal 5 5 4 2 3 6" xfId="24742" xr:uid="{D9047DF0-A0F0-4CB2-8500-ECE08094FFDF}"/>
    <cellStyle name="Normal 5 5 4 2 3 7" xfId="13986" xr:uid="{9857581E-720F-409C-BCF2-FA313C3412CB}"/>
    <cellStyle name="Normal 5 5 4 2 4" xfId="3413" xr:uid="{00000000-0005-0000-0000-00006A070000}"/>
    <cellStyle name="Normal 5 5 4 2 4 2" xfId="6468" xr:uid="{46726510-68DC-4E96-B0A0-9BE440840691}"/>
    <cellStyle name="Normal 5 5 4 2 4 2 2" xfId="28241" xr:uid="{E2FD7BA4-3D4A-4D80-BF4E-F4C3319F1363}"/>
    <cellStyle name="Normal 5 5 4 2 4 2 3" xfId="16039" xr:uid="{45DE6920-2544-41FE-B361-9B5DCE5E57BD}"/>
    <cellStyle name="Normal 5 5 4 2 4 3" xfId="8492" xr:uid="{99687D84-51A5-41C8-B083-20C6F10B23E2}"/>
    <cellStyle name="Normal 5 5 4 2 4 3 2" xfId="18872" xr:uid="{6F29B5F1-55CC-4EA7-8AFF-CD39617D1847}"/>
    <cellStyle name="Normal 5 5 4 2 4 4" xfId="11325" xr:uid="{0D6D5259-8272-43A1-BD9D-8464EE323750}"/>
    <cellStyle name="Normal 5 5 4 2 4 4 2" xfId="21705" xr:uid="{0B467AE6-D095-4E01-B1C6-9AD0529DB5E0}"/>
    <cellStyle name="Normal 5 5 4 2 4 5" xfId="25039" xr:uid="{09364949-5879-4291-B804-203D2A370A8A}"/>
    <cellStyle name="Normal 5 5 4 2 4 6" xfId="13984" xr:uid="{AFBEAF81-F45E-4B32-B12A-29043B6E9BDE}"/>
    <cellStyle name="Normal 5 5 4 2 5" xfId="2619" xr:uid="{00000000-0005-0000-0000-00006B070000}"/>
    <cellStyle name="Normal 5 5 4 2 5 2" xfId="5881" xr:uid="{BCB80E92-130F-4393-92A6-CF74E5E3FAA1}"/>
    <cellStyle name="Normal 5 5 4 2 5 2 2" xfId="26990" xr:uid="{462CA211-B977-4C0A-85C4-62A92E2ADAE2}"/>
    <cellStyle name="Normal 5 5 4 2 5 2 3" xfId="15291" xr:uid="{6F136D58-4914-4CCE-8629-4C8A37EE3A7D}"/>
    <cellStyle name="Normal 5 5 4 2 5 3" xfId="7744" xr:uid="{5AFD0B02-50B9-4405-8F1F-E60FB6DD50A1}"/>
    <cellStyle name="Normal 5 5 4 2 5 3 2" xfId="18124" xr:uid="{424688BD-541F-480A-8C28-374855ACE59E}"/>
    <cellStyle name="Normal 5 5 4 2 5 4" xfId="10577" xr:uid="{0DB40406-B413-4DFA-8FCF-2748CAAC8D77}"/>
    <cellStyle name="Normal 5 5 4 2 5 4 2" xfId="20957" xr:uid="{34B33404-AE11-4CD5-B582-902D4626A0B7}"/>
    <cellStyle name="Normal 5 5 4 2 5 5" xfId="23321" xr:uid="{D4A6F583-1A92-41C7-8A6A-0946187BA285}"/>
    <cellStyle name="Normal 5 5 4 2 5 6" xfId="13007" xr:uid="{09811C73-DF46-4F22-8131-516A2881FD25}"/>
    <cellStyle name="Normal 5 5 4 2 6" xfId="2383" xr:uid="{00000000-0005-0000-0000-000066070000}"/>
    <cellStyle name="Normal 5 5 4 2 6 2" xfId="7510" xr:uid="{3735F5DA-E6B9-4E9C-A838-7967AF9337B8}"/>
    <cellStyle name="Normal 5 5 4 2 6 2 2" xfId="17890" xr:uid="{9FB35E1E-9B73-411C-94E1-78DB4E436336}"/>
    <cellStyle name="Normal 5 5 4 2 6 3" xfId="10343" xr:uid="{3DA0AAF8-109E-4C8B-8BA6-D4435D8B82C2}"/>
    <cellStyle name="Normal 5 5 4 2 6 3 2" xfId="20723" xr:uid="{E0432CA7-9C2B-422E-BFF0-284E36699756}"/>
    <cellStyle name="Normal 5 5 4 2 6 4" xfId="25283" xr:uid="{20A84658-7D0F-47B3-B91D-580A981B7887}"/>
    <cellStyle name="Normal 5 5 4 2 6 5" xfId="15057" xr:uid="{62BA7A19-98C4-449D-83FE-814C97D9DA44}"/>
    <cellStyle name="Normal 5 5 4 2 7" xfId="4077" xr:uid="{FB088EE4-0F3D-4BC2-A99F-19D1BB2FE077}"/>
    <cellStyle name="Normal 5 5 4 2 7 2" xfId="8857" xr:uid="{EAC4AB74-A3D4-4B0B-A0D1-6477BB0F390F}"/>
    <cellStyle name="Normal 5 5 4 2 7 2 2" xfId="19237" xr:uid="{3A8FA0D7-2211-4A1A-BEE2-F224274F9E5A}"/>
    <cellStyle name="Normal 5 5 4 2 7 3" xfId="11690" xr:uid="{F3C263EC-B001-4BD2-A184-1C70DF0F70DB}"/>
    <cellStyle name="Normal 5 5 4 2 7 3 2" xfId="22070" xr:uid="{D6D005C5-B11A-4301-9522-39483B7DC464}"/>
    <cellStyle name="Normal 5 5 4 2 7 4" xfId="16404" xr:uid="{2A619328-B2AA-4A1D-97EC-816ACCA8C489}"/>
    <cellStyle name="Normal 5 5 4 2 8" xfId="5364" xr:uid="{0ACEBE73-E7F6-4F86-BDD3-BE2E01291193}"/>
    <cellStyle name="Normal 5 5 4 2 8 2" xfId="14661" xr:uid="{1E7A55A6-CF17-498E-8E3F-BF0AE06F160B}"/>
    <cellStyle name="Normal 5 5 4 2 9" xfId="7114" xr:uid="{C2462432-3E71-4100-9CAF-BAB609427C91}"/>
    <cellStyle name="Normal 5 5 4 2 9 2" xfId="17494" xr:uid="{1E95C8F2-0838-4E21-B878-576F8054A41A}"/>
    <cellStyle name="Normal 5 5 4 3" xfId="1213" xr:uid="{00000000-0005-0000-0000-000083060000}"/>
    <cellStyle name="Normal 5 5 4 3 2" xfId="3416" xr:uid="{00000000-0005-0000-0000-00006D070000}"/>
    <cellStyle name="Normal 5 5 4 3 2 2" xfId="6471" xr:uid="{AC59D8AD-A63F-4F69-B810-7DB7157D221D}"/>
    <cellStyle name="Normal 5 5 4 3 2 2 2" xfId="25159" xr:uid="{23B3473D-7E5E-4004-9F1D-A94AA09D630D}"/>
    <cellStyle name="Normal 5 5 4 3 2 2 3" xfId="27419" xr:uid="{0597AE7C-F5F3-4C32-B52A-3336B8870B89}"/>
    <cellStyle name="Normal 5 5 4 3 2 2 4" xfId="16042" xr:uid="{FA4C670E-7C0A-4498-BC35-5AB9EEC67189}"/>
    <cellStyle name="Normal 5 5 4 3 2 3" xfId="8495" xr:uid="{3C267D15-F83E-4CEC-A25A-8CEDB28B3AA4}"/>
    <cellStyle name="Normal 5 5 4 3 2 3 2" xfId="28932" xr:uid="{6984EE01-1911-4902-89ED-A1CA0D278011}"/>
    <cellStyle name="Normal 5 5 4 3 2 3 3" xfId="18875" xr:uid="{048FA31C-1C1E-4A45-B594-D1609CFBC415}"/>
    <cellStyle name="Normal 5 5 4 3 2 4" xfId="11328" xr:uid="{0912AB62-A87E-4AAE-A26B-28E10A450010}"/>
    <cellStyle name="Normal 5 5 4 3 2 4 2" xfId="21708" xr:uid="{58D0B03A-73FF-4073-9F18-12DC1856E031}"/>
    <cellStyle name="Normal 5 5 4 3 2 5" xfId="24604" xr:uid="{A194AE26-0E9A-4449-9DDB-EA21F77A41F7}"/>
    <cellStyle name="Normal 5 5 4 3 2 6" xfId="13987" xr:uid="{48E8543D-A77A-48F7-A5F5-EBCCAEFF3AFF}"/>
    <cellStyle name="Normal 5 5 4 3 3" xfId="2812" xr:uid="{00000000-0005-0000-0000-00006E070000}"/>
    <cellStyle name="Normal 5 5 4 3 3 2" xfId="6028" xr:uid="{217F6F0F-2140-46D5-8CE6-3D4C883F4C0F}"/>
    <cellStyle name="Normal 5 5 4 3 3 2 2" xfId="25989" xr:uid="{5EEFDEAC-E372-4922-9648-FDC3AFCC3270}"/>
    <cellStyle name="Normal 5 5 4 3 3 2 3" xfId="15482" xr:uid="{206BA647-D335-4636-B958-797D31966869}"/>
    <cellStyle name="Normal 5 5 4 3 3 3" xfId="7935" xr:uid="{F578BA06-A090-46B2-8A1B-DB179F472A2F}"/>
    <cellStyle name="Normal 5 5 4 3 3 3 2" xfId="18315" xr:uid="{5290133E-5A53-4E95-BD04-844675593609}"/>
    <cellStyle name="Normal 5 5 4 3 3 4" xfId="10768" xr:uid="{6C985679-09CE-4019-A3A6-1E2BB3D02311}"/>
    <cellStyle name="Normal 5 5 4 3 3 4 2" xfId="21148" xr:uid="{78EA3973-2134-4C51-AB0F-C5AE55D5FCAC}"/>
    <cellStyle name="Normal 5 5 4 3 3 5" xfId="24280" xr:uid="{07EAA85C-4968-4744-AADA-9BED06DCE515}"/>
    <cellStyle name="Normal 5 5 4 3 3 6" xfId="13278" xr:uid="{6CDF3F83-135F-4BC7-91CD-99B7AB23EB30}"/>
    <cellStyle name="Normal 5 5 4 3 4" xfId="4207" xr:uid="{15066793-57D5-4437-B28B-61C169F0E4AC}"/>
    <cellStyle name="Normal 5 5 4 3 4 2" xfId="8979" xr:uid="{D21FD296-27FE-4488-B8D5-388D122867AE}"/>
    <cellStyle name="Normal 5 5 4 3 4 2 2" xfId="29060" xr:uid="{DBC2EC50-7621-46E7-8386-942BC1FCAA5A}"/>
    <cellStyle name="Normal 5 5 4 3 4 2 3" xfId="19359" xr:uid="{3A4C442C-FAE9-4338-AD2A-B9825CE175E5}"/>
    <cellStyle name="Normal 5 5 4 3 4 3" xfId="11812" xr:uid="{B16D9B1C-6028-4C08-A4B6-129E5B23722D}"/>
    <cellStyle name="Normal 5 5 4 3 4 3 2" xfId="22192" xr:uid="{2A57EB7D-6C71-41AA-92D2-0E2A3A3CF7E6}"/>
    <cellStyle name="Normal 5 5 4 3 4 4" xfId="23748" xr:uid="{A05DAAD2-5842-4B6A-998C-12560685C46D}"/>
    <cellStyle name="Normal 5 5 4 3 4 5" xfId="16526" xr:uid="{C17561D3-2815-45DC-82A5-5F93F2A92885}"/>
    <cellStyle name="Normal 5 5 4 3 5" xfId="5366" xr:uid="{DB088A61-64E6-4201-89C4-69AFC83B9FBF}"/>
    <cellStyle name="Normal 5 5 4 3 5 2" xfId="26919" xr:uid="{CF76725B-BDE5-488F-91B8-D4676F444724}"/>
    <cellStyle name="Normal 5 5 4 3 5 3" xfId="14663" xr:uid="{CB004E3E-19BA-48AF-999F-6F920024FC64}"/>
    <cellStyle name="Normal 5 5 4 3 6" xfId="7116" xr:uid="{E6CB665E-F9E2-49C1-B7C9-8AEC90EC957D}"/>
    <cellStyle name="Normal 5 5 4 3 6 2" xfId="17496" xr:uid="{2AAF6171-5A59-4412-911B-F7C34FF102AA}"/>
    <cellStyle name="Normal 5 5 4 3 7" xfId="9949" xr:uid="{8BF43703-FE90-482D-96AB-785900DA65E7}"/>
    <cellStyle name="Normal 5 5 4 3 7 2" xfId="20329" xr:uid="{3432473F-743D-464A-AB4A-BCD453F869D1}"/>
    <cellStyle name="Normal 5 5 4 3 8" xfId="24185" xr:uid="{D0FD81B9-EF00-439C-9B33-886E72B50F44}"/>
    <cellStyle name="Normal 5 5 4 3 9" xfId="12775" xr:uid="{21028DE2-387F-4181-A218-A09739C44068}"/>
    <cellStyle name="Normal 5 5 4 4" xfId="1214" xr:uid="{00000000-0005-0000-0000-000084060000}"/>
    <cellStyle name="Normal 5 5 4 4 2" xfId="4566" xr:uid="{157EE7DE-ED78-41D4-BF89-854BCDBD8753}"/>
    <cellStyle name="Normal 5 5 4 4 2 2" xfId="9338" xr:uid="{46CC833B-5836-497C-83D8-337169783DE3}"/>
    <cellStyle name="Normal 5 5 4 4 2 2 2" xfId="29312" xr:uid="{EE5B18BB-9211-471B-A2C6-63FEF631B18B}"/>
    <cellStyle name="Normal 5 5 4 4 2 2 3" xfId="19718" xr:uid="{917607CE-4AD1-468A-985C-A4EDE998A94A}"/>
    <cellStyle name="Normal 5 5 4 4 2 3" xfId="12171" xr:uid="{E5A55687-2038-4D53-BEE7-F0BFB4FA39BC}"/>
    <cellStyle name="Normal 5 5 4 4 2 3 2" xfId="22551" xr:uid="{EF747E8A-3C16-4333-9232-201490E0262E}"/>
    <cellStyle name="Normal 5 5 4 4 2 4" xfId="22954" xr:uid="{3B708004-A7CE-48C6-9CB5-E218E391DB3A}"/>
    <cellStyle name="Normal 5 5 4 4 2 5" xfId="16885" xr:uid="{6E3E75C5-D46A-4737-B559-2AB79DD9B796}"/>
    <cellStyle name="Normal 5 5 4 4 3" xfId="5367" xr:uid="{0A9A3D45-D283-4CE8-8270-C55755043C6E}"/>
    <cellStyle name="Normal 5 5 4 4 3 2" xfId="28505" xr:uid="{3A7B5CAB-3EA8-4681-BCA7-A2B14946A26A}"/>
    <cellStyle name="Normal 5 5 4 4 3 3" xfId="14664" xr:uid="{D890EF97-0237-4E1A-B2DC-9FCBA898642D}"/>
    <cellStyle name="Normal 5 5 4 4 4" xfId="7117" xr:uid="{3391C957-E508-4404-BD54-4E0FA5C62B53}"/>
    <cellStyle name="Normal 5 5 4 4 4 2" xfId="17497" xr:uid="{2B55E696-D55C-430A-B8C5-2BB048403E81}"/>
    <cellStyle name="Normal 5 5 4 4 5" xfId="9950" xr:uid="{48B58101-0742-4EDF-8585-114A30975F5B}"/>
    <cellStyle name="Normal 5 5 4 4 5 2" xfId="20330" xr:uid="{2D4F3DC2-6C4A-4969-BA87-B12F912EE4CA}"/>
    <cellStyle name="Normal 5 5 4 4 6" xfId="24199" xr:uid="{CA5E9496-C789-442B-931B-6EDB9A10B695}"/>
    <cellStyle name="Normal 5 5 4 4 7" xfId="13988" xr:uid="{832AE13A-6AAB-454D-B5FE-1D62966B2F38}"/>
    <cellStyle name="Normal 5 5 4 5" xfId="2967" xr:uid="{00000000-0005-0000-0000-000070070000}"/>
    <cellStyle name="Normal 5 5 4 5 2" xfId="6132" xr:uid="{43560DDC-6333-48B3-B593-06D828932A1C}"/>
    <cellStyle name="Normal 5 5 4 5 2 2" xfId="25290" xr:uid="{F3FCD554-125C-4837-802F-EBDBE3EE0BCF}"/>
    <cellStyle name="Normal 5 5 4 5 2 3" xfId="26067" xr:uid="{52888AFD-CD49-40BE-A3A9-8284FB588678}"/>
    <cellStyle name="Normal 5 5 4 5 2 4" xfId="15610" xr:uid="{F29503EA-CD21-4E41-916C-8D818658A1A8}"/>
    <cellStyle name="Normal 5 5 4 5 3" xfId="8063" xr:uid="{CD0AC81D-4C30-43D7-AF42-06A7B31528FE}"/>
    <cellStyle name="Normal 5 5 4 5 3 2" xfId="28761" xr:uid="{AB7591CB-F89F-49C5-AB72-CB2DA27CBE9C}"/>
    <cellStyle name="Normal 5 5 4 5 3 3" xfId="18443" xr:uid="{8C7B239E-AC23-488E-8D2F-B82C80B465DF}"/>
    <cellStyle name="Normal 5 5 4 5 4" xfId="10896" xr:uid="{13236B69-3D00-425A-A559-B31B3E4CA88B}"/>
    <cellStyle name="Normal 5 5 4 5 4 2" xfId="21276" xr:uid="{05940147-B572-432E-A9BD-F2157B1FE877}"/>
    <cellStyle name="Normal 5 5 4 5 5" xfId="25212" xr:uid="{4572E5BC-DBA3-47FA-929E-B4453D0F36CB}"/>
    <cellStyle name="Normal 5 5 4 5 6" xfId="13473" xr:uid="{E4485919-9489-491C-B9CD-45FA9B034CB0}"/>
    <cellStyle name="Normal 5 5 4 6" xfId="2456" xr:uid="{00000000-0005-0000-0000-000071070000}"/>
    <cellStyle name="Normal 5 5 4 6 2" xfId="5748" xr:uid="{F06DB42E-D681-4B9D-9972-51B8D3A90435}"/>
    <cellStyle name="Normal 5 5 4 6 2 2" xfId="27461" xr:uid="{D8E3870C-88CA-47D4-9993-452C05AD3072}"/>
    <cellStyle name="Normal 5 5 4 6 2 3" xfId="15128" xr:uid="{0ED15E5C-A899-49F8-B6E9-C9F0F2908E55}"/>
    <cellStyle name="Normal 5 5 4 6 3" xfId="7581" xr:uid="{F6CADD64-4A82-439F-A05F-C9BEE3641BF0}"/>
    <cellStyle name="Normal 5 5 4 6 3 2" xfId="17961" xr:uid="{6E0C024C-1C37-4057-A849-854CC773B8AE}"/>
    <cellStyle name="Normal 5 5 4 6 4" xfId="10414" xr:uid="{4AB2F5E3-FF56-4D58-8DA2-EED3602FF820}"/>
    <cellStyle name="Normal 5 5 4 6 4 2" xfId="20794" xr:uid="{CDC85785-897D-419D-80D5-3646FAEB21C5}"/>
    <cellStyle name="Normal 5 5 4 6 5" xfId="25389" xr:uid="{716E7A91-B728-47C7-9BBA-D974E6B3B083}"/>
    <cellStyle name="Normal 5 5 4 6 6" xfId="12844" xr:uid="{FE024495-91C4-4E95-B64D-26D118050472}"/>
    <cellStyle name="Normal 5 5 4 7" xfId="2210" xr:uid="{00000000-0005-0000-0000-000065070000}"/>
    <cellStyle name="Normal 5 5 4 7 2" xfId="7337" xr:uid="{CDB152A3-FA48-46E4-B1B1-4A758871671D}"/>
    <cellStyle name="Normal 5 5 4 7 2 2" xfId="17717" xr:uid="{B3851944-EF81-43E6-BE8E-8E6902BB57FE}"/>
    <cellStyle name="Normal 5 5 4 7 3" xfId="10170" xr:uid="{83B1FE9F-3968-4327-8393-632D67E175E6}"/>
    <cellStyle name="Normal 5 5 4 7 3 2" xfId="20550" xr:uid="{73533A79-19BB-4534-9BA5-F72DCD3D4905}"/>
    <cellStyle name="Normal 5 5 4 7 4" xfId="24276" xr:uid="{442DB867-847A-43E3-AC7E-CB20FE8F471D}"/>
    <cellStyle name="Normal 5 5 4 7 5" xfId="14884" xr:uid="{E44802E5-DE8E-4138-91A8-056C6C3C5BAA}"/>
    <cellStyle name="Normal 5 5 4 8" xfId="4028" xr:uid="{0162DD0B-71A7-465E-A829-6251DA6707D0}"/>
    <cellStyle name="Normal 5 5 4 8 2" xfId="8829" xr:uid="{7F9E0C5D-5CAE-475E-BD0B-14C56A8166FF}"/>
    <cellStyle name="Normal 5 5 4 8 2 2" xfId="19209" xr:uid="{A9CDA95E-2FE3-41A7-A01E-7B7399FEDC86}"/>
    <cellStyle name="Normal 5 5 4 8 3" xfId="11662" xr:uid="{29FA82FF-BA26-47DA-BFAE-0624A1A744B2}"/>
    <cellStyle name="Normal 5 5 4 8 3 2" xfId="22042" xr:uid="{C3CC5B23-C230-495B-8130-722446E29811}"/>
    <cellStyle name="Normal 5 5 4 8 4" xfId="16376" xr:uid="{0AA7228F-51B6-4F80-9D5F-AE3D32298536}"/>
    <cellStyle name="Normal 5 5 4 9" xfId="5363" xr:uid="{83DDD56E-E7C5-4B28-97A7-4C900E28DF1F}"/>
    <cellStyle name="Normal 5 5 4 9 2" xfId="14660" xr:uid="{133DAB68-AE63-4F02-9468-2540A675DF06}"/>
    <cellStyle name="Normal 5 5 5" xfId="1215" xr:uid="{00000000-0005-0000-0000-000085060000}"/>
    <cellStyle name="Normal 5 5 5 10" xfId="9951" xr:uid="{6E19B45A-9719-4CF1-A76F-55590E64356A}"/>
    <cellStyle name="Normal 5 5 5 10 2" xfId="20331" xr:uid="{BB0444A7-C2EF-44E8-B04D-0768A6EB6435}"/>
    <cellStyle name="Normal 5 5 5 11" xfId="25573" xr:uid="{54157B82-19DE-4B4C-A0F4-6E81203A9811}"/>
    <cellStyle name="Normal 5 5 5 12" xfId="12618" xr:uid="{23E75295-F147-477E-96CA-EB5C86B5511E}"/>
    <cellStyle name="Normal 5 5 5 2" xfId="1216" xr:uid="{00000000-0005-0000-0000-000086060000}"/>
    <cellStyle name="Normal 5 5 5 2 2" xfId="1217" xr:uid="{00000000-0005-0000-0000-000087060000}"/>
    <cellStyle name="Normal 5 5 5 2 2 2" xfId="5370" xr:uid="{FCACC8EB-6DA7-4E83-87A7-9881E1E64148}"/>
    <cellStyle name="Normal 5 5 5 2 2 2 2" xfId="24367" xr:uid="{CBC1034A-6798-465D-AF7B-6C88ED5568FC}"/>
    <cellStyle name="Normal 5 5 5 2 2 2 3" xfId="27776" xr:uid="{C24177E6-CFA2-44F9-8258-23A36802CF58}"/>
    <cellStyle name="Normal 5 5 5 2 2 2 4" xfId="14667" xr:uid="{A35A8776-8A3B-43B0-A05C-B0D0FBEC4C53}"/>
    <cellStyle name="Normal 5 5 5 2 2 3" xfId="7120" xr:uid="{414C89D4-A323-4F0F-845B-5719799140A9}"/>
    <cellStyle name="Normal 5 5 5 2 2 3 2" xfId="27646" xr:uid="{F02604B8-A12F-4A96-A158-2EFDB4797422}"/>
    <cellStyle name="Normal 5 5 5 2 2 3 3" xfId="28035" xr:uid="{E9638A18-7FE1-4261-B179-82B687896246}"/>
    <cellStyle name="Normal 5 5 5 2 2 3 4" xfId="17500" xr:uid="{45ADF6DF-EFD3-4CAE-8E3A-10A16CEF4641}"/>
    <cellStyle name="Normal 5 5 5 2 2 4" xfId="9953" xr:uid="{20F04362-5A26-415D-881F-36416F5AC659}"/>
    <cellStyle name="Normal 5 5 5 2 2 4 2" xfId="29436" xr:uid="{BC9206DE-8D27-4114-9ABC-1420BD704A60}"/>
    <cellStyle name="Normal 5 5 5 2 2 4 3" xfId="20333" xr:uid="{581C1272-63CF-478C-BAB8-E4A5E61E4CC4}"/>
    <cellStyle name="Normal 5 5 5 2 2 5" xfId="24884" xr:uid="{2388C303-93F3-4749-93F1-93EA9E7ABBD1}"/>
    <cellStyle name="Normal 5 5 5 2 2 6" xfId="13989" xr:uid="{AD240362-FB4D-4B6A-AD0C-43D9833AD1A5}"/>
    <cellStyle name="Normal 5 5 5 2 2 7" xfId="30421" xr:uid="{892B93EE-9618-4287-AD6D-291299234D75}"/>
    <cellStyle name="Normal 5 5 5 2 3" xfId="2813" xr:uid="{00000000-0005-0000-0000-000075070000}"/>
    <cellStyle name="Normal 5 5 5 2 3 2" xfId="6029" xr:uid="{62AB6F15-9964-4C9E-8D14-8718ABD95DE2}"/>
    <cellStyle name="Normal 5 5 5 2 3 2 2" xfId="26214" xr:uid="{1136051C-9C4A-4462-A9BF-68ABF15D6279}"/>
    <cellStyle name="Normal 5 5 5 2 3 2 3" xfId="15483" xr:uid="{D594E1B4-51EF-45DC-84B1-AFC92B4B07DE}"/>
    <cellStyle name="Normal 5 5 5 2 3 3" xfId="7936" xr:uid="{3670061B-1390-40B0-872F-7C40126F21CC}"/>
    <cellStyle name="Normal 5 5 5 2 3 3 2" xfId="18316" xr:uid="{466103BF-283C-4D88-ADE1-4263E7B40722}"/>
    <cellStyle name="Normal 5 5 5 2 3 4" xfId="10769" xr:uid="{C7E2731C-C3AE-4945-9084-C93B6941B24D}"/>
    <cellStyle name="Normal 5 5 5 2 3 4 2" xfId="21149" xr:uid="{53F91B0C-7043-4FCD-B5A6-45F3B1B5AB73}"/>
    <cellStyle name="Normal 5 5 5 2 3 5" xfId="24666" xr:uid="{A19FD8AC-BF97-4D05-8A2E-76FB1CD2579B}"/>
    <cellStyle name="Normal 5 5 5 2 3 6" xfId="13280" xr:uid="{88098FBB-C014-48B5-86E3-0C17C71E0B41}"/>
    <cellStyle name="Normal 5 5 5 2 4" xfId="4208" xr:uid="{A6B1CA8D-96C0-43EB-ACA2-4F886A220171}"/>
    <cellStyle name="Normal 5 5 5 2 4 2" xfId="8980" xr:uid="{022BBE30-7EE2-4A6A-873A-8937F640EB70}"/>
    <cellStyle name="Normal 5 5 5 2 4 2 2" xfId="29061" xr:uid="{D1FEC174-600C-4F6F-8155-EF3F4025C125}"/>
    <cellStyle name="Normal 5 5 5 2 4 2 3" xfId="19360" xr:uid="{0B1C605A-9B58-44EB-B18B-979AFF7B8C7A}"/>
    <cellStyle name="Normal 5 5 5 2 4 3" xfId="11813" xr:uid="{B864424B-9BF5-48CD-939C-54F596142CE6}"/>
    <cellStyle name="Normal 5 5 5 2 4 3 2" xfId="22193" xr:uid="{7DCB35C7-FDFC-4C2B-B67C-65D7C429C395}"/>
    <cellStyle name="Normal 5 5 5 2 4 4" xfId="23836" xr:uid="{FA272100-6D47-4773-840A-2A6FF3EAD610}"/>
    <cellStyle name="Normal 5 5 5 2 4 5" xfId="16527" xr:uid="{760231F9-0ACB-4049-91C4-0D9B1B589B12}"/>
    <cellStyle name="Normal 5 5 5 2 5" xfId="5369" xr:uid="{9ADC1A57-D3CE-46B9-975F-97C8AF653527}"/>
    <cellStyle name="Normal 5 5 5 2 5 2" xfId="28333" xr:uid="{A0480643-3AB8-4E9F-957B-4AD6F55A69E3}"/>
    <cellStyle name="Normal 5 5 5 2 5 3" xfId="14666" xr:uid="{5C5310BE-E23B-4F80-B5C5-98B30FDD8638}"/>
    <cellStyle name="Normal 5 5 5 2 5 4" xfId="30561" xr:uid="{6157D6BD-25BE-47FD-B9E2-022CBE8B176C}"/>
    <cellStyle name="Normal 5 5 5 2 6" xfId="7119" xr:uid="{FB854092-8980-4F06-9F0B-ABC13970D201}"/>
    <cellStyle name="Normal 5 5 5 2 6 2" xfId="17499" xr:uid="{84D8938B-F204-458F-8BF9-653B09345A1A}"/>
    <cellStyle name="Normal 5 5 5 2 6 3" xfId="30282" xr:uid="{0405FB28-9EBE-4678-B013-B88625FCBEF2}"/>
    <cellStyle name="Normal 5 5 5 2 6 4" xfId="30692" xr:uid="{7FEF0BE8-D58E-4293-8797-6CAD4473D0E5}"/>
    <cellStyle name="Normal 5 5 5 2 7" xfId="9952" xr:uid="{F0FA93FE-3BC4-4CD0-A9C4-D02C0CA4F127}"/>
    <cellStyle name="Normal 5 5 5 2 7 2" xfId="20332" xr:uid="{FD583938-D09D-4E9F-85A5-4844CCF11D57}"/>
    <cellStyle name="Normal 5 5 5 2 8" xfId="24529" xr:uid="{3327FE76-887A-4475-85C7-8D99DC9FB0F0}"/>
    <cellStyle name="Normal 5 5 5 2 9" xfId="12776" xr:uid="{048AB379-D15A-4E96-B231-408B758BB348}"/>
    <cellStyle name="Normal 5 5 5 3" xfId="1218" xr:uid="{00000000-0005-0000-0000-000088060000}"/>
    <cellStyle name="Normal 5 5 5 3 2" xfId="4567" xr:uid="{58A2EA87-66DA-47B7-8FBA-4DE4A6FE6248}"/>
    <cellStyle name="Normal 5 5 5 3 2 2" xfId="9339" xr:uid="{88BB48B0-B364-49DA-921C-3C2522E165C2}"/>
    <cellStyle name="Normal 5 5 5 3 2 2 2" xfId="29313" xr:uid="{24F200A2-58BC-4892-ACAF-F3D3F8E009F7}"/>
    <cellStyle name="Normal 5 5 5 3 2 2 3" xfId="19719" xr:uid="{7104412B-BF2D-4755-8E88-329C85F1FD50}"/>
    <cellStyle name="Normal 5 5 5 3 2 3" xfId="12172" xr:uid="{0728B936-A8BF-4F96-B837-FCEBB44189C4}"/>
    <cellStyle name="Normal 5 5 5 3 2 3 2" xfId="22552" xr:uid="{75A6FCC8-F9C8-4841-AC96-0C15A4CB500D}"/>
    <cellStyle name="Normal 5 5 5 3 2 4" xfId="23332" xr:uid="{1A4A6263-8FCF-4428-ABDA-A2A2FB506C08}"/>
    <cellStyle name="Normal 5 5 5 3 2 5" xfId="16886" xr:uid="{0B1D36EA-2ED6-42FF-9214-AF0150472DAC}"/>
    <cellStyle name="Normal 5 5 5 3 3" xfId="5371" xr:uid="{0845D4E4-1E27-41B8-8AF9-6D70676DD26E}"/>
    <cellStyle name="Normal 5 5 5 3 3 2" xfId="22957" xr:uid="{C14D9BED-EDDC-439B-AE86-9DDDC251009F}"/>
    <cellStyle name="Normal 5 5 5 3 3 3" xfId="28432" xr:uid="{538A9165-DE48-4606-9C13-497BC7CE77BD}"/>
    <cellStyle name="Normal 5 5 5 3 3 4" xfId="14668" xr:uid="{CE094B22-59C6-48AE-87DB-8FA20BB9D4E6}"/>
    <cellStyle name="Normal 5 5 5 3 4" xfId="7121" xr:uid="{2704CCF2-EAD6-4C0A-A2A5-7F41CC568D78}"/>
    <cellStyle name="Normal 5 5 5 3 4 2" xfId="25142" xr:uid="{B846FBE5-F26C-4FA9-B81B-065952EF2B0A}"/>
    <cellStyle name="Normal 5 5 5 3 4 3" xfId="26620" xr:uid="{54992FBD-1FAB-4252-B5DE-4A5EAF4658A6}"/>
    <cellStyle name="Normal 5 5 5 3 4 4" xfId="17501" xr:uid="{D48BAEFD-8345-4869-8553-2FE0C9785906}"/>
    <cellStyle name="Normal 5 5 5 3 5" xfId="9954" xr:uid="{F167411F-D152-45F9-B2DD-01FCC3793CFF}"/>
    <cellStyle name="Normal 5 5 5 3 5 2" xfId="29437" xr:uid="{D49AAC0F-874E-4750-AB42-62A8CF6C5BCD}"/>
    <cellStyle name="Normal 5 5 5 3 5 3" xfId="20334" xr:uid="{7B4FE8CE-6A41-4BD1-905D-607121CB3E83}"/>
    <cellStyle name="Normal 5 5 5 3 6" xfId="24557" xr:uid="{B95EE0B6-9746-411A-99C7-DF892575E63F}"/>
    <cellStyle name="Normal 5 5 5 3 7" xfId="13990" xr:uid="{14FE9674-D40A-4A33-95F0-018CC67879A2}"/>
    <cellStyle name="Normal 5 5 5 4" xfId="1219" xr:uid="{00000000-0005-0000-0000-000089060000}"/>
    <cellStyle name="Normal 5 5 5 4 2" xfId="5372" xr:uid="{45BFE719-90F2-4722-9228-23B15C1BA9EA}"/>
    <cellStyle name="Normal 5 5 5 4 2 2" xfId="23884" xr:uid="{FF7882AD-B650-43A2-8B90-299E6E6A590D}"/>
    <cellStyle name="Normal 5 5 5 4 2 3" xfId="26619" xr:uid="{DEF13D60-8810-43B8-93AA-8693590CDCE3}"/>
    <cellStyle name="Normal 5 5 5 4 2 4" xfId="14669" xr:uid="{1E14CE39-49B9-41C2-A7AC-88D35D6B40D2}"/>
    <cellStyle name="Normal 5 5 5 4 3" xfId="7122" xr:uid="{CA3ADE04-7C0F-424F-8FD7-40F3FE4BA389}"/>
    <cellStyle name="Normal 5 5 5 4 3 2" xfId="25905" xr:uid="{A236CB55-4C75-426A-BD30-1115C2901D0D}"/>
    <cellStyle name="Normal 5 5 5 4 3 3" xfId="17502" xr:uid="{589001E8-3100-4474-A7AA-0E71062318F1}"/>
    <cellStyle name="Normal 5 5 5 4 4" xfId="9955" xr:uid="{EACE63F4-D33C-4DF0-81B3-7CCD65BD08CC}"/>
    <cellStyle name="Normal 5 5 5 4 4 2" xfId="20335" xr:uid="{520863E5-B0D3-49CB-9F42-F263A001D051}"/>
    <cellStyle name="Normal 5 5 5 4 5" xfId="22838" xr:uid="{5676DE0F-F16D-4B9F-A080-9A84B89C72C9}"/>
    <cellStyle name="Normal 5 5 5 4 6" xfId="13474" xr:uid="{500602CF-302A-4AC8-A976-B86C5F74E744}"/>
    <cellStyle name="Normal 5 5 5 5" xfId="2516" xr:uid="{00000000-0005-0000-0000-000078070000}"/>
    <cellStyle name="Normal 5 5 5 5 2" xfId="5794" xr:uid="{7CCC2903-A2F6-46E1-87BE-4D0A179B818B}"/>
    <cellStyle name="Normal 5 5 5 5 2 2" xfId="27198" xr:uid="{F1F4D5FC-E796-47D2-8807-A40E26BFFB34}"/>
    <cellStyle name="Normal 5 5 5 5 2 3" xfId="15188" xr:uid="{4837B486-317E-4FC1-921D-4EEB4B46BD4C}"/>
    <cellStyle name="Normal 5 5 5 5 3" xfId="7641" xr:uid="{6220D5D8-EF26-4007-B166-3AF647AB9875}"/>
    <cellStyle name="Normal 5 5 5 5 3 2" xfId="18021" xr:uid="{0B1ABCED-48B9-497B-A66E-84D542B3E228}"/>
    <cellStyle name="Normal 5 5 5 5 4" xfId="10474" xr:uid="{1B8CCB87-F62F-4772-BFF4-2D938484667A}"/>
    <cellStyle name="Normal 5 5 5 5 4 2" xfId="20854" xr:uid="{3769DF5C-8962-4083-8F0A-7BC47C781775}"/>
    <cellStyle name="Normal 5 5 5 5 5" xfId="22740" xr:uid="{92A8D6B5-003A-480D-AD45-9AB1CA391AAC}"/>
    <cellStyle name="Normal 5 5 5 5 6" xfId="12904" xr:uid="{F1DF4D56-D263-4DC4-81BE-2663EC073DDF}"/>
    <cellStyle name="Normal 5 5 5 6" xfId="2384" xr:uid="{00000000-0005-0000-0000-000072070000}"/>
    <cellStyle name="Normal 5 5 5 6 2" xfId="7511" xr:uid="{8D3C0B12-98E6-4B26-918D-28448EBBA08C}"/>
    <cellStyle name="Normal 5 5 5 6 2 2" xfId="27823" xr:uid="{AC81FED6-16C4-48B8-8C17-E609DFC7659F}"/>
    <cellStyle name="Normal 5 5 5 6 2 3" xfId="17891" xr:uid="{4F234D36-F14F-455D-A28B-8DB25B608DFB}"/>
    <cellStyle name="Normal 5 5 5 6 3" xfId="10344" xr:uid="{97EF8C04-5C97-449B-AC86-6ADC8DA6D556}"/>
    <cellStyle name="Normal 5 5 5 6 3 2" xfId="20724" xr:uid="{655B5E20-0F29-4C2B-A74C-4EBEF19867B7}"/>
    <cellStyle name="Normal 5 5 5 6 4" xfId="23206" xr:uid="{C86AB3B4-A5CB-4767-95D9-6E3840BC1E29}"/>
    <cellStyle name="Normal 5 5 5 6 5" xfId="15058" xr:uid="{9E5CF3C3-0E9E-4E8F-98EB-96AE2671A85F}"/>
    <cellStyle name="Normal 5 5 5 7" xfId="4029" xr:uid="{C7AA4B3D-D9F4-4E25-AADC-168DD5111C03}"/>
    <cellStyle name="Normal 5 5 5 7 2" xfId="8830" xr:uid="{5AA0BE2A-161F-44BA-872C-DCA0D1F8191D}"/>
    <cellStyle name="Normal 5 5 5 7 2 2" xfId="19210" xr:uid="{C772A02D-D990-4CA4-83BE-A7C708D3901F}"/>
    <cellStyle name="Normal 5 5 5 7 3" xfId="11663" xr:uid="{097005BF-3A8B-44FF-8489-CD1E2FB75373}"/>
    <cellStyle name="Normal 5 5 5 7 3 2" xfId="22043" xr:uid="{F809DEF3-E1B4-4316-A22F-FC98C786A3FE}"/>
    <cellStyle name="Normal 5 5 5 7 4" xfId="28645" xr:uid="{1EF527F3-D27E-4D69-8538-0BE485A897A3}"/>
    <cellStyle name="Normal 5 5 5 7 5" xfId="16377" xr:uid="{39826876-4779-4AA2-A43B-1D60609EDC91}"/>
    <cellStyle name="Normal 5 5 5 8" xfId="5368" xr:uid="{9D5E061F-7615-4BE5-BAC0-217AB53DF3CC}"/>
    <cellStyle name="Normal 5 5 5 8 2" xfId="14665" xr:uid="{86C6D9B4-4739-4F80-87E4-24CA576FFBC5}"/>
    <cellStyle name="Normal 5 5 5 9" xfId="7118" xr:uid="{7A9C01FA-CD4F-4744-AA62-996255D40237}"/>
    <cellStyle name="Normal 5 5 5 9 2" xfId="17498" xr:uid="{3E75972A-A69E-45EB-93ED-EA4B0032F62E}"/>
    <cellStyle name="Normal 5 5 6" xfId="1220" xr:uid="{00000000-0005-0000-0000-00008A060000}"/>
    <cellStyle name="Normal 5 5 6 10" xfId="9956" xr:uid="{6EEB70CD-A015-4A9B-AC88-D035DFFCB62D}"/>
    <cellStyle name="Normal 5 5 6 10 2" xfId="20336" xr:uid="{B4A1A7B8-1FEE-4206-B280-9DCBD474C172}"/>
    <cellStyle name="Normal 5 5 6 11" xfId="24163" xr:uid="{B8349E58-0DEA-4C18-AF48-5526BB9C7BCA}"/>
    <cellStyle name="Normal 5 5 6 12" xfId="12619" xr:uid="{9C293F44-D44C-4663-86D2-00E27104FD4F}"/>
    <cellStyle name="Normal 5 5 6 2" xfId="1221" xr:uid="{00000000-0005-0000-0000-00008B060000}"/>
    <cellStyle name="Normal 5 5 6 2 2" xfId="1222" xr:uid="{00000000-0005-0000-0000-00008C060000}"/>
    <cellStyle name="Normal 5 5 6 2 2 2" xfId="5375" xr:uid="{CDE40F86-F9DF-4DC3-9980-578B96CB55D3}"/>
    <cellStyle name="Normal 5 5 6 2 2 2 2" xfId="25700" xr:uid="{F7D92C3C-FC85-4B0B-B152-E9B7EE05937F}"/>
    <cellStyle name="Normal 5 5 6 2 2 2 3" xfId="27312" xr:uid="{B1ED235E-B447-4C10-811A-E3A301235D32}"/>
    <cellStyle name="Normal 5 5 6 2 2 2 4" xfId="14672" xr:uid="{5C5616AD-2DAD-4D67-9C9F-5F6DCBA8E4A8}"/>
    <cellStyle name="Normal 5 5 6 2 2 3" xfId="7125" xr:uid="{FEF6CD90-16F7-4057-AEF9-17B409260224}"/>
    <cellStyle name="Normal 5 5 6 2 2 3 2" xfId="27647" xr:uid="{0B3B660A-7011-4368-8FB3-B27BE3F4CDE4}"/>
    <cellStyle name="Normal 5 5 6 2 2 3 3" xfId="26193" xr:uid="{E23577E3-8C64-48F2-82A9-5900E1494813}"/>
    <cellStyle name="Normal 5 5 6 2 2 3 4" xfId="17505" xr:uid="{B5D80408-07A1-4519-BF70-B6C1D147F2F8}"/>
    <cellStyle name="Normal 5 5 6 2 2 4" xfId="9958" xr:uid="{446F0DFD-8CE2-419E-88B7-B6DF48636C48}"/>
    <cellStyle name="Normal 5 5 6 2 2 4 2" xfId="29438" xr:uid="{65D94745-4EE7-4EB2-9A3F-41C69496D278}"/>
    <cellStyle name="Normal 5 5 6 2 2 4 3" xfId="20338" xr:uid="{05475EAF-E766-4F31-997A-B3C55DB3C61E}"/>
    <cellStyle name="Normal 5 5 6 2 2 5" xfId="23654" xr:uid="{29DC5747-4388-4069-9CD7-83318DBC9509}"/>
    <cellStyle name="Normal 5 5 6 2 2 6" xfId="13991" xr:uid="{92A932BF-932B-4A06-B455-BDBF41B6A85A}"/>
    <cellStyle name="Normal 5 5 6 2 2 7" xfId="30422" xr:uid="{4046CE2A-3B6E-4021-8E7A-53DC1162E180}"/>
    <cellStyle name="Normal 5 5 6 2 3" xfId="2814" xr:uid="{00000000-0005-0000-0000-00007C070000}"/>
    <cellStyle name="Normal 5 5 6 2 3 2" xfId="6030" xr:uid="{13C3605F-2576-4686-B7A9-A2C135517A5B}"/>
    <cellStyle name="Normal 5 5 6 2 3 2 2" xfId="26714" xr:uid="{628696E7-D89A-4D16-BD64-6C184FC453C1}"/>
    <cellStyle name="Normal 5 5 6 2 3 2 3" xfId="15484" xr:uid="{615A8357-04D1-4671-B0EA-66FDB86B4534}"/>
    <cellStyle name="Normal 5 5 6 2 3 3" xfId="7937" xr:uid="{83E1C646-6BA7-460A-A3E9-39E698708535}"/>
    <cellStyle name="Normal 5 5 6 2 3 3 2" xfId="18317" xr:uid="{E1ECE0D1-EFD8-46AF-BB41-48C8D2A65BF4}"/>
    <cellStyle name="Normal 5 5 6 2 3 4" xfId="10770" xr:uid="{55F877D8-1DC6-420B-AD0F-8E9082ED7B79}"/>
    <cellStyle name="Normal 5 5 6 2 3 4 2" xfId="21150" xr:uid="{553701C5-EAAD-43E7-8CBB-1858BABCB8C5}"/>
    <cellStyle name="Normal 5 5 6 2 3 5" xfId="25378" xr:uid="{03934C22-396E-4729-8431-8374205DF924}"/>
    <cellStyle name="Normal 5 5 6 2 3 6" xfId="13281" xr:uid="{31BBC8F6-AE54-4AF1-9339-B1A8F606F659}"/>
    <cellStyle name="Normal 5 5 6 2 4" xfId="4209" xr:uid="{C5EBD5B1-84A3-4D3A-9865-BF68F20B2782}"/>
    <cellStyle name="Normal 5 5 6 2 4 2" xfId="8981" xr:uid="{13D76342-EC5E-4AF0-9E4B-6A88ED465A60}"/>
    <cellStyle name="Normal 5 5 6 2 4 2 2" xfId="29062" xr:uid="{8D2A4BD1-AF0A-4879-9B45-8AFB7EA9D996}"/>
    <cellStyle name="Normal 5 5 6 2 4 2 3" xfId="19361" xr:uid="{B1ECAA98-F080-4B67-AD68-E76C3E8B4857}"/>
    <cellStyle name="Normal 5 5 6 2 4 3" xfId="11814" xr:uid="{AC66E1A0-9AA7-4A47-823A-789B7595EA98}"/>
    <cellStyle name="Normal 5 5 6 2 4 3 2" xfId="22194" xr:uid="{84C60AFC-2716-41AA-B1CB-3A20BD141741}"/>
    <cellStyle name="Normal 5 5 6 2 4 4" xfId="24184" xr:uid="{44CEF633-C0DB-45B9-A242-DE29C09DA71C}"/>
    <cellStyle name="Normal 5 5 6 2 4 5" xfId="16528" xr:uid="{0D879ADC-3C70-485F-BCB0-9E626CE4AB60}"/>
    <cellStyle name="Normal 5 5 6 2 5" xfId="5374" xr:uid="{03C0E654-1E46-42BD-9DAE-F03D7614F235}"/>
    <cellStyle name="Normal 5 5 6 2 5 2" xfId="26365" xr:uid="{9A8328A8-C0E4-46B4-8068-4A4266341067}"/>
    <cellStyle name="Normal 5 5 6 2 5 3" xfId="14671" xr:uid="{51156F89-C961-4DBD-ADCD-864D8202C171}"/>
    <cellStyle name="Normal 5 5 6 2 5 4" xfId="30548" xr:uid="{DF80F16E-64BF-4222-A026-D1E640A00C36}"/>
    <cellStyle name="Normal 5 5 6 2 6" xfId="7124" xr:uid="{2329B334-BD2C-4E7B-B94A-ABB4C00B17EF}"/>
    <cellStyle name="Normal 5 5 6 2 6 2" xfId="17504" xr:uid="{70018A48-9751-46A9-8AE3-14CAEEBD4F81}"/>
    <cellStyle name="Normal 5 5 6 2 6 3" xfId="30283" xr:uid="{7F2E8441-37CC-4879-BCFA-D2AB14B55B05}"/>
    <cellStyle name="Normal 5 5 6 2 6 4" xfId="30693" xr:uid="{5B6B7533-82C9-4A7D-BBC2-126B5E6F2F5A}"/>
    <cellStyle name="Normal 5 5 6 2 7" xfId="9957" xr:uid="{6EA1EA1C-01B4-44C8-83BC-065584F05E93}"/>
    <cellStyle name="Normal 5 5 6 2 7 2" xfId="20337" xr:uid="{2EE71426-43B2-46BB-B971-3B2DDB9F3D48}"/>
    <cellStyle name="Normal 5 5 6 2 8" xfId="24476" xr:uid="{C6A8A916-DD63-4CA0-B32C-738BEA8EA594}"/>
    <cellStyle name="Normal 5 5 6 2 9" xfId="12777" xr:uid="{BC527640-3D79-4958-B1D2-C02A79A6E76C}"/>
    <cellStyle name="Normal 5 5 6 3" xfId="1223" xr:uid="{00000000-0005-0000-0000-00008D060000}"/>
    <cellStyle name="Normal 5 5 6 3 2" xfId="4568" xr:uid="{ACD83D57-3DE5-4558-BE38-8475C61839FE}"/>
    <cellStyle name="Normal 5 5 6 3 2 2" xfId="9340" xr:uid="{B2082EEB-65FE-4F3B-BFFB-5544B1414BDE}"/>
    <cellStyle name="Normal 5 5 6 3 2 2 2" xfId="29314" xr:uid="{8A92274D-027B-4A60-A6E7-C43392C0C43B}"/>
    <cellStyle name="Normal 5 5 6 3 2 2 3" xfId="19720" xr:uid="{D3513F62-205E-49C7-A0D8-7242F205123E}"/>
    <cellStyle name="Normal 5 5 6 3 2 3" xfId="12173" xr:uid="{00C44274-DA69-4A6C-9265-49E7873A84CD}"/>
    <cellStyle name="Normal 5 5 6 3 2 3 2" xfId="22553" xr:uid="{A81F6365-28D6-4CA6-8501-C6F296B31710}"/>
    <cellStyle name="Normal 5 5 6 3 2 4" xfId="24778" xr:uid="{4597C8CF-6853-4785-A153-F2D6BEB4A80D}"/>
    <cellStyle name="Normal 5 5 6 3 2 5" xfId="16887" xr:uid="{E26DD20E-0140-4D48-A1A4-B69222AF14F1}"/>
    <cellStyle name="Normal 5 5 6 3 3" xfId="5376" xr:uid="{F51C0721-BBA3-461C-9BB7-C687AFDC0ABB}"/>
    <cellStyle name="Normal 5 5 6 3 3 2" xfId="26854" xr:uid="{A495A101-35A8-4017-A3CA-76C27D562F57}"/>
    <cellStyle name="Normal 5 5 6 3 3 3" xfId="27733" xr:uid="{DDCBFF35-41AE-4524-85CD-0AF80E2A4BD4}"/>
    <cellStyle name="Normal 5 5 6 3 3 4" xfId="14673" xr:uid="{432695F9-6711-4AC9-88D9-FD85C71B1064}"/>
    <cellStyle name="Normal 5 5 6 3 4" xfId="7126" xr:uid="{C6515211-7A56-4FEF-A578-57C661268797}"/>
    <cellStyle name="Normal 5 5 6 3 4 2" xfId="26295" xr:uid="{CF22D48D-09C9-49FB-A2FF-C2F69C9C45F3}"/>
    <cellStyle name="Normal 5 5 6 3 4 3" xfId="28404" xr:uid="{9B985830-4FA7-4645-8568-0B9F49912AE0}"/>
    <cellStyle name="Normal 5 5 6 3 4 4" xfId="17506" xr:uid="{5C33A17E-3D29-43F0-BBDE-F347BE8C996D}"/>
    <cellStyle name="Normal 5 5 6 3 5" xfId="9959" xr:uid="{08FC8579-C9D5-4FC4-BD15-8576FF1397AC}"/>
    <cellStyle name="Normal 5 5 6 3 5 2" xfId="29439" xr:uid="{B27F0A07-3523-418C-B6BB-98F3D23D0A4E}"/>
    <cellStyle name="Normal 5 5 6 3 5 3" xfId="20339" xr:uid="{126EDBB3-8A5F-46EF-8E95-D4F13FED7E5E}"/>
    <cellStyle name="Normal 5 5 6 3 6" xfId="23083" xr:uid="{E237F0A5-6513-4735-A38F-86FB094DBCA1}"/>
    <cellStyle name="Normal 5 5 6 3 7" xfId="13992" xr:uid="{DF9C8095-BC55-4766-A742-79804A643804}"/>
    <cellStyle name="Normal 5 5 6 4" xfId="1224" xr:uid="{00000000-0005-0000-0000-00008E060000}"/>
    <cellStyle name="Normal 5 5 6 4 2" xfId="5377" xr:uid="{86FD4E8C-082F-4BEC-916B-07BFF450C7AF}"/>
    <cellStyle name="Normal 5 5 6 4 2 2" xfId="22950" xr:uid="{D66E9271-00C6-48E6-9854-C9FCA2482B6E}"/>
    <cellStyle name="Normal 5 5 6 4 2 3" xfId="26733" xr:uid="{81D18B65-E513-42F7-B581-A75F2EDB1D2F}"/>
    <cellStyle name="Normal 5 5 6 4 2 4" xfId="14674" xr:uid="{B4B4FF8D-0A85-4AA9-8DF9-379D4EB57653}"/>
    <cellStyle name="Normal 5 5 6 4 3" xfId="7127" xr:uid="{3B0E9406-A094-4E19-8AF5-BFE908960147}"/>
    <cellStyle name="Normal 5 5 6 4 3 2" xfId="28417" xr:uid="{BA43560F-41EA-43C1-AF4A-B43F7C22E59F}"/>
    <cellStyle name="Normal 5 5 6 4 3 3" xfId="17507" xr:uid="{3A34CD3A-4373-47F0-8B09-C815DBB85517}"/>
    <cellStyle name="Normal 5 5 6 4 4" xfId="9960" xr:uid="{00A68561-A889-4876-BD93-DCD4E076BA39}"/>
    <cellStyle name="Normal 5 5 6 4 4 2" xfId="20340" xr:uid="{3ABC0843-2C5F-46D9-B912-5C12BB77CA5B}"/>
    <cellStyle name="Normal 5 5 6 4 5" xfId="22945" xr:uid="{356FEBF9-1137-4BF0-8596-C71DB88BD296}"/>
    <cellStyle name="Normal 5 5 6 4 6" xfId="13475" xr:uid="{001E17DE-2D5E-489E-BFC4-4AEF2E917B35}"/>
    <cellStyle name="Normal 5 5 6 5" xfId="2579" xr:uid="{00000000-0005-0000-0000-00007F070000}"/>
    <cellStyle name="Normal 5 5 6 5 2" xfId="5844" xr:uid="{151CA46E-5812-4546-9888-067ACA00706C}"/>
    <cellStyle name="Normal 5 5 6 5 2 2" xfId="27896" xr:uid="{C8FDCBE8-1CFA-45A8-A557-2BAB27E8DB55}"/>
    <cellStyle name="Normal 5 5 6 5 2 3" xfId="15251" xr:uid="{0670CA33-C44B-4A1C-926B-D5A1F99BE1A2}"/>
    <cellStyle name="Normal 5 5 6 5 3" xfId="7704" xr:uid="{488B38C3-B909-489F-9E3E-C127E39FE0FC}"/>
    <cellStyle name="Normal 5 5 6 5 3 2" xfId="18084" xr:uid="{6CAB44CC-D3F5-4FAF-B02E-06875B7715CC}"/>
    <cellStyle name="Normal 5 5 6 5 4" xfId="10537" xr:uid="{F0BB4B85-C2FE-48C0-9035-F59F6B6AF553}"/>
    <cellStyle name="Normal 5 5 6 5 4 2" xfId="20917" xr:uid="{5D34E16D-65A8-4796-B423-B869C0EC33AE}"/>
    <cellStyle name="Normal 5 5 6 5 5" xfId="25042" xr:uid="{10CE3F26-A178-42B3-8CFB-B5EE0FBF41E0}"/>
    <cellStyle name="Normal 5 5 6 5 6" xfId="12967" xr:uid="{9F7E1AE8-61D7-43B4-84C3-BB6A2BC47D29}"/>
    <cellStyle name="Normal 5 5 6 6" xfId="2385" xr:uid="{00000000-0005-0000-0000-000079070000}"/>
    <cellStyle name="Normal 5 5 6 6 2" xfId="7512" xr:uid="{915E2F73-636F-47E4-9C3E-B5751BBAC000}"/>
    <cellStyle name="Normal 5 5 6 6 2 2" xfId="27525" xr:uid="{A9800C9F-CA9F-438C-8267-C35D597EC015}"/>
    <cellStyle name="Normal 5 5 6 6 2 3" xfId="17892" xr:uid="{AD156AFE-689A-4610-B8D3-86099B7264D1}"/>
    <cellStyle name="Normal 5 5 6 6 3" xfId="10345" xr:uid="{50B70286-31B7-4705-A652-EEA9BF7487C1}"/>
    <cellStyle name="Normal 5 5 6 6 3 2" xfId="20725" xr:uid="{10AB95FA-D702-4886-A63B-ABFA0AC50956}"/>
    <cellStyle name="Normal 5 5 6 6 4" xfId="25399" xr:uid="{6FF132A8-AC59-47F8-B313-57B497617DD7}"/>
    <cellStyle name="Normal 5 5 6 6 5" xfId="15059" xr:uid="{D9CF1F1B-CA38-45C6-BB21-400D5B7E3B6B}"/>
    <cellStyle name="Normal 5 5 6 7" xfId="4030" xr:uid="{4C08CD9B-604C-4ADB-A4AF-D05931C1CD7D}"/>
    <cellStyle name="Normal 5 5 6 7 2" xfId="8831" xr:uid="{A1F41227-AEFD-4126-8736-F2CFC05EA1AF}"/>
    <cellStyle name="Normal 5 5 6 7 2 2" xfId="19211" xr:uid="{B4E907F3-BE3A-4D0A-9835-3CE217D62A2B}"/>
    <cellStyle name="Normal 5 5 6 7 3" xfId="11664" xr:uid="{A62C39DD-9B42-4CF3-B6C6-0A1CFF9C6F99}"/>
    <cellStyle name="Normal 5 5 6 7 3 2" xfId="22044" xr:uid="{121163AC-B2D9-428B-BAEA-9FBE2FFE74DC}"/>
    <cellStyle name="Normal 5 5 6 7 4" xfId="26765" xr:uid="{CD398623-6C6C-4BC2-82A4-C832B8AB9E58}"/>
    <cellStyle name="Normal 5 5 6 7 5" xfId="16378" xr:uid="{AFFAC0D2-105D-4FD1-9A2C-08044472405C}"/>
    <cellStyle name="Normal 5 5 6 8" xfId="5373" xr:uid="{C8B8751A-F737-4FFF-B4AF-2ED804A41D50}"/>
    <cellStyle name="Normal 5 5 6 8 2" xfId="14670" xr:uid="{D4DB0CD4-5517-4CA3-927B-01EB62213EAC}"/>
    <cellStyle name="Normal 5 5 6 9" xfId="7123" xr:uid="{085E023A-E4FA-4ACC-B822-992E07188A31}"/>
    <cellStyle name="Normal 5 5 6 9 2" xfId="17503" xr:uid="{E75F1C48-21C4-4E40-8F71-C8D5459D0AFD}"/>
    <cellStyle name="Normal 5 5 7" xfId="1225" xr:uid="{00000000-0005-0000-0000-00008F060000}"/>
    <cellStyle name="Normal 5 5 7 10" xfId="12620" xr:uid="{2CE59225-D865-4685-BFE3-B2793300DD83}"/>
    <cellStyle name="Normal 5 5 7 2" xfId="1226" xr:uid="{00000000-0005-0000-0000-000090060000}"/>
    <cellStyle name="Normal 5 5 7 2 2" xfId="2968" xr:uid="{00000000-0005-0000-0000-000082070000}"/>
    <cellStyle name="Normal 5 5 7 2 2 2" xfId="6133" xr:uid="{DF12A09B-446A-4806-8AA7-52F18594D853}"/>
    <cellStyle name="Normal 5 5 7 2 2 2 2" xfId="28134" xr:uid="{287D7080-CAC1-48FB-BDC8-DBDEF7205421}"/>
    <cellStyle name="Normal 5 5 7 2 2 2 3" xfId="26680" xr:uid="{2D34B869-C594-4F32-BA84-C78E41629D48}"/>
    <cellStyle name="Normal 5 5 7 2 2 2 4" xfId="15611" xr:uid="{15546E4B-B6FC-4619-BDB9-9AF5F1C16235}"/>
    <cellStyle name="Normal 5 5 7 2 2 3" xfId="8064" xr:uid="{64AF773E-6ACD-420B-B8D2-4FB5849D8190}"/>
    <cellStyle name="Normal 5 5 7 2 2 3 2" xfId="28762" xr:uid="{BE449C1B-FF30-4ADA-8453-43358F611491}"/>
    <cellStyle name="Normal 5 5 7 2 2 3 3" xfId="18444" xr:uid="{0075D294-103E-41F3-8119-1E6847751D82}"/>
    <cellStyle name="Normal 5 5 7 2 2 4" xfId="10897" xr:uid="{C0E9075E-DA7D-4089-AFF1-44199F22AC36}"/>
    <cellStyle name="Normal 5 5 7 2 2 4 2" xfId="21277" xr:uid="{75EC0386-19EF-4DCD-8937-70975FCEA266}"/>
    <cellStyle name="Normal 5 5 7 2 2 5" xfId="22795" xr:uid="{C80C1820-97C4-4E5B-AB92-0FAE4E57DF58}"/>
    <cellStyle name="Normal 5 5 7 2 2 6" xfId="13476" xr:uid="{114C263B-841E-45C9-9B90-A4796F0A2D8B}"/>
    <cellStyle name="Normal 5 5 7 2 3" xfId="5379" xr:uid="{62B1FFD8-3506-4F23-A9D5-0A302EE5EC5B}"/>
    <cellStyle name="Normal 5 5 7 2 3 2" xfId="24710" xr:uid="{5E132235-FA12-4C6C-9BC5-1DF08708EBE7}"/>
    <cellStyle name="Normal 5 5 7 2 3 3" xfId="28237" xr:uid="{D45E94F4-FED9-4F57-9576-3BFCFDDB1983}"/>
    <cellStyle name="Normal 5 5 7 2 3 4" xfId="14676" xr:uid="{73BF6DC8-DC03-4F41-B6BA-BF9712DA6D16}"/>
    <cellStyle name="Normal 5 5 7 2 4" xfId="7129" xr:uid="{007A5B14-E276-4597-8BA7-3A1D9F27A771}"/>
    <cellStyle name="Normal 5 5 7 2 4 2" xfId="26709" xr:uid="{4204EA0E-2CD8-4B31-BF39-F255100557C7}"/>
    <cellStyle name="Normal 5 5 7 2 4 3" xfId="26604" xr:uid="{9587304A-298C-42C2-89FE-A8D871D8B372}"/>
    <cellStyle name="Normal 5 5 7 2 4 4" xfId="17509" xr:uid="{F4219942-775D-49A8-B231-ADDF3238F212}"/>
    <cellStyle name="Normal 5 5 7 2 5" xfId="9962" xr:uid="{AA89878B-9247-486A-AEA6-FA18B854A097}"/>
    <cellStyle name="Normal 5 5 7 2 5 2" xfId="29440" xr:uid="{725804D9-55D1-48E9-9120-665ED0F66786}"/>
    <cellStyle name="Normal 5 5 7 2 5 3" xfId="20342" xr:uid="{EAF87BE4-15A0-4052-B4EA-009CD7B85D1C}"/>
    <cellStyle name="Normal 5 5 7 2 5 4" xfId="30731" xr:uid="{83C761A4-1A23-41DE-967B-4CEC0822D707}"/>
    <cellStyle name="Normal 5 5 7 2 6" xfId="24533" xr:uid="{0DE5A35A-2E97-4301-8B12-1416B692F726}"/>
    <cellStyle name="Normal 5 5 7 2 7" xfId="12778" xr:uid="{E65F1D4D-7A99-4C0B-BB48-AD4A31224019}"/>
    <cellStyle name="Normal 5 5 7 2 8" xfId="30353" xr:uid="{38BEA1F0-471B-494F-900B-72D9F524E79A}"/>
    <cellStyle name="Normal 5 5 7 3" xfId="1227" xr:uid="{00000000-0005-0000-0000-000091060000}"/>
    <cellStyle name="Normal 5 5 7 3 2" xfId="5380" xr:uid="{5D1B5A8B-DFD3-4E3B-B7AE-8808F340FA31}"/>
    <cellStyle name="Normal 5 5 7 3 2 2" xfId="26716" xr:uid="{B71CB86C-65D1-407B-8217-2604C578C11A}"/>
    <cellStyle name="Normal 5 5 7 3 2 3" xfId="25848" xr:uid="{AE74042E-DD15-4649-9D09-647A425563FF}"/>
    <cellStyle name="Normal 5 5 7 3 2 4" xfId="14677" xr:uid="{E5A02E31-6126-4AF7-95E5-AAAABE9064F1}"/>
    <cellStyle name="Normal 5 5 7 3 3" xfId="7130" xr:uid="{4F3261E5-D6A6-43ED-95EF-0D3E97758D08}"/>
    <cellStyle name="Normal 5 5 7 3 3 2" xfId="27427" xr:uid="{FC15D81A-F1B1-45F9-A769-5A122F50485D}"/>
    <cellStyle name="Normal 5 5 7 3 3 3" xfId="26845" xr:uid="{CE0ED922-644C-4F58-ACED-9C99FFD88B89}"/>
    <cellStyle name="Normal 5 5 7 3 3 4" xfId="17510" xr:uid="{C5163A04-4DD4-4ABD-80FE-8EC5140B5C0C}"/>
    <cellStyle name="Normal 5 5 7 3 4" xfId="9963" xr:uid="{8CBBAEC9-B7D1-46C6-B886-F34EAF682803}"/>
    <cellStyle name="Normal 5 5 7 3 4 2" xfId="29441" xr:uid="{16DDF990-AB59-42FC-AE78-DBAD703881B7}"/>
    <cellStyle name="Normal 5 5 7 3 4 3" xfId="20343" xr:uid="{005259F5-E70A-4213-AF68-0E4641894199}"/>
    <cellStyle name="Normal 5 5 7 3 5" xfId="22856" xr:uid="{0348CF96-F6F3-4C6D-B4BA-A803C5FEC7A0}"/>
    <cellStyle name="Normal 5 5 7 3 6" xfId="13282" xr:uid="{31327C97-CA05-47DE-A323-66B96157E7E6}"/>
    <cellStyle name="Normal 5 5 7 4" xfId="2386" xr:uid="{00000000-0005-0000-0000-000080070000}"/>
    <cellStyle name="Normal 5 5 7 4 2" xfId="7513" xr:uid="{06620718-82D7-449D-BC8A-65A1FCA7CD1B}"/>
    <cellStyle name="Normal 5 5 7 4 2 2" xfId="28371" xr:uid="{77AAB7CD-CFEC-44E3-96B6-8B73E3271381}"/>
    <cellStyle name="Normal 5 5 7 4 2 3" xfId="17893" xr:uid="{203BDB86-0203-4140-B4EB-DAF2293C7CCB}"/>
    <cellStyle name="Normal 5 5 7 4 3" xfId="10346" xr:uid="{67C5DDFE-B833-4338-A4EC-91A2E34F312A}"/>
    <cellStyle name="Normal 5 5 7 4 3 2" xfId="20726" xr:uid="{EC4D44FF-D7FF-4402-B5A6-8BA33E08BAC5}"/>
    <cellStyle name="Normal 5 5 7 4 4" xfId="25463" xr:uid="{DA714827-6702-43DE-B389-0EDF388AE5EA}"/>
    <cellStyle name="Normal 5 5 7 4 5" xfId="15060" xr:uid="{A7F1EB7E-D4B4-4905-B109-EC7EF55C49F8}"/>
    <cellStyle name="Normal 5 5 7 5" xfId="4031" xr:uid="{ED947DAA-371E-4C03-B6A7-8372C0C37EB6}"/>
    <cellStyle name="Normal 5 5 7 5 2" xfId="8832" xr:uid="{F9271682-9920-47AF-A906-7F969C6C0BCB}"/>
    <cellStyle name="Normal 5 5 7 5 2 2" xfId="28991" xr:uid="{9A639588-9BB2-45D2-9A6E-0F165BF35CC5}"/>
    <cellStyle name="Normal 5 5 7 5 2 3" xfId="19212" xr:uid="{6D987478-876F-4959-B431-5670F63D80AC}"/>
    <cellStyle name="Normal 5 5 7 5 3" xfId="11665" xr:uid="{0B668A09-0B6A-4A72-B2A7-B046302FC851}"/>
    <cellStyle name="Normal 5 5 7 5 3 2" xfId="22045" xr:uid="{E8ADD2EE-4298-424F-AAA2-20A7F2FE34F5}"/>
    <cellStyle name="Normal 5 5 7 5 4" xfId="23977" xr:uid="{362AAFC4-B91E-4DEC-B618-C89A9892DD4E}"/>
    <cellStyle name="Normal 5 5 7 5 5" xfId="16379" xr:uid="{086519B5-B122-460C-B5FC-1E50E222F34D}"/>
    <cellStyle name="Normal 5 5 7 6" xfId="5378" xr:uid="{26300556-557E-4082-8B60-B8830D25A460}"/>
    <cellStyle name="Normal 5 5 7 6 2" xfId="27758" xr:uid="{885ED2A7-0EDC-48D2-97DD-F55865D06BC9}"/>
    <cellStyle name="Normal 5 5 7 6 3" xfId="28212" xr:uid="{EC5D5EA3-7881-46A6-B0A6-BF5F976471EA}"/>
    <cellStyle name="Normal 5 5 7 6 4" xfId="14675" xr:uid="{50C9F68A-C3C5-4C1D-9F17-A272EAD10A97}"/>
    <cellStyle name="Normal 5 5 7 7" xfId="7128" xr:uid="{17F7932A-0BB0-42C5-9388-A4903D0A5069}"/>
    <cellStyle name="Normal 5 5 7 7 2" xfId="27294" xr:uid="{0EA9BA65-7403-4833-8623-2657BE8EA453}"/>
    <cellStyle name="Normal 5 5 7 7 3" xfId="17508" xr:uid="{9A2206DC-59DF-4A72-9FFC-5E36168D1C10}"/>
    <cellStyle name="Normal 5 5 7 8" xfId="9961" xr:uid="{6935D2E1-57D5-41C9-8D13-32764C290B24}"/>
    <cellStyle name="Normal 5 5 7 8 2" xfId="20341" xr:uid="{C53E5CD7-732F-4FFC-95AD-8B0C6F9D5534}"/>
    <cellStyle name="Normal 5 5 7 9" xfId="23854" xr:uid="{EA45A73B-8161-459B-8D64-E0A17181CCBC}"/>
    <cellStyle name="Normal 5 5 8" xfId="1228" xr:uid="{00000000-0005-0000-0000-000092060000}"/>
    <cellStyle name="Normal 5 5 8 10" xfId="12621" xr:uid="{4692576D-8AE3-450E-8272-9E48C4FD90CD}"/>
    <cellStyle name="Normal 5 5 8 2" xfId="1229" xr:uid="{00000000-0005-0000-0000-000093060000}"/>
    <cellStyle name="Normal 5 5 8 2 2" xfId="2969" xr:uid="{00000000-0005-0000-0000-000086070000}"/>
    <cellStyle name="Normal 5 5 8 2 2 2" xfId="6134" xr:uid="{23583555-56F1-4626-A3D2-93F8AD74FC7C}"/>
    <cellStyle name="Normal 5 5 8 2 2 2 2" xfId="26061" xr:uid="{17BB1EC5-47B5-42DC-A7F1-62E1932F379A}"/>
    <cellStyle name="Normal 5 5 8 2 2 2 3" xfId="28205" xr:uid="{1CD5DF35-3813-48B7-9249-D550A8FBFBC1}"/>
    <cellStyle name="Normal 5 5 8 2 2 2 4" xfId="15612" xr:uid="{C98894EB-883D-493A-B53D-A6A32DB37AF4}"/>
    <cellStyle name="Normal 5 5 8 2 2 3" xfId="8065" xr:uid="{D241DEDD-FF0C-4A85-9445-1C80D1D9D2BB}"/>
    <cellStyle name="Normal 5 5 8 2 2 3 2" xfId="28763" xr:uid="{AEF191AE-C1DB-4F24-8595-4374070D62A5}"/>
    <cellStyle name="Normal 5 5 8 2 2 3 3" xfId="18445" xr:uid="{8971FB0E-A446-4AE9-88ED-CCF7E3AB18B5}"/>
    <cellStyle name="Normal 5 5 8 2 2 4" xfId="10898" xr:uid="{4A64BE24-DD55-4796-BF60-CCC45FC14999}"/>
    <cellStyle name="Normal 5 5 8 2 2 4 2" xfId="21278" xr:uid="{A0448FD8-514E-4B38-97B0-5C920562CCE6}"/>
    <cellStyle name="Normal 5 5 8 2 2 5" xfId="25390" xr:uid="{304FCE7B-DBF4-4A85-A0EB-2D09E9A4E16C}"/>
    <cellStyle name="Normal 5 5 8 2 2 6" xfId="13477" xr:uid="{0FDF7A1A-7DE7-4386-8B1E-0081216BA5B1}"/>
    <cellStyle name="Normal 5 5 8 2 3" xfId="5382" xr:uid="{28E26E73-B0EA-480D-A7FA-647939548711}"/>
    <cellStyle name="Normal 5 5 8 2 3 2" xfId="22789" xr:uid="{05A1BB14-5CC5-4969-9205-57AA7EABDBFC}"/>
    <cellStyle name="Normal 5 5 8 2 3 3" xfId="25863" xr:uid="{E4A49593-FE91-4477-A730-9BCC4AB579B5}"/>
    <cellStyle name="Normal 5 5 8 2 3 4" xfId="14679" xr:uid="{8632A19C-0EAA-43DC-A8E8-F2F97D8C4A28}"/>
    <cellStyle name="Normal 5 5 8 2 4" xfId="7132" xr:uid="{29DA3E0B-4167-4F0C-939E-5866351703BB}"/>
    <cellStyle name="Normal 5 5 8 2 4 2" xfId="25938" xr:uid="{FD958FAC-B768-4688-B47A-D42A14956D24}"/>
    <cellStyle name="Normal 5 5 8 2 4 3" xfId="28641" xr:uid="{A8B49F71-4CD3-4161-923F-BFE38AB9D0E6}"/>
    <cellStyle name="Normal 5 5 8 2 4 4" xfId="17512" xr:uid="{AAFE3A54-9E83-4D75-A862-B7A2AC257A8B}"/>
    <cellStyle name="Normal 5 5 8 2 5" xfId="9965" xr:uid="{86CA0C47-DEE8-4923-BBA0-B6917FB44FD3}"/>
    <cellStyle name="Normal 5 5 8 2 5 2" xfId="29442" xr:uid="{9109907C-4C0F-4B69-85D7-F8D1191FD9E8}"/>
    <cellStyle name="Normal 5 5 8 2 5 3" xfId="20345" xr:uid="{CDE8E9AF-4DAE-4662-AC89-5032923A5175}"/>
    <cellStyle name="Normal 5 5 8 2 5 4" xfId="30732" xr:uid="{D1B5B04A-3963-4EDA-8546-0BAEA21F1F71}"/>
    <cellStyle name="Normal 5 5 8 2 6" xfId="24403" xr:uid="{A31D9859-204A-484B-807F-2F0083417206}"/>
    <cellStyle name="Normal 5 5 8 2 7" xfId="12779" xr:uid="{0E95C321-2520-4C9A-88AD-5D434E3F727B}"/>
    <cellStyle name="Normal 5 5 8 2 8" xfId="30354" xr:uid="{4CAA1D43-4765-46D2-B2D1-E334B41C57B4}"/>
    <cellStyle name="Normal 5 5 8 3" xfId="1230" xr:uid="{00000000-0005-0000-0000-000094060000}"/>
    <cellStyle name="Normal 5 5 8 3 2" xfId="5383" xr:uid="{88FD3DDF-4C7F-4F5B-8FAD-3A109E913FFF}"/>
    <cellStyle name="Normal 5 5 8 3 2 2" xfId="27118" xr:uid="{CF8DD38A-CD75-4DA5-BFFA-82DC0BA5D007}"/>
    <cellStyle name="Normal 5 5 8 3 2 3" xfId="27182" xr:uid="{2B08D43A-53B8-448B-84A9-E9102893CD8A}"/>
    <cellStyle name="Normal 5 5 8 3 2 4" xfId="14680" xr:uid="{46ED660E-0474-4C37-9A58-989BEE2A2F67}"/>
    <cellStyle name="Normal 5 5 8 3 3" xfId="7133" xr:uid="{3AF719DC-EEBB-4037-8A07-3409B0B4026D}"/>
    <cellStyle name="Normal 5 5 8 3 3 2" xfId="28002" xr:uid="{6DCBEFDC-1A2D-4C78-A7C8-925F50C1DAF4}"/>
    <cellStyle name="Normal 5 5 8 3 3 3" xfId="28135" xr:uid="{4F50F1CA-3439-4758-92E8-1C92B121C9C4}"/>
    <cellStyle name="Normal 5 5 8 3 3 4" xfId="17513" xr:uid="{B9102EEC-5509-405C-ACCD-30FDFAD1F030}"/>
    <cellStyle name="Normal 5 5 8 3 4" xfId="9966" xr:uid="{B9D2C06B-972E-488D-9A65-F3FE21FE0D8D}"/>
    <cellStyle name="Normal 5 5 8 3 4 2" xfId="29443" xr:uid="{1A6A0D2B-9F47-4568-9BBC-A727B9EBBBB1}"/>
    <cellStyle name="Normal 5 5 8 3 4 3" xfId="20346" xr:uid="{EA313959-F7BC-4595-B38D-D6B2039B8207}"/>
    <cellStyle name="Normal 5 5 8 3 5" xfId="24718" xr:uid="{1D4D5F3A-B42C-4E6D-9BB2-594F2E456AC4}"/>
    <cellStyle name="Normal 5 5 8 3 6" xfId="13283" xr:uid="{CC60B2D0-00F3-4C65-A4FF-8CFC5973BC19}"/>
    <cellStyle name="Normal 5 5 8 4" xfId="2387" xr:uid="{00000000-0005-0000-0000-000084070000}"/>
    <cellStyle name="Normal 5 5 8 4 2" xfId="7514" xr:uid="{0E501E06-021C-4E16-9171-904D17CD0F51}"/>
    <cellStyle name="Normal 5 5 8 4 2 2" xfId="27617" xr:uid="{0129CB36-5BB4-4EFF-8AF5-876BDBFD24B9}"/>
    <cellStyle name="Normal 5 5 8 4 2 3" xfId="17894" xr:uid="{B310EC6F-2212-4190-A4B1-F70EA5F45D76}"/>
    <cellStyle name="Normal 5 5 8 4 3" xfId="10347" xr:uid="{C09EB9F6-35D9-4AA0-AC49-F8222A3DD781}"/>
    <cellStyle name="Normal 5 5 8 4 3 2" xfId="20727" xr:uid="{248D407E-3C7C-4679-B9BB-E19D64B0AD1E}"/>
    <cellStyle name="Normal 5 5 8 4 4" xfId="25177" xr:uid="{DBD86CAA-906A-40DC-8A27-C3BD988E3D0F}"/>
    <cellStyle name="Normal 5 5 8 4 5" xfId="15061" xr:uid="{6655A872-F6DC-41B0-B026-D6C078598353}"/>
    <cellStyle name="Normal 5 5 8 5" xfId="4032" xr:uid="{6FD30347-E184-4327-B45F-7226DDACB066}"/>
    <cellStyle name="Normal 5 5 8 5 2" xfId="8833" xr:uid="{3E3659E3-7EDE-43BE-9B86-26156D6890FE}"/>
    <cellStyle name="Normal 5 5 8 5 2 2" xfId="28992" xr:uid="{0145E712-EAAD-4297-AB0F-A1705372752A}"/>
    <cellStyle name="Normal 5 5 8 5 2 3" xfId="19213" xr:uid="{C8D2A082-A26C-40D6-8777-E977FE91F652}"/>
    <cellStyle name="Normal 5 5 8 5 3" xfId="11666" xr:uid="{BBA9C86D-8B7E-4068-BD7C-64971C5CF0BE}"/>
    <cellStyle name="Normal 5 5 8 5 3 2" xfId="22046" xr:uid="{0283CA92-74AB-4338-BCA3-D9BA32AE6180}"/>
    <cellStyle name="Normal 5 5 8 5 4" xfId="23018" xr:uid="{86435221-29A9-419C-AD4D-C63D913CAE0A}"/>
    <cellStyle name="Normal 5 5 8 5 5" xfId="16380" xr:uid="{4201ABC3-F5F7-4C3D-9C5E-44EA5E11C04E}"/>
    <cellStyle name="Normal 5 5 8 6" xfId="5381" xr:uid="{2B6F67D7-2E1F-4B28-9F6E-F54B4F89B037}"/>
    <cellStyle name="Normal 5 5 8 6 2" xfId="28735" xr:uid="{967795E7-74C9-42ED-93AB-D7521134F9D6}"/>
    <cellStyle name="Normal 5 5 8 6 3" xfId="26228" xr:uid="{BED9E503-CAC9-4497-85A1-2B2915EBB4A8}"/>
    <cellStyle name="Normal 5 5 8 6 4" xfId="14678" xr:uid="{829F3A83-B132-403D-AE92-711F3C17F0D4}"/>
    <cellStyle name="Normal 5 5 8 7" xfId="7131" xr:uid="{0FACAD69-D070-49F9-8403-38F7B1AABAD7}"/>
    <cellStyle name="Normal 5 5 8 7 2" xfId="26191" xr:uid="{F4F9371D-5CE0-4F5A-9451-65D4C3851AE0}"/>
    <cellStyle name="Normal 5 5 8 7 3" xfId="17511" xr:uid="{B7A14410-470A-4573-941F-E325DB05E722}"/>
    <cellStyle name="Normal 5 5 8 8" xfId="9964" xr:uid="{69CBE24C-AEDE-4A2B-9DE0-1E446FF6810F}"/>
    <cellStyle name="Normal 5 5 8 8 2" xfId="20344" xr:uid="{B7D3E168-ACD8-4D0A-A031-27A7A05810D9}"/>
    <cellStyle name="Normal 5 5 8 9" xfId="23705"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6" xr:uid="{F083B5EB-43B9-4590-83CA-856969DC4BF4}"/>
    <cellStyle name="Normal 5 6 2" xfId="29638" xr:uid="{B75DEE0B-F534-46AF-9926-93D48AEAA1C2}"/>
    <cellStyle name="Normal 6" xfId="1234" xr:uid="{00000000-0005-0000-0000-000098060000}"/>
    <cellStyle name="Normal 6 2" xfId="1235" xr:uid="{00000000-0005-0000-0000-000099060000}"/>
    <cellStyle name="Normal 6 2 2" xfId="1236" xr:uid="{00000000-0005-0000-0000-00009A060000}"/>
    <cellStyle name="Normal 6 2 2 2" xfId="29576"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6" xr:uid="{00000000-0005-0000-0000-000003060000}"/>
    <cellStyle name="Normal 6 2 4 2 3 2" xfId="4729" xr:uid="{36DF93BC-14C0-4C8D-9939-43490568E73B}"/>
    <cellStyle name="Normal 6 2 4 3" xfId="1241" xr:uid="{00000000-0005-0000-0000-00009F060000}"/>
    <cellStyle name="Normal 6 2 5" xfId="1242" xr:uid="{00000000-0005-0000-0000-0000A0060000}"/>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4" xr:uid="{BCEE65C1-493F-43A2-8225-D8AF26E4B811}"/>
    <cellStyle name="Normal 6 3 3 3 2 3 2 2 3" xfId="23065" xr:uid="{9BB534F7-3CF8-47D9-BE50-7E51BEA965FB}"/>
    <cellStyle name="Normal 6 3 3 3 2 3 2 3" xfId="1253" xr:uid="{00000000-0005-0000-0000-0000AB060000}"/>
    <cellStyle name="Normal 6 3 3 3 2 3 2 3 2" xfId="2014" xr:uid="{00000000-0005-0000-0000-0000AC060000}"/>
    <cellStyle name="Normal 6 3 3 3 2 3 2 3 3" xfId="3747" xr:uid="{00000000-0005-0000-0000-00000F060000}"/>
    <cellStyle name="Normal 6 3 3 3 2 3 2 3 3 2" xfId="4744" xr:uid="{52032595-B136-4D2C-B500-82ADF7DF1B2A}"/>
    <cellStyle name="Normal 6 3 3 3 2 3 2 4" xfId="23723" xr:uid="{CF6E8B82-0990-4BE4-9413-7C6041332850}"/>
    <cellStyle name="Normal 6 3 3 3 2 3 3" xfId="1254" xr:uid="{00000000-0005-0000-0000-0000AD060000}"/>
    <cellStyle name="Normal 6 3 3 3 2 3 4" xfId="2971" xr:uid="{00000000-0005-0000-0000-000096070000}"/>
    <cellStyle name="Normal 6 3 3 3 2 3 5" xfId="2127" xr:uid="{00000000-0005-0000-0000-0000BE020000}"/>
    <cellStyle name="Normal 6 3 3 3 2 3 5 2" xfId="4680" xr:uid="{D6398DC9-E5C9-496E-A2A7-CD5014D2DFA6}"/>
    <cellStyle name="Normal 6 3 3 3 2 3 6" xfId="4034" xr:uid="{C3B2AF05-98DC-463A-BA12-C74208D497DD}"/>
    <cellStyle name="Normal 6 3 3 3 2 3 6 2" xfId="4812" xr:uid="{F613BC84-EDE5-4885-8459-F27AF0BB6E85}"/>
    <cellStyle name="Normal 6 3 3 3 2 4" xfId="1255" xr:uid="{00000000-0005-0000-0000-0000AE060000}"/>
    <cellStyle name="Normal 6 3 3 3 2 4 2" xfId="2970" xr:uid="{00000000-0005-0000-0000-000097070000}"/>
    <cellStyle name="Normal 6 3 3 3 2 4 3" xfId="24637" xr:uid="{0B99EDD5-5B90-41B3-B148-FF54C30227C9}"/>
    <cellStyle name="Normal 6 3 3 3 2 4 3 2" xfId="29621" xr:uid="{5AD4FC9D-CD04-4CDE-9532-33EB4917BF7B}"/>
    <cellStyle name="Normal 6 3 3 3 2 4 3 3" xfId="29607" xr:uid="{F36EC8D3-C075-4FCC-BB6E-6F17B0D09736}"/>
    <cellStyle name="Normal 6 3 3 3 2 4 3 3 2" xfId="29648" xr:uid="{826F20A1-EE0D-443B-B788-37E26F103C4E}"/>
    <cellStyle name="Normal 6 3 3 3 2 5" xfId="2126" xr:uid="{00000000-0005-0000-0000-0000BC020000}"/>
    <cellStyle name="Normal 6 3 3 3 2 5 2" xfId="4637" xr:uid="{6DCD8049-BC85-477D-8DF4-71B624F9476D}"/>
    <cellStyle name="Normal 6 3 3 3 2 6" xfId="4033" xr:uid="{2F86E8C3-CFCF-4CC5-896B-92C102F9D7BD}"/>
    <cellStyle name="Normal 6 3 3 3 2 6 2" xfId="4725" xr:uid="{3DE8FA29-3805-45F1-AFC0-AABB851E3B0A}"/>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5" xr:uid="{00000000-0005-0000-0000-0000B4060000}"/>
    <cellStyle name="Normal 6 3 3 3 4 2 2 2 3" xfId="3748" xr:uid="{00000000-0005-0000-0000-000016060000}"/>
    <cellStyle name="Normal 6 3 3 3 4 2 2 2 3 2" xfId="4777" xr:uid="{AAE7B9DD-D69F-4E10-BB8B-20D4AC9962F5}"/>
    <cellStyle name="Normal 6 3 3 3 4 2 2 2 4" xfId="22661" xr:uid="{CBF90421-D5AC-4CAD-9FD2-36B22A63D893}"/>
    <cellStyle name="Normal 6 3 3 3 4 2 2 3" xfId="2016" xr:uid="{00000000-0005-0000-0000-0000B5060000}"/>
    <cellStyle name="Normal 6 3 3 3 4 2 2 4" xfId="25706" xr:uid="{C5F7ECBA-4F92-4F46-BA83-52E1E22E980F}"/>
    <cellStyle name="Normal 6 3 3 3 4 2 3" xfId="1261" xr:uid="{00000000-0005-0000-0000-0000B6060000}"/>
    <cellStyle name="Normal 6 3 3 3 4 2 3 2" xfId="1262" xr:uid="{00000000-0005-0000-0000-0000B7060000}"/>
    <cellStyle name="Normal 6 3 3 3 4 2 3 2 2" xfId="25668" xr:uid="{E957DF7A-A3D2-43E6-AE06-9A9BCADFE3C5}"/>
    <cellStyle name="Normal 6 3 3 3 4 2 3 2 3" xfId="23564" xr:uid="{82449096-A430-4189-883B-B78564EA965D}"/>
    <cellStyle name="Normal 6 3 3 3 4 2 3 3" xfId="1263" xr:uid="{00000000-0005-0000-0000-0000B8060000}"/>
    <cellStyle name="Normal 6 3 3 3 4 2 3 3 2" xfId="25804" xr:uid="{7B562051-5010-423F-A5F3-DA3469A63612}"/>
    <cellStyle name="Normal 6 3 3 3 4 2 3 3 3" xfId="24256" xr:uid="{D37E907C-74A2-4123-B6C7-51638602FEE9}"/>
    <cellStyle name="Normal 6 3 3 3 4 2 3 4" xfId="2129" xr:uid="{00000000-0005-0000-0000-0000C4020000}"/>
    <cellStyle name="Normal 6 3 3 3 4 2 3 4 2" xfId="4782" xr:uid="{59B8D440-8137-4B7F-A656-CF0510303CA0}"/>
    <cellStyle name="Normal 6 3 3 3 4 2 3 5" xfId="25802" xr:uid="{593CE574-319A-4AC6-9B5C-702D762FB4CA}"/>
    <cellStyle name="Normal 6 3 3 3 4 2 4" xfId="25640" xr:uid="{EABC3D6A-712F-4FB3-BEB7-DF746EAFE1AE}"/>
    <cellStyle name="Normal 6 3 3 3 4 3" xfId="1264" xr:uid="{00000000-0005-0000-0000-0000B9060000}"/>
    <cellStyle name="Normal 6 3 3 3 4 4" xfId="2972" xr:uid="{00000000-0005-0000-0000-00009F070000}"/>
    <cellStyle name="Normal 6 3 3 3 4 5" xfId="2128" xr:uid="{00000000-0005-0000-0000-0000C1020000}"/>
    <cellStyle name="Normal 6 3 3 3 4 5 2" xfId="4672" xr:uid="{3CF7EC19-F0E2-4711-B08D-946163A456F8}"/>
    <cellStyle name="Normal 6 3 3 3 4 6" xfId="4035" xr:uid="{4F2918E3-7CCF-44F2-8B12-399DCD69E664}"/>
    <cellStyle name="Normal 6 3 3 3 4 6 2" xfId="4704" xr:uid="{66B78E9E-F4AB-4BA4-9562-EF211951A15F}"/>
    <cellStyle name="Normal 6 3 3 3 5" xfId="1265" xr:uid="{00000000-0005-0000-0000-0000BA060000}"/>
    <cellStyle name="Normal 6 3 3 3 5 2" xfId="1266" xr:uid="{00000000-0005-0000-0000-0000BB060000}"/>
    <cellStyle name="Normal 6 3 3 3 5 3" xfId="3749" xr:uid="{00000000-0005-0000-0000-00001D060000}"/>
    <cellStyle name="Normal 6 3 3 3 5 3 2" xfId="4728" xr:uid="{86D2124D-0952-4EE0-8EFD-833837240DB9}"/>
    <cellStyle name="Normal 6 3 3 3 5 3 2 2" xfId="27330" xr:uid="{4A976EB1-446E-435E-9AE3-41D706587218}"/>
    <cellStyle name="Normal 6 3 3 3 5 3 3" xfId="24911" xr:uid="{1B73AC05-9E14-42B7-981E-924978277EB1}"/>
    <cellStyle name="Normal 6 3 3 3 5 4" xfId="24243"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3" xr:uid="{7F0C0093-2374-413B-A5E9-43C55EFC788B}"/>
    <cellStyle name="Normal 6 3 3 4 3 2 2 3" xfId="22913" xr:uid="{10740882-16AF-4F93-9A88-A7076635685B}"/>
    <cellStyle name="Normal 6 3 3 4 3 2 3" xfId="1272" xr:uid="{00000000-0005-0000-0000-0000C1060000}"/>
    <cellStyle name="Normal 6 3 3 4 3 2 3 2" xfId="2017" xr:uid="{00000000-0005-0000-0000-0000C2060000}"/>
    <cellStyle name="Normal 6 3 3 4 3 2 3 3" xfId="3750" xr:uid="{00000000-0005-0000-0000-000024060000}"/>
    <cellStyle name="Normal 6 3 3 4 3 2 3 3 2" xfId="4763" xr:uid="{DBCCADD4-FC4E-4BFC-A7C2-891AFFCEA356}"/>
    <cellStyle name="Normal 6 3 3 4 3 2 4" xfId="25725" xr:uid="{458F7302-1896-4444-8A91-7EEE77D9B42E}"/>
    <cellStyle name="Normal 6 3 3 4 3 3" xfId="1273" xr:uid="{00000000-0005-0000-0000-0000C3060000}"/>
    <cellStyle name="Normal 6 3 3 4 3 4" xfId="2973" xr:uid="{00000000-0005-0000-0000-0000A5070000}"/>
    <cellStyle name="Normal 6 3 3 4 3 5" xfId="2131" xr:uid="{00000000-0005-0000-0000-0000C8020000}"/>
    <cellStyle name="Normal 6 3 3 4 3 5 2" xfId="3855" xr:uid="{14ADEC9D-23D5-4755-9DD0-8765D24571A4}"/>
    <cellStyle name="Normal 6 3 3 4 3 6" xfId="4037" xr:uid="{C66D090D-F948-4628-9A4B-3556EC8A8993}"/>
    <cellStyle name="Normal 6 3 3 4 3 6 2" xfId="4740" xr:uid="{6CDE8700-2BC6-4C40-AD11-A661C27D6699}"/>
    <cellStyle name="Normal 6 3 3 4 4" xfId="1274" xr:uid="{00000000-0005-0000-0000-0000C4060000}"/>
    <cellStyle name="Normal 6 3 3 4 4 2" xfId="2018" xr:uid="{00000000-0005-0000-0000-0000C5060000}"/>
    <cellStyle name="Normal 6 3 3 4 4 3" xfId="3751" xr:uid="{00000000-0005-0000-0000-000027060000}"/>
    <cellStyle name="Normal 6 3 3 4 4 3 2" xfId="4734" xr:uid="{8C9E0BAB-6342-4926-AFDE-1D1CEAEB8D50}"/>
    <cellStyle name="Normal 6 3 3 4 5" xfId="2130" xr:uid="{00000000-0005-0000-0000-0000C6020000}"/>
    <cellStyle name="Normal 6 3 3 4 5 2" xfId="3776" xr:uid="{E7CE2CBA-ABE9-40BC-B051-DB9C5FB798E6}"/>
    <cellStyle name="Normal 6 3 3 4 6" xfId="4036" xr:uid="{45BFAD04-BCD7-4CAC-953D-0DBD444CB6D4}"/>
    <cellStyle name="Normal 6 3 3 4 6 2" xfId="4726" xr:uid="{E376E65A-2E16-478D-B2B0-FCA698161DA4}"/>
    <cellStyle name="Normal 6 3 3 5" xfId="2070" xr:uid="{00000000-0005-0000-0000-0000B9020000}"/>
    <cellStyle name="Normal 6 3 3 5 2" xfId="4799" xr:uid="{907E5E47-F6B2-4DC4-A325-33901AAEA066}"/>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7" xr:uid="{914EF0C8-D56B-478B-810B-7CA84A865AFB}"/>
    <cellStyle name="Normal 6 3 4 3 2 2 3" xfId="24995" xr:uid="{BF9404F4-9345-4E46-8DFA-77F5AB74D18D}"/>
    <cellStyle name="Normal 6 3 4 3 2 3" xfId="1280" xr:uid="{00000000-0005-0000-0000-0000CB060000}"/>
    <cellStyle name="Normal 6 3 4 3 2 3 2" xfId="2019" xr:uid="{00000000-0005-0000-0000-0000CC060000}"/>
    <cellStyle name="Normal 6 3 4 3 2 3 3" xfId="3752" xr:uid="{00000000-0005-0000-0000-00002E060000}"/>
    <cellStyle name="Normal 6 3 4 3 2 3 3 2" xfId="4723" xr:uid="{FB4D8310-7AEF-4531-9242-402D4EE4CBCA}"/>
    <cellStyle name="Normal 6 3 4 3 2 4" xfId="24959" xr:uid="{0DA149DA-ADAC-4AFA-94DC-BF3AC20BD344}"/>
    <cellStyle name="Normal 6 3 4 3 3" xfId="1281" xr:uid="{00000000-0005-0000-0000-0000CD060000}"/>
    <cellStyle name="Normal 6 3 4 3 4" xfId="2975" xr:uid="{00000000-0005-0000-0000-0000AC070000}"/>
    <cellStyle name="Normal 6 3 4 3 5" xfId="2133" xr:uid="{00000000-0005-0000-0000-0000CC020000}"/>
    <cellStyle name="Normal 6 3 4 3 5 2" xfId="4641" xr:uid="{B14B5BE6-0AD9-4024-B6A3-83DB74FA6323}"/>
    <cellStyle name="Normal 6 3 4 3 6" xfId="4039" xr:uid="{85017E11-7866-4279-9063-BD1F44AA9952}"/>
    <cellStyle name="Normal 6 3 4 3 6 2" xfId="4785" xr:uid="{121F7278-5066-479E-804E-839EF523D6AF}"/>
    <cellStyle name="Normal 6 3 4 4" xfId="2974" xr:uid="{00000000-0005-0000-0000-0000AD070000}"/>
    <cellStyle name="Normal 6 3 4 4 2" xfId="24839" xr:uid="{A731FBC4-F028-41EF-AC44-B734738D1241}"/>
    <cellStyle name="Normal 6 3 4 4 2 2" xfId="29623" xr:uid="{7D19FE9A-8DE5-4212-8041-0E8E01477532}"/>
    <cellStyle name="Normal 6 3 4 4 2 3" xfId="29608" xr:uid="{6844FE66-0350-45B6-8749-E96EC837CDEA}"/>
    <cellStyle name="Normal 6 3 4 4 2 3 2" xfId="29649" xr:uid="{306B9646-B3CB-4206-96D3-173A2C19F6A4}"/>
    <cellStyle name="Normal 6 3 4 4 3" xfId="24976" xr:uid="{B81CA4B1-D0EC-4903-82C2-3729418C66EC}"/>
    <cellStyle name="Normal 6 3 4 5" xfId="2132" xr:uid="{00000000-0005-0000-0000-0000CA020000}"/>
    <cellStyle name="Normal 6 3 4 5 2" xfId="4626" xr:uid="{385DF0D6-58F0-450D-88C9-C3CEB76D1408}"/>
    <cellStyle name="Normal 6 3 4 6" xfId="4038" xr:uid="{8D1101F3-0C22-4BE8-AF14-06E549D8B1C0}"/>
    <cellStyle name="Normal 6 3 4 6 2" xfId="4708" xr:uid="{309113B5-9206-44C4-9B50-F0859B4F4AC0}"/>
    <cellStyle name="Normal 6 3 5" xfId="29609" xr:uid="{631E655F-7844-43BA-9955-2AD29CB8158C}"/>
    <cellStyle name="Normal 6 3 5 2" xfId="29637" xr:uid="{B4AFCDD8-862C-4144-A948-C80FD9D9C627}"/>
    <cellStyle name="Normal 6 4" xfId="1282" xr:uid="{00000000-0005-0000-0000-0000CE060000}"/>
    <cellStyle name="Normal 6 4 2" xfId="29577"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6" xr:uid="{6CE7B02B-D1CE-4710-96B7-8A6DF2DAC870}"/>
    <cellStyle name="Normal 6 5 3 2 3 2 2 3" xfId="23025" xr:uid="{4E9BE13E-A5E0-47E2-AFF3-48DE17D58116}"/>
    <cellStyle name="Normal 6 5 3 2 3 2 3" xfId="1291" xr:uid="{00000000-0005-0000-0000-0000D7060000}"/>
    <cellStyle name="Normal 6 5 3 2 3 2 3 2" xfId="2020" xr:uid="{00000000-0005-0000-0000-0000D8060000}"/>
    <cellStyle name="Normal 6 5 3 2 3 2 3 3" xfId="3753" xr:uid="{00000000-0005-0000-0000-00003A060000}"/>
    <cellStyle name="Normal 6 5 3 2 3 2 3 3 2" xfId="4750" xr:uid="{5673C234-99C3-4A51-9CB0-6C6BF3ACCAF4}"/>
    <cellStyle name="Normal 6 5 3 2 3 2 4" xfId="22682" xr:uid="{9FD8EF5C-1DF1-4ABC-86B0-BC0A24BC7DB0}"/>
    <cellStyle name="Normal 6 5 3 2 3 3" xfId="1292" xr:uid="{00000000-0005-0000-0000-0000D9060000}"/>
    <cellStyle name="Normal 6 5 3 2 3 4" xfId="2977" xr:uid="{00000000-0005-0000-0000-0000B7070000}"/>
    <cellStyle name="Normal 6 5 3 2 3 5" xfId="2136" xr:uid="{00000000-0005-0000-0000-0000D4020000}"/>
    <cellStyle name="Normal 6 5 3 2 3 5 2" xfId="4648" xr:uid="{6EE5CD5D-2630-46DB-98C1-E0A91C088B26}"/>
    <cellStyle name="Normal 6 5 3 2 3 6" xfId="4042" xr:uid="{8B315A9F-8391-474D-B4C0-405EE4404F8E}"/>
    <cellStyle name="Normal 6 5 3 2 3 6 2" xfId="4713" xr:uid="{B2D6BDD1-5721-402C-A1EB-DE58BA876C84}"/>
    <cellStyle name="Normal 6 5 3 2 4" xfId="1293" xr:uid="{00000000-0005-0000-0000-0000DA060000}"/>
    <cellStyle name="Normal 6 5 3 2 4 2" xfId="2976" xr:uid="{00000000-0005-0000-0000-0000B8070000}"/>
    <cellStyle name="Normal 6 5 3 2 4 3" xfId="22772" xr:uid="{CD57B1BC-3F34-42E2-9CEF-B7D110F41FF7}"/>
    <cellStyle name="Normal 6 5 3 2 4 3 2" xfId="29618" xr:uid="{9DAA4DA3-BA88-49B7-AE77-A0A630F355B2}"/>
    <cellStyle name="Normal 6 5 3 2 4 3 3" xfId="29610" xr:uid="{8CF9AABB-3F53-411E-BD53-F0F5DD0A33EC}"/>
    <cellStyle name="Normal 6 5 3 2 4 3 3 2" xfId="29650" xr:uid="{40128613-59DC-4F9E-A541-DEA5B2B014E4}"/>
    <cellStyle name="Normal 6 5 3 2 5" xfId="2135" xr:uid="{00000000-0005-0000-0000-0000D2020000}"/>
    <cellStyle name="Normal 6 5 3 2 5 2" xfId="4684" xr:uid="{985E2EB5-9E1E-43AC-B0AB-0DDE28EC2B5C}"/>
    <cellStyle name="Normal 6 5 3 2 6" xfId="4041" xr:uid="{8635F82C-04F7-4EC6-B923-CFC4350C7830}"/>
    <cellStyle name="Normal 6 5 3 2 6 2" xfId="4721" xr:uid="{5D5E7BFF-9D34-4E6B-9329-AD7DE75B6822}"/>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1" xr:uid="{00000000-0005-0000-0000-0000E0060000}"/>
    <cellStyle name="Normal 6 5 3 4 2 2 2 3" xfId="3754" xr:uid="{00000000-0005-0000-0000-000041060000}"/>
    <cellStyle name="Normal 6 5 3 4 2 2 2 3 2" xfId="4751" xr:uid="{26BAC224-8031-4231-90D3-310CC68CB6C0}"/>
    <cellStyle name="Normal 6 5 3 4 2 2 2 4" xfId="25650" xr:uid="{027883EB-AA0E-41FF-81FB-F1BBC81CE7B2}"/>
    <cellStyle name="Normal 6 5 3 4 2 2 3" xfId="2022" xr:uid="{00000000-0005-0000-0000-0000E1060000}"/>
    <cellStyle name="Normal 6 5 3 4 2 2 4" xfId="23689" xr:uid="{CA3DAEF0-6343-4558-A238-4D98377C6D1B}"/>
    <cellStyle name="Normal 6 5 3 4 2 3" xfId="1299" xr:uid="{00000000-0005-0000-0000-0000E2060000}"/>
    <cellStyle name="Normal 6 5 3 4 2 3 2" xfId="1300" xr:uid="{00000000-0005-0000-0000-0000E3060000}"/>
    <cellStyle name="Normal 6 5 3 4 2 3 2 2" xfId="24930" xr:uid="{E909B7A4-5CBD-4AAC-BDAA-0C01073A2252}"/>
    <cellStyle name="Normal 6 5 3 4 2 3 2 3" xfId="24547" xr:uid="{FAAE128B-02E0-4F7E-969B-D2ECFB9E58C6}"/>
    <cellStyle name="Normal 6 5 3 4 2 3 3" xfId="1301" xr:uid="{00000000-0005-0000-0000-0000E4060000}"/>
    <cellStyle name="Normal 6 5 3 4 2 3 3 2" xfId="23111" xr:uid="{5C06B36C-8B41-47F4-8669-E1A3D37189EF}"/>
    <cellStyle name="Normal 6 5 3 4 2 3 3 3" xfId="24193" xr:uid="{E0A3CB2B-323E-45C9-B368-4BFDAA379657}"/>
    <cellStyle name="Normal 6 5 3 4 2 3 4" xfId="2138" xr:uid="{00000000-0005-0000-0000-0000DA020000}"/>
    <cellStyle name="Normal 6 5 3 4 2 3 4 2" xfId="4792" xr:uid="{654C328A-1FF9-4AC4-BD39-89BAD01AAAF1}"/>
    <cellStyle name="Normal 6 5 3 4 2 3 5" xfId="25819" xr:uid="{146A0A89-FA15-4673-83D1-1BD48BA23B4F}"/>
    <cellStyle name="Normal 6 5 3 4 2 4" xfId="24939" xr:uid="{FD27707B-D4A4-422F-BC64-0031AA3E4D05}"/>
    <cellStyle name="Normal 6 5 3 4 3" xfId="1302" xr:uid="{00000000-0005-0000-0000-0000E5060000}"/>
    <cellStyle name="Normal 6 5 3 4 4" xfId="2978" xr:uid="{00000000-0005-0000-0000-0000C0070000}"/>
    <cellStyle name="Normal 6 5 3 4 5" xfId="2137" xr:uid="{00000000-0005-0000-0000-0000D7020000}"/>
    <cellStyle name="Normal 6 5 3 4 5 2" xfId="4668" xr:uid="{D2333BB9-76BA-48B1-B619-1F9C6401FD25}"/>
    <cellStyle name="Normal 6 5 3 4 6" xfId="4043" xr:uid="{13FADCA8-36DC-469D-8F55-211BB24FA64B}"/>
    <cellStyle name="Normal 6 5 3 4 6 2" xfId="4755" xr:uid="{ABAADEE5-6BDD-4DDF-988F-045E065F16C3}"/>
    <cellStyle name="Normal 6 5 3 5" xfId="1303" xr:uid="{00000000-0005-0000-0000-0000E6060000}"/>
    <cellStyle name="Normal 6 5 3 5 2" xfId="1304" xr:uid="{00000000-0005-0000-0000-0000E7060000}"/>
    <cellStyle name="Normal 6 5 3 5 3" xfId="3755" xr:uid="{00000000-0005-0000-0000-000048060000}"/>
    <cellStyle name="Normal 6 5 3 5 3 2" xfId="4730" xr:uid="{AA82DB5A-447D-4511-8EB9-24556BA2CB0E}"/>
    <cellStyle name="Normal 6 5 3 5 3 2 2" xfId="27331" xr:uid="{B4F852AE-EC89-4A98-8D9A-9E80570804CD}"/>
    <cellStyle name="Normal 6 5 3 5 3 3" xfId="23853" xr:uid="{67DDA71D-7964-413D-BDC5-5EE7AA0D2113}"/>
    <cellStyle name="Normal 6 5 3 5 4" xfId="23274"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3" xr:uid="{42C34BA9-5B93-4F83-838A-E71B19AEACFC}"/>
    <cellStyle name="Normal 6 5 4 3 2 2 3" xfId="24338" xr:uid="{1384C54E-DAFE-4C52-84EF-49846655DA71}"/>
    <cellStyle name="Normal 6 5 4 3 2 3" xfId="1310" xr:uid="{00000000-0005-0000-0000-0000ED060000}"/>
    <cellStyle name="Normal 6 5 4 3 2 3 2" xfId="2023" xr:uid="{00000000-0005-0000-0000-0000EE060000}"/>
    <cellStyle name="Normal 6 5 4 3 2 3 3" xfId="3756" xr:uid="{00000000-0005-0000-0000-00004F060000}"/>
    <cellStyle name="Normal 6 5 4 3 2 3 3 2" xfId="4793" xr:uid="{156ECD42-9B10-42E7-81DB-911B21DCE73A}"/>
    <cellStyle name="Normal 6 5 4 3 2 4" xfId="24664" xr:uid="{C8FD317F-C620-40B3-9E84-C86134062E28}"/>
    <cellStyle name="Normal 6 5 4 3 3" xfId="1311" xr:uid="{00000000-0005-0000-0000-0000EF060000}"/>
    <cellStyle name="Normal 6 5 4 3 4" xfId="2979" xr:uid="{00000000-0005-0000-0000-0000C6070000}"/>
    <cellStyle name="Normal 6 5 4 3 5" xfId="2140" xr:uid="{00000000-0005-0000-0000-0000DE020000}"/>
    <cellStyle name="Normal 6 5 4 3 5 2" xfId="3772" xr:uid="{0DAEABF9-E059-45BB-9EA3-DB8CCF44184B}"/>
    <cellStyle name="Normal 6 5 4 3 6" xfId="4045" xr:uid="{3B6C1D61-E8B0-4D32-BD74-479DABBA050E}"/>
    <cellStyle name="Normal 6 5 4 3 6 2" xfId="4743" xr:uid="{AB0FA666-59CA-452D-8185-BFDD339259A5}"/>
    <cellStyle name="Normal 6 5 4 4" xfId="1312" xr:uid="{00000000-0005-0000-0000-0000F0060000}"/>
    <cellStyle name="Normal 6 5 4 4 2" xfId="2024" xr:uid="{00000000-0005-0000-0000-0000F1060000}"/>
    <cellStyle name="Normal 6 5 4 4 3" xfId="3757" xr:uid="{00000000-0005-0000-0000-000052060000}"/>
    <cellStyle name="Normal 6 5 4 4 3 2" xfId="4803" xr:uid="{7A47A254-C6AA-423D-9FA2-08282F4CE5E0}"/>
    <cellStyle name="Normal 6 5 4 5" xfId="2139" xr:uid="{00000000-0005-0000-0000-0000DC020000}"/>
    <cellStyle name="Normal 6 5 4 5 2" xfId="4628" xr:uid="{F656D414-B9FB-4E57-A874-02EABF4164A9}"/>
    <cellStyle name="Normal 6 5 4 6" xfId="4044" xr:uid="{275714B7-5104-4FAB-9E0E-B1CADB04BD20}"/>
    <cellStyle name="Normal 6 5 4 6 2" xfId="4758" xr:uid="{66B4AC42-B19A-46C7-BB60-AA3BF5A56B35}"/>
    <cellStyle name="Normal 6 5 5" xfId="2071" xr:uid="{00000000-0005-0000-0000-0000CF020000}"/>
    <cellStyle name="Normal 6 5 5 2" xfId="4762" xr:uid="{58B42343-3889-4193-AB92-064DC779A64F}"/>
    <cellStyle name="Normal 6 6" xfId="1313" xr:uid="{00000000-0005-0000-0000-0000F2060000}"/>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50" xr:uid="{FF7B7CA6-5BAD-4B3B-BFA9-B67F9521BFD9}"/>
    <cellStyle name="Normal 6 6 3 3 2 3" xfId="23762" xr:uid="{C401F704-A611-42D7-8DE8-0593ABE99CAF}"/>
    <cellStyle name="Normal 6 6 3 3 3" xfId="1319" xr:uid="{00000000-0005-0000-0000-0000F8060000}"/>
    <cellStyle name="Normal 6 6 3 3 4" xfId="2142" xr:uid="{00000000-0005-0000-0000-0000E4020000}"/>
    <cellStyle name="Normal 6 6 3 3 4 2" xfId="4747" xr:uid="{DCE992B0-96C0-4517-B80E-99DBA26EC200}"/>
    <cellStyle name="Normal 6 6 3 3 4 3" xfId="25601" xr:uid="{C235D33F-C474-40C8-AD55-EC553E1D42A9}"/>
    <cellStyle name="Normal 6 6 3 4" xfId="1320" xr:uid="{00000000-0005-0000-0000-0000F9060000}"/>
    <cellStyle name="Normal 6 6 3 4 2" xfId="1321" xr:uid="{00000000-0005-0000-0000-0000FA060000}"/>
    <cellStyle name="Normal 6 6 3 4 3" xfId="3758" xr:uid="{00000000-0005-0000-0000-00005A060000}"/>
    <cellStyle name="Normal 6 6 3 4 3 2" xfId="4741" xr:uid="{CCE72AF1-1693-42F5-A9FF-B4A64FA2FDC4}"/>
    <cellStyle name="Normal 6 6 4" xfId="1322" xr:uid="{00000000-0005-0000-0000-0000FB060000}"/>
    <cellStyle name="Normal 6 6 4 2" xfId="1323" xr:uid="{00000000-0005-0000-0000-0000FC060000}"/>
    <cellStyle name="Normal 6 6 4 2 2" xfId="1324" xr:uid="{00000000-0005-0000-0000-0000FD060000}"/>
    <cellStyle name="Normal 6 6 4 2 2 2" xfId="24414" xr:uid="{7F9A15D0-EF01-4699-9491-9EC3553B5AF8}"/>
    <cellStyle name="Normal 6 6 4 2 2 3" xfId="25241" xr:uid="{0B833901-0D74-483C-8682-00DEB559717D}"/>
    <cellStyle name="Normal 6 6 4 2 3" xfId="1325" xr:uid="{00000000-0005-0000-0000-0000FE060000}"/>
    <cellStyle name="Normal 6 6 4 2 3 2" xfId="2025" xr:uid="{00000000-0005-0000-0000-0000FF060000}"/>
    <cellStyle name="Normal 6 6 4 2 3 3" xfId="3759" xr:uid="{00000000-0005-0000-0000-00005F060000}"/>
    <cellStyle name="Normal 6 6 4 2 3 3 2" xfId="4810" xr:uid="{D4480518-64CC-4BAE-AD63-DB0C87A603E7}"/>
    <cellStyle name="Normal 6 6 4 2 4" xfId="24612" xr:uid="{0E019910-37DE-43E1-BDD5-941731A48A83}"/>
    <cellStyle name="Normal 6 6 4 3" xfId="1326" xr:uid="{00000000-0005-0000-0000-000000070000}"/>
    <cellStyle name="Normal 6 6 4 4" xfId="2980" xr:uid="{00000000-0005-0000-0000-0000D1070000}"/>
    <cellStyle name="Normal 6 6 4 5" xfId="2143" xr:uid="{00000000-0005-0000-0000-0000E6020000}"/>
    <cellStyle name="Normal 6 6 4 5 2" xfId="4636" xr:uid="{BD1045AF-7E49-48EA-AF41-B1E7071CB221}"/>
    <cellStyle name="Normal 6 6 4 6" xfId="4047" xr:uid="{7E3C1600-D01B-4C17-A3C8-5A48EC2345CF}"/>
    <cellStyle name="Normal 6 6 4 6 2" xfId="4715" xr:uid="{68449821-113B-44E2-90F0-E71E4937E5CF}"/>
    <cellStyle name="Normal 6 6 5" xfId="1327" xr:uid="{00000000-0005-0000-0000-000001070000}"/>
    <cellStyle name="Normal 6 6 6" xfId="1328" xr:uid="{00000000-0005-0000-0000-000002070000}"/>
    <cellStyle name="Normal 6 6 6 2" xfId="1329" xr:uid="{00000000-0005-0000-0000-000003070000}"/>
    <cellStyle name="Normal 6 6 6 2 2" xfId="29697" xr:uid="{358A8D96-B37A-4201-BB70-DBC34A669318}"/>
    <cellStyle name="Normal 6 6 6 3" xfId="1330" xr:uid="{00000000-0005-0000-0000-000004070000}"/>
    <cellStyle name="Normal 6 6 6 3 2" xfId="4627" xr:uid="{E7DC806F-0CF2-49E3-9BF1-8EFF6AC3C9C6}"/>
    <cellStyle name="Normal 6 6 6 3 2 2" xfId="4786" xr:uid="{7B28557E-58D5-4C46-AD75-D9193304C79B}"/>
    <cellStyle name="Normal 6 6 6 3 3" xfId="25364" xr:uid="{25F2D5BA-2D6F-4E91-8FBB-4B9D252657D9}"/>
    <cellStyle name="Normal 6 6 6 4" xfId="2153" xr:uid="{00000000-0005-0000-0000-0000E9020000}"/>
    <cellStyle name="Normal 6 6 6 4 2" xfId="4691" xr:uid="{114F1330-7415-461B-B792-61BE07D55AC7}"/>
    <cellStyle name="Normal 6 6 6 5" xfId="4096" xr:uid="{E42903F7-CF43-4BB8-AC03-F1EB46C1FC19}"/>
    <cellStyle name="Normal 6 6 6 5 2" xfId="4767" xr:uid="{2CC1BF88-5B5D-4701-8916-7B15CC9D2D01}"/>
    <cellStyle name="Normal 6 6 6 6" xfId="25714" xr:uid="{CE44424C-FDE2-4274-9AAC-2B2782EEB566}"/>
    <cellStyle name="Normal 6 6 6 6 2" xfId="26403" xr:uid="{DEBDC983-AB32-4C69-A2AF-B29A4C97979C}"/>
    <cellStyle name="Normal 6 6 7" xfId="1331" xr:uid="{00000000-0005-0000-0000-000005070000}"/>
    <cellStyle name="Normal 6 6 7 2" xfId="1332" xr:uid="{00000000-0005-0000-0000-000006070000}"/>
    <cellStyle name="Normal 6 6 7 3" xfId="3760" xr:uid="{00000000-0005-0000-0000-000066060000}"/>
    <cellStyle name="Normal 6 6 7 3 2" xfId="4798" xr:uid="{7A2B7AA4-4D8E-47BA-B48E-48FE92EFB13B}"/>
    <cellStyle name="Normal 6 6 8" xfId="2141" xr:uid="{00000000-0005-0000-0000-0000E0020000}"/>
    <cellStyle name="Normal 6 6 8 2" xfId="4774" xr:uid="{C961BEA7-4CED-4BA6-BDFD-A714A0F418E5}"/>
    <cellStyle name="Normal 6 6 9" xfId="4046" xr:uid="{A50BAD3F-B140-4A20-83B4-791B93C5BDD0}"/>
    <cellStyle name="Normal 6 6 9 2" xfId="4823" xr:uid="{7CDE7D59-F383-4AF9-8CAA-D8B18AFC360A}"/>
    <cellStyle name="Normal 6 7" xfId="29575" xr:uid="{949E648E-1627-4304-B1D4-9DF911CA9729}"/>
    <cellStyle name="Normal 6 7 2" xfId="29632" xr:uid="{0E90CD01-BDD5-4813-BF65-92255AD7581D}"/>
    <cellStyle name="Normal 6 7 3" xfId="29611" xr:uid="{7AF28517-C91E-49FA-99C2-5F623D4C0532}"/>
    <cellStyle name="Normal 6 7 3 2" xfId="29651" xr:uid="{53DFD4C6-C645-4A38-ACB5-6A77D465B439}"/>
    <cellStyle name="Normal 6 7 4" xfId="29640" xr:uid="{BF5B92AD-058E-4424-9669-B083BD07B8A2}"/>
    <cellStyle name="Normal 7" xfId="1333" xr:uid="{00000000-0005-0000-0000-000007070000}"/>
    <cellStyle name="Normal 7 10" xfId="1334" xr:uid="{00000000-0005-0000-0000-000008070000}"/>
    <cellStyle name="Normal 7 10 10" xfId="9967" xr:uid="{359EDB8F-CE3F-4AAB-BA56-64B93A8BE2F6}"/>
    <cellStyle name="Normal 7 10 10 2" xfId="20347" xr:uid="{A0EBA2BB-938B-403C-AE99-D606E1476D6E}"/>
    <cellStyle name="Normal 7 10 11" xfId="24757" xr:uid="{DCAAA4C2-9861-49AD-92EC-882F2EE993BF}"/>
    <cellStyle name="Normal 7 10 12" xfId="12622" xr:uid="{9C120931-6A9C-4D9E-867D-D45C3FFA9BE0}"/>
    <cellStyle name="Normal 7 10 2" xfId="1335" xr:uid="{00000000-0005-0000-0000-000009070000}"/>
    <cellStyle name="Normal 7 10 2 2" xfId="1336" xr:uid="{00000000-0005-0000-0000-00000A070000}"/>
    <cellStyle name="Normal 7 10 2 2 2" xfId="5386" xr:uid="{A4B9A53A-3A43-4F3E-97AF-AF5E34941C4F}"/>
    <cellStyle name="Normal 7 10 2 2 2 2" xfId="23998" xr:uid="{5EF00CC8-C1B7-452B-B020-E7942E28CFBA}"/>
    <cellStyle name="Normal 7 10 2 2 2 3" xfId="26136" xr:uid="{DA00C987-569E-4341-827D-79B457BCFD94}"/>
    <cellStyle name="Normal 7 10 2 2 2 4" xfId="14683" xr:uid="{AF8FDFBD-6E65-4DA8-8B0E-B3F6654E15C5}"/>
    <cellStyle name="Normal 7 10 2 2 3" xfId="7136" xr:uid="{1F695DB0-07BF-463B-8722-C8FD9DE9EB6F}"/>
    <cellStyle name="Normal 7 10 2 2 3 2" xfId="27651" xr:uid="{8920B3EA-FA12-4A67-8439-E48C80F70C78}"/>
    <cellStyle name="Normal 7 10 2 2 3 3" xfId="26464" xr:uid="{E77B95E4-620B-4F7D-AC90-1902E601BB1F}"/>
    <cellStyle name="Normal 7 10 2 2 3 4" xfId="17516" xr:uid="{F420B961-5D2F-4632-BE6A-9C566417EBFD}"/>
    <cellStyle name="Normal 7 10 2 2 4" xfId="9969" xr:uid="{5F7FA390-95AA-49B3-AFEE-72F4C6921564}"/>
    <cellStyle name="Normal 7 10 2 2 4 2" xfId="29444" xr:uid="{9F168CC0-FBA2-4457-95B5-94D8723EC7E6}"/>
    <cellStyle name="Normal 7 10 2 2 4 3" xfId="20349" xr:uid="{20AEA8B9-C71C-492C-B138-253E81DD2236}"/>
    <cellStyle name="Normal 7 10 2 2 5" xfId="23413" xr:uid="{8A0A8ABF-D98B-4B79-A80A-A3B39774D71E}"/>
    <cellStyle name="Normal 7 10 2 2 6" xfId="13993" xr:uid="{6D8B82FA-0E6C-4705-9C7C-2244EF70DF8B}"/>
    <cellStyle name="Normal 7 10 2 2 7" xfId="30423" xr:uid="{D4C32097-D37D-4992-BA3C-96408D08B942}"/>
    <cellStyle name="Normal 7 10 2 3" xfId="2815" xr:uid="{00000000-0005-0000-0000-0000DA070000}"/>
    <cellStyle name="Normal 7 10 2 3 2" xfId="6031" xr:uid="{E04C8CEC-3F9D-4245-AA24-EF8271A18E37}"/>
    <cellStyle name="Normal 7 10 2 3 2 2" xfId="27611" xr:uid="{47AA8E0E-5398-489F-9C7E-069702AF5635}"/>
    <cellStyle name="Normal 7 10 2 3 2 3" xfId="15485" xr:uid="{7ED1D0C9-1B01-46B9-9DAD-C57BBC4FCD35}"/>
    <cellStyle name="Normal 7 10 2 3 3" xfId="7938" xr:uid="{1FEF77F3-0BD1-4C29-8FBA-6684FC4B16E9}"/>
    <cellStyle name="Normal 7 10 2 3 3 2" xfId="18318" xr:uid="{55CD75F5-A303-475B-ADFC-8BC97820FAA9}"/>
    <cellStyle name="Normal 7 10 2 3 4" xfId="10771" xr:uid="{AF006C00-1996-4209-87E4-9E26DBCAE9E4}"/>
    <cellStyle name="Normal 7 10 2 3 4 2" xfId="21151" xr:uid="{A4287C7A-E3EA-47F2-9467-86089E66D99F}"/>
    <cellStyle name="Normal 7 10 2 3 5" xfId="25408" xr:uid="{F96F5F49-5B26-4FCC-A7A2-514258545DFA}"/>
    <cellStyle name="Normal 7 10 2 3 6" xfId="13284" xr:uid="{A7A63833-42D2-46E1-964C-4D829DD7806C}"/>
    <cellStyle name="Normal 7 10 2 4" xfId="4210" xr:uid="{0F502A3E-63E3-4E2E-8374-0554430612A7}"/>
    <cellStyle name="Normal 7 10 2 4 2" xfId="8982" xr:uid="{AB6A1B5F-780F-4A02-8EBF-59D98E232FA1}"/>
    <cellStyle name="Normal 7 10 2 4 2 2" xfId="29063" xr:uid="{BE39E1FE-354A-41F3-A150-7076FFA64329}"/>
    <cellStyle name="Normal 7 10 2 4 2 3" xfId="19362" xr:uid="{76DF4956-5777-4EED-9D8B-AF88C6B58339}"/>
    <cellStyle name="Normal 7 10 2 4 3" xfId="11815" xr:uid="{11388FA3-A7FB-4627-B1A8-85D14666261B}"/>
    <cellStyle name="Normal 7 10 2 4 3 2" xfId="22195" xr:uid="{18DDC2C6-0556-401C-AEC8-9E605AC46C13}"/>
    <cellStyle name="Normal 7 10 2 4 4" xfId="24512" xr:uid="{1D9F726A-6BCE-4942-A09A-7B22BDAD81ED}"/>
    <cellStyle name="Normal 7 10 2 4 5" xfId="16529" xr:uid="{76A4361B-AE12-42E6-9D40-C4A92532D484}"/>
    <cellStyle name="Normal 7 10 2 5" xfId="5385" xr:uid="{E5553ABE-3B56-49CC-AFEC-C7BD663E3D93}"/>
    <cellStyle name="Normal 7 10 2 5 2" xfId="27741" xr:uid="{6FB7CD1E-BB98-47A7-866A-C32DB96261CF}"/>
    <cellStyle name="Normal 7 10 2 5 3" xfId="14682" xr:uid="{BFF043C1-DCF2-4466-9280-99DB4D43F2AE}"/>
    <cellStyle name="Normal 7 10 2 5 4" xfId="30554" xr:uid="{A2493DB3-D520-468B-82CB-6CDAB848BC39}"/>
    <cellStyle name="Normal 7 10 2 6" xfId="7135" xr:uid="{6361ED63-A707-4DFE-9CD2-D4B3AAB26F1C}"/>
    <cellStyle name="Normal 7 10 2 6 2" xfId="17515" xr:uid="{3F86AD79-75C2-4043-9D87-7D65193261D4}"/>
    <cellStyle name="Normal 7 10 2 6 3" xfId="30284" xr:uid="{37298AB2-B6F7-454D-9FBE-C5DEE6F2435D}"/>
    <cellStyle name="Normal 7 10 2 6 4" xfId="30694" xr:uid="{0BFFADAB-05F2-4641-9A5C-41D6A6BBC385}"/>
    <cellStyle name="Normal 7 10 2 7" xfId="9968" xr:uid="{E54C6F80-500C-4B60-A673-1AE452898B48}"/>
    <cellStyle name="Normal 7 10 2 7 2" xfId="20348" xr:uid="{51356147-A5F8-47C0-A2EC-BB586B96B995}"/>
    <cellStyle name="Normal 7 10 2 8" xfId="23328" xr:uid="{04908B98-1AF4-44E0-98BC-2FDD3A60EB33}"/>
    <cellStyle name="Normal 7 10 2 9" xfId="12780" xr:uid="{D1BE6283-3FDA-49AA-8341-13787A20BF3F}"/>
    <cellStyle name="Normal 7 10 3" xfId="1337" xr:uid="{00000000-0005-0000-0000-00000B070000}"/>
    <cellStyle name="Normal 7 10 3 2" xfId="4569" xr:uid="{11FCBC09-A35D-4151-A26B-9C6373D21978}"/>
    <cellStyle name="Normal 7 10 3 2 2" xfId="9341" xr:uid="{D9CF7BA1-92E5-4591-9602-33ECCA660599}"/>
    <cellStyle name="Normal 7 10 3 2 2 2" xfId="29315" xr:uid="{9145F611-582B-4B1F-BCE6-D7A1BCD64F24}"/>
    <cellStyle name="Normal 7 10 3 2 2 3" xfId="19721" xr:uid="{BE77D7EB-6259-4ACB-8F57-D12C7AB8F4A3}"/>
    <cellStyle name="Normal 7 10 3 2 3" xfId="12174" xr:uid="{A8FF997D-3A24-4D21-91AF-B7051C583D89}"/>
    <cellStyle name="Normal 7 10 3 2 3 2" xfId="22554" xr:uid="{3C37EBCB-BCA8-4433-9BA6-1FFA34A34C78}"/>
    <cellStyle name="Normal 7 10 3 2 4" xfId="24776" xr:uid="{DA082615-1FF6-43D0-849D-F4B31354C96A}"/>
    <cellStyle name="Normal 7 10 3 2 5" xfId="16888" xr:uid="{B9FDA2A6-F21D-4474-8FE5-A5A79B469669}"/>
    <cellStyle name="Normal 7 10 3 3" xfId="5387" xr:uid="{6608DE53-BD66-4FE6-A7ED-DEEE29BF5B7A}"/>
    <cellStyle name="Normal 7 10 3 3 2" xfId="23458" xr:uid="{AD02EF29-A0BC-4C69-9C51-E0CCE8F7985D}"/>
    <cellStyle name="Normal 7 10 3 3 3" xfId="28177" xr:uid="{5786EC6E-BC84-46CD-9DCF-C5BF731604E8}"/>
    <cellStyle name="Normal 7 10 3 3 4" xfId="14684" xr:uid="{DC83B160-367D-4B98-BCE1-0DC66EBC19B5}"/>
    <cellStyle name="Normal 7 10 3 4" xfId="7137" xr:uid="{37226F6C-8048-4F92-BE47-4D8E2236DF60}"/>
    <cellStyle name="Normal 7 10 3 4 2" xfId="23395" xr:uid="{41637022-843A-442E-8875-D6C6DF8B744A}"/>
    <cellStyle name="Normal 7 10 3 4 3" xfId="26428" xr:uid="{25EC9742-984F-4EBF-B238-BFA9D1E97032}"/>
    <cellStyle name="Normal 7 10 3 4 4" xfId="17517" xr:uid="{190C4A24-CB20-40C2-93A7-61356E2833BD}"/>
    <cellStyle name="Normal 7 10 3 5" xfId="9970" xr:uid="{4210E821-E696-44AC-A9C0-8619178DC8C7}"/>
    <cellStyle name="Normal 7 10 3 5 2" xfId="29445" xr:uid="{80A92848-3D34-423A-8117-F7F695E07DDF}"/>
    <cellStyle name="Normal 7 10 3 5 3" xfId="20350" xr:uid="{40C46509-62EF-4080-9C0C-473775E255EA}"/>
    <cellStyle name="Normal 7 10 3 6" xfId="24567" xr:uid="{2CAF589F-8D02-41D7-B31B-B14902BAD6B1}"/>
    <cellStyle name="Normal 7 10 3 7" xfId="13994" xr:uid="{4BA0991D-B842-41FD-A4E6-6706B5AC3923}"/>
    <cellStyle name="Normal 7 10 4" xfId="1338" xr:uid="{00000000-0005-0000-0000-00000C070000}"/>
    <cellStyle name="Normal 7 10 4 2" xfId="5388" xr:uid="{7F2299F0-9DB4-4D9A-9001-239F73A775C7}"/>
    <cellStyle name="Normal 7 10 4 2 2" xfId="25556" xr:uid="{E5CEE4C4-4715-4AF9-9AA9-3AB12C7D7BF8}"/>
    <cellStyle name="Normal 7 10 4 2 3" xfId="26719" xr:uid="{0518671A-3004-4D51-92EB-14748FE8D4D0}"/>
    <cellStyle name="Normal 7 10 4 2 4" xfId="14685" xr:uid="{55D487BB-2CE0-4823-9C2E-173D990CFA5F}"/>
    <cellStyle name="Normal 7 10 4 3" xfId="7138" xr:uid="{C8001552-B498-40A9-A99C-CEE758884F72}"/>
    <cellStyle name="Normal 7 10 4 3 2" xfId="28479" xr:uid="{E5EEF2C8-A902-4BCF-96B2-5CC315E52353}"/>
    <cellStyle name="Normal 7 10 4 3 3" xfId="17518" xr:uid="{6358BC15-32A6-4BE3-B493-53E3BDD20DAE}"/>
    <cellStyle name="Normal 7 10 4 4" xfId="9971" xr:uid="{323580FE-EEE3-4E8D-80EE-29C6171B7494}"/>
    <cellStyle name="Normal 7 10 4 4 2" xfId="20351" xr:uid="{543851B6-A0ED-47F7-B76F-4F54F2EE5AB8}"/>
    <cellStyle name="Normal 7 10 4 5" xfId="22747" xr:uid="{3749016E-AA7A-4454-A1DA-C500517CF5AF}"/>
    <cellStyle name="Normal 7 10 4 6" xfId="13478" xr:uid="{502BFF64-2BE5-4EE4-B1CD-8F3328BE0C78}"/>
    <cellStyle name="Normal 7 10 5" xfId="2508" xr:uid="{00000000-0005-0000-0000-0000DD070000}"/>
    <cellStyle name="Normal 7 10 5 2" xfId="5788" xr:uid="{F0CC4165-7ADF-41DD-9346-8605F4BE5F3F}"/>
    <cellStyle name="Normal 7 10 5 2 2" xfId="25867" xr:uid="{B61FC58C-C78F-4942-ACE6-ACDE5712BCEF}"/>
    <cellStyle name="Normal 7 10 5 2 3" xfId="15180" xr:uid="{06A66D68-83F9-4B41-B43E-B0BCDBDFA79B}"/>
    <cellStyle name="Normal 7 10 5 3" xfId="7633" xr:uid="{DC12FF0F-A626-4A05-B5C9-CD8DE60BA160}"/>
    <cellStyle name="Normal 7 10 5 3 2" xfId="18013" xr:uid="{5787543C-7E1F-4E36-B71B-5D68C378B636}"/>
    <cellStyle name="Normal 7 10 5 4" xfId="10466" xr:uid="{46DB715C-7B80-44DC-9221-E9A221CBC736}"/>
    <cellStyle name="Normal 7 10 5 4 2" xfId="20846" xr:uid="{EECD5737-11A0-43FC-9A91-FF0D15B9D4B4}"/>
    <cellStyle name="Normal 7 10 5 5" xfId="25103" xr:uid="{4597B0DB-FED5-4E2B-B408-D8ED4E270D5D}"/>
    <cellStyle name="Normal 7 10 5 6" xfId="12896" xr:uid="{CEC3B7B2-46A5-4240-8249-298F51D0FDF8}"/>
    <cellStyle name="Normal 7 10 6" xfId="2388" xr:uid="{00000000-0005-0000-0000-0000D7070000}"/>
    <cellStyle name="Normal 7 10 6 2" xfId="7515" xr:uid="{33EEEEBC-3999-4154-AF49-1DDEC298D42F}"/>
    <cellStyle name="Normal 7 10 6 2 2" xfId="27729" xr:uid="{6E27EFFE-3410-442F-AB71-2298894BF39B}"/>
    <cellStyle name="Normal 7 10 6 2 3" xfId="17895" xr:uid="{166C65E8-4599-47E7-9E14-4A04EC4114C6}"/>
    <cellStyle name="Normal 7 10 6 3" xfId="10348" xr:uid="{7A5E4030-AFE3-4F5F-8ABC-172E1EB362CC}"/>
    <cellStyle name="Normal 7 10 6 3 2" xfId="20728" xr:uid="{84B406C7-CBEC-47CD-9FE7-F652727532BA}"/>
    <cellStyle name="Normal 7 10 6 4" xfId="23003" xr:uid="{451DD849-E7A2-416E-9306-9DD9DD1584EB}"/>
    <cellStyle name="Normal 7 10 6 5" xfId="15062" xr:uid="{5AF3D516-CBE8-4A12-8927-868403AD4680}"/>
    <cellStyle name="Normal 7 10 7" xfId="4048" xr:uid="{6E59AE2C-8E82-494C-B3FD-012447F7B53B}"/>
    <cellStyle name="Normal 7 10 7 2" xfId="8834" xr:uid="{22EDCD99-8D6E-4D4F-A745-3609BA3D8FCE}"/>
    <cellStyle name="Normal 7 10 7 2 2" xfId="19214" xr:uid="{F6B184DA-BF4F-4E31-877F-25BC400D3FB4}"/>
    <cellStyle name="Normal 7 10 7 3" xfId="11667" xr:uid="{40CECD75-8C86-4DBF-85D4-8E4C5D42882A}"/>
    <cellStyle name="Normal 7 10 7 3 2" xfId="22047" xr:uid="{AEEFDBF3-74B8-4DDB-8B03-B040D14A0ADF}"/>
    <cellStyle name="Normal 7 10 7 4" xfId="27429" xr:uid="{2103D2B5-8BCE-41ED-8FCE-241BE7C0470A}"/>
    <cellStyle name="Normal 7 10 7 5" xfId="16381" xr:uid="{1A0EA109-9C61-4286-AECE-80E16F59AB5F}"/>
    <cellStyle name="Normal 7 10 8" xfId="5384" xr:uid="{91C3F893-9AC0-43F1-A489-DF9A5D70CB6F}"/>
    <cellStyle name="Normal 7 10 8 2" xfId="14681" xr:uid="{8DCBDF70-C312-4F7B-9F46-EE95B2AB0865}"/>
    <cellStyle name="Normal 7 10 9" xfId="7134" xr:uid="{15515014-6102-4EEC-8091-16EDB1B419C8}"/>
    <cellStyle name="Normal 7 10 9 2" xfId="17514" xr:uid="{E0F45A6C-1380-40AF-953D-8F8EC9A6BF5E}"/>
    <cellStyle name="Normal 7 11" xfId="1339" xr:uid="{00000000-0005-0000-0000-00000D070000}"/>
    <cellStyle name="Normal 7 11 10" xfId="9972" xr:uid="{22363347-2364-4785-9EB3-D6EE67D8D6F9}"/>
    <cellStyle name="Normal 7 11 10 2" xfId="20352" xr:uid="{D482AEAA-D25E-4AFC-B026-BD68ADA08397}"/>
    <cellStyle name="Normal 7 11 11" xfId="24780" xr:uid="{0D03B689-F3C3-414F-A68D-8351DA2E048C}"/>
    <cellStyle name="Normal 7 11 12" xfId="12623" xr:uid="{EC8688B2-80C3-4313-A060-3151A0DA0DE4}"/>
    <cellStyle name="Normal 7 11 2" xfId="1340" xr:uid="{00000000-0005-0000-0000-00000E070000}"/>
    <cellStyle name="Normal 7 11 2 2" xfId="1341" xr:uid="{00000000-0005-0000-0000-00000F070000}"/>
    <cellStyle name="Normal 7 11 2 2 2" xfId="5391" xr:uid="{8988D664-B5A8-496D-9580-6A16654365BE}"/>
    <cellStyle name="Normal 7 11 2 2 2 2" xfId="23084" xr:uid="{2975A7BF-990C-4EB9-9FE8-09F902CEE05D}"/>
    <cellStyle name="Normal 7 11 2 2 2 3" xfId="28020" xr:uid="{30920CE1-C917-4DEE-BD2A-0A0ADF2E79A0}"/>
    <cellStyle name="Normal 7 11 2 2 2 4" xfId="14688" xr:uid="{671B26F3-3577-4616-B5B5-55038CCCEF22}"/>
    <cellStyle name="Normal 7 11 2 2 3" xfId="7141" xr:uid="{65E79FC5-F13B-483E-A18B-B523871FF8EA}"/>
    <cellStyle name="Normal 7 11 2 2 3 2" xfId="27653" xr:uid="{1F447489-C760-4008-BF9A-963663F4F494}"/>
    <cellStyle name="Normal 7 11 2 2 3 3" xfId="26150" xr:uid="{BBD97FE4-4EEF-4535-B758-1DBF9848DBAF}"/>
    <cellStyle name="Normal 7 11 2 2 3 4" xfId="17521" xr:uid="{1E6750DA-7494-4FFF-8E5E-106522FD205C}"/>
    <cellStyle name="Normal 7 11 2 2 4" xfId="9974" xr:uid="{713C0F8E-83B0-4BFC-954C-AA99327C3BB6}"/>
    <cellStyle name="Normal 7 11 2 2 4 2" xfId="29446" xr:uid="{E593ECA3-1A30-446D-A231-9434060115B5}"/>
    <cellStyle name="Normal 7 11 2 2 4 3" xfId="20354" xr:uid="{033D2FB3-A140-4952-81E1-D1EBA10C7073}"/>
    <cellStyle name="Normal 7 11 2 2 5" xfId="24791" xr:uid="{19BD2E79-0BDF-4C70-BAE1-D84ECE040918}"/>
    <cellStyle name="Normal 7 11 2 2 6" xfId="13995" xr:uid="{39CD0ED1-E0DF-4B7C-9F24-EA6975AF709F}"/>
    <cellStyle name="Normal 7 11 2 2 7" xfId="30424" xr:uid="{DB86546A-792F-4635-8343-DCC8DF5F6971}"/>
    <cellStyle name="Normal 7 11 2 3" xfId="2816" xr:uid="{00000000-0005-0000-0000-0000E1070000}"/>
    <cellStyle name="Normal 7 11 2 3 2" xfId="6032" xr:uid="{B3499556-E0C0-40C1-A3F5-6D139E58775D}"/>
    <cellStyle name="Normal 7 11 2 3 2 2" xfId="28471" xr:uid="{6446AA42-626D-4812-BD9C-9BA3A2B1A16F}"/>
    <cellStyle name="Normal 7 11 2 3 2 3" xfId="15486" xr:uid="{6D2591B6-AD6D-458F-BE31-B961D271A5D8}"/>
    <cellStyle name="Normal 7 11 2 3 3" xfId="7939" xr:uid="{B11481E7-C52A-430F-A6A9-79845D0D0905}"/>
    <cellStyle name="Normal 7 11 2 3 3 2" xfId="18319" xr:uid="{EC7DB7D9-279D-47C5-B892-78AB28936435}"/>
    <cellStyle name="Normal 7 11 2 3 4" xfId="10772" xr:uid="{A294334B-7AB2-4BE7-8BBC-EDE42B16F733}"/>
    <cellStyle name="Normal 7 11 2 3 4 2" xfId="21152" xr:uid="{59BD4C94-5818-4225-8EE9-0676871EE40A}"/>
    <cellStyle name="Normal 7 11 2 3 5" xfId="22985" xr:uid="{982E7633-AB26-42ED-821A-58EF5A73554B}"/>
    <cellStyle name="Normal 7 11 2 3 6" xfId="13285" xr:uid="{7C6C56FD-6166-47FA-A994-CF7328094250}"/>
    <cellStyle name="Normal 7 11 2 4" xfId="4211" xr:uid="{03FEBAA3-ABD2-4159-8032-1B1639440376}"/>
    <cellStyle name="Normal 7 11 2 4 2" xfId="8983" xr:uid="{E244D5CC-479E-4B54-8335-EEEB4922CB6B}"/>
    <cellStyle name="Normal 7 11 2 4 2 2" xfId="29064" xr:uid="{5ACFA86F-47FB-4AD9-AC48-971BBD014052}"/>
    <cellStyle name="Normal 7 11 2 4 2 3" xfId="19363" xr:uid="{0C284C7A-9173-47A4-8674-4E00B9C49257}"/>
    <cellStyle name="Normal 7 11 2 4 3" xfId="11816" xr:uid="{C1073F48-C366-435F-ADD9-85E76175FD1E}"/>
    <cellStyle name="Normal 7 11 2 4 3 2" xfId="22196" xr:uid="{C0671745-4072-450D-B085-3F3BDA1631C1}"/>
    <cellStyle name="Normal 7 11 2 4 4" xfId="23463" xr:uid="{F4430A89-939B-403D-95E7-821BB245F15C}"/>
    <cellStyle name="Normal 7 11 2 4 5" xfId="16530" xr:uid="{6CB6507E-4EB5-4336-A00B-89561EB712C1}"/>
    <cellStyle name="Normal 7 11 2 5" xfId="5390" xr:uid="{33BC3003-5F75-4A00-B41C-1C326665A7E7}"/>
    <cellStyle name="Normal 7 11 2 5 2" xfId="26691" xr:uid="{1D5FE240-5B8C-4BE8-A775-60BCA533EF2D}"/>
    <cellStyle name="Normal 7 11 2 5 3" xfId="14687" xr:uid="{6B135D0D-D75E-4BCF-A439-F8F6D830949D}"/>
    <cellStyle name="Normal 7 11 2 5 4" xfId="30540" xr:uid="{268B70FA-E25D-45C8-8F15-F105199FA3BD}"/>
    <cellStyle name="Normal 7 11 2 6" xfId="7140" xr:uid="{4C754E41-B74C-4AF5-8DBE-1D20CADFDF17}"/>
    <cellStyle name="Normal 7 11 2 6 2" xfId="17520" xr:uid="{9709B54F-A3FB-4619-B026-9EEEA158A0B2}"/>
    <cellStyle name="Normal 7 11 2 6 3" xfId="30285" xr:uid="{501C0A0D-56E3-4943-BA0B-CA4628AD9343}"/>
    <cellStyle name="Normal 7 11 2 6 4" xfId="30695" xr:uid="{86128667-6FC7-4590-A3E0-2D1A7B889A42}"/>
    <cellStyle name="Normal 7 11 2 7" xfId="9973" xr:uid="{E9E114BA-5E97-43B4-B002-1EC42D644C46}"/>
    <cellStyle name="Normal 7 11 2 7 2" xfId="20353" xr:uid="{FF924DB4-FE08-47AD-BDD5-07FE49CE2E17}"/>
    <cellStyle name="Normal 7 11 2 8" xfId="23104" xr:uid="{8E9B7949-C2D4-4A5C-945B-49928DDC6DB0}"/>
    <cellStyle name="Normal 7 11 2 9" xfId="12781" xr:uid="{36C38E79-D0A4-447D-808C-55992FED73C8}"/>
    <cellStyle name="Normal 7 11 3" xfId="1342" xr:uid="{00000000-0005-0000-0000-000010070000}"/>
    <cellStyle name="Normal 7 11 3 2" xfId="4570" xr:uid="{F08FB077-443F-4C3C-896B-7515BA92433E}"/>
    <cellStyle name="Normal 7 11 3 2 2" xfId="9342" xr:uid="{D27B75A4-C000-467A-888F-1365130BA248}"/>
    <cellStyle name="Normal 7 11 3 2 2 2" xfId="29316" xr:uid="{A2FADAEA-ACA2-4144-8B05-40848E622347}"/>
    <cellStyle name="Normal 7 11 3 2 2 3" xfId="19722" xr:uid="{83BA6AA1-CCA4-45A7-820C-0465F5FEB0CA}"/>
    <cellStyle name="Normal 7 11 3 2 3" xfId="12175" xr:uid="{C82CB428-B76D-467F-988A-CA6D9E9E7A19}"/>
    <cellStyle name="Normal 7 11 3 2 3 2" xfId="22555" xr:uid="{9377B91C-26C4-41C9-BEE6-00E76C7B3FD7}"/>
    <cellStyle name="Normal 7 11 3 2 4" xfId="24896" xr:uid="{F31113B0-56C7-4E4C-93A6-8AF8E5789575}"/>
    <cellStyle name="Normal 7 11 3 2 5" xfId="16889" xr:uid="{8A63E600-65C8-4046-87F2-D20EF988AEDB}"/>
    <cellStyle name="Normal 7 11 3 3" xfId="5392" xr:uid="{E83D9A71-3DF9-43C8-B99C-E8E7B5C91885}"/>
    <cellStyle name="Normal 7 11 3 3 2" xfId="26858" xr:uid="{4BF5156C-88F7-4E45-9120-659344145EE1}"/>
    <cellStyle name="Normal 7 11 3 3 3" xfId="26387" xr:uid="{E7B2315B-E9DD-45FD-ADB1-13B5781B4026}"/>
    <cellStyle name="Normal 7 11 3 3 4" xfId="14689" xr:uid="{BF1817F3-3BA0-46A5-A4BF-75EE8ECFE377}"/>
    <cellStyle name="Normal 7 11 3 4" xfId="7142" xr:uid="{5280A6C7-2B48-4649-87D3-ADCC9DE95D0D}"/>
    <cellStyle name="Normal 7 11 3 4 2" xfId="28202" xr:uid="{812E5A52-87B2-4B40-843F-2D4080B355B3}"/>
    <cellStyle name="Normal 7 11 3 4 3" xfId="26739" xr:uid="{F071AE18-5C98-42D9-8191-89BC464A6E09}"/>
    <cellStyle name="Normal 7 11 3 4 4" xfId="17522" xr:uid="{14CFB8E9-AF26-41C8-AD18-296C9923FCBD}"/>
    <cellStyle name="Normal 7 11 3 5" xfId="9975" xr:uid="{896AB2E8-DD97-4B33-8F61-8C857134410C}"/>
    <cellStyle name="Normal 7 11 3 5 2" xfId="29447" xr:uid="{D5BA7E4F-8041-4F50-9F60-E57D00D4F08C}"/>
    <cellStyle name="Normal 7 11 3 5 3" xfId="20355" xr:uid="{2405E0A6-8308-436C-8A8A-D9C945072D28}"/>
    <cellStyle name="Normal 7 11 3 6" xfId="23989" xr:uid="{E4BF764F-3EA3-4134-BB4F-58F274E37C53}"/>
    <cellStyle name="Normal 7 11 3 7" xfId="13996" xr:uid="{BC402E3E-614B-4EC0-9F88-BC7D83AF55C6}"/>
    <cellStyle name="Normal 7 11 4" xfId="1343" xr:uid="{00000000-0005-0000-0000-000011070000}"/>
    <cellStyle name="Normal 7 11 4 2" xfId="5393" xr:uid="{2B1EB956-87F5-405E-84BF-C14AABB8AC93}"/>
    <cellStyle name="Normal 7 11 4 2 2" xfId="25701" xr:uid="{03F5981A-72C0-49A1-80CE-EF63FB9D190A}"/>
    <cellStyle name="Normal 7 11 4 2 3" xfId="28017" xr:uid="{FE2C575B-A880-4548-A54F-F6561E8BAF53}"/>
    <cellStyle name="Normal 7 11 4 2 4" xfId="14690" xr:uid="{4733B9B7-2481-42CE-A00E-680030EFEDC2}"/>
    <cellStyle name="Normal 7 11 4 3" xfId="7143" xr:uid="{9315D5C9-5A1E-4CB2-A88B-BF8C964D2BEF}"/>
    <cellStyle name="Normal 7 11 4 3 2" xfId="26140" xr:uid="{1CC7326F-494D-4DD0-B298-1CEA679D0896}"/>
    <cellStyle name="Normal 7 11 4 3 3" xfId="17523" xr:uid="{75DE99CE-A15C-4A73-8BDB-D8AF3D881DC3}"/>
    <cellStyle name="Normal 7 11 4 4" xfId="9976" xr:uid="{F9946A74-E173-43E3-B0BA-96C2ABB2266E}"/>
    <cellStyle name="Normal 7 11 4 4 2" xfId="20356" xr:uid="{39529DF1-034E-45DC-AA26-E9CB938FD2F2}"/>
    <cellStyle name="Normal 7 11 4 5" xfId="22827" xr:uid="{AB87E6D9-E620-421D-A83A-875ADE506B2E}"/>
    <cellStyle name="Normal 7 11 4 6" xfId="13479" xr:uid="{B9F47F6D-4538-4CFF-A2B7-BC413BFB317D}"/>
    <cellStyle name="Normal 7 11 5" xfId="2568" xr:uid="{00000000-0005-0000-0000-0000E4070000}"/>
    <cellStyle name="Normal 7 11 5 2" xfId="5837" xr:uid="{26C688D1-BC0D-4F50-A5C7-7657C905B376}"/>
    <cellStyle name="Normal 7 11 5 2 2" xfId="28565" xr:uid="{7D9370AA-0A8E-41EC-B483-4BE5D92A6336}"/>
    <cellStyle name="Normal 7 11 5 2 3" xfId="15240" xr:uid="{7C6C7EA9-C124-4B2D-A0B6-3002D630344F}"/>
    <cellStyle name="Normal 7 11 5 3" xfId="7693" xr:uid="{BEDCB853-65FC-4481-831B-524757D3FCAC}"/>
    <cellStyle name="Normal 7 11 5 3 2" xfId="18073" xr:uid="{664C40D8-033B-4F6E-8A3F-20052D54B7FA}"/>
    <cellStyle name="Normal 7 11 5 4" xfId="10526" xr:uid="{6BEFBC81-C896-460A-AF49-67FB03DBD65D}"/>
    <cellStyle name="Normal 7 11 5 4 2" xfId="20906" xr:uid="{9784D248-BDC7-4DAD-8326-3937CEAA7CBF}"/>
    <cellStyle name="Normal 7 11 5 5" xfId="22962" xr:uid="{A3774CC2-50E6-45FC-A5EF-F71506B10216}"/>
    <cellStyle name="Normal 7 11 5 6" xfId="12956" xr:uid="{03371C5D-BDEC-46D2-B5BA-E5D0E54B2A6D}"/>
    <cellStyle name="Normal 7 11 6" xfId="2389" xr:uid="{00000000-0005-0000-0000-0000DE070000}"/>
    <cellStyle name="Normal 7 11 6 2" xfId="7516" xr:uid="{71D714A7-6425-4457-A44E-C0871A29E4D1}"/>
    <cellStyle name="Normal 7 11 6 2 2" xfId="26746" xr:uid="{45F2AD07-E73E-4F52-B3D4-7FA7DADA198E}"/>
    <cellStyle name="Normal 7 11 6 2 3" xfId="17896" xr:uid="{1D76FDE9-70BF-4C37-BEA9-A8F50FBE07C0}"/>
    <cellStyle name="Normal 7 11 6 3" xfId="10349" xr:uid="{03A8D8C7-3A30-41C0-8D5F-EA494CA6BF65}"/>
    <cellStyle name="Normal 7 11 6 3 2" xfId="20729" xr:uid="{D5C21043-BB2A-4BE9-A353-E036D0635D5F}"/>
    <cellStyle name="Normal 7 11 6 4" xfId="25229" xr:uid="{2258CC28-F1D6-4E1D-8E91-0B27D3C48212}"/>
    <cellStyle name="Normal 7 11 6 5" xfId="15063" xr:uid="{52ADF66A-EB29-4A19-9CFB-5C7149705B6B}"/>
    <cellStyle name="Normal 7 11 7" xfId="4049" xr:uid="{EE667E84-03EA-4DAE-9CA5-DE6E77CCCF57}"/>
    <cellStyle name="Normal 7 11 7 2" xfId="8835" xr:uid="{EC9C2E3F-2204-4C36-8420-00000D705654}"/>
    <cellStyle name="Normal 7 11 7 2 2" xfId="19215" xr:uid="{4C367804-265D-474F-8198-FD538DAF5C9C}"/>
    <cellStyle name="Normal 7 11 7 3" xfId="11668" xr:uid="{56C55BEB-45EC-47E1-9373-A82619D5626C}"/>
    <cellStyle name="Normal 7 11 7 3 2" xfId="22048" xr:uid="{40342CC9-EA1D-41D4-B8B6-DCF058DCDC7A}"/>
    <cellStyle name="Normal 7 11 7 4" xfId="26607" xr:uid="{FC4E2446-8912-4D18-A47F-03FE12A54429}"/>
    <cellStyle name="Normal 7 11 7 5" xfId="16382" xr:uid="{39A3BD08-EAD5-4B60-B444-33BF85C21607}"/>
    <cellStyle name="Normal 7 11 8" xfId="5389" xr:uid="{AE210D88-C35F-41A1-892C-EC73F777EA89}"/>
    <cellStyle name="Normal 7 11 8 2" xfId="14686" xr:uid="{697C4BEC-E756-4A56-BB90-A414E65CC7E7}"/>
    <cellStyle name="Normal 7 11 9" xfId="7139" xr:uid="{566D06A8-060B-4D4C-BF61-F11ACD1F1823}"/>
    <cellStyle name="Normal 7 11 9 2" xfId="17519" xr:uid="{8C424DED-38E2-4C61-9583-22F0578D51C4}"/>
    <cellStyle name="Normal 7 12" xfId="1344" xr:uid="{00000000-0005-0000-0000-000012070000}"/>
    <cellStyle name="Normal 7 12 10" xfId="23319" xr:uid="{520EC44C-78C8-4AC2-929A-A416E99E52C9}"/>
    <cellStyle name="Normal 7 12 11" xfId="12624" xr:uid="{A97707B5-E08C-48E6-9EE8-4A9B22071A35}"/>
    <cellStyle name="Normal 7 12 2" xfId="1345" xr:uid="{00000000-0005-0000-0000-000013070000}"/>
    <cellStyle name="Normal 7 12 2 2" xfId="3417" xr:uid="{00000000-0005-0000-0000-0000E7070000}"/>
    <cellStyle name="Normal 7 12 2 2 2" xfId="6472" xr:uid="{39A9088A-FC78-4479-9DC7-ADCB235A6669}"/>
    <cellStyle name="Normal 7 12 2 2 2 2" xfId="28743" xr:uid="{A27641FD-E14A-4138-B691-D10FAFFA8D97}"/>
    <cellStyle name="Normal 7 12 2 2 2 3" xfId="27112" xr:uid="{4FD4AE5D-EC8D-49D8-B84F-943CA7D5760D}"/>
    <cellStyle name="Normal 7 12 2 2 2 4" xfId="16043" xr:uid="{C6D30117-175F-40B3-B79A-8E6B2759B86F}"/>
    <cellStyle name="Normal 7 12 2 2 3" xfId="8496" xr:uid="{09FAAEA6-2902-43B4-9CD5-58F656E01952}"/>
    <cellStyle name="Normal 7 12 2 2 3 2" xfId="28933" xr:uid="{4A32288B-9108-4ED3-B56C-46CD030CE8B9}"/>
    <cellStyle name="Normal 7 12 2 2 3 3" xfId="18876" xr:uid="{4A4AC680-1106-44EC-AB55-AA9572950355}"/>
    <cellStyle name="Normal 7 12 2 2 4" xfId="11329" xr:uid="{5D538C14-F16A-4F0B-9C06-428974AD32AD}"/>
    <cellStyle name="Normal 7 12 2 2 4 2" xfId="21709" xr:uid="{5E4EDEA6-1091-4DD7-A00A-CE92F8725E34}"/>
    <cellStyle name="Normal 7 12 2 2 5" xfId="24415" xr:uid="{7901D2B0-000F-4F6C-86FD-56A29FAF769F}"/>
    <cellStyle name="Normal 7 12 2 2 6" xfId="13997" xr:uid="{C5FE40AD-E36F-4CCB-BEFB-5E5A72A83FC6}"/>
    <cellStyle name="Normal 7 12 2 3" xfId="4212" xr:uid="{A9517A6B-EEC9-445A-9525-80D1579B21DF}"/>
    <cellStyle name="Normal 7 12 2 3 2" xfId="8984" xr:uid="{363605A0-3161-4FD3-A341-C6B64A6FB591}"/>
    <cellStyle name="Normal 7 12 2 3 2 2" xfId="29065" xr:uid="{AE9A9A4D-7143-464C-B961-1A5B50B8556C}"/>
    <cellStyle name="Normal 7 12 2 3 2 3" xfId="19364" xr:uid="{DFB227FE-7EFF-4B28-BEEC-F9530618E177}"/>
    <cellStyle name="Normal 7 12 2 3 3" xfId="11817" xr:uid="{D9F5E44E-8BC3-4854-B5FC-FF8E49C7FD99}"/>
    <cellStyle name="Normal 7 12 2 3 3 2" xfId="22197" xr:uid="{24610BF3-40D6-4CEA-A2DD-EE28C0F58DAE}"/>
    <cellStyle name="Normal 7 12 2 3 4" xfId="23165" xr:uid="{A120F433-790D-4C3E-B9C5-19B3E2843367}"/>
    <cellStyle name="Normal 7 12 2 3 5" xfId="16531" xr:uid="{247C4DF2-A610-4F4C-8B2F-72E87FA7ACBB}"/>
    <cellStyle name="Normal 7 12 2 4" xfId="5395" xr:uid="{DAF4E148-D4C3-47A6-8253-21AE8D606AFB}"/>
    <cellStyle name="Normal 7 12 2 4 2" xfId="28071" xr:uid="{15DB74D0-3538-414A-B215-1041392378D9}"/>
    <cellStyle name="Normal 7 12 2 4 3" xfId="26883" xr:uid="{E5DE6082-145C-469C-BD01-97F0936D8F74}"/>
    <cellStyle name="Normal 7 12 2 4 4" xfId="14692" xr:uid="{0FE1914F-D6AB-48FB-A6F7-19C438EA792D}"/>
    <cellStyle name="Normal 7 12 2 5" xfId="7145" xr:uid="{CEEAC735-1F80-42A3-8321-BEBDBBA0EDAD}"/>
    <cellStyle name="Normal 7 12 2 5 2" xfId="26863" xr:uid="{7FC277FB-F359-49BC-944E-08714D7C8310}"/>
    <cellStyle name="Normal 7 12 2 5 3" xfId="17525" xr:uid="{A21AEE0E-7E2E-4844-9A39-7F70268A3FAA}"/>
    <cellStyle name="Normal 7 12 2 5 4" xfId="30769" xr:uid="{A74B943A-E98D-420D-BAC5-727B6E05C403}"/>
    <cellStyle name="Normal 7 12 2 6" xfId="9978" xr:uid="{5D104CE3-2005-4D2C-91BA-62CD2764C2A5}"/>
    <cellStyle name="Normal 7 12 2 6 2" xfId="20358" xr:uid="{9DD75C04-C32C-41B7-8B04-005C3689DFA0}"/>
    <cellStyle name="Normal 7 12 2 7" xfId="23336" xr:uid="{8C58B10D-58D2-47E9-A3E4-FC944654C601}"/>
    <cellStyle name="Normal 7 12 2 8" xfId="12782" xr:uid="{E649DBA6-EF38-4C42-A68A-E78C329FCC2E}"/>
    <cellStyle name="Normal 7 12 3" xfId="1346" xr:uid="{00000000-0005-0000-0000-000014070000}"/>
    <cellStyle name="Normal 7 12 3 2" xfId="5396" xr:uid="{443EB7AA-966A-4D81-A596-F8B71D54BD25}"/>
    <cellStyle name="Normal 7 12 3 2 2" xfId="25613" xr:uid="{5D5DB393-479B-466F-B4E5-4C66F774489E}"/>
    <cellStyle name="Normal 7 12 3 2 3" xfId="28420" xr:uid="{C6B812D9-43A0-45C7-A9CF-806826CD411E}"/>
    <cellStyle name="Normal 7 12 3 2 4" xfId="14693" xr:uid="{04FFAD5B-49AD-4C32-AFAF-8DA40DBBAA22}"/>
    <cellStyle name="Normal 7 12 3 3" xfId="7146" xr:uid="{31D08A08-FD56-40CA-BFA7-63A6747620DA}"/>
    <cellStyle name="Normal 7 12 3 3 2" xfId="26763" xr:uid="{20E146AB-C481-46EA-834B-687A32370159}"/>
    <cellStyle name="Normal 7 12 3 3 3" xfId="27373" xr:uid="{126CBA36-0DF7-45A9-8ED3-446F54B25D2D}"/>
    <cellStyle name="Normal 7 12 3 3 4" xfId="17526" xr:uid="{C685EBA9-8168-4E70-83F3-57D4600FB1AD}"/>
    <cellStyle name="Normal 7 12 3 4" xfId="9979" xr:uid="{A4249746-35AA-4BE6-8243-638427CB4973}"/>
    <cellStyle name="Normal 7 12 3 4 2" xfId="27577" xr:uid="{A2246321-1797-4EEC-A361-427FBB7A3C71}"/>
    <cellStyle name="Normal 7 12 3 4 3" xfId="29448" xr:uid="{FC474E0F-94E7-4478-AED2-F6A01BFD2FDA}"/>
    <cellStyle name="Normal 7 12 3 4 4" xfId="20359" xr:uid="{51FAB024-1226-42E8-AAF6-A5FB5429E163}"/>
    <cellStyle name="Normal 7 12 3 5" xfId="25256" xr:uid="{1421110F-A50F-449B-AB95-D639693CB953}"/>
    <cellStyle name="Normal 7 12 3 6" xfId="28277" xr:uid="{FF454D42-2019-4230-B53B-246989797AB1}"/>
    <cellStyle name="Normal 7 12 3 7" xfId="13480" xr:uid="{2801D4D9-EDE0-43F3-B730-EE8A7669444F}"/>
    <cellStyle name="Normal 7 12 4" xfId="2817" xr:uid="{00000000-0005-0000-0000-0000E9070000}"/>
    <cellStyle name="Normal 7 12 4 2" xfId="6033" xr:uid="{32FBEA4A-82E4-4966-A90C-DE535393E8C0}"/>
    <cellStyle name="Normal 7 12 4 2 2" xfId="26918" xr:uid="{D83921AD-51A7-496B-9F3B-A4793FF82044}"/>
    <cellStyle name="Normal 7 12 4 2 3" xfId="15487" xr:uid="{2D53276B-54CA-41C8-BE80-BF030D7DCF54}"/>
    <cellStyle name="Normal 7 12 4 3" xfId="7940" xr:uid="{0B88E007-E916-454D-BD47-675A750BAA0F}"/>
    <cellStyle name="Normal 7 12 4 3 2" xfId="18320" xr:uid="{248BA8B1-C989-48FC-B454-D0156789335F}"/>
    <cellStyle name="Normal 7 12 4 4" xfId="10773" xr:uid="{86F5B672-2CD3-4166-969E-FCF60CE9557C}"/>
    <cellStyle name="Normal 7 12 4 4 2" xfId="21153" xr:uid="{A8B38EA7-380D-48A1-8AAE-42F90DAC3DEA}"/>
    <cellStyle name="Normal 7 12 4 5" xfId="23353" xr:uid="{2EE5C875-92FB-4244-85F1-A7B5269EC329}"/>
    <cellStyle name="Normal 7 12 4 6" xfId="13286" xr:uid="{BD1FAE01-0A6B-405B-AB96-B89554939E0D}"/>
    <cellStyle name="Normal 7 12 5" xfId="2390" xr:uid="{00000000-0005-0000-0000-0000E5070000}"/>
    <cellStyle name="Normal 7 12 5 2" xfId="7517" xr:uid="{2881FDC1-79F9-44C7-AA11-057B3B302194}"/>
    <cellStyle name="Normal 7 12 5 2 2" xfId="25855" xr:uid="{A46F6F50-8C06-4C42-9B61-6C5CC67905B2}"/>
    <cellStyle name="Normal 7 12 5 2 3" xfId="17897" xr:uid="{F32CDA9C-1E49-45A3-B185-E476210ABDD6}"/>
    <cellStyle name="Normal 7 12 5 3" xfId="10350" xr:uid="{D381B5B9-B7F2-4A87-978F-37E3CDBA402E}"/>
    <cellStyle name="Normal 7 12 5 3 2" xfId="20730" xr:uid="{20523882-9569-42C4-B086-CBD4A3E82B11}"/>
    <cellStyle name="Normal 7 12 5 4" xfId="23057" xr:uid="{A6F9EEEE-E8DC-402C-A9B2-22B84D550CD6}"/>
    <cellStyle name="Normal 7 12 5 5" xfId="15064" xr:uid="{85D507C5-997B-4EAA-87BA-0875FAA4D589}"/>
    <cellStyle name="Normal 7 12 6" xfId="4050" xr:uid="{3596E1EC-2AB1-4D44-B20A-1ED70535BDF9}"/>
    <cellStyle name="Normal 7 12 6 2" xfId="8836" xr:uid="{3890EE2A-C302-4021-B00A-634E4D23842F}"/>
    <cellStyle name="Normal 7 12 6 2 2" xfId="28993" xr:uid="{955CD499-595D-414F-AAE0-F71BB9C01778}"/>
    <cellStyle name="Normal 7 12 6 2 3" xfId="19216" xr:uid="{913F2D5D-8627-4B2A-9E1A-D7DD3106EAED}"/>
    <cellStyle name="Normal 7 12 6 3" xfId="11669" xr:uid="{8D6AD15C-FE8F-413E-BF2C-CC63FCCFFCB8}"/>
    <cellStyle name="Normal 7 12 6 3 2" xfId="22049" xr:uid="{471792B2-66A8-4D60-B43F-BA638C8B7E91}"/>
    <cellStyle name="Normal 7 12 6 4" xfId="27819" xr:uid="{0DE08D80-981E-47DC-87CF-4F862B724AE2}"/>
    <cellStyle name="Normal 7 12 6 5" xfId="16383" xr:uid="{0BAED52F-AFEE-4DA3-8A28-08092205E7E4}"/>
    <cellStyle name="Normal 7 12 7" xfId="5394" xr:uid="{E8A85330-10A0-460A-939F-343ADD733E52}"/>
    <cellStyle name="Normal 7 12 7 2" xfId="26836" xr:uid="{43749EB2-AA72-4AF7-BF22-85B893F561AE}"/>
    <cellStyle name="Normal 7 12 7 3" xfId="14691" xr:uid="{C0F1CF48-03EC-48B2-B752-F79DF60FEEC7}"/>
    <cellStyle name="Normal 7 12 8" xfId="7144" xr:uid="{19AAED7C-FA0E-4E9F-B250-A2B26DF88045}"/>
    <cellStyle name="Normal 7 12 8 2" xfId="17524" xr:uid="{F44AA86D-E803-46B6-AFD8-5D043216ECE4}"/>
    <cellStyle name="Normal 7 12 9" xfId="9977" xr:uid="{4B10B018-C750-4555-B579-BF05472304FB}"/>
    <cellStyle name="Normal 7 12 9 2" xfId="20357" xr:uid="{D19C51ED-E470-46EA-B869-F4DFDED11AAE}"/>
    <cellStyle name="Normal 7 13" xfId="1347" xr:uid="{00000000-0005-0000-0000-000015070000}"/>
    <cellStyle name="Normal 7 13 10" xfId="12625" xr:uid="{2D384B92-5D75-46D6-9018-93A54C225D1C}"/>
    <cellStyle name="Normal 7 13 2" xfId="1348" xr:uid="{00000000-0005-0000-0000-000016070000}"/>
    <cellStyle name="Normal 7 13 2 2" xfId="2981" xr:uid="{00000000-0005-0000-0000-0000EC070000}"/>
    <cellStyle name="Normal 7 13 2 2 2" xfId="6135" xr:uid="{FE8D53A9-6625-4430-99D9-D9C3115D7D7F}"/>
    <cellStyle name="Normal 7 13 2 2 2 2" xfId="26923" xr:uid="{D35E8CFE-4AE8-4C13-B4F2-8CD714D39F81}"/>
    <cellStyle name="Normal 7 13 2 2 2 3" xfId="27615" xr:uid="{CF0D11E8-5A7A-4820-A722-7C16EC81CB42}"/>
    <cellStyle name="Normal 7 13 2 2 2 4" xfId="15613" xr:uid="{3C8BF89B-DCC0-4D53-9917-6FCA126DD74B}"/>
    <cellStyle name="Normal 7 13 2 2 3" xfId="8066" xr:uid="{68DDBB74-D7DA-4A47-B658-51081B2BF2CE}"/>
    <cellStyle name="Normal 7 13 2 2 3 2" xfId="28764" xr:uid="{4173E0ED-2598-4D03-AEB0-DE0A25AF7D91}"/>
    <cellStyle name="Normal 7 13 2 2 3 3" xfId="18446" xr:uid="{D59CC203-F6EF-4720-BC0E-DB4824764562}"/>
    <cellStyle name="Normal 7 13 2 2 4" xfId="10899" xr:uid="{C5659DA6-8FD7-405B-AD77-8FD632A8F8C0}"/>
    <cellStyle name="Normal 7 13 2 2 4 2" xfId="21279" xr:uid="{5EAC393A-E25D-4040-AA99-C5645CB40D94}"/>
    <cellStyle name="Normal 7 13 2 2 5" xfId="24436" xr:uid="{3994F3C3-412E-48B0-ADFB-64C6C0CABA60}"/>
    <cellStyle name="Normal 7 13 2 2 6" xfId="13481" xr:uid="{90E73610-F862-45F8-8E78-35B01AF3730E}"/>
    <cellStyle name="Normal 7 13 2 3" xfId="5398" xr:uid="{C2511337-16C9-45A8-9333-468C081E9C80}"/>
    <cellStyle name="Normal 7 13 2 3 2" xfId="23416" xr:uid="{C3B71349-DC77-4278-B639-76402E9E57BC}"/>
    <cellStyle name="Normal 7 13 2 3 3" xfId="28181" xr:uid="{F8A5584B-9B09-4954-8A17-C135DB60EF34}"/>
    <cellStyle name="Normal 7 13 2 3 4" xfId="14695" xr:uid="{D31934AC-F6BB-4307-A8AF-7E5977253F78}"/>
    <cellStyle name="Normal 7 13 2 4" xfId="7148" xr:uid="{20B6FFD0-323F-4558-8FF5-79FB207F6696}"/>
    <cellStyle name="Normal 7 13 2 4 2" xfId="26148" xr:uid="{FF4FF221-A08B-4504-947A-0343A1DB8537}"/>
    <cellStyle name="Normal 7 13 2 4 3" xfId="27175" xr:uid="{20F8625E-931C-4469-924A-DE4AB335F6EB}"/>
    <cellStyle name="Normal 7 13 2 4 4" xfId="17528" xr:uid="{1FF3CC5F-0612-4F2F-B13F-5712F1F3C11E}"/>
    <cellStyle name="Normal 7 13 2 5" xfId="9981" xr:uid="{4AE7471D-0114-489F-8CA8-726EC8830133}"/>
    <cellStyle name="Normal 7 13 2 5 2" xfId="29449" xr:uid="{D7AD06FC-802D-43E1-8C8B-0A71DC954DBA}"/>
    <cellStyle name="Normal 7 13 2 5 3" xfId="20361" xr:uid="{102748FF-B588-497E-B490-1D8C4B75F89E}"/>
    <cellStyle name="Normal 7 13 2 5 4" xfId="30733" xr:uid="{078B82F8-3575-4866-85B0-171165DC89F2}"/>
    <cellStyle name="Normal 7 13 2 6" xfId="23103" xr:uid="{B4881FC2-88B5-4AF5-8CCF-37B88EFA183D}"/>
    <cellStyle name="Normal 7 13 2 7" xfId="12783" xr:uid="{FC89DDCE-20E0-4D06-9AE1-904260F698CB}"/>
    <cellStyle name="Normal 7 13 2 8" xfId="30355" xr:uid="{2E65C6AB-8CF6-4671-A403-945812586634}"/>
    <cellStyle name="Normal 7 13 3" xfId="1349" xr:uid="{00000000-0005-0000-0000-000017070000}"/>
    <cellStyle name="Normal 7 13 3 2" xfId="5399" xr:uid="{DCB20980-7643-4535-88F9-578CE8FBFBCD}"/>
    <cellStyle name="Normal 7 13 3 2 2" xfId="27766" xr:uid="{23C00D56-7A99-4A54-90B1-0B147FC68906}"/>
    <cellStyle name="Normal 7 13 3 2 3" xfId="26817" xr:uid="{20460F01-06EE-4D47-A0BE-B0A32B9D05B2}"/>
    <cellStyle name="Normal 7 13 3 2 4" xfId="14696" xr:uid="{B0B13E8D-91B0-4667-8658-1ADDDDEE0915}"/>
    <cellStyle name="Normal 7 13 3 3" xfId="7149" xr:uid="{64CD0462-F6AC-497F-9989-CBA317968155}"/>
    <cellStyle name="Normal 7 13 3 3 2" xfId="27380" xr:uid="{11DC4761-E4F6-4690-AE9A-B56E67E30089}"/>
    <cellStyle name="Normal 7 13 3 3 3" xfId="27444" xr:uid="{E9AA02BF-9AB4-42F7-A16C-CE009BAA2A77}"/>
    <cellStyle name="Normal 7 13 3 3 4" xfId="17529" xr:uid="{2A80C9F8-14FC-4F30-8B24-C2E6DEE33964}"/>
    <cellStyle name="Normal 7 13 3 4" xfId="9982" xr:uid="{98DBFA60-2698-46F4-BF5C-075BAC410C90}"/>
    <cellStyle name="Normal 7 13 3 4 2" xfId="29450" xr:uid="{84CEC67C-FAC1-4B94-A702-87E75276E1F3}"/>
    <cellStyle name="Normal 7 13 3 4 3" xfId="20362" xr:uid="{59F6F00D-9A4D-4140-B6DF-F155B26FD33D}"/>
    <cellStyle name="Normal 7 13 3 5" xfId="24275" xr:uid="{9ECC0C4F-35AC-4BF6-A677-6556CB126B7C}"/>
    <cellStyle name="Normal 7 13 3 6" xfId="13287" xr:uid="{9A463FB0-23D4-4E20-BE85-7FEB1D78479A}"/>
    <cellStyle name="Normal 7 13 4" xfId="2391" xr:uid="{00000000-0005-0000-0000-0000EA070000}"/>
    <cellStyle name="Normal 7 13 4 2" xfId="7518" xr:uid="{AB47B31C-1842-46B8-BFC4-5DFFF4EFD572}"/>
    <cellStyle name="Normal 7 13 4 2 2" xfId="28064" xr:uid="{DB5496FD-3ECA-4527-9C12-ED22E11A1F40}"/>
    <cellStyle name="Normal 7 13 4 2 3" xfId="17898" xr:uid="{9D218ECA-F844-4997-8237-106A1F8729BE}"/>
    <cellStyle name="Normal 7 13 4 3" xfId="10351" xr:uid="{FC2FC417-DB07-4826-87D7-5B2446E9E3D4}"/>
    <cellStyle name="Normal 7 13 4 3 2" xfId="20731" xr:uid="{CC12FB36-B1F2-4EC9-B42F-50595556BD13}"/>
    <cellStyle name="Normal 7 13 4 4" xfId="22854" xr:uid="{BF373A71-7832-4175-8084-02F7704F61C2}"/>
    <cellStyle name="Normal 7 13 4 5" xfId="15065" xr:uid="{E13BC127-0E7F-4E10-BA34-579DB90C1102}"/>
    <cellStyle name="Normal 7 13 5" xfId="4051" xr:uid="{C48EAA1B-737A-4259-88AF-A88E11F7D0B2}"/>
    <cellStyle name="Normal 7 13 5 2" xfId="8837" xr:uid="{77A6E992-268E-475C-A367-69EAF4F88609}"/>
    <cellStyle name="Normal 7 13 5 2 2" xfId="28994" xr:uid="{4C50D351-F50B-4D38-ADF8-BDC32A258787}"/>
    <cellStyle name="Normal 7 13 5 2 3" xfId="19217" xr:uid="{E91DCA4A-113A-4BF8-98F5-3433F4BDA44E}"/>
    <cellStyle name="Normal 7 13 5 3" xfId="11670" xr:uid="{6424C1A2-E0FA-46CB-865D-D2637C8733E4}"/>
    <cellStyle name="Normal 7 13 5 3 2" xfId="22050" xr:uid="{A8877C6E-3F80-4ECE-BBAC-9E25EE1C5063}"/>
    <cellStyle name="Normal 7 13 5 4" xfId="24053" xr:uid="{4CD85591-419B-4589-8A19-007BB58E4ABA}"/>
    <cellStyle name="Normal 7 13 5 5" xfId="16384" xr:uid="{E002FDFB-78F4-48F0-B689-BCA90642B069}"/>
    <cellStyle name="Normal 7 13 6" xfId="5397" xr:uid="{9FC5ABBE-5778-416A-8388-E134B2F82B4D}"/>
    <cellStyle name="Normal 7 13 6 2" xfId="26082" xr:uid="{9042DCD2-8FD3-4FED-BC94-87E103CDB104}"/>
    <cellStyle name="Normal 7 13 6 3" xfId="28138" xr:uid="{47920828-9C9D-495D-BB4B-107B93789533}"/>
    <cellStyle name="Normal 7 13 6 4" xfId="14694" xr:uid="{3A164B11-B58D-49F7-BAE4-EAB2B732401E}"/>
    <cellStyle name="Normal 7 13 7" xfId="7147" xr:uid="{3F7AF10C-BBF5-44CB-AE49-D899F1B58A2A}"/>
    <cellStyle name="Normal 7 13 7 2" xfId="27501" xr:uid="{CD4C4EB5-DBD3-48EC-8F2A-53F58EEB111E}"/>
    <cellStyle name="Normal 7 13 7 3" xfId="17527" xr:uid="{80DCB9DD-116E-4C3F-89E8-0FC8E6A33AFF}"/>
    <cellStyle name="Normal 7 13 8" xfId="9980" xr:uid="{9FE94840-706F-4124-B963-1EAF1B222905}"/>
    <cellStyle name="Normal 7 13 8 2" xfId="20360" xr:uid="{BDFD353B-89F6-463A-BA27-9F07C438FE06}"/>
    <cellStyle name="Normal 7 13 9" xfId="23991" xr:uid="{1DBB7AE5-BB86-489A-8864-C46BF4D7E5AD}"/>
    <cellStyle name="Normal 7 14" xfId="1350" xr:uid="{00000000-0005-0000-0000-000018070000}"/>
    <cellStyle name="Normal 7 14 2" xfId="4571" xr:uid="{4072DF07-EF14-43D3-B167-C35CAF4234D0}"/>
    <cellStyle name="Normal 7 14 2 2" xfId="9343" xr:uid="{B8A9AD22-3410-4FF4-83C7-E2DC3D14ED22}"/>
    <cellStyle name="Normal 7 14 2 2 2" xfId="29317" xr:uid="{A5799844-DFFA-455D-A86E-8427EBCB3714}"/>
    <cellStyle name="Normal 7 14 2 2 3" xfId="19723" xr:uid="{7C974998-D80F-4756-8AA6-8EBE02DE6977}"/>
    <cellStyle name="Normal 7 14 2 3" xfId="12176" xr:uid="{14EEB91B-D8F9-4F06-B344-22845EF1E6AA}"/>
    <cellStyle name="Normal 7 14 2 3 2" xfId="22556" xr:uid="{3B072E4D-49A0-409B-9BD9-9B2AAEACA31C}"/>
    <cellStyle name="Normal 7 14 2 4" xfId="24584" xr:uid="{5942702B-591C-4132-A5C1-66F61F49F937}"/>
    <cellStyle name="Normal 7 14 2 5" xfId="16890" xr:uid="{683ACCB9-7C62-4B63-B4F1-090AB6DAC786}"/>
    <cellStyle name="Normal 7 14 3" xfId="5400" xr:uid="{FAC9975F-8F2F-4E63-A9C3-9F3C1010A589}"/>
    <cellStyle name="Normal 7 14 3 2" xfId="25774" xr:uid="{8D397C2B-E913-4504-B12F-1B0EE6347D16}"/>
    <cellStyle name="Normal 7 14 3 3" xfId="27633" xr:uid="{07857877-B5B2-4CEB-A569-43A78CB1FF4C}"/>
    <cellStyle name="Normal 7 14 3 4" xfId="14697" xr:uid="{15E50FBB-3C72-4F94-9257-EF48A0129430}"/>
    <cellStyle name="Normal 7 14 3 5" xfId="29616" xr:uid="{02CF52A5-91C5-41D2-A0F8-38F4DC89323C}"/>
    <cellStyle name="Normal 7 14 3 6" xfId="29612" xr:uid="{26C82F45-E903-4829-958C-65A95733CA82}"/>
    <cellStyle name="Normal 7 14 3 6 2" xfId="29652" xr:uid="{FAD90F05-E5B6-4B3C-A1D0-A7981FC7DD94}"/>
    <cellStyle name="Normal 7 14 3 7" xfId="29635" xr:uid="{34C97F94-45C7-4B15-9ED5-2C3B425DF668}"/>
    <cellStyle name="Normal 7 14 4" xfId="7150" xr:uid="{BDE5B7F9-0BFE-44EC-A692-1FD60098272B}"/>
    <cellStyle name="Normal 7 14 4 2" xfId="23785" xr:uid="{C36A6A98-8F2F-4C86-9EEE-E1C5209BFEB8}"/>
    <cellStyle name="Normal 7 14 4 3" xfId="25875" xr:uid="{A4AA3AA3-09A8-434A-A46E-2D81674CCE1A}"/>
    <cellStyle name="Normal 7 14 4 4" xfId="17530" xr:uid="{0CE44A9C-B3B6-4F7D-8D17-9610CFE16AA4}"/>
    <cellStyle name="Normal 7 14 5" xfId="9983" xr:uid="{8235CE7C-372C-4318-A599-8E62C285DA7B}"/>
    <cellStyle name="Normal 7 14 5 2" xfId="29451" xr:uid="{AEDE9949-7169-4514-AE0E-4A891C24561E}"/>
    <cellStyle name="Normal 7 14 5 3" xfId="20363" xr:uid="{9449C78C-D33B-459C-BBF9-694343407FAB}"/>
    <cellStyle name="Normal 7 14 6" xfId="24136" xr:uid="{9092CC78-A25F-48A6-83D4-F44869564DEA}"/>
    <cellStyle name="Normal 7 14 7" xfId="13998" xr:uid="{0FCA37D2-3715-410D-9450-DBE88E718CBE}"/>
    <cellStyle name="Normal 7 15" xfId="2432" xr:uid="{00000000-0005-0000-0000-0000EF070000}"/>
    <cellStyle name="Normal 7 15 2" xfId="5729" xr:uid="{C5D7E416-4228-41E8-ABDC-EE69883A12CC}"/>
    <cellStyle name="Normal 7 15 2 2" xfId="23596" xr:uid="{65C6AC73-A0E6-4BCE-92BE-B668B8D5257A}"/>
    <cellStyle name="Normal 7 15 2 3" xfId="15104" xr:uid="{17D943AA-C222-4B4C-A18F-6CCE6BA583AE}"/>
    <cellStyle name="Normal 7 15 3" xfId="7557" xr:uid="{F1E98D2C-5E23-44D7-A17A-E7E508629C08}"/>
    <cellStyle name="Normal 7 15 3 2" xfId="17937" xr:uid="{AE558860-C380-4D33-B8F4-BAFABF7E14FC}"/>
    <cellStyle name="Normal 7 15 4" xfId="10390" xr:uid="{0365E554-FA94-4190-A1D6-9E0EE659857C}"/>
    <cellStyle name="Normal 7 15 4 2" xfId="20770" xr:uid="{2A88BA57-D2E1-463D-AEDB-D1CD92CC2019}"/>
    <cellStyle name="Normal 7 15 5" xfId="23728" xr:uid="{7232D1CA-690F-4D52-9D19-42CE68785447}"/>
    <cellStyle name="Normal 7 15 6" xfId="12819" xr:uid="{F5044BB9-43F3-49F3-B21A-9AD06E1D6815}"/>
    <cellStyle name="Normal 7 16" xfId="2159" xr:uid="{00000000-0005-0000-0000-0000D6070000}"/>
    <cellStyle name="Normal 7 16 2" xfId="7286" xr:uid="{487A9249-76DA-44C0-9FB7-C1ECCC926A3F}"/>
    <cellStyle name="Normal 7 16 2 2" xfId="17666" xr:uid="{E8531131-82DE-4A9C-9E7C-B57E41F8A0D7}"/>
    <cellStyle name="Normal 7 16 3" xfId="10119" xr:uid="{55FE5E11-08C7-4A4A-B6B1-9A55D8442D61}"/>
    <cellStyle name="Normal 7 16 3 2" xfId="20499" xr:uid="{5B263FD6-644E-4205-BA6A-B5FA3C82A433}"/>
    <cellStyle name="Normal 7 16 4" xfId="24615" xr:uid="{3531CAC4-9557-447A-A968-11C6FD1FBF49}"/>
    <cellStyle name="Normal 7 16 5" xfId="14833" xr:uid="{EA3CD99F-CEAA-4377-8E06-36E914726435}"/>
    <cellStyle name="Normal 7 17" xfId="3784" xr:uid="{341F80F6-8699-4561-8A3C-2CE4C55CAADA}"/>
    <cellStyle name="Normal 7 17 2" xfId="8623" xr:uid="{1FC80999-4DDE-48CF-962D-7BAF4D6653EE}"/>
    <cellStyle name="Normal 7 17 2 2" xfId="19003" xr:uid="{ED9F5490-6BEC-49DB-B407-08529B63281F}"/>
    <cellStyle name="Normal 7 17 3" xfId="11456" xr:uid="{85BFA86A-976C-4244-B91D-A4A316DF7FAA}"/>
    <cellStyle name="Normal 7 17 3 2" xfId="21836" xr:uid="{EBB9E23C-1929-404A-8369-AB114746F9B3}"/>
    <cellStyle name="Normal 7 17 4" xfId="16170" xr:uid="{19ED6957-761A-498A-9DB7-0D4BB90DEA23}"/>
    <cellStyle name="Normal 7 18" xfId="23716" xr:uid="{275285CC-AC04-46B2-8894-D88E3A4793D8}"/>
    <cellStyle name="Normal 7 19" xfId="12391" xr:uid="{409BED8C-AD22-4BB5-AC49-DFFDB915DE9E}"/>
    <cellStyle name="Normal 7 2" xfId="1351" xr:uid="{00000000-0005-0000-0000-000019070000}"/>
    <cellStyle name="Normal 7 2 2" xfId="1352" xr:uid="{00000000-0005-0000-0000-00001A070000}"/>
    <cellStyle name="Normal 7 2 3" xfId="29579" xr:uid="{C9FAE160-566D-4193-A935-2D0DA2B23E4F}"/>
    <cellStyle name="Normal 7 20" xfId="29578" xr:uid="{642B267D-0DF7-40DE-B31F-199C69FB4D2F}"/>
    <cellStyle name="Normal 7 20 2" xfId="30332" xr:uid="{6A17173A-0689-4FBB-9190-267647FD01E5}"/>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9" xr:uid="{3A610EB4-A016-4959-9696-204DE0AAB876}"/>
    <cellStyle name="Normal 7 3 3 2 3 2 2 3" xfId="25207" xr:uid="{8ED66FBA-2D40-4643-9B61-F1E32A491FDE}"/>
    <cellStyle name="Normal 7 3 3 2 3 2 3" xfId="1361" xr:uid="{00000000-0005-0000-0000-000023070000}"/>
    <cellStyle name="Normal 7 3 3 2 3 2 3 2" xfId="2026" xr:uid="{00000000-0005-0000-0000-000024070000}"/>
    <cellStyle name="Normal 7 3 3 2 3 2 3 3" xfId="3761" xr:uid="{00000000-0005-0000-0000-000084060000}"/>
    <cellStyle name="Normal 7 3 3 2 3 2 3 3 2" xfId="4739" xr:uid="{14F8C66C-3AFD-4960-8379-ECACDC0C00A0}"/>
    <cellStyle name="Normal 7 3 3 2 3 2 4" xfId="24308" xr:uid="{4F4781A6-ECE1-4C9E-AC58-6E5C10C0A2BA}"/>
    <cellStyle name="Normal 7 3 3 2 3 3" xfId="1362" xr:uid="{00000000-0005-0000-0000-000025070000}"/>
    <cellStyle name="Normal 7 3 3 2 3 4" xfId="2983" xr:uid="{00000000-0005-0000-0000-0000FA070000}"/>
    <cellStyle name="Normal 7 3 3 2 3 5" xfId="2145" xr:uid="{00000000-0005-0000-0000-0000F7020000}"/>
    <cellStyle name="Normal 7 3 3 2 3 5 2" xfId="4635" xr:uid="{4276D1A2-DC93-4587-8A35-0E2B48A1053D}"/>
    <cellStyle name="Normal 7 3 3 2 3 6" xfId="4055" xr:uid="{B827FBD5-2E2E-4EC7-8D41-DDFF87CC148D}"/>
    <cellStyle name="Normal 7 3 3 2 3 6 2" xfId="4800" xr:uid="{41E9EAB1-F610-481E-9DBF-172EE15DBDDE}"/>
    <cellStyle name="Normal 7 3 3 2 4" xfId="1363" xr:uid="{00000000-0005-0000-0000-000026070000}"/>
    <cellStyle name="Normal 7 3 3 2 4 2" xfId="2982" xr:uid="{00000000-0005-0000-0000-0000FB070000}"/>
    <cellStyle name="Normal 7 3 3 2 4 3" xfId="25208" xr:uid="{B0C3B96C-3DDC-4AE2-9FBF-450A9524DC4A}"/>
    <cellStyle name="Normal 7 3 3 2 4 3 2" xfId="29624" xr:uid="{D5A67649-7538-431D-8D7A-5AD8C95F5258}"/>
    <cellStyle name="Normal 7 3 3 2 4 3 3" xfId="29613" xr:uid="{66300240-9CE0-4062-9E28-4F6B04AC2CFD}"/>
    <cellStyle name="Normal 7 3 3 2 4 3 3 2" xfId="29653" xr:uid="{6CAF7E09-E7DB-45FE-975B-5EBB75C74D81}"/>
    <cellStyle name="Normal 7 3 3 2 5" xfId="2144" xr:uid="{00000000-0005-0000-0000-0000F5020000}"/>
    <cellStyle name="Normal 7 3 3 2 5 2" xfId="4663" xr:uid="{8519FF03-5F6D-4EB4-B933-25C9AA886D70}"/>
    <cellStyle name="Normal 7 3 3 2 6" xfId="4054" xr:uid="{0F69AA1D-AABD-4773-8E71-6D7F88104E7D}"/>
    <cellStyle name="Normal 7 3 3 2 6 2" xfId="4706" xr:uid="{FBE10302-99A6-4D2B-BB8D-B20AC5081845}"/>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7" xr:uid="{00000000-0005-0000-0000-00002C070000}"/>
    <cellStyle name="Normal 7 3 3 4 2 2 2 3" xfId="3762" xr:uid="{00000000-0005-0000-0000-00008B060000}"/>
    <cellStyle name="Normal 7 3 3 4 2 2 2 3 2" xfId="4690" xr:uid="{FFDAA0C2-4A8B-4197-B6CC-922603129983}"/>
    <cellStyle name="Normal 7 3 3 4 2 2 2 4" xfId="23538" xr:uid="{5DC698DF-1EB8-4352-991D-5DF81557D20A}"/>
    <cellStyle name="Normal 7 3 3 4 2 2 3" xfId="2028" xr:uid="{00000000-0005-0000-0000-00002D070000}"/>
    <cellStyle name="Normal 7 3 3 4 2 2 4" xfId="24128" xr:uid="{6B4D953D-C7AF-48CD-AB50-65538F78D7AC}"/>
    <cellStyle name="Normal 7 3 3 4 2 3" xfId="1369" xr:uid="{00000000-0005-0000-0000-00002E070000}"/>
    <cellStyle name="Normal 7 3 3 4 2 3 2" xfId="1370" xr:uid="{00000000-0005-0000-0000-00002F070000}"/>
    <cellStyle name="Normal 7 3 3 4 2 3 2 2" xfId="25760" xr:uid="{9FC1AC3D-9F28-4DA0-9380-BC7E4A0369FC}"/>
    <cellStyle name="Normal 7 3 3 4 2 3 2 3" xfId="23622" xr:uid="{84AE4A6D-2B0B-43BB-8CE5-1E2B5F205C09}"/>
    <cellStyle name="Normal 7 3 3 4 2 3 3" xfId="1371" xr:uid="{00000000-0005-0000-0000-000030070000}"/>
    <cellStyle name="Normal 7 3 3 4 2 3 3 2" xfId="23825" xr:uid="{CCE458EA-8A72-49FE-A77A-634330E76522}"/>
    <cellStyle name="Normal 7 3 3 4 2 3 3 3" xfId="22773" xr:uid="{D5AB1874-6DDC-44B8-AD25-F7B2D8D3E562}"/>
    <cellStyle name="Normal 7 3 3 4 2 3 4" xfId="2147" xr:uid="{00000000-0005-0000-0000-0000FD020000}"/>
    <cellStyle name="Normal 7 3 3 4 2 3 4 2" xfId="4813" xr:uid="{85B8BA1F-331D-494F-A0E7-481902D278F4}"/>
    <cellStyle name="Normal 7 3 3 4 2 3 5" xfId="24402" xr:uid="{AE0E1D6A-38CA-406E-AE73-788945631526}"/>
    <cellStyle name="Normal 7 3 3 4 2 4" xfId="23708" xr:uid="{E6762BC0-4988-4223-B09E-CC35F0BD73AE}"/>
    <cellStyle name="Normal 7 3 3 4 3" xfId="1372" xr:uid="{00000000-0005-0000-0000-000031070000}"/>
    <cellStyle name="Normal 7 3 3 4 4" xfId="2984" xr:uid="{00000000-0005-0000-0000-000003080000}"/>
    <cellStyle name="Normal 7 3 3 4 5" xfId="2146" xr:uid="{00000000-0005-0000-0000-0000FA020000}"/>
    <cellStyle name="Normal 7 3 3 4 5 2" xfId="4023" xr:uid="{6D2F6D47-4728-4B49-AE2E-D503982C4500}"/>
    <cellStyle name="Normal 7 3 3 4 6" xfId="4056" xr:uid="{3D663429-9E72-4EFF-8B04-88C376DF2815}"/>
    <cellStyle name="Normal 7 3 3 4 6 2" xfId="4796" xr:uid="{AEA4314F-DE64-4934-8CDE-F04585260C3B}"/>
    <cellStyle name="Normal 7 3 3 5" xfId="1373" xr:uid="{00000000-0005-0000-0000-000032070000}"/>
    <cellStyle name="Normal 7 3 3 5 2" xfId="1374" xr:uid="{00000000-0005-0000-0000-000033070000}"/>
    <cellStyle name="Normal 7 3 3 5 3" xfId="3763" xr:uid="{00000000-0005-0000-0000-000092060000}"/>
    <cellStyle name="Normal 7 3 3 5 3 2" xfId="4797" xr:uid="{E8168558-99C5-46A5-A612-2FC93BC3CDFD}"/>
    <cellStyle name="Normal 7 3 3 5 3 2 2" xfId="27332" xr:uid="{602079EF-2278-456C-B1D0-880B1CB11283}"/>
    <cellStyle name="Normal 7 3 3 5 3 3" xfId="25223" xr:uid="{B55B4F7C-6E21-48BE-9E2E-2D34FC86B976}"/>
    <cellStyle name="Normal 7 3 3 5 4" xfId="24261"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7" xr:uid="{D88E8471-D92D-49F6-980C-BD36AA4D314B}"/>
    <cellStyle name="Normal 7 3 4 3 2 2 3" xfId="25735" xr:uid="{126A297B-7ADB-4933-9CCB-2FD3B77C74DF}"/>
    <cellStyle name="Normal 7 3 4 3 2 3" xfId="1380" xr:uid="{00000000-0005-0000-0000-000039070000}"/>
    <cellStyle name="Normal 7 3 4 3 2 3 2" xfId="2029" xr:uid="{00000000-0005-0000-0000-00003A070000}"/>
    <cellStyle name="Normal 7 3 4 3 2 3 3" xfId="3764" xr:uid="{00000000-0005-0000-0000-000099060000}"/>
    <cellStyle name="Normal 7 3 4 3 2 3 3 2" xfId="4821" xr:uid="{AF1FEBE8-E3EC-4326-BAB1-44332DCC67E2}"/>
    <cellStyle name="Normal 7 3 4 3 2 4" xfId="25414" xr:uid="{F055F10B-64A1-40D8-B460-1A174561E6AE}"/>
    <cellStyle name="Normal 7 3 4 3 3" xfId="1381" xr:uid="{00000000-0005-0000-0000-00003B070000}"/>
    <cellStyle name="Normal 7 3 4 3 4" xfId="2985" xr:uid="{00000000-0005-0000-0000-000009080000}"/>
    <cellStyle name="Normal 7 3 4 3 5" xfId="2149" xr:uid="{00000000-0005-0000-0000-000001030000}"/>
    <cellStyle name="Normal 7 3 4 3 5 2" xfId="4669" xr:uid="{E82F8251-A2EF-493C-99EC-798453FDB072}"/>
    <cellStyle name="Normal 7 3 4 3 6" xfId="4058" xr:uid="{19AF6C94-1102-41EB-A615-06CFDA2F78F6}"/>
    <cellStyle name="Normal 7 3 4 3 6 2" xfId="4819" xr:uid="{0CC34133-4C51-4581-8706-421D8E52AF25}"/>
    <cellStyle name="Normal 7 3 4 4" xfId="1382" xr:uid="{00000000-0005-0000-0000-00003C070000}"/>
    <cellStyle name="Normal 7 3 4 4 2" xfId="2030" xr:uid="{00000000-0005-0000-0000-00003D070000}"/>
    <cellStyle name="Normal 7 3 4 4 3" xfId="3765" xr:uid="{00000000-0005-0000-0000-00009C060000}"/>
    <cellStyle name="Normal 7 3 4 4 3 2" xfId="4748" xr:uid="{0576D2F5-5022-46BF-A95D-FDE144D163B9}"/>
    <cellStyle name="Normal 7 3 4 5" xfId="2148" xr:uid="{00000000-0005-0000-0000-0000FF020000}"/>
    <cellStyle name="Normal 7 3 4 5 2" xfId="4676" xr:uid="{62B191F5-1F42-4E10-9F64-94BCDEA70967}"/>
    <cellStyle name="Normal 7 3 4 6" xfId="4057" xr:uid="{FA0FC87F-FC4E-4E3F-98FE-B3C6B8313692}"/>
    <cellStyle name="Normal 7 3 4 6 2" xfId="4766" xr:uid="{56DF81AD-9939-4BBA-9856-A8B717C867ED}"/>
    <cellStyle name="Normal 7 3 5" xfId="2072" xr:uid="{00000000-0005-0000-0000-0000F2020000}"/>
    <cellStyle name="Normal 7 3 5 2" xfId="4780" xr:uid="{2BC8EFBC-06F5-4C7E-B0DC-F1B8E24A78E5}"/>
    <cellStyle name="Normal 7 3 6" xfId="29580" xr:uid="{F508C06F-0760-4DB3-8A82-A860AE1FCD26}"/>
    <cellStyle name="Normal 7 4" xfId="1383" xr:uid="{00000000-0005-0000-0000-00003E070000}"/>
    <cellStyle name="Normal 7 4 10" xfId="1384" xr:uid="{00000000-0005-0000-0000-00003F070000}"/>
    <cellStyle name="Normal 7 4 10 10" xfId="12626" xr:uid="{E39E0DB2-1C99-4921-9289-604FC440D3A7}"/>
    <cellStyle name="Normal 7 4 10 2" xfId="1385" xr:uid="{00000000-0005-0000-0000-000040070000}"/>
    <cellStyle name="Normal 7 4 10 2 2" xfId="2986" xr:uid="{00000000-0005-0000-0000-00000E080000}"/>
    <cellStyle name="Normal 7 4 10 2 2 2" xfId="6136" xr:uid="{58BC0567-405B-4413-914D-5689FA1AE9E6}"/>
    <cellStyle name="Normal 7 4 10 2 2 2 2" xfId="25975" xr:uid="{F32906AA-0510-44F9-AFF5-3E96B250F34E}"/>
    <cellStyle name="Normal 7 4 10 2 2 2 3" xfId="27351" xr:uid="{D1FF3C20-ECA0-445F-B991-2445EF58CA2F}"/>
    <cellStyle name="Normal 7 4 10 2 2 2 4" xfId="15614" xr:uid="{A53AFE9F-0E8E-4969-A9A4-79BCBB14F77E}"/>
    <cellStyle name="Normal 7 4 10 2 2 3" xfId="8067" xr:uid="{7212056B-159D-48BF-83C8-1347DB78FEC6}"/>
    <cellStyle name="Normal 7 4 10 2 2 3 2" xfId="28765" xr:uid="{0667C046-2EFC-4FAD-A0D1-FF6576649D79}"/>
    <cellStyle name="Normal 7 4 10 2 2 3 3" xfId="18447" xr:uid="{6262987E-DA53-4006-977A-3849AD0E8858}"/>
    <cellStyle name="Normal 7 4 10 2 2 4" xfId="10900" xr:uid="{F637C2E1-7753-4B4C-8F16-9AA66DDDAEF0}"/>
    <cellStyle name="Normal 7 4 10 2 2 4 2" xfId="21280" xr:uid="{6613C23C-B3E5-4227-8591-EB121E6D78E9}"/>
    <cellStyle name="Normal 7 4 10 2 2 5" xfId="22714" xr:uid="{3706A199-799F-4D6F-83FD-41BDE783AE20}"/>
    <cellStyle name="Normal 7 4 10 2 2 6" xfId="13482" xr:uid="{F64751DD-61FF-49E7-BFF5-F0A719CB7884}"/>
    <cellStyle name="Normal 7 4 10 2 3" xfId="5403" xr:uid="{5983E34B-CA1D-45DA-8353-366D5E3A0CB4}"/>
    <cellStyle name="Normal 7 4 10 2 3 2" xfId="23455" xr:uid="{225ACEA7-5C66-4905-85C6-E09D28963687}"/>
    <cellStyle name="Normal 7 4 10 2 3 3" xfId="26502" xr:uid="{EC4744C8-04D9-4EC6-8C7D-BD8F9EF2515F}"/>
    <cellStyle name="Normal 7 4 10 2 3 4" xfId="14700" xr:uid="{3D4EA00A-6101-40BC-B90B-10E6FC343E5C}"/>
    <cellStyle name="Normal 7 4 10 2 4" xfId="7153" xr:uid="{A7ECD047-1A9C-410E-881F-47F5A66CACB4}"/>
    <cellStyle name="Normal 7 4 10 2 4 2" xfId="28101" xr:uid="{ABDA0BE5-DD38-480E-92B7-0A0E036EF30E}"/>
    <cellStyle name="Normal 7 4 10 2 4 3" xfId="26538" xr:uid="{B3F0F765-866B-42F2-8B79-EDCEE9283A31}"/>
    <cellStyle name="Normal 7 4 10 2 4 4" xfId="17533" xr:uid="{A6A9B4F8-16F6-490E-AB24-06E45B887DEE}"/>
    <cellStyle name="Normal 7 4 10 2 5" xfId="9986" xr:uid="{B0E34A6C-8106-4A35-BE87-8A751D666FA6}"/>
    <cellStyle name="Normal 7 4 10 2 5 2" xfId="29452" xr:uid="{6D64EC46-F50E-44F4-860D-875C63C9FF2B}"/>
    <cellStyle name="Normal 7 4 10 2 5 3" xfId="20366" xr:uid="{B05791DD-FB82-4608-A729-E2967A40F98A}"/>
    <cellStyle name="Normal 7 4 10 2 5 4" xfId="30734" xr:uid="{FDAB32E3-1C8E-452F-B9EA-54CBFB664FC9}"/>
    <cellStyle name="Normal 7 4 10 2 6" xfId="23358" xr:uid="{BB82E11A-01DC-407C-BA19-8383DF702642}"/>
    <cellStyle name="Normal 7 4 10 2 7" xfId="12784" xr:uid="{2A40A123-DB6D-4CAD-B3EF-8D16581D2066}"/>
    <cellStyle name="Normal 7 4 10 2 8" xfId="30356" xr:uid="{385BD219-CBE9-49C7-BB96-C60F1EE3A3D0}"/>
    <cellStyle name="Normal 7 4 10 3" xfId="1386" xr:uid="{00000000-0005-0000-0000-000041070000}"/>
    <cellStyle name="Normal 7 4 10 3 2" xfId="5404" xr:uid="{90229E99-CEEA-4005-976E-676561CE60D7}"/>
    <cellStyle name="Normal 7 4 10 3 2 2" xfId="27219" xr:uid="{68BD47C5-D462-4D85-B923-6CEFB2F05EF6}"/>
    <cellStyle name="Normal 7 4 10 3 2 3" xfId="28099" xr:uid="{DE055B0B-A8BE-45C7-ABC5-2C84D52B9FE3}"/>
    <cellStyle name="Normal 7 4 10 3 2 4" xfId="14701" xr:uid="{2D77293D-C59F-4086-931B-813966E04C5A}"/>
    <cellStyle name="Normal 7 4 10 3 3" xfId="7154" xr:uid="{F1967FBE-A3A8-4F88-8621-8D068AA57768}"/>
    <cellStyle name="Normal 7 4 10 3 3 2" xfId="28574" xr:uid="{2CE122AC-64CC-4038-8FB4-F43AAC17B16B}"/>
    <cellStyle name="Normal 7 4 10 3 3 3" xfId="26356" xr:uid="{B1A30EA3-D358-431D-A7CF-EDDD9E8E93B9}"/>
    <cellStyle name="Normal 7 4 10 3 3 4" xfId="17534" xr:uid="{50931B32-2847-4DB6-8D45-6F68A911D218}"/>
    <cellStyle name="Normal 7 4 10 3 4" xfId="9987" xr:uid="{D28DB7C0-0AF3-46D3-AC36-B9786005EE04}"/>
    <cellStyle name="Normal 7 4 10 3 4 2" xfId="29453" xr:uid="{D7534AF6-ADC2-493F-A75A-91233F6F7645}"/>
    <cellStyle name="Normal 7 4 10 3 4 3" xfId="20367" xr:uid="{E7C29FA1-E4CF-43C0-832F-7E082E95E71A}"/>
    <cellStyle name="Normal 7 4 10 3 5" xfId="23167" xr:uid="{BC4588E6-59EB-42D4-8C1A-C396DA859E20}"/>
    <cellStyle name="Normal 7 4 10 3 6" xfId="13289" xr:uid="{5FAD2BCB-9C26-4C51-BDB6-E0584DEC405D}"/>
    <cellStyle name="Normal 7 4 10 4" xfId="2392" xr:uid="{00000000-0005-0000-0000-00000C080000}"/>
    <cellStyle name="Normal 7 4 10 4 2" xfId="7519" xr:uid="{6071AF00-0683-4207-8FFF-1FA95E4222DF}"/>
    <cellStyle name="Normal 7 4 10 4 2 2" xfId="28091" xr:uid="{E8F543B3-88BC-48D6-AD29-96E64116D095}"/>
    <cellStyle name="Normal 7 4 10 4 2 3" xfId="17899" xr:uid="{3F714F41-FAB1-45A4-AEC1-FFFF63D53736}"/>
    <cellStyle name="Normal 7 4 10 4 3" xfId="10352" xr:uid="{AC62CA15-CE9F-470F-BF7F-19EFF0654FFD}"/>
    <cellStyle name="Normal 7 4 10 4 3 2" xfId="20732" xr:uid="{2B5476F8-1542-4A45-9B8B-CA77C4C773B9}"/>
    <cellStyle name="Normal 7 4 10 4 4" xfId="22887" xr:uid="{CEE392DA-D99F-41B2-9AB5-1684E1A933D9}"/>
    <cellStyle name="Normal 7 4 10 4 5" xfId="15066" xr:uid="{ECCB2C17-EA3D-4753-B88E-D1A79FC6BB59}"/>
    <cellStyle name="Normal 7 4 10 5" xfId="4060" xr:uid="{A47C9DAF-18CB-48BA-8AD7-5149BEA6F166}"/>
    <cellStyle name="Normal 7 4 10 5 2" xfId="8840" xr:uid="{93A520FB-BDD6-4069-BCED-3F1BC303313B}"/>
    <cellStyle name="Normal 7 4 10 5 2 2" xfId="28995" xr:uid="{0C8C64D4-78B4-42B4-8837-FAD504081FC6}"/>
    <cellStyle name="Normal 7 4 10 5 2 3" xfId="19220" xr:uid="{E0313ABF-E8D0-4EF3-B070-B58464E5B21E}"/>
    <cellStyle name="Normal 7 4 10 5 3" xfId="11673" xr:uid="{8B166987-21CC-4FE9-90CF-4B5C0D0BF008}"/>
    <cellStyle name="Normal 7 4 10 5 3 2" xfId="22053" xr:uid="{26496B1F-C615-4E80-8037-4D4E0929AD27}"/>
    <cellStyle name="Normal 7 4 10 5 4" xfId="24474" xr:uid="{BFEDEBE2-F864-495A-899E-53D5D1B5AB36}"/>
    <cellStyle name="Normal 7 4 10 5 5" xfId="16387" xr:uid="{36CBD321-650A-4674-8A2E-13B231E90F45}"/>
    <cellStyle name="Normal 7 4 10 6" xfId="5402" xr:uid="{15474A07-3C10-49DE-874C-C083673A395B}"/>
    <cellStyle name="Normal 7 4 10 6 2" xfId="27164" xr:uid="{D4D8E402-8606-4174-9130-005E070C7A57}"/>
    <cellStyle name="Normal 7 4 10 6 3" xfId="28701" xr:uid="{AAD42802-2F27-424F-890C-4FD7599FF5B0}"/>
    <cellStyle name="Normal 7 4 10 6 4" xfId="14699" xr:uid="{61584101-1BC3-499F-B444-1B5DC1EE4865}"/>
    <cellStyle name="Normal 7 4 10 7" xfId="7152" xr:uid="{04AB0BB5-814C-4F52-A8CA-8C1F0AE8867C}"/>
    <cellStyle name="Normal 7 4 10 7 2" xfId="27948" xr:uid="{C558BB38-0E73-4659-A8A0-91FE0F16FF06}"/>
    <cellStyle name="Normal 7 4 10 7 3" xfId="17532" xr:uid="{571B3FC1-21A8-45C8-93F5-0BA17E336227}"/>
    <cellStyle name="Normal 7 4 10 8" xfId="9985" xr:uid="{03793677-D02C-48A4-AB20-AB22B8E884A6}"/>
    <cellStyle name="Normal 7 4 10 8 2" xfId="20365" xr:uid="{81B37CF5-A956-49DE-BA6A-F3A156E5D91D}"/>
    <cellStyle name="Normal 7 4 10 9" xfId="23487" xr:uid="{70C65870-8499-4097-83B5-10365053E891}"/>
    <cellStyle name="Normal 7 4 11" xfId="1387" xr:uid="{00000000-0005-0000-0000-000042070000}"/>
    <cellStyle name="Normal 7 4 11 10" xfId="12502" xr:uid="{9BEF4524-4829-4979-8370-839308CFC792}"/>
    <cellStyle name="Normal 7 4 11 2" xfId="3418" xr:uid="{00000000-0005-0000-0000-000011080000}"/>
    <cellStyle name="Normal 7 4 11 2 2" xfId="6473" xr:uid="{56A464E2-F958-41E9-88E6-4F5E11A858F6}"/>
    <cellStyle name="Normal 7 4 11 2 2 2" xfId="23039" xr:uid="{5F7D9BE0-8BD6-482E-A322-C8983DFBAE09}"/>
    <cellStyle name="Normal 7 4 11 2 2 3" xfId="28009" xr:uid="{E9DC5484-2CC7-452C-8017-5982DB62A54E}"/>
    <cellStyle name="Normal 7 4 11 2 2 4" xfId="16044" xr:uid="{D4C3B72B-1C5A-4D24-A675-DFFD132575F8}"/>
    <cellStyle name="Normal 7 4 11 2 3" xfId="8497" xr:uid="{94706112-406A-44CD-B0C2-467DC57FC4CB}"/>
    <cellStyle name="Normal 7 4 11 2 3 2" xfId="28616" xr:uid="{F10440D7-0FA7-43DA-8767-2FC1B0B01ED3}"/>
    <cellStyle name="Normal 7 4 11 2 3 3" xfId="28934" xr:uid="{DF0F9BB2-3AE3-43A8-89B5-647D76FA9FF3}"/>
    <cellStyle name="Normal 7 4 11 2 3 4" xfId="18877" xr:uid="{3A6FFCC7-DE6A-4B74-8ACA-2BBC545E5CAD}"/>
    <cellStyle name="Normal 7 4 11 2 4" xfId="11330" xr:uid="{0CE2380F-264F-420E-8716-A243A9787FB4}"/>
    <cellStyle name="Normal 7 4 11 2 4 2" xfId="29483" xr:uid="{C6EF1CE8-29B6-4241-9DD1-64ED89631239}"/>
    <cellStyle name="Normal 7 4 11 2 4 3" xfId="21710" xr:uid="{41EB82DA-43E0-441F-92C5-EC986F91CB76}"/>
    <cellStyle name="Normal 7 4 11 2 5" xfId="23272" xr:uid="{E66039F7-CF61-4055-93B1-FB74E638F62E}"/>
    <cellStyle name="Normal 7 4 11 2 6" xfId="13999" xr:uid="{DCDACEC0-61C6-4FE1-A6AE-D95E55FECA20}"/>
    <cellStyle name="Normal 7 4 11 3" xfId="2818" xr:uid="{00000000-0005-0000-0000-000012080000}"/>
    <cellStyle name="Normal 7 4 11 3 2" xfId="6034" xr:uid="{015F607C-C5BA-47F0-9077-B6A5367B7857}"/>
    <cellStyle name="Normal 7 4 11 3 2 2" xfId="26514" xr:uid="{1DB3F147-0DF4-4A67-89A2-0EE7A9ECB8EA}"/>
    <cellStyle name="Normal 7 4 11 3 2 3" xfId="15488" xr:uid="{EF31F597-F30B-4827-BB92-323198C7688A}"/>
    <cellStyle name="Normal 7 4 11 3 3" xfId="7941" xr:uid="{1B610E9B-1938-4DEB-99B5-75A8D02A9270}"/>
    <cellStyle name="Normal 7 4 11 3 3 2" xfId="18321" xr:uid="{B31BC9A6-5186-46A9-96DD-538B165E66A0}"/>
    <cellStyle name="Normal 7 4 11 3 4" xfId="10774" xr:uid="{795713ED-7E30-4ABB-B50C-E0BE9BC9BFFC}"/>
    <cellStyle name="Normal 7 4 11 3 4 2" xfId="21154" xr:uid="{215CED11-D531-4524-B3EA-9CAD4873CAC5}"/>
    <cellStyle name="Normal 7 4 11 3 5" xfId="24598" xr:uid="{972C80E3-438F-4583-93A7-502503F64D0D}"/>
    <cellStyle name="Normal 7 4 11 3 6" xfId="13288" xr:uid="{FE607638-FDCE-4126-B7F9-101AC49FE9D4}"/>
    <cellStyle name="Normal 7 4 11 4" xfId="2270" xr:uid="{00000000-0005-0000-0000-000010080000}"/>
    <cellStyle name="Normal 7 4 11 4 2" xfId="7397" xr:uid="{7BB7EF9D-4851-44A7-9510-1CB0FFF6EF85}"/>
    <cellStyle name="Normal 7 4 11 4 2 2" xfId="28275" xr:uid="{DA11D543-0EE4-47D6-94AF-349B46E85CAC}"/>
    <cellStyle name="Normal 7 4 11 4 2 3" xfId="17777" xr:uid="{623B9985-75AE-4679-9B67-34BF13072187}"/>
    <cellStyle name="Normal 7 4 11 4 3" xfId="10230" xr:uid="{9ECD19C3-FFB6-4740-B8CB-9CFA90730B94}"/>
    <cellStyle name="Normal 7 4 11 4 3 2" xfId="20610" xr:uid="{A88319F0-B6A7-49DD-A3BB-D23EF6CC62D0}"/>
    <cellStyle name="Normal 7 4 11 4 4" xfId="25472" xr:uid="{F4304C93-9A1A-4AC7-B4C1-4683D0AE4DA4}"/>
    <cellStyle name="Normal 7 4 11 4 5" xfId="14944" xr:uid="{E5EE7506-D514-4CF9-BFB6-F53C9628D025}"/>
    <cellStyle name="Normal 7 4 11 5" xfId="4059" xr:uid="{3893B720-22DE-418C-BCFF-F939857B3691}"/>
    <cellStyle name="Normal 7 4 11 5 2" xfId="8839" xr:uid="{8C77606E-F367-4C2C-847B-E32170DA67E2}"/>
    <cellStyle name="Normal 7 4 11 5 2 2" xfId="19219" xr:uid="{D809E49E-C5B7-43B8-9B85-796BE2E323F0}"/>
    <cellStyle name="Normal 7 4 11 5 3" xfId="11672" xr:uid="{49EF51CA-0745-482E-BCAE-346B1E3DD61C}"/>
    <cellStyle name="Normal 7 4 11 5 3 2" xfId="22052" xr:uid="{634DCD8F-7447-42B4-B51C-F73E018D1D91}"/>
    <cellStyle name="Normal 7 4 11 5 4" xfId="26609" xr:uid="{6607F834-8310-4FAB-AF3A-C987064EBA7D}"/>
    <cellStyle name="Normal 7 4 11 5 5" xfId="16386" xr:uid="{2807DCF7-21C1-402B-A4C1-263FC1FE6DD6}"/>
    <cellStyle name="Normal 7 4 11 6" xfId="5405" xr:uid="{8E270C27-9D00-4E1B-8BBC-4ED1D11CCD4D}"/>
    <cellStyle name="Normal 7 4 11 6 2" xfId="14702" xr:uid="{5ED0D250-85DA-463A-9268-20A15AB5B81F}"/>
    <cellStyle name="Normal 7 4 11 7" xfId="7155" xr:uid="{722FA43A-6E4C-4E77-80C2-9CAD274880D3}"/>
    <cellStyle name="Normal 7 4 11 7 2" xfId="17535" xr:uid="{7097922A-8254-4B00-A4DE-A162705755B0}"/>
    <cellStyle name="Normal 7 4 11 8" xfId="9988" xr:uid="{E70B3B93-5916-4254-97DA-345D84BACCDF}"/>
    <cellStyle name="Normal 7 4 11 8 2" xfId="20368" xr:uid="{0D389D67-370B-4658-8F72-5D2ECED72B84}"/>
    <cellStyle name="Normal 7 4 11 9" xfId="23665" xr:uid="{B1565FF6-FCBB-4338-8555-D139FA72E5D0}"/>
    <cellStyle name="Normal 7 4 12" xfId="1388" xr:uid="{00000000-0005-0000-0000-000043070000}"/>
    <cellStyle name="Normal 7 4 12 2" xfId="3419" xr:uid="{00000000-0005-0000-0000-000014080000}"/>
    <cellStyle name="Normal 7 4 12 2 2" xfId="6474" xr:uid="{C53A0368-3BD9-4648-86B9-9FBDB991B38C}"/>
    <cellStyle name="Normal 7 4 12 2 2 2" xfId="27726" xr:uid="{95B83E74-EF60-4EAD-A6C9-C0ED5BA194DF}"/>
    <cellStyle name="Normal 7 4 12 2 2 3" xfId="16045" xr:uid="{6A35A00E-3B8B-4927-B9D1-49897D5041D7}"/>
    <cellStyle name="Normal 7 4 12 2 3" xfId="8498" xr:uid="{27B2C5E9-D1AE-4620-AC38-BC35C286A93C}"/>
    <cellStyle name="Normal 7 4 12 2 3 2" xfId="18878" xr:uid="{D4654E81-1D4D-4809-A2F5-0484A441C4A9}"/>
    <cellStyle name="Normal 7 4 12 2 4" xfId="11331" xr:uid="{73E84DC8-78B2-4A3A-80AE-C6FC2D7B9558}"/>
    <cellStyle name="Normal 7 4 12 2 4 2" xfId="21711" xr:uid="{D11AF022-3223-4726-9A85-68D8E66554E0}"/>
    <cellStyle name="Normal 7 4 12 2 5" xfId="23835" xr:uid="{C8093F53-6DCE-40E7-9C84-186F93EFBB1A}"/>
    <cellStyle name="Normal 7 4 12 2 6" xfId="14000" xr:uid="{553E88FE-93CB-4E52-B1E2-B8F82EDC187A}"/>
    <cellStyle name="Normal 7 4 12 3" xfId="4117" xr:uid="{CF6AE729-3400-4866-8295-14C644B958B1}"/>
    <cellStyle name="Normal 7 4 12 3 2" xfId="8889" xr:uid="{5C20B8B2-50A4-4906-8756-31284492D646}"/>
    <cellStyle name="Normal 7 4 12 3 2 2" xfId="29004" xr:uid="{453A5423-36A4-4D82-9A42-1748DE6B5DD1}"/>
    <cellStyle name="Normal 7 4 12 3 2 3" xfId="19269" xr:uid="{7DA8253D-3D21-4D9A-8A93-E030AC3F2F3F}"/>
    <cellStyle name="Normal 7 4 12 3 3" xfId="11722" xr:uid="{3A48A19B-3F2D-4760-869D-835E5A68682C}"/>
    <cellStyle name="Normal 7 4 12 3 3 2" xfId="22102" xr:uid="{67781054-8DFF-4D16-BA03-FE53DAF3ABE9}"/>
    <cellStyle name="Normal 7 4 12 3 4" xfId="25607" xr:uid="{EDD4C9DD-27EE-49A8-84B3-85C72607E545}"/>
    <cellStyle name="Normal 7 4 12 3 5" xfId="16436" xr:uid="{5720CED4-1D1D-437E-98FE-8D030602EA43}"/>
    <cellStyle name="Normal 7 4 12 4" xfId="5406" xr:uid="{D423420C-71DF-4A48-93C3-1B18F353F3EE}"/>
    <cellStyle name="Normal 7 4 12 4 2" xfId="25606" xr:uid="{086AB1D6-2839-417D-910A-3E22595AB373}"/>
    <cellStyle name="Normal 7 4 12 4 3" xfId="26549" xr:uid="{79BF2465-24BC-4F16-972F-782A852D7926}"/>
    <cellStyle name="Normal 7 4 12 4 4" xfId="14703" xr:uid="{DFD2889B-EE37-4557-BA49-D391147A3CC0}"/>
    <cellStyle name="Normal 7 4 12 5" xfId="7156" xr:uid="{E86D86D3-D11B-4CA0-8F5A-37140ECB7C13}"/>
    <cellStyle name="Normal 7 4 12 5 2" xfId="26463" xr:uid="{99809174-949D-475C-A707-19CB4C775426}"/>
    <cellStyle name="Normal 7 4 12 5 3" xfId="17536" xr:uid="{FFF0C2B8-6A3F-4202-AEF0-9FD2712E1A76}"/>
    <cellStyle name="Normal 7 4 12 5 4" xfId="30770" xr:uid="{04BEFF82-5456-4E81-AF3B-4983749119BB}"/>
    <cellStyle name="Normal 7 4 12 6" xfId="9989" xr:uid="{96AD20DD-F12E-4CAD-8298-2BFB0780256B}"/>
    <cellStyle name="Normal 7 4 12 6 2" xfId="20369" xr:uid="{697AD989-A40B-40AB-A6ED-F1463052333B}"/>
    <cellStyle name="Normal 7 4 12 7" xfId="25416" xr:uid="{A71B0B51-9961-4A1B-8B03-2AD732A86524}"/>
    <cellStyle name="Normal 7 4 12 8" xfId="12660" xr:uid="{E40EC2A3-C163-47D6-B782-3F5EABD0688A}"/>
    <cellStyle name="Normal 7 4 13" xfId="1389" xr:uid="{00000000-0005-0000-0000-000044070000}"/>
    <cellStyle name="Normal 7 4 13 2" xfId="5407" xr:uid="{26788EDD-418F-4E1C-9DCD-CED5B9F56936}"/>
    <cellStyle name="Normal 7 4 13 2 2" xfId="23572" xr:uid="{33F23C0F-79EB-4A7F-B8A1-245C3DA1E51F}"/>
    <cellStyle name="Normal 7 4 13 2 3" xfId="28327" xr:uid="{036C5285-F597-488E-8D2B-9530BA725187}"/>
    <cellStyle name="Normal 7 4 13 2 4" xfId="14704" xr:uid="{3118D945-0194-4CE5-9FE1-9FC8EB95E9C6}"/>
    <cellStyle name="Normal 7 4 13 3" xfId="7157" xr:uid="{9377453A-6ED2-4A9C-8041-8CDDD80AC99E}"/>
    <cellStyle name="Normal 7 4 13 3 2" xfId="25332" xr:uid="{D5C8EE71-B73A-4B2D-BCBB-AF26FF13E38B}"/>
    <cellStyle name="Normal 7 4 13 3 3" xfId="17537" xr:uid="{87865F9E-9231-4361-899D-88FB39190BB3}"/>
    <cellStyle name="Normal 7 4 13 4" xfId="9990" xr:uid="{1E5E9B8A-4DC2-4DC3-9BA3-BC349DC9D373}"/>
    <cellStyle name="Normal 7 4 13 4 2" xfId="20370" xr:uid="{A2FBD245-1426-4591-9B7F-8E4D5790A08B}"/>
    <cellStyle name="Normal 7 4 13 5" xfId="25352" xr:uid="{6C027075-70AD-4093-92FC-3B16D5CE26C3}"/>
    <cellStyle name="Normal 7 4 13 6" xfId="13358" xr:uid="{04EA1659-C33E-44CB-A130-87D58BBB89D5}"/>
    <cellStyle name="Normal 7 4 14" xfId="2433" xr:uid="{00000000-0005-0000-0000-000016080000}"/>
    <cellStyle name="Normal 7 4 14 2" xfId="5730" xr:uid="{C84917D8-661A-4DF3-9292-38E074A869A2}"/>
    <cellStyle name="Normal 7 4 14 2 2" xfId="28176" xr:uid="{454898D2-36CA-4CAC-825D-DFFE598FCDE9}"/>
    <cellStyle name="Normal 7 4 14 2 3" xfId="15105" xr:uid="{BFFD30BA-1915-43A2-B593-BE77E98D0E0F}"/>
    <cellStyle name="Normal 7 4 14 3" xfId="7558" xr:uid="{36F7DBAC-847F-4235-9CAC-C21825755F5C}"/>
    <cellStyle name="Normal 7 4 14 3 2" xfId="17938" xr:uid="{1213D01D-F1E9-4B79-B43F-CED2C27A9937}"/>
    <cellStyle name="Normal 7 4 14 4" xfId="10391" xr:uid="{83821BF0-1014-4935-9284-D3A32CE8B058}"/>
    <cellStyle name="Normal 7 4 14 4 2" xfId="20771" xr:uid="{2CEBC873-2637-4ACE-9411-EE3B78AC1970}"/>
    <cellStyle name="Normal 7 4 14 5" xfId="24152" xr:uid="{808ACA6E-43F7-4D0E-8708-8534AAB96C6F}"/>
    <cellStyle name="Normal 7 4 14 6" xfId="12820" xr:uid="{D165B4CD-8F0C-4025-B281-6729F877C19E}"/>
    <cellStyle name="Normal 7 4 15" xfId="2160" xr:uid="{00000000-0005-0000-0000-00000B080000}"/>
    <cellStyle name="Normal 7 4 15 2" xfId="7287" xr:uid="{A1D9749D-AA1F-4C7B-8E4B-FDE3E7D745A1}"/>
    <cellStyle name="Normal 7 4 15 2 2" xfId="27852" xr:uid="{404C3E8C-AE5A-4434-918B-8C31DDDA27C6}"/>
    <cellStyle name="Normal 7 4 15 2 3" xfId="17667" xr:uid="{F6D6B153-70C7-4B43-BF28-1826DBA583C5}"/>
    <cellStyle name="Normal 7 4 15 3" xfId="10120" xr:uid="{DF3F9963-4E60-4007-B72C-6B8F9A98951C}"/>
    <cellStyle name="Normal 7 4 15 3 2" xfId="20500" xr:uid="{D25CB1A1-CB9C-4466-A48A-FC54E50F2F5A}"/>
    <cellStyle name="Normal 7 4 15 4" xfId="24795" xr:uid="{6EC9E56A-F77C-441C-BFC3-8BCFDB60924E}"/>
    <cellStyle name="Normal 7 4 15 5" xfId="14834" xr:uid="{A175781E-297D-4418-B069-1F62AA874812}"/>
    <cellStyle name="Normal 7 4 16" xfId="3785" xr:uid="{81EF1548-4C16-47BF-BF10-25113C404E93}"/>
    <cellStyle name="Normal 7 4 16 2" xfId="8624" xr:uid="{19D7927A-4375-4499-ADB9-430C7C019806}"/>
    <cellStyle name="Normal 7 4 16 2 2" xfId="19004" xr:uid="{F2ECE25F-CF2B-4EED-970A-53DBF76CE5EE}"/>
    <cellStyle name="Normal 7 4 16 3" xfId="11457" xr:uid="{47F1BCB7-C5EC-4E1C-B846-A8A092D2D81B}"/>
    <cellStyle name="Normal 7 4 16 3 2" xfId="21837" xr:uid="{9E2E5B5B-3FD1-4659-ACEE-A960D12B4ECC}"/>
    <cellStyle name="Normal 7 4 16 4" xfId="24923" xr:uid="{DEB5D9B5-18EC-4772-9D52-1F1FE0439B11}"/>
    <cellStyle name="Normal 7 4 16 5" xfId="16171" xr:uid="{477ADB08-19B0-4E67-AB1B-27FFD2786841}"/>
    <cellStyle name="Normal 7 4 17" xfId="5401" xr:uid="{690F1435-7DE8-4925-9F66-0628E9CBD82C}"/>
    <cellStyle name="Normal 7 4 17 2" xfId="14698" xr:uid="{727F5B02-50AC-4BFD-8BF7-8F22A0FD67C4}"/>
    <cellStyle name="Normal 7 4 18" xfId="7151" xr:uid="{7CAAF367-0132-4C7E-AEF8-5CEFDC4924E3}"/>
    <cellStyle name="Normal 7 4 18 2" xfId="17531" xr:uid="{BA9E2749-73E0-42D0-877C-FC3362712D9C}"/>
    <cellStyle name="Normal 7 4 19" xfId="9984" xr:uid="{69D094E0-89BE-41C0-91FE-B3D34D4F5A3E}"/>
    <cellStyle name="Normal 7 4 19 2" xfId="20364" xr:uid="{B8D6304D-BADE-423E-AFBA-9555EE4B7203}"/>
    <cellStyle name="Normal 7 4 2" xfId="1390" xr:uid="{00000000-0005-0000-0000-000045070000}"/>
    <cellStyle name="Normal 7 4 2 10" xfId="1391" xr:uid="{00000000-0005-0000-0000-000046070000}"/>
    <cellStyle name="Normal 7 4 2 10 2" xfId="3420" xr:uid="{00000000-0005-0000-0000-000019080000}"/>
    <cellStyle name="Normal 7 4 2 10 2 2" xfId="6475" xr:uid="{326DA066-606D-4A6F-81A5-7393C513F2D5}"/>
    <cellStyle name="Normal 7 4 2 10 2 2 2" xfId="26865" xr:uid="{516BE980-12FE-4044-9D3F-5BA13CD2085E}"/>
    <cellStyle name="Normal 7 4 2 10 2 2 3" xfId="16046" xr:uid="{7F7F1EDD-CDE6-490F-8330-0456F1444D76}"/>
    <cellStyle name="Normal 7 4 2 10 2 3" xfId="8499" xr:uid="{EB0523FF-7D02-453C-A773-C50BBEFD07B5}"/>
    <cellStyle name="Normal 7 4 2 10 2 3 2" xfId="18879" xr:uid="{625D427A-F717-4599-82F5-33DD73340015}"/>
    <cellStyle name="Normal 7 4 2 10 2 4" xfId="11332" xr:uid="{F9C60D2A-364D-4923-8195-EA68D3532E69}"/>
    <cellStyle name="Normal 7 4 2 10 2 4 2" xfId="21712" xr:uid="{5CDF6532-6CDB-451F-93D4-EA356A37AA50}"/>
    <cellStyle name="Normal 7 4 2 10 2 5" xfId="22668" xr:uid="{C5BE352D-7F0C-40C2-BFA1-BD7FAD1A0E8A}"/>
    <cellStyle name="Normal 7 4 2 10 2 6" xfId="14001" xr:uid="{5CCE3A02-F844-4C4B-81FA-ADDC7E513042}"/>
    <cellStyle name="Normal 7 4 2 10 3" xfId="4213" xr:uid="{2FDC487A-39A3-470F-B49B-EC1A9D081FDE}"/>
    <cellStyle name="Normal 7 4 2 10 3 2" xfId="8985" xr:uid="{A3AB1BF2-6BE2-4370-BD23-DD1782EE57FB}"/>
    <cellStyle name="Normal 7 4 2 10 3 2 2" xfId="29066" xr:uid="{6503F4A7-8A46-488C-B990-EFB6EEB6D363}"/>
    <cellStyle name="Normal 7 4 2 10 3 2 3" xfId="19365" xr:uid="{A9337CC3-2831-4699-8F03-C1229443EDA7}"/>
    <cellStyle name="Normal 7 4 2 10 3 3" xfId="11818" xr:uid="{D1B2F3AF-8E11-4E5E-A133-5F096E3E2F38}"/>
    <cellStyle name="Normal 7 4 2 10 3 3 2" xfId="22198" xr:uid="{B185E9CA-C730-4B5C-A4D6-3205FA860155}"/>
    <cellStyle name="Normal 7 4 2 10 3 4" xfId="23542" xr:uid="{63ACD1BA-4F2A-4A66-9C39-A623DB27C9F0}"/>
    <cellStyle name="Normal 7 4 2 10 3 5" xfId="16532" xr:uid="{FA13A13D-A3AE-471A-89E9-A5917BF8E08A}"/>
    <cellStyle name="Normal 7 4 2 10 4" xfId="5409" xr:uid="{E8955726-9D9A-4ADC-B24B-48ACF6178402}"/>
    <cellStyle name="Normal 7 4 2 10 4 2" xfId="23205" xr:uid="{6EC121F8-F564-4D79-A6EC-6C882CC04332}"/>
    <cellStyle name="Normal 7 4 2 10 4 3" xfId="28566" xr:uid="{D600E24F-2772-499C-8F12-5F346802DE5F}"/>
    <cellStyle name="Normal 7 4 2 10 4 4" xfId="14706" xr:uid="{A6166809-6A5A-4DAF-88E0-611DEF6FCC24}"/>
    <cellStyle name="Normal 7 4 2 10 5" xfId="7159" xr:uid="{E9758D8C-D6E5-4E66-A396-52FABC3BDC4F}"/>
    <cellStyle name="Normal 7 4 2 10 5 2" xfId="28580" xr:uid="{FE4A5594-827C-4716-A4D4-FACBFDCD9897}"/>
    <cellStyle name="Normal 7 4 2 10 5 3" xfId="17539" xr:uid="{124C9572-1BE1-461A-AAB7-3F7FB7B43BE1}"/>
    <cellStyle name="Normal 7 4 2 10 6" xfId="9992" xr:uid="{9A48B0D7-F318-4E58-9ACD-139FF626719D}"/>
    <cellStyle name="Normal 7 4 2 10 6 2" xfId="20372" xr:uid="{BCD9409F-361E-4FED-9036-95356DABF1A3}"/>
    <cellStyle name="Normal 7 4 2 10 7" xfId="22799" xr:uid="{6B5C48F1-0C89-4841-B7B0-C96EB1372B0C}"/>
    <cellStyle name="Normal 7 4 2 10 8" xfId="12785" xr:uid="{C9A5AD2C-0E08-4DF4-83FF-F49C3E235C16}"/>
    <cellStyle name="Normal 7 4 2 11" xfId="1392" xr:uid="{00000000-0005-0000-0000-000047070000}"/>
    <cellStyle name="Normal 7 4 2 11 2" xfId="5410" xr:uid="{B2818A0B-3226-4E9A-A6DB-2902C1C321C0}"/>
    <cellStyle name="Normal 7 4 2 11 2 2" xfId="22745" xr:uid="{7C46150B-D20C-4138-A989-B899F15D0020}"/>
    <cellStyle name="Normal 7 4 2 11 2 3" xfId="27400" xr:uid="{DA955C69-C619-4E89-866A-99FC71794A6A}"/>
    <cellStyle name="Normal 7 4 2 11 2 4" xfId="14707" xr:uid="{DC394850-23FD-4BC1-AE7C-B243455E5BFE}"/>
    <cellStyle name="Normal 7 4 2 11 3" xfId="7160" xr:uid="{8F07DAEF-A773-4BC8-8493-43E703161E6C}"/>
    <cellStyle name="Normal 7 4 2 11 3 2" xfId="28748" xr:uid="{F4EDA823-90FF-4654-9102-8028CA743AB7}"/>
    <cellStyle name="Normal 7 4 2 11 3 3" xfId="17540" xr:uid="{4BA17A94-8B40-48FA-8E07-1131E1FD5466}"/>
    <cellStyle name="Normal 7 4 2 11 4" xfId="9993" xr:uid="{0B784868-CED5-413E-8599-BC9795D9C71E}"/>
    <cellStyle name="Normal 7 4 2 11 4 2" xfId="20373" xr:uid="{BDF57F71-1963-401E-B664-CC14C5C6772F}"/>
    <cellStyle name="Normal 7 4 2 11 5" xfId="25461" xr:uid="{F4A7E4C1-1C5F-486B-84AF-2AE5F4F66ED4}"/>
    <cellStyle name="Normal 7 4 2 11 6" xfId="13483" xr:uid="{B3475F9D-CEB3-4B6D-A7A0-ED5ECEEBB213}"/>
    <cellStyle name="Normal 7 4 2 12" xfId="2442" xr:uid="{00000000-0005-0000-0000-00001B080000}"/>
    <cellStyle name="Normal 7 4 2 12 2" xfId="5737" xr:uid="{F802D390-8974-4741-A616-85DF37F57A94}"/>
    <cellStyle name="Normal 7 4 2 12 2 2" xfId="27463" xr:uid="{FE3DADE7-BA77-471C-B666-80231FFE0D12}"/>
    <cellStyle name="Normal 7 4 2 12 2 3" xfId="15114" xr:uid="{27FAF4B7-29D2-4EEB-B8EC-41B4FBE301D4}"/>
    <cellStyle name="Normal 7 4 2 12 3" xfId="7567" xr:uid="{BAC59092-22A6-444D-AA12-82517F30C920}"/>
    <cellStyle name="Normal 7 4 2 12 3 2" xfId="17947" xr:uid="{EBFEE1AF-C45F-463B-B94A-DF1507751316}"/>
    <cellStyle name="Normal 7 4 2 12 4" xfId="10400" xr:uid="{C2E2FDC4-C132-488F-9028-088E677F6C7A}"/>
    <cellStyle name="Normal 7 4 2 12 4 2" xfId="20780" xr:uid="{7F26E151-12B5-4364-A2E3-12A91E743A80}"/>
    <cellStyle name="Normal 7 4 2 12 5" xfId="24564" xr:uid="{6978E79D-05B2-4DAA-9844-11905C1D9E82}"/>
    <cellStyle name="Normal 7 4 2 12 6" xfId="12829" xr:uid="{23C034C9-8E69-405D-91FD-BCD5C34BF8FB}"/>
    <cellStyle name="Normal 7 4 2 13" xfId="2172" xr:uid="{00000000-0005-0000-0000-000017080000}"/>
    <cellStyle name="Normal 7 4 2 13 2" xfId="7299" xr:uid="{56B5096C-C4E8-4DC5-96DC-1895B036C687}"/>
    <cellStyle name="Normal 7 4 2 13 2 2" xfId="26407" xr:uid="{BB44E6A2-BCF9-4550-B02B-40C106B3E225}"/>
    <cellStyle name="Normal 7 4 2 13 2 3" xfId="17679" xr:uid="{E5AA7D10-29B5-434D-8755-3A02B5CA15BA}"/>
    <cellStyle name="Normal 7 4 2 13 3" xfId="10132" xr:uid="{3DAC6334-6E8E-4C5F-A1DC-4115783478A2}"/>
    <cellStyle name="Normal 7 4 2 13 3 2" xfId="20512" xr:uid="{A318CEA3-2CFA-4422-8E9E-D6651C2F9AD0}"/>
    <cellStyle name="Normal 7 4 2 13 4" xfId="24907" xr:uid="{1A9502AB-86C5-44AB-8357-D8B4DF11BDDF}"/>
    <cellStyle name="Normal 7 4 2 13 5" xfId="14846" xr:uid="{1BD20AEE-596E-4290-9730-036968BFBF81}"/>
    <cellStyle name="Normal 7 4 2 14" xfId="4061" xr:uid="{A52C928B-0856-4A01-A9BB-4449A1D1B8B3}"/>
    <cellStyle name="Normal 7 4 2 14 2" xfId="8841" xr:uid="{FB30465F-B7CC-4F28-A063-BCC281A06B9F}"/>
    <cellStyle name="Normal 7 4 2 14 2 2" xfId="19221" xr:uid="{32B52E39-52B1-4CB8-AC61-1D9D5D33F77B}"/>
    <cellStyle name="Normal 7 4 2 14 3" xfId="11674" xr:uid="{96CC59EF-D42B-464E-AC7E-0233127F020C}"/>
    <cellStyle name="Normal 7 4 2 14 3 2" xfId="22054" xr:uid="{50F0EC97-0FF3-4EA3-8098-DB91A8AD16C0}"/>
    <cellStyle name="Normal 7 4 2 14 4" xfId="28488" xr:uid="{0E4F3AB4-D552-4CA0-A239-6F2EEB860CEA}"/>
    <cellStyle name="Normal 7 4 2 14 5" xfId="16388" xr:uid="{B3186367-6A9D-4680-8A0E-F7529DB54631}"/>
    <cellStyle name="Normal 7 4 2 15" xfId="5408" xr:uid="{79D4F8DE-5A10-4E99-B27D-9889D740562A}"/>
    <cellStyle name="Normal 7 4 2 15 2" xfId="14705" xr:uid="{A71FBF59-8740-450F-8FF6-396BF640BEFF}"/>
    <cellStyle name="Normal 7 4 2 16" xfId="7158" xr:uid="{D4533FCC-9BC1-4F1F-977D-AF718844C10E}"/>
    <cellStyle name="Normal 7 4 2 16 2" xfId="17538" xr:uid="{B8F27E90-A354-4925-A8CA-661F7482FC7D}"/>
    <cellStyle name="Normal 7 4 2 17" xfId="9991" xr:uid="{B470953D-E08F-4A8D-B6E4-39CD18B6BC23}"/>
    <cellStyle name="Normal 7 4 2 17 2" xfId="20371" xr:uid="{3D9F4D91-CB94-499B-87C0-B00147E1E8DA}"/>
    <cellStyle name="Normal 7 4 2 18" xfId="24594" xr:uid="{1796535B-5A62-45B6-8751-25DBCD745909}"/>
    <cellStyle name="Normal 7 4 2 19" xfId="12404" xr:uid="{DAA70829-EF14-479D-847E-D32B374477F0}"/>
    <cellStyle name="Normal 7 4 2 2" xfId="1393" xr:uid="{00000000-0005-0000-0000-000048070000}"/>
    <cellStyle name="Normal 7 4 2 2 10" xfId="5411" xr:uid="{E97C6693-A0A6-445A-ACF3-2EDAE9C7C0C5}"/>
    <cellStyle name="Normal 7 4 2 2 10 2" xfId="14708" xr:uid="{E686141F-7619-48D9-B4DF-B2D3975BA336}"/>
    <cellStyle name="Normal 7 4 2 2 11" xfId="7161" xr:uid="{3078900C-0F6E-4EF1-A5C6-9A490BE7798A}"/>
    <cellStyle name="Normal 7 4 2 2 11 2" xfId="17541" xr:uid="{53F6BD4D-E911-4F6E-BA75-1713252FBBB0}"/>
    <cellStyle name="Normal 7 4 2 2 12" xfId="9994" xr:uid="{0AF1A047-3E7B-422C-8AA3-8721B1313F7A}"/>
    <cellStyle name="Normal 7 4 2 2 12 2" xfId="20374" xr:uid="{9F1E3723-DE9B-4694-9019-A5B51B998673}"/>
    <cellStyle name="Normal 7 4 2 2 13" xfId="23136" xr:uid="{5DA3417C-B410-4F90-BDC1-5BEB3381B700}"/>
    <cellStyle name="Normal 7 4 2 2 14" xfId="12427" xr:uid="{6621C35F-B735-4972-A4AE-7273D70F2315}"/>
    <cellStyle name="Normal 7 4 2 2 2" xfId="1394" xr:uid="{00000000-0005-0000-0000-000049070000}"/>
    <cellStyle name="Normal 7 4 2 2 2 10" xfId="7162" xr:uid="{D0A072D4-8F60-47E2-A223-B65122EA8217}"/>
    <cellStyle name="Normal 7 4 2 2 2 10 2" xfId="17542" xr:uid="{A4273BB8-873A-4994-9C25-8E879758E895}"/>
    <cellStyle name="Normal 7 4 2 2 2 11" xfId="9995" xr:uid="{69E11266-35BE-4819-B7C9-1AF0AB0F913D}"/>
    <cellStyle name="Normal 7 4 2 2 2 11 2" xfId="20375" xr:uid="{6FF9A40D-BE4F-48A7-ACA8-DFEA8147D2F0}"/>
    <cellStyle name="Normal 7 4 2 2 2 12" xfId="24610" xr:uid="{EE61ED54-3AE3-4231-B2FF-D558C7454AF3}"/>
    <cellStyle name="Normal 7 4 2 2 2 13" xfId="12487" xr:uid="{BCE1313A-25B7-4100-BB87-A1D57C9031C6}"/>
    <cellStyle name="Normal 7 4 2 2 2 2" xfId="1395" xr:uid="{00000000-0005-0000-0000-00004A070000}"/>
    <cellStyle name="Normal 7 4 2 2 2 2 10" xfId="13052" xr:uid="{C2FBA6EB-B97E-45E2-A289-B4E94C86452C}"/>
    <cellStyle name="Normal 7 4 2 2 2 2 2" xfId="2822" xr:uid="{00000000-0005-0000-0000-00001F080000}"/>
    <cellStyle name="Normal 7 4 2 2 2 2 2 2" xfId="3423" xr:uid="{00000000-0005-0000-0000-000020080000}"/>
    <cellStyle name="Normal 7 4 2 2 2 2 2 2 2" xfId="6478" xr:uid="{9DB5A884-C42E-4013-A577-F942EA5D9517}"/>
    <cellStyle name="Normal 7 4 2 2 2 2 2 2 2 2" xfId="26348" xr:uid="{8B79CBA3-CC95-4806-980F-151F8701DC98}"/>
    <cellStyle name="Normal 7 4 2 2 2 2 2 2 2 3" xfId="16049" xr:uid="{2BAA1D17-0A06-4EBA-BD0C-970DED256A9E}"/>
    <cellStyle name="Normal 7 4 2 2 2 2 2 2 3" xfId="8502" xr:uid="{350BAA97-AD0C-47B6-A5F4-A0031EA88E71}"/>
    <cellStyle name="Normal 7 4 2 2 2 2 2 2 3 2" xfId="18882" xr:uid="{0663128D-6438-4678-A1F1-DA39B199FEDE}"/>
    <cellStyle name="Normal 7 4 2 2 2 2 2 2 4" xfId="11335" xr:uid="{6D06BC0B-4DDF-48B2-8E87-E56E6E0ADDE9}"/>
    <cellStyle name="Normal 7 4 2 2 2 2 2 2 4 2" xfId="21715" xr:uid="{3C007C49-D1D0-4C63-B0F3-AE1C8B2EDE17}"/>
    <cellStyle name="Normal 7 4 2 2 2 2 2 2 5" xfId="24377" xr:uid="{EAAC9070-6E16-454B-8250-8EC1BCCA33A0}"/>
    <cellStyle name="Normal 7 4 2 2 2 2 2 2 6" xfId="14004" xr:uid="{46FA7D6B-4CC6-40A7-8F6D-B85CB83ABB70}"/>
    <cellStyle name="Normal 7 4 2 2 2 2 2 3" xfId="4361" xr:uid="{7618CF6F-B551-476E-BF60-9D787EE11522}"/>
    <cellStyle name="Normal 7 4 2 2 2 2 2 3 2" xfId="9133" xr:uid="{4B8F598B-2DE0-47F6-8010-F63673C3FDB5}"/>
    <cellStyle name="Normal 7 4 2 2 2 2 2 3 2 2" xfId="29176" xr:uid="{C4FAD623-B4F6-439E-AEE9-C90E3D983ED5}"/>
    <cellStyle name="Normal 7 4 2 2 2 2 2 3 2 3" xfId="19513" xr:uid="{259F11FE-C71C-4611-9872-1D050DF15678}"/>
    <cellStyle name="Normal 7 4 2 2 2 2 2 3 3" xfId="11966" xr:uid="{C696BDEC-5101-487A-A045-2186A71EB81B}"/>
    <cellStyle name="Normal 7 4 2 2 2 2 2 3 3 2" xfId="22346" xr:uid="{BCC3F565-609E-4568-9C8B-C8F9FAEB5B31}"/>
    <cellStyle name="Normal 7 4 2 2 2 2 2 3 4" xfId="23852" xr:uid="{A03A40A1-3F18-4F11-A602-FAF727CEA6AA}"/>
    <cellStyle name="Normal 7 4 2 2 2 2 2 3 5" xfId="16680" xr:uid="{FB6C811E-6D33-4420-BAC9-9667C0A24723}"/>
    <cellStyle name="Normal 7 4 2 2 2 2 2 4" xfId="6038" xr:uid="{F82B1844-7875-4A3A-946F-B2BF492040F6}"/>
    <cellStyle name="Normal 7 4 2 2 2 2 2 4 2" xfId="26039" xr:uid="{2104FDDF-11D3-41FE-89BA-AD2749EB9FA8}"/>
    <cellStyle name="Normal 7 4 2 2 2 2 2 4 3" xfId="15492" xr:uid="{98B0D481-5FCD-4D9E-ACC3-BC16D58EB69C}"/>
    <cellStyle name="Normal 7 4 2 2 2 2 2 5" xfId="7945" xr:uid="{5E752987-CD79-433C-BD4F-9DD79F3A3F3C}"/>
    <cellStyle name="Normal 7 4 2 2 2 2 2 5 2" xfId="18325" xr:uid="{F31E17DC-0938-4580-B372-6268F07F118A}"/>
    <cellStyle name="Normal 7 4 2 2 2 2 2 6" xfId="10778" xr:uid="{4EE02466-A072-42A4-87CA-AA77CD60B9B7}"/>
    <cellStyle name="Normal 7 4 2 2 2 2 2 6 2" xfId="21158" xr:uid="{429CD86E-1AC9-4703-B0B1-79E9078F28AD}"/>
    <cellStyle name="Normal 7 4 2 2 2 2 2 7" xfId="22660" xr:uid="{7EE7DD84-AC34-4D76-826F-B52EBC30D9D6}"/>
    <cellStyle name="Normal 7 4 2 2 2 2 2 8" xfId="13293" xr:uid="{CB5164C9-11FD-4E6D-A315-CF0C51CA88AE}"/>
    <cellStyle name="Normal 7 4 2 2 2 2 3" xfId="3424" xr:uid="{00000000-0005-0000-0000-000021080000}"/>
    <cellStyle name="Normal 7 4 2 2 2 2 3 2" xfId="4572" xr:uid="{E8CD83E8-39C3-4597-AD00-8F712650C686}"/>
    <cellStyle name="Normal 7 4 2 2 2 2 3 2 2" xfId="9344" xr:uid="{31402AB5-9741-4485-95CE-983BC9A30A84}"/>
    <cellStyle name="Normal 7 4 2 2 2 2 3 2 2 2" xfId="19724" xr:uid="{4106608D-C9E2-4C5F-82B2-7EEB49042C6A}"/>
    <cellStyle name="Normal 7 4 2 2 2 2 3 2 3" xfId="12177" xr:uid="{EA1BB4BC-83D8-419A-9A09-90147BD747CD}"/>
    <cellStyle name="Normal 7 4 2 2 2 2 3 2 3 2" xfId="22557" xr:uid="{F6A73EC7-FCA8-48BF-90B8-A1C98BE65EEC}"/>
    <cellStyle name="Normal 7 4 2 2 2 2 3 2 4" xfId="28508" xr:uid="{B6E554A5-CC5A-44F0-B1B8-C88ED5AF629C}"/>
    <cellStyle name="Normal 7 4 2 2 2 2 3 2 5" xfId="16891" xr:uid="{DDD27565-7F34-4A6A-B6C8-73754A5F256C}"/>
    <cellStyle name="Normal 7 4 2 2 2 2 3 3" xfId="6479" xr:uid="{EBA8060D-8A02-40AE-BF3A-909FF341D408}"/>
    <cellStyle name="Normal 7 4 2 2 2 2 3 3 2" xfId="16050" xr:uid="{874C42DF-C533-4C26-9A18-C2C2FD5E1FFE}"/>
    <cellStyle name="Normal 7 4 2 2 2 2 3 4" xfId="8503" xr:uid="{3BE78970-22FE-45EB-B7D0-520689C46016}"/>
    <cellStyle name="Normal 7 4 2 2 2 2 3 4 2" xfId="18883" xr:uid="{F59E80A7-74F4-43D8-849D-DBF8D08F32D4}"/>
    <cellStyle name="Normal 7 4 2 2 2 2 3 5" xfId="11336" xr:uid="{6CF761E3-E685-41DC-9EBC-3944EDC8493C}"/>
    <cellStyle name="Normal 7 4 2 2 2 2 3 5 2" xfId="21716" xr:uid="{1CFDD384-FC7A-47D7-B5D4-16BCC68B229A}"/>
    <cellStyle name="Normal 7 4 2 2 2 2 3 6" xfId="25312" xr:uid="{9F3E0816-F682-4556-8D03-6E4B80BBE9FD}"/>
    <cellStyle name="Normal 7 4 2 2 2 2 3 7" xfId="14005" xr:uid="{041DE4A5-9581-4AD7-86EF-2AC5CDAF2527}"/>
    <cellStyle name="Normal 7 4 2 2 2 2 4" xfId="3422" xr:uid="{00000000-0005-0000-0000-000022080000}"/>
    <cellStyle name="Normal 7 4 2 2 2 2 4 2" xfId="6477" xr:uid="{365EBB34-4B86-44C8-BE0E-D8AFAE23C9B7}"/>
    <cellStyle name="Normal 7 4 2 2 2 2 4 2 2" xfId="28621" xr:uid="{F169F04B-1425-46B0-A3A8-79CEBB963A8D}"/>
    <cellStyle name="Normal 7 4 2 2 2 2 4 2 3" xfId="16048" xr:uid="{07A9171C-89E2-450F-ADA2-B9F1A2960BE5}"/>
    <cellStyle name="Normal 7 4 2 2 2 2 4 3" xfId="8501" xr:uid="{66256638-9C37-4B9D-9538-6A4FF2DE26F3}"/>
    <cellStyle name="Normal 7 4 2 2 2 2 4 3 2" xfId="18881" xr:uid="{F301AD12-95A0-47D3-8C4A-88CF6DF10456}"/>
    <cellStyle name="Normal 7 4 2 2 2 2 4 4" xfId="11334" xr:uid="{A373D0C9-97CA-4660-AC04-F2A14FE5EDF3}"/>
    <cellStyle name="Normal 7 4 2 2 2 2 4 4 2" xfId="21714" xr:uid="{E45BEC5E-B2B4-4E64-9F12-3723BA308CFD}"/>
    <cellStyle name="Normal 7 4 2 2 2 2 4 5" xfId="23010" xr:uid="{ABD75A91-B6DE-45C8-9DB1-FCA22F3AF19D}"/>
    <cellStyle name="Normal 7 4 2 2 2 2 4 6" xfId="14003" xr:uid="{52D16831-D2D6-47D2-B855-6E6367A2BFF4}"/>
    <cellStyle name="Normal 7 4 2 2 2 2 5" xfId="4249" xr:uid="{4CEA5DAE-F98B-4028-99C5-1EB4F184FF54}"/>
    <cellStyle name="Normal 7 4 2 2 2 2 5 2" xfId="9021" xr:uid="{AE02046C-D4E9-47FB-ABDF-DF8070D58B89}"/>
    <cellStyle name="Normal 7 4 2 2 2 2 5 2 2" xfId="29092" xr:uid="{747F736F-8D93-4752-8732-23EFC4B6BC1B}"/>
    <cellStyle name="Normal 7 4 2 2 2 2 5 2 3" xfId="19401" xr:uid="{0DCBF49C-C2D2-4B80-88DC-08C554BDB373}"/>
    <cellStyle name="Normal 7 4 2 2 2 2 5 3" xfId="11854" xr:uid="{2FBE3C4A-802D-4BB0-9C23-7FAA3E225DC4}"/>
    <cellStyle name="Normal 7 4 2 2 2 2 5 3 2" xfId="22234" xr:uid="{8DFFE79F-12FC-43F4-AA39-83E2599868A4}"/>
    <cellStyle name="Normal 7 4 2 2 2 2 5 4" xfId="23658" xr:uid="{86C4A63B-F4D7-441D-A5D9-FE1BD347C99D}"/>
    <cellStyle name="Normal 7 4 2 2 2 2 5 5" xfId="16568" xr:uid="{29D65DFE-F5A3-4F00-BCF9-7AC14A2AADD5}"/>
    <cellStyle name="Normal 7 4 2 2 2 2 6" xfId="5413" xr:uid="{441167E8-C8C1-4F7C-966C-DE5E26C0616C}"/>
    <cellStyle name="Normal 7 4 2 2 2 2 6 2" xfId="26017" xr:uid="{640D8094-D2FD-4E58-AF9C-0DAB8550FB35}"/>
    <cellStyle name="Normal 7 4 2 2 2 2 6 3" xfId="14710" xr:uid="{C86A33A9-0A95-454A-8E2E-B7E5402BFC74}"/>
    <cellStyle name="Normal 7 4 2 2 2 2 7" xfId="7163" xr:uid="{85B3AEDE-9A0F-4911-81AA-EF0F892ECA8D}"/>
    <cellStyle name="Normal 7 4 2 2 2 2 7 2" xfId="17543" xr:uid="{217D8332-7F9B-4126-B4B6-9921FE1C82CC}"/>
    <cellStyle name="Normal 7 4 2 2 2 2 8" xfId="9996" xr:uid="{8D104A86-C533-4E1B-9BF2-E6B4A17AC7DE}"/>
    <cellStyle name="Normal 7 4 2 2 2 2 8 2" xfId="20376" xr:uid="{F4F8EE0B-21D5-45EB-B477-44448C935CF3}"/>
    <cellStyle name="Normal 7 4 2 2 2 2 9" xfId="23598" xr:uid="{77143F0D-C34D-497E-82D7-9C93806EB824}"/>
    <cellStyle name="Normal 7 4 2 2 2 3" xfId="2821" xr:uid="{00000000-0005-0000-0000-000023080000}"/>
    <cellStyle name="Normal 7 4 2 2 2 3 2" xfId="3425" xr:uid="{00000000-0005-0000-0000-000024080000}"/>
    <cellStyle name="Normal 7 4 2 2 2 3 2 2" xfId="6480" xr:uid="{751BBC07-FC1F-4266-A173-3742C65CAA13}"/>
    <cellStyle name="Normal 7 4 2 2 2 3 2 2 2" xfId="27067" xr:uid="{6A9BE188-2741-4FF0-9C2E-82E96EC7ED63}"/>
    <cellStyle name="Normal 7 4 2 2 2 3 2 2 3" xfId="16051" xr:uid="{5E918990-EAFF-47A3-AE20-759332379613}"/>
    <cellStyle name="Normal 7 4 2 2 2 3 2 3" xfId="8504" xr:uid="{431474CD-4DA2-42AC-8DE9-2EC29FBAC298}"/>
    <cellStyle name="Normal 7 4 2 2 2 3 2 3 2" xfId="18884" xr:uid="{B11B2FFD-2EB7-4AA1-BBE0-FF4D516FDF28}"/>
    <cellStyle name="Normal 7 4 2 2 2 3 2 4" xfId="11337" xr:uid="{5EFF34A0-4386-434F-871E-E005BDD61BC6}"/>
    <cellStyle name="Normal 7 4 2 2 2 3 2 4 2" xfId="21717" xr:uid="{9D95512A-BA48-481E-929B-DBF73959CEF7}"/>
    <cellStyle name="Normal 7 4 2 2 2 3 2 5" xfId="23933" xr:uid="{C57A0D18-3635-448D-A425-BC17FE8EF434}"/>
    <cellStyle name="Normal 7 4 2 2 2 3 2 6" xfId="14006" xr:uid="{73E3BEF1-B1DB-4E4F-B932-496FB082A623}"/>
    <cellStyle name="Normal 7 4 2 2 2 3 3" xfId="4360" xr:uid="{ACFA9AD0-8409-4D8E-A291-B85E88EF8D53}"/>
    <cellStyle name="Normal 7 4 2 2 2 3 3 2" xfId="9132" xr:uid="{473F704A-E7CB-4407-8185-BEB1C2E7F553}"/>
    <cellStyle name="Normal 7 4 2 2 2 3 3 2 2" xfId="29175" xr:uid="{92548F11-FB3C-4417-A085-9463E509CA6B}"/>
    <cellStyle name="Normal 7 4 2 2 2 3 3 2 3" xfId="19512" xr:uid="{A1E6184C-C969-4EC7-A521-5ED4BE1E38AD}"/>
    <cellStyle name="Normal 7 4 2 2 2 3 3 3" xfId="11965" xr:uid="{0CB7AED7-3ED8-4CA6-B9D7-849FC551AD05}"/>
    <cellStyle name="Normal 7 4 2 2 2 3 3 3 2" xfId="22345" xr:uid="{7457421F-D9CE-4E38-8F2A-229727C2EC6D}"/>
    <cellStyle name="Normal 7 4 2 2 2 3 3 4" xfId="24418" xr:uid="{00CFCE18-F01B-4BE7-9DFD-1D0D03B9FCD2}"/>
    <cellStyle name="Normal 7 4 2 2 2 3 3 5" xfId="16679" xr:uid="{15A74BA4-CCF7-48C2-8708-F1C4E0B0B690}"/>
    <cellStyle name="Normal 7 4 2 2 2 3 4" xfId="6037" xr:uid="{B96C9871-83A7-4052-8445-18A546C5FEC1}"/>
    <cellStyle name="Normal 7 4 2 2 2 3 4 2" xfId="28658" xr:uid="{ACB739D5-8B98-4492-B8EF-154EE673C33A}"/>
    <cellStyle name="Normal 7 4 2 2 2 3 4 3" xfId="15491" xr:uid="{505EFCAB-6CC6-4E06-9E7F-8EC4F049CC3B}"/>
    <cellStyle name="Normal 7 4 2 2 2 3 5" xfId="7944" xr:uid="{0AFE0305-CF3F-41C0-B0CE-C64A8A66D827}"/>
    <cellStyle name="Normal 7 4 2 2 2 3 5 2" xfId="18324" xr:uid="{ED70B86F-81DC-45AE-8C41-AED2E1F586B8}"/>
    <cellStyle name="Normal 7 4 2 2 2 3 6" xfId="10777" xr:uid="{8171CDEC-30BE-467C-940E-D81AB8C6E2CB}"/>
    <cellStyle name="Normal 7 4 2 2 2 3 6 2" xfId="21157" xr:uid="{D102A5F4-3C71-4C9A-9CB5-0A04ADFC0743}"/>
    <cellStyle name="Normal 7 4 2 2 2 3 7" xfId="24440" xr:uid="{B4595E0A-868C-440B-96B8-1A86B5746850}"/>
    <cellStyle name="Normal 7 4 2 2 2 3 8" xfId="13292" xr:uid="{462CE7B5-789F-4232-BEBC-ED90A7E02A07}"/>
    <cellStyle name="Normal 7 4 2 2 2 4" xfId="3426" xr:uid="{00000000-0005-0000-0000-000025080000}"/>
    <cellStyle name="Normal 7 4 2 2 2 4 2" xfId="4573" xr:uid="{7E911584-0241-48AA-B8E2-B4838F58EF93}"/>
    <cellStyle name="Normal 7 4 2 2 2 4 2 2" xfId="9345" xr:uid="{1452BFD8-9755-4DAF-85E8-5C8545B85020}"/>
    <cellStyle name="Normal 7 4 2 2 2 4 2 2 2" xfId="19725" xr:uid="{CC2C5E72-894C-4D1F-9601-E93F43823751}"/>
    <cellStyle name="Normal 7 4 2 2 2 4 2 3" xfId="12178" xr:uid="{2A7A4FC3-B834-4CC2-AEC6-FC2B41D252DE}"/>
    <cellStyle name="Normal 7 4 2 2 2 4 2 3 2" xfId="22558" xr:uid="{EAFEFD2C-85AA-4525-A30F-33A3EDEDFC84}"/>
    <cellStyle name="Normal 7 4 2 2 2 4 2 4" xfId="27055" xr:uid="{E18E7140-5060-48E4-805B-2065C05B0A6E}"/>
    <cellStyle name="Normal 7 4 2 2 2 4 2 5" xfId="16892" xr:uid="{4BDF8A7E-5659-4431-9EB1-D9C4F57A625C}"/>
    <cellStyle name="Normal 7 4 2 2 2 4 3" xfId="6481" xr:uid="{2FC4531C-524E-4E99-9F41-216830B5F3FA}"/>
    <cellStyle name="Normal 7 4 2 2 2 4 3 2" xfId="16052" xr:uid="{81BF171A-83BB-42E9-A0EC-8A3CD7F46993}"/>
    <cellStyle name="Normal 7 4 2 2 2 4 4" xfId="8505" xr:uid="{FA954154-0875-42F9-83D1-2EDBF4A71932}"/>
    <cellStyle name="Normal 7 4 2 2 2 4 4 2" xfId="18885" xr:uid="{D704BA3E-FF1E-4DB8-B560-4701177AC587}"/>
    <cellStyle name="Normal 7 4 2 2 2 4 5" xfId="11338" xr:uid="{EC9D3C0F-2FC6-4422-B55F-CB83786AF623}"/>
    <cellStyle name="Normal 7 4 2 2 2 4 5 2" xfId="21718" xr:uid="{68C1A300-A360-413A-B024-41D728334F75}"/>
    <cellStyle name="Normal 7 4 2 2 2 4 6" xfId="25530" xr:uid="{1B5054C0-0BBB-4C59-AE6C-5F82FD104C0A}"/>
    <cellStyle name="Normal 7 4 2 2 2 4 7" xfId="14007" xr:uid="{25153F54-D0C2-4E69-B6AC-118CF42C3125}"/>
    <cellStyle name="Normal 7 4 2 2 2 5" xfId="3421" xr:uid="{00000000-0005-0000-0000-000026080000}"/>
    <cellStyle name="Normal 7 4 2 2 2 5 2" xfId="6476" xr:uid="{69F26A8D-6EA4-4AD9-A05B-8101BD1F3AC8}"/>
    <cellStyle name="Normal 7 4 2 2 2 5 2 2" xfId="27350" xr:uid="{A0732357-EA89-4CC4-BB8E-D3540250B67E}"/>
    <cellStyle name="Normal 7 4 2 2 2 5 2 3" xfId="16047" xr:uid="{FD2BE1D0-20E5-4597-8AC2-2F0B903A77D7}"/>
    <cellStyle name="Normal 7 4 2 2 2 5 3" xfId="8500" xr:uid="{79D07E95-2BF7-4A12-9594-75EC639FE02C}"/>
    <cellStyle name="Normal 7 4 2 2 2 5 3 2" xfId="18880" xr:uid="{7A992CC1-2E56-4D12-8E3B-A010DC535A9C}"/>
    <cellStyle name="Normal 7 4 2 2 2 5 4" xfId="11333" xr:uid="{CD90C17F-5F87-40A6-8701-DD45B6B3477E}"/>
    <cellStyle name="Normal 7 4 2 2 2 5 4 2" xfId="21713" xr:uid="{5E8E6086-DAF4-44DB-8DCD-B517316D4B08}"/>
    <cellStyle name="Normal 7 4 2 2 2 5 5" xfId="25449" xr:uid="{B6305010-B7E6-4630-82C6-A237BE99E17D}"/>
    <cellStyle name="Normal 7 4 2 2 2 5 6" xfId="14002" xr:uid="{E2116394-3E7C-4B6E-B09F-9240F52A11F2}"/>
    <cellStyle name="Normal 7 4 2 2 2 6" xfId="2561" xr:uid="{00000000-0005-0000-0000-000027080000}"/>
    <cellStyle name="Normal 7 4 2 2 2 6 2" xfId="5831" xr:uid="{29EF99E2-33E9-4033-9C15-5658E548A985}"/>
    <cellStyle name="Normal 7 4 2 2 2 6 2 2" xfId="27777" xr:uid="{68DC6E2F-3D57-49C2-ACEC-F9AAE377A6ED}"/>
    <cellStyle name="Normal 7 4 2 2 2 6 2 3" xfId="15233" xr:uid="{6ACAFE22-71B7-40B7-89D9-E0FB4B33B7B2}"/>
    <cellStyle name="Normal 7 4 2 2 2 6 3" xfId="7686" xr:uid="{C1A9B3FD-0C4C-4068-97F1-41A6F6E1EE18}"/>
    <cellStyle name="Normal 7 4 2 2 2 6 3 2" xfId="18066" xr:uid="{0D8F78E0-7F47-41CB-B681-C04C951AFF05}"/>
    <cellStyle name="Normal 7 4 2 2 2 6 4" xfId="10519" xr:uid="{221309B4-F85C-4292-82EC-52589DA9EFC9}"/>
    <cellStyle name="Normal 7 4 2 2 2 6 4 2" xfId="20899" xr:uid="{A169671E-D307-42E9-897E-D7C795292C71}"/>
    <cellStyle name="Normal 7 4 2 2 2 6 5" xfId="23922" xr:uid="{118BA637-206A-45C7-A144-472FDB774D34}"/>
    <cellStyle name="Normal 7 4 2 2 2 6 6" xfId="12949" xr:uid="{9B5E3005-D847-4A39-B865-4AC36EFD2211}"/>
    <cellStyle name="Normal 7 4 2 2 2 7" xfId="2255" xr:uid="{00000000-0005-0000-0000-00001D080000}"/>
    <cellStyle name="Normal 7 4 2 2 2 7 2" xfId="7382" xr:uid="{A5EBBC8A-4805-4A9B-BA14-7CBC58D0B94A}"/>
    <cellStyle name="Normal 7 4 2 2 2 7 2 2" xfId="17762" xr:uid="{CDE19C63-C84D-499C-A704-294050396E7E}"/>
    <cellStyle name="Normal 7 4 2 2 2 7 3" xfId="10215" xr:uid="{EEE9846A-CD04-4A6C-8A2E-8F2E93C33E2E}"/>
    <cellStyle name="Normal 7 4 2 2 2 7 3 2" xfId="20595" xr:uid="{469C99EE-3774-49F4-B9E6-63C1FE617EA8}"/>
    <cellStyle name="Normal 7 4 2 2 2 7 4" xfId="23214" xr:uid="{80D87983-121B-4533-AB2F-EC71820C58D4}"/>
    <cellStyle name="Normal 7 4 2 2 2 7 5" xfId="14929" xr:uid="{B7738474-AD97-410C-97D7-E114AF9835D1}"/>
    <cellStyle name="Normal 7 4 2 2 2 8" xfId="3805" xr:uid="{C06BE601-6E8E-4A23-ABC6-8F4090D579EF}"/>
    <cellStyle name="Normal 7 4 2 2 2 8 2" xfId="8641" xr:uid="{ED98D8F4-215C-4854-9C8C-8FC00A7CA332}"/>
    <cellStyle name="Normal 7 4 2 2 2 8 2 2" xfId="19021" xr:uid="{D30E7302-09BA-48F3-B231-088960639BD7}"/>
    <cellStyle name="Normal 7 4 2 2 2 8 3" xfId="11474" xr:uid="{9B563F5F-436B-453A-A53D-5031617CF4B8}"/>
    <cellStyle name="Normal 7 4 2 2 2 8 3 2" xfId="21854" xr:uid="{AA8431B8-E743-464F-9C6F-FC6E94CD75C1}"/>
    <cellStyle name="Normal 7 4 2 2 2 8 4" xfId="16188" xr:uid="{2CCFB5AC-359E-4515-A89D-75537072F78A}"/>
    <cellStyle name="Normal 7 4 2 2 2 9" xfId="5412" xr:uid="{2355B753-38F0-4078-B7EB-D469F37F6941}"/>
    <cellStyle name="Normal 7 4 2 2 2 9 2" xfId="14709" xr:uid="{9D6CCB3C-B122-4CB8-81F0-1094DB384043}"/>
    <cellStyle name="Normal 7 4 2 2 3" xfId="1396" xr:uid="{00000000-0005-0000-0000-00004B070000}"/>
    <cellStyle name="Normal 7 4 2 2 3 10" xfId="9997" xr:uid="{5A9B2C81-54B8-452F-8F8F-F6172776B0DD}"/>
    <cellStyle name="Normal 7 4 2 2 3 10 2" xfId="20377" xr:uid="{272E0C47-6312-4C18-8087-F58E67B999E8}"/>
    <cellStyle name="Normal 7 4 2 2 3 11" xfId="23418" xr:uid="{EF93F634-64F0-4801-8009-65803AD2F6F6}"/>
    <cellStyle name="Normal 7 4 2 2 3 12" xfId="12628" xr:uid="{F4F620AB-BDE0-491C-A958-483F4B9217CD}"/>
    <cellStyle name="Normal 7 4 2 2 3 2" xfId="2823" xr:uid="{00000000-0005-0000-0000-000029080000}"/>
    <cellStyle name="Normal 7 4 2 2 3 2 2" xfId="3428" xr:uid="{00000000-0005-0000-0000-00002A080000}"/>
    <cellStyle name="Normal 7 4 2 2 3 2 2 2" xfId="6483" xr:uid="{A6713F29-DF43-4476-8040-A1B679734DF4}"/>
    <cellStyle name="Normal 7 4 2 2 3 2 2 2 2" xfId="27565" xr:uid="{BD817701-15C7-4FA8-A681-D7E444A6CF06}"/>
    <cellStyle name="Normal 7 4 2 2 3 2 2 2 3" xfId="16054" xr:uid="{2127FE21-5172-47CE-A5C5-06F26AEE7F0C}"/>
    <cellStyle name="Normal 7 4 2 2 3 2 2 3" xfId="8507" xr:uid="{AAEBE416-2D34-4D93-B5A1-D016C1EEE794}"/>
    <cellStyle name="Normal 7 4 2 2 3 2 2 3 2" xfId="18887" xr:uid="{C6B85F41-2AC5-421C-B6D3-1FA9153B6167}"/>
    <cellStyle name="Normal 7 4 2 2 3 2 2 4" xfId="11340" xr:uid="{0AC66F81-689E-403F-91F1-D626B2712D79}"/>
    <cellStyle name="Normal 7 4 2 2 3 2 2 4 2" xfId="21720" xr:uid="{7063A65A-6731-4C67-AD6E-5810ED16A8DC}"/>
    <cellStyle name="Normal 7 4 2 2 3 2 2 5" xfId="23713" xr:uid="{65CC995D-D2B4-4080-8660-B3E5D6BE333E}"/>
    <cellStyle name="Normal 7 4 2 2 3 2 2 6" xfId="14009" xr:uid="{E4D5CF5D-9322-413D-9900-8FB9F33D2D09}"/>
    <cellStyle name="Normal 7 4 2 2 3 2 3" xfId="4362" xr:uid="{30083B50-655D-432F-A489-CF466DF1233B}"/>
    <cellStyle name="Normal 7 4 2 2 3 2 3 2" xfId="9134" xr:uid="{703B93D3-B8EB-4365-850A-C35CD90CAA5C}"/>
    <cellStyle name="Normal 7 4 2 2 3 2 3 2 2" xfId="29177" xr:uid="{290FDF88-8899-42B6-B214-55C5994F08B1}"/>
    <cellStyle name="Normal 7 4 2 2 3 2 3 2 3" xfId="19514" xr:uid="{CBBF34DB-388E-4EE0-8BB9-F2C19E3FA127}"/>
    <cellStyle name="Normal 7 4 2 2 3 2 3 3" xfId="11967" xr:uid="{12042743-E2DB-4EB3-8857-9EFB8C83F3C7}"/>
    <cellStyle name="Normal 7 4 2 2 3 2 3 3 2" xfId="22347" xr:uid="{8BA8EABC-E430-40D6-8C8D-E58989733B0B}"/>
    <cellStyle name="Normal 7 4 2 2 3 2 3 4" xfId="23567" xr:uid="{4213CC80-EA2C-4779-BCEF-8F4C4148B347}"/>
    <cellStyle name="Normal 7 4 2 2 3 2 3 5" xfId="16681" xr:uid="{F6DCD515-7737-4905-881D-C2027CF92F34}"/>
    <cellStyle name="Normal 7 4 2 2 3 2 4" xfId="6039" xr:uid="{8E80E5D4-1C58-4FF9-A7B1-7D6A0FD516DB}"/>
    <cellStyle name="Normal 7 4 2 2 3 2 4 2" xfId="27985" xr:uid="{2F3415E5-A939-43D6-85F3-14522630F9A7}"/>
    <cellStyle name="Normal 7 4 2 2 3 2 4 3" xfId="15493" xr:uid="{A1C27591-4548-4CE6-AD20-E04609B14B8A}"/>
    <cellStyle name="Normal 7 4 2 2 3 2 5" xfId="7946" xr:uid="{DE92313A-E0E9-4F3D-B7DD-8444C18CDCE9}"/>
    <cellStyle name="Normal 7 4 2 2 3 2 5 2" xfId="18326" xr:uid="{B2F22FEE-0C06-46A4-B925-0857560DBFD9}"/>
    <cellStyle name="Normal 7 4 2 2 3 2 6" xfId="10779" xr:uid="{CD1B608E-6C5A-431D-9416-1B26ED6C560C}"/>
    <cellStyle name="Normal 7 4 2 2 3 2 6 2" xfId="21159" xr:uid="{450140B4-0E01-4E0D-B982-C89A2EDEAA49}"/>
    <cellStyle name="Normal 7 4 2 2 3 2 7" xfId="25056" xr:uid="{EDBBF258-F243-4C65-9EF4-584622AF04AD}"/>
    <cellStyle name="Normal 7 4 2 2 3 2 8" xfId="13294" xr:uid="{B87B94FD-A80A-4C21-92F3-6CF851190746}"/>
    <cellStyle name="Normal 7 4 2 2 3 3" xfId="3429" xr:uid="{00000000-0005-0000-0000-00002B080000}"/>
    <cellStyle name="Normal 7 4 2 2 3 3 2" xfId="4574" xr:uid="{DF868D83-B479-41C7-BBF9-4DEC8D2ADE13}"/>
    <cellStyle name="Normal 7 4 2 2 3 3 2 2" xfId="9346" xr:uid="{EE5F999E-67FD-4448-80AC-1B1AAE322601}"/>
    <cellStyle name="Normal 7 4 2 2 3 3 2 2 2" xfId="29318" xr:uid="{E08D3D1E-337C-4329-801C-9A94A6342583}"/>
    <cellStyle name="Normal 7 4 2 2 3 3 2 2 3" xfId="19726" xr:uid="{5B5A4B99-454D-4546-BB5B-28DDC77971D3}"/>
    <cellStyle name="Normal 7 4 2 2 3 3 2 3" xfId="12179" xr:uid="{DC9A6113-08A3-4C8E-B76F-82FAB69C23C4}"/>
    <cellStyle name="Normal 7 4 2 2 3 3 2 3 2" xfId="22559" xr:uid="{1F11548D-FE78-41C2-B7B6-50586DEB291E}"/>
    <cellStyle name="Normal 7 4 2 2 3 3 2 4" xfId="23904" xr:uid="{10B4EE47-E4B6-4C9F-8F9B-E813072D0750}"/>
    <cellStyle name="Normal 7 4 2 2 3 3 2 5" xfId="16893" xr:uid="{560846C8-E1DE-46FA-84D5-6E0A1E87E781}"/>
    <cellStyle name="Normal 7 4 2 2 3 3 3" xfId="6484" xr:uid="{E644DBE3-541B-40C8-92B4-979B48CAF419}"/>
    <cellStyle name="Normal 7 4 2 2 3 3 3 2" xfId="26759" xr:uid="{EF29B157-3F28-427A-9A60-427013D02E7B}"/>
    <cellStyle name="Normal 7 4 2 2 3 3 3 3" xfId="16055" xr:uid="{1FE06237-B8EF-4B4A-87DF-8D30256DE294}"/>
    <cellStyle name="Normal 7 4 2 2 3 3 4" xfId="8508" xr:uid="{131BA1FF-2F34-4CAB-9FAF-FFD263B8D5CF}"/>
    <cellStyle name="Normal 7 4 2 2 3 3 4 2" xfId="18888" xr:uid="{5DD33F91-AF1E-4728-9FD2-0619C4D30824}"/>
    <cellStyle name="Normal 7 4 2 2 3 3 5" xfId="11341" xr:uid="{F2118075-934A-4B2D-9D52-8849DE4DFAC5}"/>
    <cellStyle name="Normal 7 4 2 2 3 3 5 2" xfId="21721" xr:uid="{65AD0D76-46D5-49A7-96BA-698378B9A6D9}"/>
    <cellStyle name="Normal 7 4 2 2 3 3 6" xfId="25451" xr:uid="{19931D9B-BC78-4DC3-9C5D-8AB011A869F4}"/>
    <cellStyle name="Normal 7 4 2 2 3 3 7" xfId="14010" xr:uid="{30436FE3-E892-4A3C-9AAF-5127EB420200}"/>
    <cellStyle name="Normal 7 4 2 2 3 4" xfId="3427" xr:uid="{00000000-0005-0000-0000-00002C080000}"/>
    <cellStyle name="Normal 7 4 2 2 3 4 2" xfId="6482" xr:uid="{0145A01A-8C0D-4942-9FE8-22F0171AF744}"/>
    <cellStyle name="Normal 7 4 2 2 3 4 2 2" xfId="27845" xr:uid="{3410E0E1-AE14-45A2-889A-52221ACFC69D}"/>
    <cellStyle name="Normal 7 4 2 2 3 4 2 3" xfId="16053" xr:uid="{A52495A6-5AA9-4E9E-BDF0-EFF8276F89F3}"/>
    <cellStyle name="Normal 7 4 2 2 3 4 3" xfId="8506" xr:uid="{56280F35-4E24-439D-840E-B4707D391AB0}"/>
    <cellStyle name="Normal 7 4 2 2 3 4 3 2" xfId="18886" xr:uid="{7D4D6F9E-9B54-49DA-A1EA-598AAF4A23C1}"/>
    <cellStyle name="Normal 7 4 2 2 3 4 4" xfId="11339" xr:uid="{D82DF37B-D578-41D8-8329-6A00A5FAE09B}"/>
    <cellStyle name="Normal 7 4 2 2 3 4 4 2" xfId="21719" xr:uid="{0C655F18-F268-41BB-B435-AE9C8265B927}"/>
    <cellStyle name="Normal 7 4 2 2 3 4 5" xfId="24068" xr:uid="{6F5EA0A9-2A0F-402E-AC19-145AD149419F}"/>
    <cellStyle name="Normal 7 4 2 2 3 4 6" xfId="14008" xr:uid="{7C98B0AC-F8F6-48AF-8D84-5BC1B3825922}"/>
    <cellStyle name="Normal 7 4 2 2 3 5" xfId="2604" xr:uid="{00000000-0005-0000-0000-00002D080000}"/>
    <cellStyle name="Normal 7 4 2 2 3 5 2" xfId="5869" xr:uid="{9B980913-7909-488A-A96A-307B69F95091}"/>
    <cellStyle name="Normal 7 4 2 2 3 5 2 2" xfId="26065" xr:uid="{F8FEBCFA-722C-4CE6-B57A-9C376528233E}"/>
    <cellStyle name="Normal 7 4 2 2 3 5 2 3" xfId="15276" xr:uid="{7959C7C0-617C-4C49-847E-D4CE00F20B44}"/>
    <cellStyle name="Normal 7 4 2 2 3 5 3" xfId="7729" xr:uid="{AA5525FD-ABD2-4936-B2C9-A3EA766D674A}"/>
    <cellStyle name="Normal 7 4 2 2 3 5 3 2" xfId="18109" xr:uid="{20327EAC-25A8-4D66-99C1-C5B6B9320D74}"/>
    <cellStyle name="Normal 7 4 2 2 3 5 4" xfId="10562" xr:uid="{FBAAF576-CC6E-4A56-BE24-05C54B2B0106}"/>
    <cellStyle name="Normal 7 4 2 2 3 5 4 2" xfId="20942" xr:uid="{F781C4F9-E94B-4941-95EA-98CAAB8B43DF}"/>
    <cellStyle name="Normal 7 4 2 2 3 5 5" xfId="24934" xr:uid="{37FFB7F8-A60D-44E6-9594-5221A65F1DD6}"/>
    <cellStyle name="Normal 7 4 2 2 3 5 6" xfId="12992" xr:uid="{1B9030B5-E6E5-487A-B343-DEDBFDAA41E5}"/>
    <cellStyle name="Normal 7 4 2 2 3 6" xfId="2394" xr:uid="{00000000-0005-0000-0000-000028080000}"/>
    <cellStyle name="Normal 7 4 2 2 3 6 2" xfId="7521" xr:uid="{5DE4D045-B16F-40E7-A2C9-09EAD26E002E}"/>
    <cellStyle name="Normal 7 4 2 2 3 6 2 2" xfId="17901" xr:uid="{8E32F77A-B3A8-4D1C-A761-C9EC20219E4A}"/>
    <cellStyle name="Normal 7 4 2 2 3 6 3" xfId="10354" xr:uid="{B4AA0635-3228-4837-852E-7E65F4CD2EE9}"/>
    <cellStyle name="Normal 7 4 2 2 3 6 3 2" xfId="20734" xr:uid="{3C551813-CA7E-44BF-AA87-3BEE9180A3FA}"/>
    <cellStyle name="Normal 7 4 2 2 3 6 4" xfId="25118" xr:uid="{F9AA9969-2FC7-478B-A171-64D56D51EFB0}"/>
    <cellStyle name="Normal 7 4 2 2 3 6 5" xfId="15068" xr:uid="{E6CD36DB-B9D7-430B-A8D6-9ED3605181F6}"/>
    <cellStyle name="Normal 7 4 2 2 3 7" xfId="4098" xr:uid="{84B31C01-A54F-4449-BFB1-7622A40FD18D}"/>
    <cellStyle name="Normal 7 4 2 2 3 7 2" xfId="8872" xr:uid="{B5A4DAD8-1C92-4A7D-9E26-C3C3B3CEA1D9}"/>
    <cellStyle name="Normal 7 4 2 2 3 7 2 2" xfId="19252" xr:uid="{A5C368C7-1931-4781-84D1-53CC9C081BF4}"/>
    <cellStyle name="Normal 7 4 2 2 3 7 3" xfId="11705" xr:uid="{E8EE0E5B-E995-465C-ACFE-0CD6E5F87805}"/>
    <cellStyle name="Normal 7 4 2 2 3 7 3 2" xfId="22085" xr:uid="{82B95611-9FE1-4F48-AC51-E361B86E0326}"/>
    <cellStyle name="Normal 7 4 2 2 3 7 4" xfId="16419" xr:uid="{8FC2B307-1BAE-4FFC-B76C-D8E2F45EAFFA}"/>
    <cellStyle name="Normal 7 4 2 2 3 8" xfId="5414" xr:uid="{81B71814-46F5-410E-98DE-E01ABE410EC1}"/>
    <cellStyle name="Normal 7 4 2 2 3 8 2" xfId="14711" xr:uid="{0E5E79B4-AABA-40D1-93D0-96EC3DF21040}"/>
    <cellStyle name="Normal 7 4 2 2 3 9" xfId="7164" xr:uid="{8E7A57FE-91E2-4C45-90E3-D3EA47C763DD}"/>
    <cellStyle name="Normal 7 4 2 2 3 9 2" xfId="17544" xr:uid="{6315F027-416A-4259-8AB1-F01E008A2841}"/>
    <cellStyle name="Normal 7 4 2 2 4" xfId="1397" xr:uid="{00000000-0005-0000-0000-00004C070000}"/>
    <cellStyle name="Normal 7 4 2 2 4 2" xfId="3430" xr:uid="{00000000-0005-0000-0000-00002F080000}"/>
    <cellStyle name="Normal 7 4 2 2 4 2 2" xfId="6485" xr:uid="{DE854B9F-C7C3-4C98-AB57-A65A52D2292B}"/>
    <cellStyle name="Normal 7 4 2 2 4 2 2 2" xfId="26212" xr:uid="{DBFCD840-845A-4E84-9B73-86D0152B4E16}"/>
    <cellStyle name="Normal 7 4 2 2 4 2 2 3" xfId="16056" xr:uid="{A03A2A70-9C9C-4120-A79C-63172CE1B671}"/>
    <cellStyle name="Normal 7 4 2 2 4 2 3" xfId="8509" xr:uid="{C3E4B5E2-5EC1-48B1-87D3-4CD766EE9313}"/>
    <cellStyle name="Normal 7 4 2 2 4 2 3 2" xfId="18889" xr:uid="{7113B987-0C1C-4905-91A9-0380A806233F}"/>
    <cellStyle name="Normal 7 4 2 2 4 2 4" xfId="11342" xr:uid="{E324CF82-4DF2-4155-96CE-89F1E366D390}"/>
    <cellStyle name="Normal 7 4 2 2 4 2 4 2" xfId="21722" xr:uid="{2363E80A-D10F-4807-8ED4-1C6C39B1E359}"/>
    <cellStyle name="Normal 7 4 2 2 4 2 5" xfId="25583" xr:uid="{E1E348D3-57BD-4DD6-9AB5-EB901E0FAB6C}"/>
    <cellStyle name="Normal 7 4 2 2 4 2 6" xfId="14011" xr:uid="{0DA4CF78-0F83-4406-A67A-CF9DE8F73E01}"/>
    <cellStyle name="Normal 7 4 2 2 4 3" xfId="2820" xr:uid="{00000000-0005-0000-0000-000030080000}"/>
    <cellStyle name="Normal 7 4 2 2 4 3 2" xfId="6036" xr:uid="{24275F97-422E-4BB1-91DF-37D0F599D8FB}"/>
    <cellStyle name="Normal 7 4 2 2 4 3 2 2" xfId="27540" xr:uid="{F6968377-A792-4BAA-8DEF-25671046BD29}"/>
    <cellStyle name="Normal 7 4 2 2 4 3 2 3" xfId="15490" xr:uid="{06849532-8AD2-4245-B3BA-0A39C89CAE1C}"/>
    <cellStyle name="Normal 7 4 2 2 4 3 3" xfId="7943" xr:uid="{15C81E93-7640-4B2D-9DE8-A36ECEE0310C}"/>
    <cellStyle name="Normal 7 4 2 2 4 3 3 2" xfId="18323" xr:uid="{99A9ACD3-9FDE-4DAB-8425-0B5051A27DBE}"/>
    <cellStyle name="Normal 7 4 2 2 4 3 4" xfId="10776" xr:uid="{4A543769-6BA3-41B0-B877-B40BFFE14845}"/>
    <cellStyle name="Normal 7 4 2 2 4 3 4 2" xfId="21156" xr:uid="{DD5E8543-D42A-4F51-AA02-9BA778198B7C}"/>
    <cellStyle name="Normal 7 4 2 2 4 3 5" xfId="25024" xr:uid="{27C6B879-2A9B-4C8D-BA52-667BE9BBFD24}"/>
    <cellStyle name="Normal 7 4 2 2 4 3 6" xfId="13291" xr:uid="{3F1C9EFF-1EE5-468D-98E4-2A027A15C17F}"/>
    <cellStyle name="Normal 7 4 2 2 4 4" xfId="4214" xr:uid="{AF788927-74F5-452F-99D4-A4013529F547}"/>
    <cellStyle name="Normal 7 4 2 2 4 4 2" xfId="8986" xr:uid="{B0EBA951-AD08-4382-8B05-A2DD518631AB}"/>
    <cellStyle name="Normal 7 4 2 2 4 4 2 2" xfId="19366" xr:uid="{D7301CE1-D93C-4CD9-A072-15625D17B8F2}"/>
    <cellStyle name="Normal 7 4 2 2 4 4 3" xfId="11819" xr:uid="{D12483FF-D19F-4649-82D2-9B54E11F3A5E}"/>
    <cellStyle name="Normal 7 4 2 2 4 4 3 2" xfId="22199" xr:uid="{2C2FABCD-4C85-4A66-B964-3063584DC531}"/>
    <cellStyle name="Normal 7 4 2 2 4 4 4" xfId="23219" xr:uid="{FFDB1CA5-507F-4DAB-A0B9-501CABACAD1B}"/>
    <cellStyle name="Normal 7 4 2 2 4 4 5" xfId="16533" xr:uid="{BB82FAA5-5C46-4744-8BAC-0FF1BD15A412}"/>
    <cellStyle name="Normal 7 4 2 2 4 5" xfId="5415" xr:uid="{A32B5EEA-BC34-40B9-95D1-4302E6D87236}"/>
    <cellStyle name="Normal 7 4 2 2 4 5 2" xfId="14712" xr:uid="{9F8BB946-6348-4420-9392-37B627CEE59A}"/>
    <cellStyle name="Normal 7 4 2 2 4 6" xfId="7165" xr:uid="{DAEC77F3-1C8C-4B74-98CD-5F3CF2656F7A}"/>
    <cellStyle name="Normal 7 4 2 2 4 6 2" xfId="17545" xr:uid="{C5F6AB9A-C603-467E-A82C-1D4F7268A796}"/>
    <cellStyle name="Normal 7 4 2 2 4 7" xfId="9998" xr:uid="{7B4F8D55-E74C-4B87-85DF-E6E0103E8E29}"/>
    <cellStyle name="Normal 7 4 2 2 4 7 2" xfId="20378" xr:uid="{80880717-1857-4E6D-AAA6-489A85F61717}"/>
    <cellStyle name="Normal 7 4 2 2 4 8" xfId="22731" xr:uid="{467A0ED2-EC90-473C-98DC-8255A53B9A0D}"/>
    <cellStyle name="Normal 7 4 2 2 4 9" xfId="12786" xr:uid="{B8EB3723-98B9-4927-8220-58823A7A3EA0}"/>
    <cellStyle name="Normal 7 4 2 2 5" xfId="3431" xr:uid="{00000000-0005-0000-0000-000031080000}"/>
    <cellStyle name="Normal 7 4 2 2 5 2" xfId="4575" xr:uid="{78168C4A-73C4-480C-89BC-17406287FD18}"/>
    <cellStyle name="Normal 7 4 2 2 5 2 2" xfId="9347" xr:uid="{9A97ED38-B380-4A83-8B19-F1B614E449DD}"/>
    <cellStyle name="Normal 7 4 2 2 5 2 2 2" xfId="29319" xr:uid="{5003FBDD-1731-48B2-8AD5-7F21002AA236}"/>
    <cellStyle name="Normal 7 4 2 2 5 2 2 3" xfId="19727" xr:uid="{3BD19DB3-E67B-4479-98D3-B893BEFF38DC}"/>
    <cellStyle name="Normal 7 4 2 2 5 2 3" xfId="12180" xr:uid="{43C039E7-7DFE-49E4-AE7F-5826F816AEB2}"/>
    <cellStyle name="Normal 7 4 2 2 5 2 3 2" xfId="22560" xr:uid="{096BA791-6996-4584-84AA-D9CBE0015F90}"/>
    <cellStyle name="Normal 7 4 2 2 5 2 4" xfId="24724" xr:uid="{DD6C1391-E73C-4931-8157-1A3511B235BB}"/>
    <cellStyle name="Normal 7 4 2 2 5 2 5" xfId="16894" xr:uid="{D3DA5277-97A8-4766-BC4F-4591FF1ACF9D}"/>
    <cellStyle name="Normal 7 4 2 2 5 3" xfId="6486" xr:uid="{D2CECFD3-E3E1-45D4-B8D5-C698C07FAC0C}"/>
    <cellStyle name="Normal 7 4 2 2 5 3 2" xfId="27893" xr:uid="{8B952244-3AE7-4AC9-B92D-1F402A016B3F}"/>
    <cellStyle name="Normal 7 4 2 2 5 3 3" xfId="16057" xr:uid="{84468F57-E048-4D2F-9D4D-9B0384BCA31B}"/>
    <cellStyle name="Normal 7 4 2 2 5 4" xfId="8510" xr:uid="{1050905F-D263-49CF-BF7D-503786B0BF0B}"/>
    <cellStyle name="Normal 7 4 2 2 5 4 2" xfId="18890" xr:uid="{AC6EDFB1-A6BB-42AB-B4C0-8FBAC5FED5F5}"/>
    <cellStyle name="Normal 7 4 2 2 5 5" xfId="11343" xr:uid="{91EA5473-DB12-4F7C-8707-EE41C8752789}"/>
    <cellStyle name="Normal 7 4 2 2 5 5 2" xfId="21723" xr:uid="{C27FBEAE-9812-4C1F-BCEB-9EB6BFBFF436}"/>
    <cellStyle name="Normal 7 4 2 2 5 6" xfId="24659" xr:uid="{55DEF902-AC61-48A3-9936-6030E825129F}"/>
    <cellStyle name="Normal 7 4 2 2 5 7" xfId="14012" xr:uid="{4A793EBF-9B30-41E3-90F2-E8F159926CFF}"/>
    <cellStyle name="Normal 7 4 2 2 6" xfId="2987" xr:uid="{00000000-0005-0000-0000-000032080000}"/>
    <cellStyle name="Normal 7 4 2 2 6 2" xfId="6137" xr:uid="{885CA862-FE87-40D5-ADAC-98BB7D68F214}"/>
    <cellStyle name="Normal 7 4 2 2 6 2 2" xfId="27498" xr:uid="{49ACB948-396A-49AA-A870-7044B3EA911B}"/>
    <cellStyle name="Normal 7 4 2 2 6 2 3" xfId="15615" xr:uid="{D202C4EE-4D65-4753-BFC1-FBE788747F3B}"/>
    <cellStyle name="Normal 7 4 2 2 6 3" xfId="8068" xr:uid="{0833C992-0921-49C4-A389-00BC17432EBA}"/>
    <cellStyle name="Normal 7 4 2 2 6 3 2" xfId="18448" xr:uid="{9F9D0E9F-93E3-45FC-A672-4611CF490A61}"/>
    <cellStyle name="Normal 7 4 2 2 6 4" xfId="10901" xr:uid="{8C3220A2-8012-4D07-8A6D-9380A4412557}"/>
    <cellStyle name="Normal 7 4 2 2 6 4 2" xfId="21281" xr:uid="{AFC20936-6F30-4750-9EFA-29108B1E674E}"/>
    <cellStyle name="Normal 7 4 2 2 6 5" xfId="23469" xr:uid="{B5523BE2-1C84-426B-9C30-1F58411441F7}"/>
    <cellStyle name="Normal 7 4 2 2 6 6" xfId="13484" xr:uid="{0CE8DA17-6CAF-48C4-B2FB-797ADB368D48}"/>
    <cellStyle name="Normal 7 4 2 2 7" xfId="2501" xr:uid="{00000000-0005-0000-0000-000033080000}"/>
    <cellStyle name="Normal 7 4 2 2 7 2" xfId="5782" xr:uid="{46C9377F-DD9E-44D5-8F35-C6BE65A25261}"/>
    <cellStyle name="Normal 7 4 2 2 7 2 2" xfId="25870" xr:uid="{72470397-EAC5-47B9-B3E6-E56D2566D9C7}"/>
    <cellStyle name="Normal 7 4 2 2 7 2 3" xfId="15173" xr:uid="{FCED73FE-439C-4FA6-9E9D-25114E9837FD}"/>
    <cellStyle name="Normal 7 4 2 2 7 3" xfId="7626" xr:uid="{E1DFBAD9-539B-4F59-92DF-03573E5E2357}"/>
    <cellStyle name="Normal 7 4 2 2 7 3 2" xfId="18006" xr:uid="{F14037E4-6CBB-464A-B082-F6994BEBFE73}"/>
    <cellStyle name="Normal 7 4 2 2 7 4" xfId="10459" xr:uid="{5C931ABC-546B-4A56-8B6E-95BF9B3E6AFE}"/>
    <cellStyle name="Normal 7 4 2 2 7 4 2" xfId="20839" xr:uid="{BC1A531E-9CA5-48AA-9694-781BE8B092DC}"/>
    <cellStyle name="Normal 7 4 2 2 7 5" xfId="22860" xr:uid="{15607B7D-18B4-4FBC-85CD-EB9D6D36980A}"/>
    <cellStyle name="Normal 7 4 2 2 7 6" xfId="12889" xr:uid="{367BFB58-CAD3-4BEE-B092-49B682FDD40F}"/>
    <cellStyle name="Normal 7 4 2 2 8" xfId="2195" xr:uid="{00000000-0005-0000-0000-00001C080000}"/>
    <cellStyle name="Normal 7 4 2 2 8 2" xfId="7322" xr:uid="{64345797-C159-489C-B9AB-E90EFDDCC77B}"/>
    <cellStyle name="Normal 7 4 2 2 8 2 2" xfId="17702" xr:uid="{83898018-8C4E-49CD-AB1F-68F2D2107E22}"/>
    <cellStyle name="Normal 7 4 2 2 8 3" xfId="10155" xr:uid="{AEE4DB54-113D-496D-A6BA-21276E3D7174}"/>
    <cellStyle name="Normal 7 4 2 2 8 3 2" xfId="20535" xr:uid="{E20F4350-BDB8-4826-B5DD-03E6AAC176D1}"/>
    <cellStyle name="Normal 7 4 2 2 8 4" xfId="24477" xr:uid="{6748E8E5-C49F-4643-B884-0DF9EA494750}"/>
    <cellStyle name="Normal 7 4 2 2 8 5" xfId="14869" xr:uid="{2F78EB13-F436-4C1B-AB68-EA67F7FD673A}"/>
    <cellStyle name="Normal 7 4 2 2 9" xfId="4062" xr:uid="{B46ABEFD-6A47-473A-8BDD-11556DF654C9}"/>
    <cellStyle name="Normal 7 4 2 2 9 2" xfId="8842" xr:uid="{6A88DBD8-B30B-495C-9794-291636DE9245}"/>
    <cellStyle name="Normal 7 4 2 2 9 2 2" xfId="19222" xr:uid="{56DD4781-EC25-48C9-8956-143684A094E4}"/>
    <cellStyle name="Normal 7 4 2 2 9 3" xfId="11675" xr:uid="{96E2148F-38BA-4368-9C18-4583791661D9}"/>
    <cellStyle name="Normal 7 4 2 2 9 3 2" xfId="22055" xr:uid="{56527C18-0767-4D85-8767-7287DF8BF451}"/>
    <cellStyle name="Normal 7 4 2 2 9 4" xfId="16389" xr:uid="{E56B323C-EBC0-46DD-A85E-3742D3AE952D}"/>
    <cellStyle name="Normal 7 4 2 3" xfId="1398" xr:uid="{00000000-0005-0000-0000-00004D070000}"/>
    <cellStyle name="Normal 7 4 2 3 10" xfId="5416" xr:uid="{8C8B1CD1-B6A5-467A-AF9D-289D82C2FFFB}"/>
    <cellStyle name="Normal 7 4 2 3 10 2" xfId="14713" xr:uid="{21D404C2-C36B-4169-9640-42A10BE97DDF}"/>
    <cellStyle name="Normal 7 4 2 3 11" xfId="7166" xr:uid="{F92BC005-23EB-41B2-B765-2A0FE05AC736}"/>
    <cellStyle name="Normal 7 4 2 3 11 2" xfId="17546" xr:uid="{65E3839C-1678-4AEC-8D8C-51D5A32A56E8}"/>
    <cellStyle name="Normal 7 4 2 3 12" xfId="9999" xr:uid="{0EC2392F-3625-4F96-9DAB-9E858D9CC39D}"/>
    <cellStyle name="Normal 7 4 2 3 12 2" xfId="20379" xr:uid="{5E763089-B5F7-403B-A0B8-4A022F793850}"/>
    <cellStyle name="Normal 7 4 2 3 13" xfId="25307" xr:uid="{EF046668-5702-44D2-A5A8-4FA36487B8F4}"/>
    <cellStyle name="Normal 7 4 2 3 14" xfId="12464" xr:uid="{926B9C07-A69D-46C1-8504-A0DB3191A336}"/>
    <cellStyle name="Normal 7 4 2 3 2" xfId="1399" xr:uid="{00000000-0005-0000-0000-00004E070000}"/>
    <cellStyle name="Normal 7 4 2 3 2 10" xfId="10000" xr:uid="{5588C031-AFDD-4BE2-9229-BC3BD3EBC009}"/>
    <cellStyle name="Normal 7 4 2 3 2 10 2" xfId="20380" xr:uid="{F217E0CF-C98E-4E1A-8A60-62A17BF0C8CD}"/>
    <cellStyle name="Normal 7 4 2 3 2 11" xfId="23985" xr:uid="{01B31655-4E45-48D9-9082-25E466419FA4}"/>
    <cellStyle name="Normal 7 4 2 3 2 12" xfId="12629" xr:uid="{E49CE596-0D0E-40CB-BEE2-1F84B8F33F28}"/>
    <cellStyle name="Normal 7 4 2 3 2 2" xfId="1400" xr:uid="{00000000-0005-0000-0000-00004F070000}"/>
    <cellStyle name="Normal 7 4 2 3 2 2 2" xfId="3433" xr:uid="{00000000-0005-0000-0000-000037080000}"/>
    <cellStyle name="Normal 7 4 2 3 2 2 2 2" xfId="6488" xr:uid="{B5711F0C-69AE-405C-82A4-C50BB7635633}"/>
    <cellStyle name="Normal 7 4 2 3 2 2 2 2 2" xfId="26505" xr:uid="{4F476C45-06B1-4A1C-8FBE-97090F2C0ADB}"/>
    <cellStyle name="Normal 7 4 2 3 2 2 2 2 3" xfId="26718" xr:uid="{A1CC0F1C-2CDE-4CEF-A835-41421DF29779}"/>
    <cellStyle name="Normal 7 4 2 3 2 2 2 2 4" xfId="16059" xr:uid="{1D09D644-9147-4F27-BED0-6864D311252F}"/>
    <cellStyle name="Normal 7 4 2 3 2 2 2 3" xfId="8512" xr:uid="{1C1CC2A1-1791-44D2-9246-28DEAE3821D5}"/>
    <cellStyle name="Normal 7 4 2 3 2 2 2 3 2" xfId="28935" xr:uid="{F1D6C972-A649-4FD9-B89B-CBDEF201CAB7}"/>
    <cellStyle name="Normal 7 4 2 3 2 2 2 3 3" xfId="18892" xr:uid="{5C5434A2-6896-4D07-B9E7-D8D82C5C623A}"/>
    <cellStyle name="Normal 7 4 2 3 2 2 2 4" xfId="11345" xr:uid="{FDAF0EA0-01A3-4844-8556-E87D3F1E5ACD}"/>
    <cellStyle name="Normal 7 4 2 3 2 2 2 4 2" xfId="21725" xr:uid="{9C519726-F498-488E-8980-E268B30F4178}"/>
    <cellStyle name="Normal 7 4 2 3 2 2 2 5" xfId="22686" xr:uid="{87F2C3F5-A3D9-46E5-9054-DB46D45E0E43}"/>
    <cellStyle name="Normal 7 4 2 3 2 2 2 6" xfId="14014" xr:uid="{2443BE42-3CF5-49B0-A3F3-FF7D45A9F30F}"/>
    <cellStyle name="Normal 7 4 2 3 2 2 3" xfId="4364" xr:uid="{94ED94A1-9A2F-43F9-AD2A-2B7E741A6D11}"/>
    <cellStyle name="Normal 7 4 2 3 2 2 3 2" xfId="9136" xr:uid="{9D0221DB-8492-4F03-9F62-C2E33F5D3E44}"/>
    <cellStyle name="Normal 7 4 2 3 2 2 3 2 2" xfId="29179" xr:uid="{73FD9858-82EC-48B7-BFC1-460341C59EFC}"/>
    <cellStyle name="Normal 7 4 2 3 2 2 3 2 3" xfId="19516" xr:uid="{611FEC59-E05B-4872-AAB2-BA060EE4B03C}"/>
    <cellStyle name="Normal 7 4 2 3 2 2 3 3" xfId="11969" xr:uid="{EB953968-C471-4F4C-BB25-E40106971C45}"/>
    <cellStyle name="Normal 7 4 2 3 2 2 3 3 2" xfId="22349" xr:uid="{B6CFFBD0-63E0-4BCC-969D-A7B6D53C40F3}"/>
    <cellStyle name="Normal 7 4 2 3 2 2 3 4" xfId="25023" xr:uid="{4A5EC857-2DC5-43FA-A0AC-A85F6EE6E7D8}"/>
    <cellStyle name="Normal 7 4 2 3 2 2 3 5" xfId="16683" xr:uid="{3B099161-2D2C-429D-96F3-9C20BEF4CDE6}"/>
    <cellStyle name="Normal 7 4 2 3 2 2 4" xfId="5418" xr:uid="{96CF66A8-42E5-4B3B-96C8-8A517147CC2B}"/>
    <cellStyle name="Normal 7 4 2 3 2 2 4 2" xfId="27816" xr:uid="{AD6500D6-0323-4E3D-BFB9-FE86937C92D9}"/>
    <cellStyle name="Normal 7 4 2 3 2 2 4 3" xfId="14715" xr:uid="{E967BE07-A5EB-44DD-80AF-7B7F90E96CE9}"/>
    <cellStyle name="Normal 7 4 2 3 2 2 5" xfId="7168" xr:uid="{4A58DC75-3200-4A55-BF2E-8D02B3B3027A}"/>
    <cellStyle name="Normal 7 4 2 3 2 2 5 2" xfId="17548" xr:uid="{B4DBFDA8-F731-44B4-A5C8-38B1A02EFB99}"/>
    <cellStyle name="Normal 7 4 2 3 2 2 6" xfId="10001" xr:uid="{3BB54544-8FBE-4D44-8549-7B26B4B44331}"/>
    <cellStyle name="Normal 7 4 2 3 2 2 6 2" xfId="20381" xr:uid="{AC76AF71-A62D-486B-A89B-3B19ECAB6D74}"/>
    <cellStyle name="Normal 7 4 2 3 2 2 7" xfId="24752" xr:uid="{7A7D9510-388F-40E2-93BA-E578E4F7EB8A}"/>
    <cellStyle name="Normal 7 4 2 3 2 2 8" xfId="13296" xr:uid="{E20C0592-D624-47A1-8A09-3E08B884C0C3}"/>
    <cellStyle name="Normal 7 4 2 3 2 3" xfId="3434" xr:uid="{00000000-0005-0000-0000-000038080000}"/>
    <cellStyle name="Normal 7 4 2 3 2 3 2" xfId="4576" xr:uid="{2642E171-E0CB-448E-A027-84AFC3E96FF0}"/>
    <cellStyle name="Normal 7 4 2 3 2 3 2 2" xfId="9348" xr:uid="{E3CF8F99-F321-47E5-8144-93F8FFDF976B}"/>
    <cellStyle name="Normal 7 4 2 3 2 3 2 2 2" xfId="29320" xr:uid="{2AFC9CEB-FECE-483F-953A-ABED321E6D20}"/>
    <cellStyle name="Normal 7 4 2 3 2 3 2 2 3" xfId="19728" xr:uid="{9E02E87D-686E-4317-A85D-2D4A33FB2F14}"/>
    <cellStyle name="Normal 7 4 2 3 2 3 2 3" xfId="12181" xr:uid="{EA7BD2D8-D8F8-40C1-9999-4CA79988ED7C}"/>
    <cellStyle name="Normal 7 4 2 3 2 3 2 3 2" xfId="22561" xr:uid="{7AEC5018-3A1E-4DA7-9E36-844371F7337F}"/>
    <cellStyle name="Normal 7 4 2 3 2 3 2 4" xfId="25099" xr:uid="{613729BE-7B7A-48DF-A98A-0324D9CC7896}"/>
    <cellStyle name="Normal 7 4 2 3 2 3 2 5" xfId="16895" xr:uid="{08FDC1C4-6ABA-4A7B-9145-1036EAE26631}"/>
    <cellStyle name="Normal 7 4 2 3 2 3 3" xfId="6489" xr:uid="{A85781ED-52CB-4A90-A96A-E63D87C24D21}"/>
    <cellStyle name="Normal 7 4 2 3 2 3 3 2" xfId="27452" xr:uid="{E8747902-D10F-4291-A934-5E04B75CFAE1}"/>
    <cellStyle name="Normal 7 4 2 3 2 3 3 3" xfId="16060" xr:uid="{4C667BEE-63E7-4B09-92CA-0572ADDEB1EC}"/>
    <cellStyle name="Normal 7 4 2 3 2 3 4" xfId="8513" xr:uid="{DB351BA3-2D9D-48BF-B486-C6C168BBEB17}"/>
    <cellStyle name="Normal 7 4 2 3 2 3 4 2" xfId="18893" xr:uid="{E44ED893-5F25-4E3F-BE3A-67E7D345A5EC}"/>
    <cellStyle name="Normal 7 4 2 3 2 3 5" xfId="11346" xr:uid="{B587B2D2-AFDD-4667-88BF-2211E7ED11D2}"/>
    <cellStyle name="Normal 7 4 2 3 2 3 5 2" xfId="21726" xr:uid="{5A319EE7-CECC-42E9-A6E7-D127ED4CD35D}"/>
    <cellStyle name="Normal 7 4 2 3 2 3 6" xfId="25301" xr:uid="{CF1B8EA8-E6A9-405A-B0B1-88D81E32A375}"/>
    <cellStyle name="Normal 7 4 2 3 2 3 7" xfId="14015" xr:uid="{B01ACE33-B4E8-43F8-BFDB-E16A54A75E6D}"/>
    <cellStyle name="Normal 7 4 2 3 2 4" xfId="3432" xr:uid="{00000000-0005-0000-0000-000039080000}"/>
    <cellStyle name="Normal 7 4 2 3 2 4 2" xfId="6487" xr:uid="{0F5A270F-CC57-4C4F-8E41-A53C6D61C272}"/>
    <cellStyle name="Normal 7 4 2 3 2 4 2 2" xfId="26272" xr:uid="{D6E1A9D1-6A68-4A92-9169-C0FA00208013}"/>
    <cellStyle name="Normal 7 4 2 3 2 4 2 3" xfId="16058" xr:uid="{AC5BD39D-70ED-499C-9F51-3E20DE39736E}"/>
    <cellStyle name="Normal 7 4 2 3 2 4 3" xfId="8511" xr:uid="{B706C03C-E70D-4BCA-9CE0-4834839726DE}"/>
    <cellStyle name="Normal 7 4 2 3 2 4 3 2" xfId="18891" xr:uid="{E048BDE4-74AA-49D5-B59D-D9B122159339}"/>
    <cellStyle name="Normal 7 4 2 3 2 4 4" xfId="11344" xr:uid="{DEDFD41D-4637-49F9-BFC8-CC4D2E008799}"/>
    <cellStyle name="Normal 7 4 2 3 2 4 4 2" xfId="21724" xr:uid="{4DA0E474-79B4-4059-B33A-2081634E2A56}"/>
    <cellStyle name="Normal 7 4 2 3 2 4 5" xfId="23471" xr:uid="{8C0CA739-0F46-4DDD-87A1-47C7895853FE}"/>
    <cellStyle name="Normal 7 4 2 3 2 4 6" xfId="14013" xr:uid="{737988B7-65EB-407D-A127-003ECFEE0F2E}"/>
    <cellStyle name="Normal 7 4 2 3 2 5" xfId="2538" xr:uid="{00000000-0005-0000-0000-00003A080000}"/>
    <cellStyle name="Normal 7 4 2 3 2 5 2" xfId="5812" xr:uid="{1FF86231-FF17-4F99-9AA4-D3098D8340C4}"/>
    <cellStyle name="Normal 7 4 2 3 2 5 2 2" xfId="26910" xr:uid="{1652A80E-0B7D-4869-A929-DC2770F88CCD}"/>
    <cellStyle name="Normal 7 4 2 3 2 5 2 3" xfId="15210" xr:uid="{9E8D374D-BAA5-48ED-BB4D-D94F454DEAB9}"/>
    <cellStyle name="Normal 7 4 2 3 2 5 3" xfId="7663" xr:uid="{E1E3EA2A-6393-4AC6-88C9-53712DCC99DC}"/>
    <cellStyle name="Normal 7 4 2 3 2 5 3 2" xfId="18043" xr:uid="{52BA3E61-3442-48B0-B883-612F079E78EA}"/>
    <cellStyle name="Normal 7 4 2 3 2 5 4" xfId="10496" xr:uid="{2D002C16-09DD-442E-AAE6-5C36392980DF}"/>
    <cellStyle name="Normal 7 4 2 3 2 5 4 2" xfId="20876" xr:uid="{B5904AE0-E809-4B49-A05D-121E783BAB2C}"/>
    <cellStyle name="Normal 7 4 2 3 2 5 5" xfId="23657" xr:uid="{A8F13F01-3955-4204-94B5-CBA77FE6FEF6}"/>
    <cellStyle name="Normal 7 4 2 3 2 5 6" xfId="12926" xr:uid="{F3CD5672-035A-4289-B6D9-3CE91F6189F6}"/>
    <cellStyle name="Normal 7 4 2 3 2 6" xfId="2395" xr:uid="{00000000-0005-0000-0000-000035080000}"/>
    <cellStyle name="Normal 7 4 2 3 2 6 2" xfId="7522" xr:uid="{0F39950D-8652-4161-ABDC-3F642EF46C94}"/>
    <cellStyle name="Normal 7 4 2 3 2 6 2 2" xfId="17902" xr:uid="{213839AF-EC2F-4D5D-9374-405FAC963988}"/>
    <cellStyle name="Normal 7 4 2 3 2 6 3" xfId="10355" xr:uid="{80B4AC85-96A1-4097-92B0-A8BF0291253D}"/>
    <cellStyle name="Normal 7 4 2 3 2 6 3 2" xfId="20735" xr:uid="{D46D3BF5-6AB5-4BC9-813A-92A4BF4D2CCB}"/>
    <cellStyle name="Normal 7 4 2 3 2 6 4" xfId="23911" xr:uid="{962BD4BA-EE7D-4E41-A1DB-0FC519780464}"/>
    <cellStyle name="Normal 7 4 2 3 2 6 5" xfId="15069" xr:uid="{A9A21AE6-B312-4991-9739-5ADFDAE34C66}"/>
    <cellStyle name="Normal 7 4 2 3 2 7" xfId="4099" xr:uid="{C102413C-8FEF-4D40-933E-3702638B6733}"/>
    <cellStyle name="Normal 7 4 2 3 2 7 2" xfId="8873" xr:uid="{EA41D6F8-913E-4966-A34F-2E0387505A15}"/>
    <cellStyle name="Normal 7 4 2 3 2 7 2 2" xfId="19253" xr:uid="{1E98A5DD-80D7-432B-922E-17A65C89C845}"/>
    <cellStyle name="Normal 7 4 2 3 2 7 3" xfId="11706" xr:uid="{7F139A08-1225-4F51-B75A-DD915D734B23}"/>
    <cellStyle name="Normal 7 4 2 3 2 7 3 2" xfId="22086" xr:uid="{FD6D2266-D976-4DC2-ACE7-23BB555E0D56}"/>
    <cellStyle name="Normal 7 4 2 3 2 7 4" xfId="16420" xr:uid="{3E15CA83-7512-407A-9EF5-1D6F5C6CEF29}"/>
    <cellStyle name="Normal 7 4 2 3 2 8" xfId="5417" xr:uid="{DE81DCA1-8885-4BEF-852E-1027D0916375}"/>
    <cellStyle name="Normal 7 4 2 3 2 8 2" xfId="14714" xr:uid="{CFE9DFE0-EF44-4FBE-8B56-133E5B4BEDD9}"/>
    <cellStyle name="Normal 7 4 2 3 2 9" xfId="7167" xr:uid="{1B4BA926-DEEE-4563-AF66-B8E391B5C91A}"/>
    <cellStyle name="Normal 7 4 2 3 2 9 2" xfId="17547" xr:uid="{DF10D89F-BCCA-4387-80B6-AB7E05C0C1C7}"/>
    <cellStyle name="Normal 7 4 2 3 3" xfId="1401" xr:uid="{00000000-0005-0000-0000-000050070000}"/>
    <cellStyle name="Normal 7 4 2 3 3 10" xfId="25005" xr:uid="{74A6D7E1-902E-4E7E-BB83-92D9A50C5297}"/>
    <cellStyle name="Normal 7 4 2 3 3 11" xfId="12787" xr:uid="{DF1EF04B-825C-4097-B6A5-99B5D581394A}"/>
    <cellStyle name="Normal 7 4 2 3 3 2" xfId="2824" xr:uid="{00000000-0005-0000-0000-00003C080000}"/>
    <cellStyle name="Normal 7 4 2 3 3 2 2" xfId="3436" xr:uid="{00000000-0005-0000-0000-00003D080000}"/>
    <cellStyle name="Normal 7 4 2 3 3 2 2 2" xfId="6491" xr:uid="{01988EE1-718A-4D93-8EA9-01FEC39B7208}"/>
    <cellStyle name="Normal 7 4 2 3 3 2 2 2 2" xfId="27744" xr:uid="{DDDDBCEC-506F-4A4E-8ADA-6C2ED5B7708E}"/>
    <cellStyle name="Normal 7 4 2 3 3 2 2 2 3" xfId="16062" xr:uid="{89BA0241-2803-49ED-BE9F-8943AE6E1206}"/>
    <cellStyle name="Normal 7 4 2 3 3 2 2 3" xfId="8515" xr:uid="{57CC34DA-9FBC-43E8-B8D4-EE855EA529F4}"/>
    <cellStyle name="Normal 7 4 2 3 3 2 2 3 2" xfId="18895" xr:uid="{70373274-7FA2-4375-8681-1D2E5ABC0984}"/>
    <cellStyle name="Normal 7 4 2 3 3 2 2 4" xfId="11348" xr:uid="{96B8BDCB-0773-48FE-B053-58ECC4AE6CA5}"/>
    <cellStyle name="Normal 7 4 2 3 3 2 2 4 2" xfId="21728" xr:uid="{3DD57718-6B56-4187-80A9-86ECE7EB5B36}"/>
    <cellStyle name="Normal 7 4 2 3 3 2 2 5" xfId="25258" xr:uid="{2709D340-B516-41A4-B702-79E3836CB00E}"/>
    <cellStyle name="Normal 7 4 2 3 3 2 2 6" xfId="14017" xr:uid="{FC196B02-C99F-4F05-AF34-81F7EDF26714}"/>
    <cellStyle name="Normal 7 4 2 3 3 2 3" xfId="4365" xr:uid="{044F8DE7-ED5B-44A8-8944-6EEABE281F31}"/>
    <cellStyle name="Normal 7 4 2 3 3 2 3 2" xfId="9137" xr:uid="{9EC70713-1A6D-4A67-AF71-358173D64B51}"/>
    <cellStyle name="Normal 7 4 2 3 3 2 3 2 2" xfId="29180" xr:uid="{E676AA79-59EC-4D99-BA27-D7C7A3D23B77}"/>
    <cellStyle name="Normal 7 4 2 3 3 2 3 2 3" xfId="19517" xr:uid="{93731995-B6CE-4607-83F9-73A445DC8241}"/>
    <cellStyle name="Normal 7 4 2 3 3 2 3 3" xfId="11970" xr:uid="{FD7213D9-84F2-45D8-9669-3B61C7E6F6B6}"/>
    <cellStyle name="Normal 7 4 2 3 3 2 3 3 2" xfId="22350" xr:uid="{41AD50BB-7707-40C2-8171-0850E08E0658}"/>
    <cellStyle name="Normal 7 4 2 3 3 2 3 4" xfId="24560" xr:uid="{98B05C9D-ACE6-429A-BFF4-DE3CDFB4569C}"/>
    <cellStyle name="Normal 7 4 2 3 3 2 3 5" xfId="16684" xr:uid="{73E77EB9-E214-455C-8263-A7ED96CD922A}"/>
    <cellStyle name="Normal 7 4 2 3 3 2 4" xfId="6040" xr:uid="{97B9107C-B400-43A1-94BE-40E8FCF146F7}"/>
    <cellStyle name="Normal 7 4 2 3 3 2 4 2" xfId="26455" xr:uid="{8603C08A-6BAE-48DD-AC36-B7AFF09BD670}"/>
    <cellStyle name="Normal 7 4 2 3 3 2 4 3" xfId="15494" xr:uid="{8C9EFA2E-B869-4243-AA5B-9CDAB3C94349}"/>
    <cellStyle name="Normal 7 4 2 3 3 2 5" xfId="7947" xr:uid="{968E5FC0-D0EB-4CA0-95F7-57CF3055E9F1}"/>
    <cellStyle name="Normal 7 4 2 3 3 2 5 2" xfId="18327" xr:uid="{993F9A40-5237-4F93-A0F2-099B4A3B0164}"/>
    <cellStyle name="Normal 7 4 2 3 3 2 6" xfId="10780" xr:uid="{B31B16F7-43DD-48E9-96C0-21C8479A3D7D}"/>
    <cellStyle name="Normal 7 4 2 3 3 2 6 2" xfId="21160" xr:uid="{36FB3E83-4021-4952-B75D-573410442A6A}"/>
    <cellStyle name="Normal 7 4 2 3 3 2 7" xfId="23931" xr:uid="{6B5F3540-BA25-469E-81B0-2DF3A40D8EB9}"/>
    <cellStyle name="Normal 7 4 2 3 3 2 8" xfId="13297" xr:uid="{732B9084-E958-4E44-B824-C9EA722BEF3B}"/>
    <cellStyle name="Normal 7 4 2 3 3 3" xfId="3437" xr:uid="{00000000-0005-0000-0000-00003E080000}"/>
    <cellStyle name="Normal 7 4 2 3 3 3 2" xfId="4577" xr:uid="{1DE9A599-11DA-4A6B-B5D2-21E553D70940}"/>
    <cellStyle name="Normal 7 4 2 3 3 3 2 2" xfId="9349" xr:uid="{49E7BF0F-4AAC-4702-AD80-471A65E7758E}"/>
    <cellStyle name="Normal 7 4 2 3 3 3 2 2 2" xfId="29321" xr:uid="{3B0DCB07-3523-46FB-9843-9AE8184E369C}"/>
    <cellStyle name="Normal 7 4 2 3 3 3 2 2 3" xfId="19729" xr:uid="{AD2E44D6-2FBD-4923-88D1-488B7DA0CCDE}"/>
    <cellStyle name="Normal 7 4 2 3 3 3 2 3" xfId="12182" xr:uid="{35C721A0-2FB9-46B8-A96C-0ACB99ED22D6}"/>
    <cellStyle name="Normal 7 4 2 3 3 3 2 3 2" xfId="22562" xr:uid="{4B4D8D67-3A9A-4762-B45E-9A02DE558232}"/>
    <cellStyle name="Normal 7 4 2 3 3 3 2 4" xfId="25152" xr:uid="{0CB06BCC-FE1E-4396-84B4-96541123C57E}"/>
    <cellStyle name="Normal 7 4 2 3 3 3 2 5" xfId="16896" xr:uid="{5669AC14-9F07-49DE-8DB0-48D0A5DCE652}"/>
    <cellStyle name="Normal 7 4 2 3 3 3 3" xfId="6492" xr:uid="{6E004533-E227-4A58-982A-FC863249EA28}"/>
    <cellStyle name="Normal 7 4 2 3 3 3 3 2" xfId="27091" xr:uid="{C7D07C9F-5701-46BE-A5D6-5D77DCF51F32}"/>
    <cellStyle name="Normal 7 4 2 3 3 3 3 3" xfId="16063" xr:uid="{8BEB9FAD-E7A7-4220-BF00-42F898B98964}"/>
    <cellStyle name="Normal 7 4 2 3 3 3 4" xfId="8516" xr:uid="{FC7C918C-5F82-4FD3-BB2C-2A53357A39F8}"/>
    <cellStyle name="Normal 7 4 2 3 3 3 4 2" xfId="18896" xr:uid="{8CABCAA1-2F74-4979-9477-FD78D1234EE4}"/>
    <cellStyle name="Normal 7 4 2 3 3 3 5" xfId="11349" xr:uid="{925745D4-0F3C-4630-9E3A-01AA31B7C960}"/>
    <cellStyle name="Normal 7 4 2 3 3 3 5 2" xfId="21729" xr:uid="{2F7FDD73-9CF4-4B93-972F-C3131E21665D}"/>
    <cellStyle name="Normal 7 4 2 3 3 3 6" xfId="22708" xr:uid="{F47530FB-C22E-481F-B2EB-AB0C7C194DCE}"/>
    <cellStyle name="Normal 7 4 2 3 3 3 7" xfId="14018" xr:uid="{3F06C1D1-5B71-4E2B-B2C2-FA72A14FBE59}"/>
    <cellStyle name="Normal 7 4 2 3 3 4" xfId="3435" xr:uid="{00000000-0005-0000-0000-00003F080000}"/>
    <cellStyle name="Normal 7 4 2 3 3 4 2" xfId="6490" xr:uid="{FE52D829-CEA9-43C9-9D05-BBE66D0237DF}"/>
    <cellStyle name="Normal 7 4 2 3 3 4 2 2" xfId="27047" xr:uid="{BB9D64A2-FF5A-434D-A24C-5D893C99AFCB}"/>
    <cellStyle name="Normal 7 4 2 3 3 4 2 3" xfId="16061" xr:uid="{5CBC3A4C-9AB1-4197-9072-4BE3E22218D5}"/>
    <cellStyle name="Normal 7 4 2 3 3 4 3" xfId="8514" xr:uid="{95B1BDFE-76EF-48D5-AE18-97DF9EAC4EF1}"/>
    <cellStyle name="Normal 7 4 2 3 3 4 3 2" xfId="18894" xr:uid="{E65410F0-F8B8-44EE-A42E-4231B11984F9}"/>
    <cellStyle name="Normal 7 4 2 3 3 4 4" xfId="11347" xr:uid="{FFCBB6BC-06D1-4F6E-B3AD-2CAE67AF6682}"/>
    <cellStyle name="Normal 7 4 2 3 3 4 4 2" xfId="21727" xr:uid="{6D36AA51-6251-47A6-BEA6-E61346442579}"/>
    <cellStyle name="Normal 7 4 2 3 3 4 5" xfId="23530" xr:uid="{CA63C1D9-529A-4458-A521-F58739AAC9A2}"/>
    <cellStyle name="Normal 7 4 2 3 3 4 6" xfId="14016" xr:uid="{34CE9732-A922-4B0C-813D-1BA3CCDE518D}"/>
    <cellStyle name="Normal 7 4 2 3 3 5" xfId="2640" xr:uid="{00000000-0005-0000-0000-000040080000}"/>
    <cellStyle name="Normal 7 4 2 3 3 5 2" xfId="5902" xr:uid="{06DEE614-DB1E-40C6-98B8-655A5BC840AD}"/>
    <cellStyle name="Normal 7 4 2 3 3 5 2 2" xfId="28085" xr:uid="{E73C0A48-5010-4AF4-BFF8-2779B38CAAE9}"/>
    <cellStyle name="Normal 7 4 2 3 3 5 2 3" xfId="15312" xr:uid="{CD10D29B-1BB9-4033-A72C-20650EA7939B}"/>
    <cellStyle name="Normal 7 4 2 3 3 5 3" xfId="7765" xr:uid="{AAF63A09-5ED6-4AC6-B134-9B9A07206138}"/>
    <cellStyle name="Normal 7 4 2 3 3 5 3 2" xfId="18145" xr:uid="{C28E0031-6504-4AF1-8743-859347CDA388}"/>
    <cellStyle name="Normal 7 4 2 3 3 5 4" xfId="10598" xr:uid="{10CF1869-835D-47E8-8557-5FB1FB45379C}"/>
    <cellStyle name="Normal 7 4 2 3 3 5 4 2" xfId="20978" xr:uid="{02BFD86F-D7FB-4B45-AD29-59895ECBED70}"/>
    <cellStyle name="Normal 7 4 2 3 3 5 5" xfId="24392" xr:uid="{3642CC08-061D-412D-B772-B9BBC8C52747}"/>
    <cellStyle name="Normal 7 4 2 3 3 5 6" xfId="13029" xr:uid="{F2805A81-7243-41C4-92ED-D905A26F3587}"/>
    <cellStyle name="Normal 7 4 2 3 3 6" xfId="4215" xr:uid="{2B11B9DA-3A35-4419-B17F-06112D4DA6AE}"/>
    <cellStyle name="Normal 7 4 2 3 3 6 2" xfId="8987" xr:uid="{55144603-3E18-4EA5-90FC-CC93302FD65D}"/>
    <cellStyle name="Normal 7 4 2 3 3 6 2 2" xfId="19367" xr:uid="{7E7540F5-7CC3-4663-A2BB-5954148FA671}"/>
    <cellStyle name="Normal 7 4 2 3 3 6 3" xfId="11820" xr:uid="{848B8CAE-D016-4566-9EB8-B0DB71A665C1}"/>
    <cellStyle name="Normal 7 4 2 3 3 6 3 2" xfId="22200" xr:uid="{A73647F4-93CF-430B-B492-4A6BD9BE71CC}"/>
    <cellStyle name="Normal 7 4 2 3 3 6 4" xfId="22748" xr:uid="{1023BC0F-D3FA-4D97-B691-C203FC4AE763}"/>
    <cellStyle name="Normal 7 4 2 3 3 6 5" xfId="16534" xr:uid="{45CFAB6B-5A5A-4FBC-A74B-53002E84D396}"/>
    <cellStyle name="Normal 7 4 2 3 3 7" xfId="5419" xr:uid="{35CB26D5-D276-425C-BAEA-79EE79A1F237}"/>
    <cellStyle name="Normal 7 4 2 3 3 7 2" xfId="14716" xr:uid="{33CBB5DD-991C-4EF6-BD53-3DB90CCF121C}"/>
    <cellStyle name="Normal 7 4 2 3 3 8" xfId="7169" xr:uid="{AC6F9BAC-8D75-4682-834E-C6C99FF0AE1D}"/>
    <cellStyle name="Normal 7 4 2 3 3 8 2" xfId="17549" xr:uid="{C320B0C3-2ADA-4F75-B0F5-3D83AFF2FB73}"/>
    <cellStyle name="Normal 7 4 2 3 3 9" xfId="10002" xr:uid="{DE4E08E6-0590-4940-A5A1-118E1F7254D1}"/>
    <cellStyle name="Normal 7 4 2 3 3 9 2" xfId="20382" xr:uid="{EAAF0476-701F-43F9-935E-525B6C9B205C}"/>
    <cellStyle name="Normal 7 4 2 3 4" xfId="1402" xr:uid="{00000000-0005-0000-0000-000051070000}"/>
    <cellStyle name="Normal 7 4 2 3 4 2" xfId="3438" xr:uid="{00000000-0005-0000-0000-000042080000}"/>
    <cellStyle name="Normal 7 4 2 3 4 2 2" xfId="6493" xr:uid="{6B211D80-0DCD-44B2-BE9D-58814ECC93F8}"/>
    <cellStyle name="Normal 7 4 2 3 4 2 2 2" xfId="26409" xr:uid="{105A0BFE-232B-4E6F-9EFD-C683CCCE8D3D}"/>
    <cellStyle name="Normal 7 4 2 3 4 2 2 3" xfId="16064" xr:uid="{0853C75B-EACD-4A0D-B8A4-3BB768EA7535}"/>
    <cellStyle name="Normal 7 4 2 3 4 2 3" xfId="8517" xr:uid="{C5E36588-58E5-4EDA-B035-E11519CAF348}"/>
    <cellStyle name="Normal 7 4 2 3 4 2 3 2" xfId="18897" xr:uid="{4B35EC2E-817E-4379-9348-55F7384F7A7A}"/>
    <cellStyle name="Normal 7 4 2 3 4 2 4" xfId="11350" xr:uid="{D795733E-893B-43A1-9D31-A3FD808972AA}"/>
    <cellStyle name="Normal 7 4 2 3 4 2 4 2" xfId="21730" xr:uid="{2B197E8E-C719-42DD-80FA-C4863AF729E3}"/>
    <cellStyle name="Normal 7 4 2 3 4 2 5" xfId="23234" xr:uid="{B2433BA5-93B2-48C3-8C0E-A022BC6B3F0A}"/>
    <cellStyle name="Normal 7 4 2 3 4 2 6" xfId="14019" xr:uid="{ECBC3F6B-B96E-4288-8DBF-45F6589C947D}"/>
    <cellStyle name="Normal 7 4 2 3 4 3" xfId="4363" xr:uid="{B22B2C28-8B7E-4D9A-BB80-121388E1EADB}"/>
    <cellStyle name="Normal 7 4 2 3 4 3 2" xfId="9135" xr:uid="{5B75D42C-5855-4C09-BEF3-B16F1CBAB7EF}"/>
    <cellStyle name="Normal 7 4 2 3 4 3 2 2" xfId="29178" xr:uid="{D601270E-C94E-4453-8AEC-A0E2E3E7B2DD}"/>
    <cellStyle name="Normal 7 4 2 3 4 3 2 3" xfId="19515" xr:uid="{38CD3105-4B2E-4FDD-A5F6-05B6BDEBF0E9}"/>
    <cellStyle name="Normal 7 4 2 3 4 3 3" xfId="11968" xr:uid="{07E7D6A9-7F3B-4D4E-99DA-E2D69A5D965E}"/>
    <cellStyle name="Normal 7 4 2 3 4 3 3 2" xfId="22348" xr:uid="{A733B062-B38B-4F97-8EB3-53E8DB504F27}"/>
    <cellStyle name="Normal 7 4 2 3 4 3 4" xfId="23168" xr:uid="{8077C8A8-E37E-4916-99C0-B66DCD9059A0}"/>
    <cellStyle name="Normal 7 4 2 3 4 3 5" xfId="16682" xr:uid="{27FA9808-82E3-4143-9A84-50137F7EE0A4}"/>
    <cellStyle name="Normal 7 4 2 3 4 4" xfId="5420" xr:uid="{1CCA2808-F3D0-43BE-BE99-EB7EE5FA592C}"/>
    <cellStyle name="Normal 7 4 2 3 4 4 2" xfId="27408" xr:uid="{546EEC58-C751-4718-B1A5-0437D059B702}"/>
    <cellStyle name="Normal 7 4 2 3 4 4 3" xfId="14717" xr:uid="{3AEDFBEE-A180-493C-B1DF-3CB2C9B06A58}"/>
    <cellStyle name="Normal 7 4 2 3 4 5" xfId="7170" xr:uid="{3AE37D08-FF7A-4EAD-B0AC-1357A731F114}"/>
    <cellStyle name="Normal 7 4 2 3 4 5 2" xfId="17550" xr:uid="{815136FD-09BE-4716-8114-FC0E2378FBE7}"/>
    <cellStyle name="Normal 7 4 2 3 4 6" xfId="10003" xr:uid="{CF8D9611-3354-4D0A-B242-9C205EA5DAED}"/>
    <cellStyle name="Normal 7 4 2 3 4 6 2" xfId="20383" xr:uid="{56A197B3-D2B5-430A-8BDC-862329EFB3C6}"/>
    <cellStyle name="Normal 7 4 2 3 4 7" xfId="25147" xr:uid="{42C3A5EB-114C-451B-90D0-B1C48D26644D}"/>
    <cellStyle name="Normal 7 4 2 3 4 8" xfId="13295" xr:uid="{66E7FE57-C50F-473F-A48E-83E2AAFD69B6}"/>
    <cellStyle name="Normal 7 4 2 3 5" xfId="3439" xr:uid="{00000000-0005-0000-0000-000043080000}"/>
    <cellStyle name="Normal 7 4 2 3 5 2" xfId="4578" xr:uid="{8D41DCDF-9867-4A7F-9391-7F4DE0309B96}"/>
    <cellStyle name="Normal 7 4 2 3 5 2 2" xfId="9350" xr:uid="{394D0FF3-3020-43A5-B7E3-326A51684203}"/>
    <cellStyle name="Normal 7 4 2 3 5 2 2 2" xfId="29322" xr:uid="{8876C79D-FF2C-4A1F-BC0C-11645524FAFF}"/>
    <cellStyle name="Normal 7 4 2 3 5 2 2 3" xfId="19730" xr:uid="{859E6A7D-14EE-45E3-8CA4-EBA984483543}"/>
    <cellStyle name="Normal 7 4 2 3 5 2 3" xfId="12183" xr:uid="{0A929E14-F3C2-4BC2-B93F-36482BBA9C07}"/>
    <cellStyle name="Normal 7 4 2 3 5 2 3 2" xfId="22563" xr:uid="{56FC7E13-67D6-44D1-A502-931184BA5298}"/>
    <cellStyle name="Normal 7 4 2 3 5 2 4" xfId="22798" xr:uid="{DF4B6DC9-CDB8-4A61-977F-D668ECD7A265}"/>
    <cellStyle name="Normal 7 4 2 3 5 2 5" xfId="16897" xr:uid="{5EEF3B0A-42C2-4CCE-B7E6-6FC59218785A}"/>
    <cellStyle name="Normal 7 4 2 3 5 3" xfId="6494" xr:uid="{E64F39CB-9B25-44E1-9DAA-51A89B2615E2}"/>
    <cellStyle name="Normal 7 4 2 3 5 3 2" xfId="26953" xr:uid="{73A7E2FD-9F60-45BE-B5F3-8EFD0A60A280}"/>
    <cellStyle name="Normal 7 4 2 3 5 3 3" xfId="16065" xr:uid="{FD54B8D9-1ACF-4D0A-81FC-B6C623754D97}"/>
    <cellStyle name="Normal 7 4 2 3 5 4" xfId="8518" xr:uid="{F3A3247E-1F8B-4CF6-8C0D-421FDFA5BBAD}"/>
    <cellStyle name="Normal 7 4 2 3 5 4 2" xfId="18898" xr:uid="{BE9CB8BE-3158-4E13-9692-25B98293D676}"/>
    <cellStyle name="Normal 7 4 2 3 5 5" xfId="11351" xr:uid="{9F13FFA7-DB84-4346-BFF7-B01B3F23E21E}"/>
    <cellStyle name="Normal 7 4 2 3 5 5 2" xfId="21731" xr:uid="{3CA28E00-BC65-4934-BF57-8354A2966191}"/>
    <cellStyle name="Normal 7 4 2 3 5 6" xfId="25512" xr:uid="{C46F287D-3C82-4069-AD2C-BEFBDD3A6D7B}"/>
    <cellStyle name="Normal 7 4 2 3 5 7" xfId="14020" xr:uid="{5B6BC0C1-901D-4342-9972-37A67B926C80}"/>
    <cellStyle name="Normal 7 4 2 3 6" xfId="2988" xr:uid="{00000000-0005-0000-0000-000044080000}"/>
    <cellStyle name="Normal 7 4 2 3 6 2" xfId="6138" xr:uid="{01E3796D-D798-48FE-9C0C-E4A00DDA0B07}"/>
    <cellStyle name="Normal 7 4 2 3 6 2 2" xfId="28501" xr:uid="{B49D196C-F27B-4945-A279-8C8D3D7969FE}"/>
    <cellStyle name="Normal 7 4 2 3 6 2 3" xfId="15616" xr:uid="{FFE3F257-7A6B-4386-A5EE-044B6274A04B}"/>
    <cellStyle name="Normal 7 4 2 3 6 3" xfId="8069" xr:uid="{5CDCC030-ED7E-404A-8EB4-4195BA0A9905}"/>
    <cellStyle name="Normal 7 4 2 3 6 3 2" xfId="18449" xr:uid="{6728291F-1EA2-414E-99AC-C1AF79F89D77}"/>
    <cellStyle name="Normal 7 4 2 3 6 4" xfId="10902" xr:uid="{28123847-7C3C-45B0-86FE-4A2C73DDAB30}"/>
    <cellStyle name="Normal 7 4 2 3 6 4 2" xfId="21282" xr:uid="{0B46FCF6-E7D4-4F9A-AFAB-7EC8AAEA7E70}"/>
    <cellStyle name="Normal 7 4 2 3 6 5" xfId="23161" xr:uid="{1AAEDB47-B1A5-420D-B674-153C8B07D0D6}"/>
    <cellStyle name="Normal 7 4 2 3 6 6" xfId="13485" xr:uid="{1ADD431F-70F2-44A6-81E0-DAA66D789110}"/>
    <cellStyle name="Normal 7 4 2 3 7" xfId="2478" xr:uid="{00000000-0005-0000-0000-000045080000}"/>
    <cellStyle name="Normal 7 4 2 3 7 2" xfId="5766" xr:uid="{0F3E1F4B-AB2E-4AE5-8439-F1D7EF399285}"/>
    <cellStyle name="Normal 7 4 2 3 7 2 2" xfId="26816" xr:uid="{75FF0B01-19AC-4C89-8180-56355C6ECBA7}"/>
    <cellStyle name="Normal 7 4 2 3 7 2 3" xfId="15150" xr:uid="{74D3FD33-3603-4E3B-B24D-B6ED820152BA}"/>
    <cellStyle name="Normal 7 4 2 3 7 3" xfId="7603" xr:uid="{0FEB3F89-9078-4CB6-AE8F-29C654BECED4}"/>
    <cellStyle name="Normal 7 4 2 3 7 3 2" xfId="17983" xr:uid="{F9474757-1AD0-4A3D-9E5A-1CE831E8B1EB}"/>
    <cellStyle name="Normal 7 4 2 3 7 4" xfId="10436" xr:uid="{278F2BDF-7C69-42C3-8BB8-878886F0C70A}"/>
    <cellStyle name="Normal 7 4 2 3 7 4 2" xfId="20816" xr:uid="{645EA7CB-4B75-499B-A8FD-2B0785300611}"/>
    <cellStyle name="Normal 7 4 2 3 7 5" xfId="24653" xr:uid="{14B94698-E5C2-4A3C-8A3D-2190C517C682}"/>
    <cellStyle name="Normal 7 4 2 3 7 6" xfId="12866" xr:uid="{0395CA8B-9539-4DD3-94A5-4F953090C76C}"/>
    <cellStyle name="Normal 7 4 2 3 8" xfId="2232" xr:uid="{00000000-0005-0000-0000-000034080000}"/>
    <cellStyle name="Normal 7 4 2 3 8 2" xfId="7359" xr:uid="{ABAE7B4A-5509-467D-9412-919A82B4558E}"/>
    <cellStyle name="Normal 7 4 2 3 8 2 2" xfId="17739" xr:uid="{9D2221FC-A8E9-49F3-BB92-D516393964F2}"/>
    <cellStyle name="Normal 7 4 2 3 8 3" xfId="10192" xr:uid="{042DD87E-6450-4539-81F7-DD2736D6138A}"/>
    <cellStyle name="Normal 7 4 2 3 8 3 2" xfId="20572" xr:uid="{3074D180-A790-43CA-8AF6-F0EB8702F7F8}"/>
    <cellStyle name="Normal 7 4 2 3 8 4" xfId="24953" xr:uid="{61479AF8-0B85-4185-A702-0CA42A33AD86}"/>
    <cellStyle name="Normal 7 4 2 3 8 5" xfId="14906" xr:uid="{91989871-B108-4928-9C4D-6CEAB55A48F6}"/>
    <cellStyle name="Normal 7 4 2 3 9" xfId="4063" xr:uid="{FFCED617-206A-483C-934D-7BCD0DED1567}"/>
    <cellStyle name="Normal 7 4 2 3 9 2" xfId="8843" xr:uid="{559A6206-591B-46D5-A69A-CA6C5CB41531}"/>
    <cellStyle name="Normal 7 4 2 3 9 2 2" xfId="19223" xr:uid="{E5B720D8-CE51-4AD5-8877-519B75180EE1}"/>
    <cellStyle name="Normal 7 4 2 3 9 3" xfId="11676" xr:uid="{A2219D8D-D89A-47FF-8831-7EA7854031E1}"/>
    <cellStyle name="Normal 7 4 2 3 9 3 2" xfId="22056" xr:uid="{93530434-315F-4A5C-80CC-1E41AE188AAE}"/>
    <cellStyle name="Normal 7 4 2 3 9 4" xfId="16390" xr:uid="{14217679-016B-4408-8BFC-3F2123797ADE}"/>
    <cellStyle name="Normal 7 4 2 4" xfId="1403" xr:uid="{00000000-0005-0000-0000-000052070000}"/>
    <cellStyle name="Normal 7 4 2 4 10" xfId="7171" xr:uid="{B931BC08-D4DA-4743-8933-B44C8A7C2202}"/>
    <cellStyle name="Normal 7 4 2 4 10 2" xfId="17551" xr:uid="{D2F57CD4-372B-451D-ABEE-23E915F629F6}"/>
    <cellStyle name="Normal 7 4 2 4 11" xfId="10004" xr:uid="{02A2C318-68A2-4898-A3B9-5149781E387B}"/>
    <cellStyle name="Normal 7 4 2 4 11 2" xfId="20384" xr:uid="{FE7ADACE-F28A-4BE5-9CA1-2A9B4122D6E0}"/>
    <cellStyle name="Normal 7 4 2 4 12" xfId="25146" xr:uid="{810F2310-A9E5-4F5B-AF0B-88D7042AB924}"/>
    <cellStyle name="Normal 7 4 2 4 13" xfId="12444" xr:uid="{17E98E0C-4EAB-4941-B071-E713A1D6DFFE}"/>
    <cellStyle name="Normal 7 4 2 4 2" xfId="1404" xr:uid="{00000000-0005-0000-0000-000053070000}"/>
    <cellStyle name="Normal 7 4 2 4 2 10" xfId="10005" xr:uid="{1645BABD-3E68-4A2C-9FE0-C3BD3BDE9EE2}"/>
    <cellStyle name="Normal 7 4 2 4 2 10 2" xfId="20385" xr:uid="{2E2ABC91-4A6F-4231-B91E-F2E4A7D3E3A3}"/>
    <cellStyle name="Normal 7 4 2 4 2 11" xfId="25585" xr:uid="{C2DE54F0-1EB7-42DA-A420-A65F2BAFE32B}"/>
    <cellStyle name="Normal 7 4 2 4 2 12" xfId="12630" xr:uid="{3C5934F1-5D4C-4ED1-8E3F-757D1B63E7DC}"/>
    <cellStyle name="Normal 7 4 2 4 2 2" xfId="1405" xr:uid="{00000000-0005-0000-0000-000054070000}"/>
    <cellStyle name="Normal 7 4 2 4 2 2 2" xfId="3441" xr:uid="{00000000-0005-0000-0000-000049080000}"/>
    <cellStyle name="Normal 7 4 2 4 2 2 2 2" xfId="6496" xr:uid="{E8C9FC17-B5BD-46DE-A7CB-10285394DB4C}"/>
    <cellStyle name="Normal 7 4 2 4 2 2 2 2 2" xfId="28498" xr:uid="{6128ADAE-DDCF-46E9-B274-0FC7BF54E073}"/>
    <cellStyle name="Normal 7 4 2 4 2 2 2 2 3" xfId="26057" xr:uid="{F0A1874E-C620-486D-8060-5D7C6C2C338C}"/>
    <cellStyle name="Normal 7 4 2 4 2 2 2 2 4" xfId="16067" xr:uid="{A132EF9A-BCC6-47CE-9940-19AB1B9EE32D}"/>
    <cellStyle name="Normal 7 4 2 4 2 2 2 3" xfId="8520" xr:uid="{70345AB6-28FA-4A6B-8776-0BA46C129244}"/>
    <cellStyle name="Normal 7 4 2 4 2 2 2 3 2" xfId="28936" xr:uid="{9EFB8EE6-788C-4595-A058-72D87940C73C}"/>
    <cellStyle name="Normal 7 4 2 4 2 2 2 3 3" xfId="18900" xr:uid="{1D88C5AC-56EB-4E83-A35F-070EB8EADD6C}"/>
    <cellStyle name="Normal 7 4 2 4 2 2 2 4" xfId="11353" xr:uid="{AC20873F-D2B4-4F5D-83AD-FF482A6C530B}"/>
    <cellStyle name="Normal 7 4 2 4 2 2 2 4 2" xfId="21733" xr:uid="{3238790B-5B1A-48D6-ABED-E347715489F3}"/>
    <cellStyle name="Normal 7 4 2 4 2 2 2 5" xfId="25263" xr:uid="{10019D3C-0701-4C06-9468-8695FB682D51}"/>
    <cellStyle name="Normal 7 4 2 4 2 2 2 6" xfId="14022" xr:uid="{E7C9B11C-99D1-41A5-80CD-C69707957650}"/>
    <cellStyle name="Normal 7 4 2 4 2 2 3" xfId="4366" xr:uid="{AAAEB657-D454-4295-AD7A-18F093B61451}"/>
    <cellStyle name="Normal 7 4 2 4 2 2 3 2" xfId="9138" xr:uid="{E9C25ECD-8D03-4F99-8FEA-D1B20A035017}"/>
    <cellStyle name="Normal 7 4 2 4 2 2 3 2 2" xfId="29181" xr:uid="{1E2F13CE-BB14-4AE9-9D02-823BA19C5333}"/>
    <cellStyle name="Normal 7 4 2 4 2 2 3 2 3" xfId="19518" xr:uid="{F1227117-9D3D-49C9-9A12-FA2559C8851E}"/>
    <cellStyle name="Normal 7 4 2 4 2 2 3 3" xfId="11971" xr:uid="{8CBFE4FB-0706-4030-9D52-7E0E3C598942}"/>
    <cellStyle name="Normal 7 4 2 4 2 2 3 3 2" xfId="22351" xr:uid="{03A447AF-7168-41C3-8583-196053D85370}"/>
    <cellStyle name="Normal 7 4 2 4 2 2 3 4" xfId="24444" xr:uid="{63BBBCFA-5B6B-4D4F-B11E-66772F893E60}"/>
    <cellStyle name="Normal 7 4 2 4 2 2 3 5" xfId="16685" xr:uid="{EC6CF39E-538C-4150-9DC0-9DC18579863C}"/>
    <cellStyle name="Normal 7 4 2 4 2 2 4" xfId="5423" xr:uid="{A49531EF-9E07-48B3-A00B-F9C45AAB621D}"/>
    <cellStyle name="Normal 7 4 2 4 2 2 4 2" xfId="27872" xr:uid="{0284E31A-A0AE-4136-B002-88D0E48ED855}"/>
    <cellStyle name="Normal 7 4 2 4 2 2 4 3" xfId="14720" xr:uid="{3FBA4BA8-E898-47A2-87CB-B0C816B568B1}"/>
    <cellStyle name="Normal 7 4 2 4 2 2 5" xfId="7173" xr:uid="{B71CDECA-3C7C-4478-B8B8-709B814A9314}"/>
    <cellStyle name="Normal 7 4 2 4 2 2 5 2" xfId="17553" xr:uid="{2CAD84AB-C5E0-42CA-868B-31FD631168BD}"/>
    <cellStyle name="Normal 7 4 2 4 2 2 6" xfId="10006" xr:uid="{95FCDA98-9992-470E-AB8C-B0FB05056341}"/>
    <cellStyle name="Normal 7 4 2 4 2 2 6 2" xfId="20386" xr:uid="{6B8F8F77-21D3-4083-86B9-922B1B8F4454}"/>
    <cellStyle name="Normal 7 4 2 4 2 2 7" xfId="25394" xr:uid="{19780167-0E7D-40DE-8011-0AEF26FE54F6}"/>
    <cellStyle name="Normal 7 4 2 4 2 2 8" xfId="13299" xr:uid="{8ACA14C7-1070-4824-BFA2-14F062EEFC52}"/>
    <cellStyle name="Normal 7 4 2 4 2 3" xfId="3442" xr:uid="{00000000-0005-0000-0000-00004A080000}"/>
    <cellStyle name="Normal 7 4 2 4 2 3 2" xfId="4579" xr:uid="{CCB6D9DF-D0CD-410E-A00E-4015EECB64E3}"/>
    <cellStyle name="Normal 7 4 2 4 2 3 2 2" xfId="9351" xr:uid="{DCC4F88B-7732-4D33-AB0A-ACD57DDEFD07}"/>
    <cellStyle name="Normal 7 4 2 4 2 3 2 2 2" xfId="29323" xr:uid="{EAEDB75C-7A44-4BAC-809D-8A82933E7BAA}"/>
    <cellStyle name="Normal 7 4 2 4 2 3 2 2 3" xfId="19731" xr:uid="{C4944783-D8FE-4DB4-9BA3-1E82BC34A028}"/>
    <cellStyle name="Normal 7 4 2 4 2 3 2 3" xfId="12184" xr:uid="{63CFBB8E-16F7-4C1A-AB42-20FA8D1C2393}"/>
    <cellStyle name="Normal 7 4 2 4 2 3 2 3 2" xfId="22564" xr:uid="{DA11D50E-5310-4C95-BB1C-20F4BEC4F76C}"/>
    <cellStyle name="Normal 7 4 2 4 2 3 2 4" xfId="24893" xr:uid="{EFEA5569-7CF3-474B-9905-D0D2DC77FBF8}"/>
    <cellStyle name="Normal 7 4 2 4 2 3 2 5" xfId="16898" xr:uid="{0E5F3F5E-2569-480A-BD19-2D210D3EFEF1}"/>
    <cellStyle name="Normal 7 4 2 4 2 3 3" xfId="6497" xr:uid="{FC48F7E8-8C0B-4B98-920B-2B0286FFE23E}"/>
    <cellStyle name="Normal 7 4 2 4 2 3 3 2" xfId="26405" xr:uid="{8B57975D-7B57-431F-AFA0-EBA90D5B2B6C}"/>
    <cellStyle name="Normal 7 4 2 4 2 3 3 3" xfId="16068" xr:uid="{2A7D4FCE-1B9E-4852-AC0F-593CFCD45E82}"/>
    <cellStyle name="Normal 7 4 2 4 2 3 4" xfId="8521" xr:uid="{D1D8E662-D92E-4D4B-94D1-4C0F3D9F39C7}"/>
    <cellStyle name="Normal 7 4 2 4 2 3 4 2" xfId="18901" xr:uid="{176AC416-85F2-4EA1-98E9-D00E0F615140}"/>
    <cellStyle name="Normal 7 4 2 4 2 3 5" xfId="11354" xr:uid="{A3A31C55-FA9D-4957-AC49-F573427A00BD}"/>
    <cellStyle name="Normal 7 4 2 4 2 3 5 2" xfId="21734" xr:uid="{4208DEC8-C6B4-4F37-AE56-6E605E8F1340}"/>
    <cellStyle name="Normal 7 4 2 4 2 3 6" xfId="22904" xr:uid="{E79FD255-219F-431F-B3E1-304FCA6F2C15}"/>
    <cellStyle name="Normal 7 4 2 4 2 3 7" xfId="14023" xr:uid="{66C257AD-4F3F-4013-A144-D476057269C4}"/>
    <cellStyle name="Normal 7 4 2 4 2 4" xfId="3440" xr:uid="{00000000-0005-0000-0000-00004B080000}"/>
    <cellStyle name="Normal 7 4 2 4 2 4 2" xfId="6495" xr:uid="{8BFE9F11-3954-4689-A786-FF2F9CA2A262}"/>
    <cellStyle name="Normal 7 4 2 4 2 4 2 2" xfId="28690" xr:uid="{ABA22034-8D3B-4C73-BE6F-D2077FE629EA}"/>
    <cellStyle name="Normal 7 4 2 4 2 4 2 3" xfId="16066" xr:uid="{2A6EF921-F2BD-45E7-A868-1589E9226A65}"/>
    <cellStyle name="Normal 7 4 2 4 2 4 3" xfId="8519" xr:uid="{DCCF92C3-CC7E-4C8F-AEDD-59D0FF0D089E}"/>
    <cellStyle name="Normal 7 4 2 4 2 4 3 2" xfId="18899" xr:uid="{705A7120-817A-4C9A-BBCD-AACCFACFC8FC}"/>
    <cellStyle name="Normal 7 4 2 4 2 4 4" xfId="11352" xr:uid="{D3544EA9-18B3-4A20-9D02-82043860A9CE}"/>
    <cellStyle name="Normal 7 4 2 4 2 4 4 2" xfId="21732" xr:uid="{62695414-01F9-4B16-BCA5-61906A892137}"/>
    <cellStyle name="Normal 7 4 2 4 2 4 5" xfId="23196" xr:uid="{48CCD019-64F1-476C-B343-2B3A06260B3B}"/>
    <cellStyle name="Normal 7 4 2 4 2 4 6" xfId="14021" xr:uid="{C34C3CA7-8B84-48A6-9B55-231CA1F929A4}"/>
    <cellStyle name="Normal 7 4 2 4 2 5" xfId="2621" xr:uid="{00000000-0005-0000-0000-00004C080000}"/>
    <cellStyle name="Normal 7 4 2 4 2 5 2" xfId="5883" xr:uid="{162F9534-4603-4EE7-BCC8-40DE9EB70162}"/>
    <cellStyle name="Normal 7 4 2 4 2 5 2 2" xfId="28453" xr:uid="{432BB97B-CC7F-4191-B8E3-A032AAD42965}"/>
    <cellStyle name="Normal 7 4 2 4 2 5 2 3" xfId="15293" xr:uid="{DC5DDE3B-36F3-4DB0-B0DA-D7BC83D2CD80}"/>
    <cellStyle name="Normal 7 4 2 4 2 5 3" xfId="7746" xr:uid="{8E2B9F89-271A-4C79-A763-2730A62961D8}"/>
    <cellStyle name="Normal 7 4 2 4 2 5 3 2" xfId="18126" xr:uid="{49C4C12B-032E-451E-A41E-E0B0DC138CE7}"/>
    <cellStyle name="Normal 7 4 2 4 2 5 4" xfId="10579" xr:uid="{A375E6AF-717E-4EF7-89CA-4CEAE9232747}"/>
    <cellStyle name="Normal 7 4 2 4 2 5 4 2" xfId="20959" xr:uid="{E3B04979-6F30-4D1B-8080-ADDFE1C047E3}"/>
    <cellStyle name="Normal 7 4 2 4 2 5 5" xfId="23959" xr:uid="{7B1FEF56-7F74-4BF5-AE76-88645295563C}"/>
    <cellStyle name="Normal 7 4 2 4 2 5 6" xfId="13009" xr:uid="{16D03AE3-FE86-45E0-ADF6-CAA03FDB5F2B}"/>
    <cellStyle name="Normal 7 4 2 4 2 6" xfId="2396" xr:uid="{00000000-0005-0000-0000-000047080000}"/>
    <cellStyle name="Normal 7 4 2 4 2 6 2" xfId="7523" xr:uid="{A76C84AC-D7FA-4E67-9B80-783C24274E18}"/>
    <cellStyle name="Normal 7 4 2 4 2 6 2 2" xfId="17903" xr:uid="{7735C72A-AB3A-44DB-B9CF-A60B23D5E96A}"/>
    <cellStyle name="Normal 7 4 2 4 2 6 3" xfId="10356" xr:uid="{9B054F36-4AFC-4E50-95A8-8DE63B3958E8}"/>
    <cellStyle name="Normal 7 4 2 4 2 6 3 2" xfId="20736" xr:uid="{EB380360-1AFA-4882-9966-DAE9B36363C1}"/>
    <cellStyle name="Normal 7 4 2 4 2 6 4" xfId="25489" xr:uid="{09B3EF65-0309-4500-B88F-8E69AE4097C5}"/>
    <cellStyle name="Normal 7 4 2 4 2 6 5" xfId="15070" xr:uid="{A5C5DB98-FDCA-4207-B138-48665FC4E7B5}"/>
    <cellStyle name="Normal 7 4 2 4 2 7" xfId="4100" xr:uid="{A615A8D1-6A36-46E2-847B-4878C02125FD}"/>
    <cellStyle name="Normal 7 4 2 4 2 7 2" xfId="8874" xr:uid="{4114F29A-80CA-48BA-BC1A-8A2FAF071ABD}"/>
    <cellStyle name="Normal 7 4 2 4 2 7 2 2" xfId="19254" xr:uid="{E86CC324-85D1-497C-90CD-2BE9A961181D}"/>
    <cellStyle name="Normal 7 4 2 4 2 7 3" xfId="11707" xr:uid="{D3D5E542-88E0-4657-9D32-3E8609667CC3}"/>
    <cellStyle name="Normal 7 4 2 4 2 7 3 2" xfId="22087" xr:uid="{49CD2A9E-CFD2-4895-9D5D-91A18746A95B}"/>
    <cellStyle name="Normal 7 4 2 4 2 7 4" xfId="16421" xr:uid="{573C1003-EB8C-41D1-911F-FF5B21F44878}"/>
    <cellStyle name="Normal 7 4 2 4 2 8" xfId="5422" xr:uid="{766CFB2F-622E-4F25-9D22-96633E84BE1A}"/>
    <cellStyle name="Normal 7 4 2 4 2 8 2" xfId="14719" xr:uid="{72593861-B15E-4F5A-B0ED-7813F2715FBA}"/>
    <cellStyle name="Normal 7 4 2 4 2 9" xfId="7172" xr:uid="{48407797-F7AC-41D5-9E6F-81908B182441}"/>
    <cellStyle name="Normal 7 4 2 4 2 9 2" xfId="17552" xr:uid="{2C17603D-9B4C-44AA-A0EF-A8718814D834}"/>
    <cellStyle name="Normal 7 4 2 4 3" xfId="1406" xr:uid="{00000000-0005-0000-0000-000055070000}"/>
    <cellStyle name="Normal 7 4 2 4 3 2" xfId="3443" xr:uid="{00000000-0005-0000-0000-00004E080000}"/>
    <cellStyle name="Normal 7 4 2 4 3 2 2" xfId="6498" xr:uid="{68305674-C797-40C7-BB0C-81EF594659BA}"/>
    <cellStyle name="Normal 7 4 2 4 3 2 2 2" xfId="24525" xr:uid="{3F4DC59D-B533-4571-A31D-7C9B281553C4}"/>
    <cellStyle name="Normal 7 4 2 4 3 2 2 3" xfId="28714" xr:uid="{DB599F82-26D9-4742-872D-E4677E884F2C}"/>
    <cellStyle name="Normal 7 4 2 4 3 2 2 4" xfId="16069" xr:uid="{BB2C2468-C0C3-4BD9-9CD2-9D2AB98CCE65}"/>
    <cellStyle name="Normal 7 4 2 4 3 2 3" xfId="8522" xr:uid="{517069DC-E7A8-4BCE-9CE2-9C298EBA0CEE}"/>
    <cellStyle name="Normal 7 4 2 4 3 2 3 2" xfId="28937" xr:uid="{7F8F8EDB-BB5E-42D6-8D7E-5DD70CC18786}"/>
    <cellStyle name="Normal 7 4 2 4 3 2 3 3" xfId="18902" xr:uid="{A0FA28BF-EE20-4B04-B3E4-3723FE6E22C8}"/>
    <cellStyle name="Normal 7 4 2 4 3 2 4" xfId="11355" xr:uid="{9691508A-27FF-4475-90DA-7B47F2D70909}"/>
    <cellStyle name="Normal 7 4 2 4 3 2 4 2" xfId="21735" xr:uid="{F53DEC85-5C19-4421-875A-2ACB2AA8D5BC}"/>
    <cellStyle name="Normal 7 4 2 4 3 2 5" xfId="23286" xr:uid="{7A6F7BD0-63DA-4862-8C6B-2B31A4FA3DFF}"/>
    <cellStyle name="Normal 7 4 2 4 3 2 6" xfId="14024" xr:uid="{C2486EEF-2D65-4552-A92C-6FF30E073B7A}"/>
    <cellStyle name="Normal 7 4 2 4 3 3" xfId="2825" xr:uid="{00000000-0005-0000-0000-00004F080000}"/>
    <cellStyle name="Normal 7 4 2 4 3 3 2" xfId="6041" xr:uid="{535C257E-5D4B-4198-82C8-E999FA9B3136}"/>
    <cellStyle name="Normal 7 4 2 4 3 3 2 2" xfId="27839" xr:uid="{EEAA24A5-4A7E-4F43-8F1E-8F52A537B74C}"/>
    <cellStyle name="Normal 7 4 2 4 3 3 2 3" xfId="15495" xr:uid="{31FE131C-62EE-44A7-AE47-D7F356754560}"/>
    <cellStyle name="Normal 7 4 2 4 3 3 3" xfId="7948" xr:uid="{25908E5D-77DD-4DF7-A949-876FCE3A4C83}"/>
    <cellStyle name="Normal 7 4 2 4 3 3 3 2" xfId="18328" xr:uid="{FBE47FA9-E084-4D46-83E2-26DD38C83757}"/>
    <cellStyle name="Normal 7 4 2 4 3 3 4" xfId="10781" xr:uid="{4B6532DA-BE75-4F6B-9AA2-05E530E0D4B3}"/>
    <cellStyle name="Normal 7 4 2 4 3 3 4 2" xfId="21161" xr:uid="{56285DC4-1A64-4C00-9D6E-A46781D91D64}"/>
    <cellStyle name="Normal 7 4 2 4 3 3 5" xfId="24120" xr:uid="{F557AC7F-F932-4E72-860B-1C1103051EA8}"/>
    <cellStyle name="Normal 7 4 2 4 3 3 6" xfId="13298" xr:uid="{64ADBB3E-2E50-43E0-BE71-4AF34A909986}"/>
    <cellStyle name="Normal 7 4 2 4 3 4" xfId="4216" xr:uid="{B598CC0D-41CE-4725-B55D-D9DBCBCCE81B}"/>
    <cellStyle name="Normal 7 4 2 4 3 4 2" xfId="8988" xr:uid="{346B4F6C-A1D7-4323-9FA6-6941310BCCD1}"/>
    <cellStyle name="Normal 7 4 2 4 3 4 2 2" xfId="29067" xr:uid="{C2A895EB-C6F8-4540-A260-580F69B5AEC5}"/>
    <cellStyle name="Normal 7 4 2 4 3 4 2 3" xfId="19368" xr:uid="{BBF76C09-54D7-450F-BF03-265396877F8D}"/>
    <cellStyle name="Normal 7 4 2 4 3 4 3" xfId="11821" xr:uid="{8C4A0A73-B6EA-49D5-9784-3724AB2703C1}"/>
    <cellStyle name="Normal 7 4 2 4 3 4 3 2" xfId="22201" xr:uid="{2AD8131C-1897-4EBD-9AA5-6E49E2A2711F}"/>
    <cellStyle name="Normal 7 4 2 4 3 4 4" xfId="23621" xr:uid="{977F998E-7DDA-43D2-B84A-A004A2443B61}"/>
    <cellStyle name="Normal 7 4 2 4 3 4 5" xfId="16535" xr:uid="{271A7751-C7A8-406B-A22A-45FCCD866C81}"/>
    <cellStyle name="Normal 7 4 2 4 3 5" xfId="5424" xr:uid="{2E65E1D4-3052-40C6-97F4-B6E2E11D8BF2}"/>
    <cellStyle name="Normal 7 4 2 4 3 5 2" xfId="26900" xr:uid="{39F65D39-778D-4E1B-9BD9-11AB11530AE8}"/>
    <cellStyle name="Normal 7 4 2 4 3 5 3" xfId="14721" xr:uid="{13A138FE-F583-44C8-B97E-650218C28B20}"/>
    <cellStyle name="Normal 7 4 2 4 3 6" xfId="7174" xr:uid="{DD0F5BE0-A944-4448-8295-DFBE81A71140}"/>
    <cellStyle name="Normal 7 4 2 4 3 6 2" xfId="17554" xr:uid="{D0634BD9-832B-4163-9972-AFC73A0E6B20}"/>
    <cellStyle name="Normal 7 4 2 4 3 7" xfId="10007" xr:uid="{48422E25-51C6-4046-97EA-4E22C49EDD17}"/>
    <cellStyle name="Normal 7 4 2 4 3 7 2" xfId="20387" xr:uid="{07E4FE30-D2E5-4621-B700-B135C9068521}"/>
    <cellStyle name="Normal 7 4 2 4 3 8" xfId="24131" xr:uid="{E6FC3DA2-A9DA-4B50-AEDC-E5D29766288B}"/>
    <cellStyle name="Normal 7 4 2 4 3 9" xfId="12788" xr:uid="{79A18FE0-2809-4472-8A81-356B4E62405A}"/>
    <cellStyle name="Normal 7 4 2 4 4" xfId="1407" xr:uid="{00000000-0005-0000-0000-000056070000}"/>
    <cellStyle name="Normal 7 4 2 4 4 2" xfId="4580" xr:uid="{F90CA143-97AF-4E8C-A770-D8821B1C12F5}"/>
    <cellStyle name="Normal 7 4 2 4 4 2 2" xfId="9352" xr:uid="{BABCC6F4-8932-4669-AB41-90518E651972}"/>
    <cellStyle name="Normal 7 4 2 4 4 2 2 2" xfId="29324" xr:uid="{1EBD480C-034E-4D17-897F-122D7BE25E1E}"/>
    <cellStyle name="Normal 7 4 2 4 4 2 2 3" xfId="19732" xr:uid="{FF145B92-B761-45E1-BF03-852C8B745C26}"/>
    <cellStyle name="Normal 7 4 2 4 4 2 3" xfId="12185" xr:uid="{FED648E9-FD6D-4B93-BB48-62CD3F8DCAFB}"/>
    <cellStyle name="Normal 7 4 2 4 4 2 3 2" xfId="22565" xr:uid="{D20E51FE-F8FB-4FD1-B70E-05289D3A43CA}"/>
    <cellStyle name="Normal 7 4 2 4 4 2 4" xfId="25696" xr:uid="{9AB87D3B-7502-430A-B82A-C209718BD820}"/>
    <cellStyle name="Normal 7 4 2 4 4 2 5" xfId="16899" xr:uid="{4F79C56B-8295-4535-ABB2-FDEADC126866}"/>
    <cellStyle name="Normal 7 4 2 4 4 3" xfId="5425" xr:uid="{31E3EE82-17E0-4E74-B15B-E5E7C1A8B933}"/>
    <cellStyle name="Normal 7 4 2 4 4 3 2" xfId="27831" xr:uid="{52CD2B51-6D16-4B44-A735-68CA6195A7BD}"/>
    <cellStyle name="Normal 7 4 2 4 4 3 3" xfId="14722" xr:uid="{E9A18D3B-352C-4EF1-BB95-6E1004493ECA}"/>
    <cellStyle name="Normal 7 4 2 4 4 4" xfId="7175" xr:uid="{77E0A48D-0C82-457D-A46A-8D58EA2BD4A3}"/>
    <cellStyle name="Normal 7 4 2 4 4 4 2" xfId="17555" xr:uid="{1E1110F7-1978-48EE-828F-4F436298F6E9}"/>
    <cellStyle name="Normal 7 4 2 4 4 5" xfId="10008" xr:uid="{C00F6A0C-D806-4A5B-8F7D-99E94A280068}"/>
    <cellStyle name="Normal 7 4 2 4 4 5 2" xfId="20388" xr:uid="{EDC48D79-EDBD-429E-9410-D9094CED12A4}"/>
    <cellStyle name="Normal 7 4 2 4 4 6" xfId="24544" xr:uid="{D144AA4D-3853-42D9-8FE1-26140F5E28BD}"/>
    <cellStyle name="Normal 7 4 2 4 4 7" xfId="14025" xr:uid="{AD023489-2E07-4B60-88AD-0D2124CB5C57}"/>
    <cellStyle name="Normal 7 4 2 4 5" xfId="2989" xr:uid="{00000000-0005-0000-0000-000051080000}"/>
    <cellStyle name="Normal 7 4 2 4 5 2" xfId="6139" xr:uid="{2AC1C3AE-B22F-4FE2-9930-18FFD3780E91}"/>
    <cellStyle name="Normal 7 4 2 4 5 2 2" xfId="25484" xr:uid="{CD94F832-DE7A-4F26-AB27-1611EFE6DFC3}"/>
    <cellStyle name="Normal 7 4 2 4 5 2 3" xfId="27192" xr:uid="{7D2C6571-E09A-45AD-8461-5841B9B74311}"/>
    <cellStyle name="Normal 7 4 2 4 5 2 4" xfId="15617" xr:uid="{EB12760B-3974-4EDE-A035-DF84B1A41311}"/>
    <cellStyle name="Normal 7 4 2 4 5 3" xfId="8070" xr:uid="{5DD8CBE1-B409-43F9-B9FF-50DF6587B640}"/>
    <cellStyle name="Normal 7 4 2 4 5 3 2" xfId="28766" xr:uid="{370C96D7-FBE7-40F9-8A9B-886DE567E5B3}"/>
    <cellStyle name="Normal 7 4 2 4 5 3 3" xfId="18450" xr:uid="{B1CE3031-322D-4DD1-B80A-9F7C719B033D}"/>
    <cellStyle name="Normal 7 4 2 4 5 4" xfId="10903" xr:uid="{557ACEC6-F1DC-4A79-9810-8D8953082EEC}"/>
    <cellStyle name="Normal 7 4 2 4 5 4 2" xfId="21283" xr:uid="{0CDDFD9B-9EB1-4692-91EB-F5622CF0C425}"/>
    <cellStyle name="Normal 7 4 2 4 5 5" xfId="23514" xr:uid="{7E2BDC90-743A-4CDE-8836-16218CDC2524}"/>
    <cellStyle name="Normal 7 4 2 4 5 6" xfId="13486" xr:uid="{14228182-435A-49B9-BE81-AEA0E4143C69}"/>
    <cellStyle name="Normal 7 4 2 4 6" xfId="2458" xr:uid="{00000000-0005-0000-0000-000052080000}"/>
    <cellStyle name="Normal 7 4 2 4 6 2" xfId="5750" xr:uid="{BEE05D96-D934-44ED-8368-AB5368390DFA}"/>
    <cellStyle name="Normal 7 4 2 4 6 2 2" xfId="28419" xr:uid="{7F8ECA08-AA09-4CC0-8159-86D99A414513}"/>
    <cellStyle name="Normal 7 4 2 4 6 2 3" xfId="15130" xr:uid="{3A483F97-B87C-44B3-95BF-CB39AABC850F}"/>
    <cellStyle name="Normal 7 4 2 4 6 3" xfId="7583" xr:uid="{E5E8A413-96BF-4559-BFF9-177C0427E082}"/>
    <cellStyle name="Normal 7 4 2 4 6 3 2" xfId="17963" xr:uid="{3BCC37CF-BDBE-4A19-A6B5-234712581127}"/>
    <cellStyle name="Normal 7 4 2 4 6 4" xfId="10416" xr:uid="{7679A0CE-6406-44CC-B71F-1858387BF605}"/>
    <cellStyle name="Normal 7 4 2 4 6 4 2" xfId="20796" xr:uid="{2A7A0AD0-A7BB-4844-8D8A-11783CC6F84D}"/>
    <cellStyle name="Normal 7 4 2 4 6 5" xfId="23303" xr:uid="{016C8953-02D4-49D5-9CD7-28D2D1205CB3}"/>
    <cellStyle name="Normal 7 4 2 4 6 6" xfId="12846" xr:uid="{07BC2695-B784-4FD4-BDF9-A31E26E6F7BC}"/>
    <cellStyle name="Normal 7 4 2 4 7" xfId="2212" xr:uid="{00000000-0005-0000-0000-000046080000}"/>
    <cellStyle name="Normal 7 4 2 4 7 2" xfId="7339" xr:uid="{221DA03E-D7F9-4E77-A9C9-24C02853C977}"/>
    <cellStyle name="Normal 7 4 2 4 7 2 2" xfId="17719" xr:uid="{6CED23D0-11C3-4588-9D21-0C8A53415568}"/>
    <cellStyle name="Normal 7 4 2 4 7 3" xfId="10172" xr:uid="{3CA10CEC-1F46-49A4-AD82-2E0A0BFB4AC6}"/>
    <cellStyle name="Normal 7 4 2 4 7 3 2" xfId="20552" xr:uid="{FD603573-4CC7-446F-A03F-75FD3E980E0D}"/>
    <cellStyle name="Normal 7 4 2 4 7 4" xfId="25246" xr:uid="{15C0597D-BDEA-412E-9653-FDE4E25C5976}"/>
    <cellStyle name="Normal 7 4 2 4 7 5" xfId="14886" xr:uid="{9DEC71EC-8AAA-440B-8552-BBF414B6496B}"/>
    <cellStyle name="Normal 7 4 2 4 8" xfId="4064" xr:uid="{4ABD5869-1B00-438E-90E6-141CF70F662E}"/>
    <cellStyle name="Normal 7 4 2 4 8 2" xfId="8844" xr:uid="{A3182066-70FF-4554-9B51-2999B2DAB449}"/>
    <cellStyle name="Normal 7 4 2 4 8 2 2" xfId="19224" xr:uid="{14FDB6FA-BADB-42A2-BFFB-498D668741D8}"/>
    <cellStyle name="Normal 7 4 2 4 8 3" xfId="11677" xr:uid="{67463485-28B8-44FF-A5DB-8F59EC77DC61}"/>
    <cellStyle name="Normal 7 4 2 4 8 3 2" xfId="22057" xr:uid="{06A1252E-4FB3-4E5E-ADE0-E9F9384D9AFB}"/>
    <cellStyle name="Normal 7 4 2 4 8 4" xfId="16391" xr:uid="{812D0A9A-3224-450F-B429-5C40CC67D428}"/>
    <cellStyle name="Normal 7 4 2 4 9" xfId="5421" xr:uid="{EB804556-033E-41D6-BB9C-1704BDD851CC}"/>
    <cellStyle name="Normal 7 4 2 4 9 2" xfId="14718" xr:uid="{80299997-AD89-421B-B216-EC8F8ECF5499}"/>
    <cellStyle name="Normal 7 4 2 5" xfId="1408" xr:uid="{00000000-0005-0000-0000-000057070000}"/>
    <cellStyle name="Normal 7 4 2 5 10" xfId="10009" xr:uid="{4F4B021F-78DD-4C68-8420-3089DCEF5A6A}"/>
    <cellStyle name="Normal 7 4 2 5 10 2" xfId="20389" xr:uid="{CE9593AF-2159-4713-8852-371EC3B4ED27}"/>
    <cellStyle name="Normal 7 4 2 5 11" xfId="23949" xr:uid="{A21590B5-D5FA-4C2C-91F5-25C91CBC03BE}"/>
    <cellStyle name="Normal 7 4 2 5 12" xfId="12631" xr:uid="{9C79C262-5AB5-4E25-869D-83C091DC85CA}"/>
    <cellStyle name="Normal 7 4 2 5 2" xfId="1409" xr:uid="{00000000-0005-0000-0000-000058070000}"/>
    <cellStyle name="Normal 7 4 2 5 2 2" xfId="1410" xr:uid="{00000000-0005-0000-0000-000059070000}"/>
    <cellStyle name="Normal 7 4 2 5 2 2 2" xfId="5428" xr:uid="{DC90032F-A7C8-4259-A04D-01902D52223C}"/>
    <cellStyle name="Normal 7 4 2 5 2 2 2 2" xfId="24039" xr:uid="{CF8A841D-0A25-4FFF-BE10-9094372666BC}"/>
    <cellStyle name="Normal 7 4 2 5 2 2 2 3" xfId="26697" xr:uid="{3DCE1E5B-3503-41E4-BFFB-3FC924283F66}"/>
    <cellStyle name="Normal 7 4 2 5 2 2 2 4" xfId="14725" xr:uid="{2B527BCA-D423-4503-9122-2282CC9B0298}"/>
    <cellStyle name="Normal 7 4 2 5 2 2 3" xfId="7178" xr:uid="{50096904-D60E-493E-BF10-D12065D10048}"/>
    <cellStyle name="Normal 7 4 2 5 2 2 3 2" xfId="27660" xr:uid="{03596C6D-25D5-4684-8349-791B9C74B4EA}"/>
    <cellStyle name="Normal 7 4 2 5 2 2 3 3" xfId="26808" xr:uid="{B6522971-26A5-4705-B878-C0D14A90DE1B}"/>
    <cellStyle name="Normal 7 4 2 5 2 2 3 4" xfId="17558" xr:uid="{8977E768-8809-45AA-96F3-C21DCBF63BFA}"/>
    <cellStyle name="Normal 7 4 2 5 2 2 4" xfId="10011" xr:uid="{48744055-C16C-4E02-A1BC-C76C9D86DA11}"/>
    <cellStyle name="Normal 7 4 2 5 2 2 4 2" xfId="29454" xr:uid="{82CA0832-D893-4A15-A498-C3E504F5CA01}"/>
    <cellStyle name="Normal 7 4 2 5 2 2 4 3" xfId="20391" xr:uid="{35289887-E0A1-4325-95F5-3F4E4148E3BE}"/>
    <cellStyle name="Normal 7 4 2 5 2 2 5" xfId="24368" xr:uid="{5F8623EE-AFD1-4BEE-9EFD-0D1372A39FE6}"/>
    <cellStyle name="Normal 7 4 2 5 2 2 6" xfId="14026" xr:uid="{239B6095-F271-4FC3-8047-C5C6F98D064A}"/>
    <cellStyle name="Normal 7 4 2 5 2 2 7" xfId="30425" xr:uid="{8AD582A6-202E-4BE7-AAFE-790BA366DE24}"/>
    <cellStyle name="Normal 7 4 2 5 2 3" xfId="2826" xr:uid="{00000000-0005-0000-0000-000056080000}"/>
    <cellStyle name="Normal 7 4 2 5 2 3 2" xfId="6042" xr:uid="{3B687E05-5AF1-476B-96EF-1D8891D56292}"/>
    <cellStyle name="Normal 7 4 2 5 2 3 2 2" xfId="26996" xr:uid="{F174BAD1-E068-460A-8850-0F44A204B877}"/>
    <cellStyle name="Normal 7 4 2 5 2 3 2 3" xfId="15496" xr:uid="{86FC6865-D5D6-4CBA-8CD2-E90836557260}"/>
    <cellStyle name="Normal 7 4 2 5 2 3 3" xfId="7949" xr:uid="{F6A66019-9BBF-4ACB-8D7D-4937110A8EBE}"/>
    <cellStyle name="Normal 7 4 2 5 2 3 3 2" xfId="18329" xr:uid="{BAC6A313-4AF2-4524-8E47-94D2C3D3D1A5}"/>
    <cellStyle name="Normal 7 4 2 5 2 3 4" xfId="10782" xr:uid="{0A47D0C6-4148-4166-B175-0CCD96ED5179}"/>
    <cellStyle name="Normal 7 4 2 5 2 3 4 2" xfId="21162" xr:uid="{F01EA6D1-BFD3-42D8-A2C4-14718DA00CB5}"/>
    <cellStyle name="Normal 7 4 2 5 2 3 5" xfId="24254" xr:uid="{AA11F716-55BF-4F43-A013-00199C546F74}"/>
    <cellStyle name="Normal 7 4 2 5 2 3 6" xfId="13300" xr:uid="{0481F61A-9C9E-4357-8143-C6223F165FDC}"/>
    <cellStyle name="Normal 7 4 2 5 2 4" xfId="4217" xr:uid="{7908C746-7B05-4A29-BD28-29DD803831E6}"/>
    <cellStyle name="Normal 7 4 2 5 2 4 2" xfId="8989" xr:uid="{FC7F19FB-A224-4058-B1A1-C2EE96C7387A}"/>
    <cellStyle name="Normal 7 4 2 5 2 4 2 2" xfId="29068" xr:uid="{D0F4EA3A-0818-40FE-B61C-EE1ED9C623F0}"/>
    <cellStyle name="Normal 7 4 2 5 2 4 2 3" xfId="19369" xr:uid="{137D3889-0DED-4D71-82F2-D317CF828EBA}"/>
    <cellStyle name="Normal 7 4 2 5 2 4 3" xfId="11822" xr:uid="{C342DDFB-92D1-4778-9890-97FC20A8E7CB}"/>
    <cellStyle name="Normal 7 4 2 5 2 4 3 2" xfId="22202" xr:uid="{A83F5AB7-AD6A-4A27-B11A-0F0A83494DAF}"/>
    <cellStyle name="Normal 7 4 2 5 2 4 4" xfId="25137" xr:uid="{00A57F31-AA66-4FC2-9856-226F21BACAC7}"/>
    <cellStyle name="Normal 7 4 2 5 2 4 5" xfId="16536" xr:uid="{7D249806-6434-4FAC-85B3-B5D837B174F4}"/>
    <cellStyle name="Normal 7 4 2 5 2 5" xfId="5427" xr:uid="{5F0D3FCF-1197-44C3-A71A-CAAAFF02276D}"/>
    <cellStyle name="Normal 7 4 2 5 2 5 2" xfId="27998" xr:uid="{395C09B6-4C2A-4833-A72E-B29AB0BD7E53}"/>
    <cellStyle name="Normal 7 4 2 5 2 5 3" xfId="14724" xr:uid="{8526D7D3-0BCB-4BE2-AE4F-B0CBD9A1B6A1}"/>
    <cellStyle name="Normal 7 4 2 5 2 5 4" xfId="30563" xr:uid="{53C4ED69-3434-44C9-AB7A-ABBD11EB7245}"/>
    <cellStyle name="Normal 7 4 2 5 2 6" xfId="7177" xr:uid="{57159596-E411-4E62-ADBF-E6BB82F754F9}"/>
    <cellStyle name="Normal 7 4 2 5 2 6 2" xfId="17557" xr:uid="{FDEE0A3F-33B6-4BAD-87B5-F9AEEB3A0EA7}"/>
    <cellStyle name="Normal 7 4 2 5 2 6 3" xfId="30286" xr:uid="{A50B4F49-8B5C-4476-A681-2654AE1657A1}"/>
    <cellStyle name="Normal 7 4 2 5 2 6 4" xfId="30696" xr:uid="{23333279-9C3C-455A-86DD-A3D8B2D3E4BB}"/>
    <cellStyle name="Normal 7 4 2 5 2 7" xfId="10010" xr:uid="{2D9544BA-5D50-49F7-8FF8-38F6B042B1CA}"/>
    <cellStyle name="Normal 7 4 2 5 2 7 2" xfId="20390" xr:uid="{950719A6-A31F-4584-939F-52764EAE2976}"/>
    <cellStyle name="Normal 7 4 2 5 2 8" xfId="23553" xr:uid="{4263F13F-552B-45CE-AF3A-A25450F4E864}"/>
    <cellStyle name="Normal 7 4 2 5 2 9" xfId="12789" xr:uid="{61519436-3F18-46C4-B474-45A63D9C7AB6}"/>
    <cellStyle name="Normal 7 4 2 5 3" xfId="1411" xr:uid="{00000000-0005-0000-0000-00005A070000}"/>
    <cellStyle name="Normal 7 4 2 5 3 2" xfId="4581" xr:uid="{13C40225-0DA6-4F7A-93D5-510AEB78A0A7}"/>
    <cellStyle name="Normal 7 4 2 5 3 2 2" xfId="9353" xr:uid="{D44B9B45-80A4-4714-85AB-36621735EB4D}"/>
    <cellStyle name="Normal 7 4 2 5 3 2 2 2" xfId="29325" xr:uid="{F8427771-6A35-471E-9329-001360E5C35D}"/>
    <cellStyle name="Normal 7 4 2 5 3 2 2 3" xfId="19733" xr:uid="{C4D49B9A-EA51-4BE5-ABDB-C3D5687FDDB7}"/>
    <cellStyle name="Normal 7 4 2 5 3 2 3" xfId="12186" xr:uid="{47BDBF7F-27BB-4465-8373-0A622B381B62}"/>
    <cellStyle name="Normal 7 4 2 5 3 2 3 2" xfId="22566" xr:uid="{0D8467CA-3267-43C9-AF76-1E246700C673}"/>
    <cellStyle name="Normal 7 4 2 5 3 2 4" xfId="24908" xr:uid="{BD3E6A35-BE3D-4EE6-BBC1-D8212640D94A}"/>
    <cellStyle name="Normal 7 4 2 5 3 2 5" xfId="16900" xr:uid="{D77F4839-19AF-472A-AADA-876BBE0B3BD5}"/>
    <cellStyle name="Normal 7 4 2 5 3 3" xfId="5429" xr:uid="{6450F5DD-3052-44AE-9F5F-80F6A3EE9490}"/>
    <cellStyle name="Normal 7 4 2 5 3 3 2" xfId="22756" xr:uid="{82362F64-8C4D-459D-B138-3C1EDCE14382}"/>
    <cellStyle name="Normal 7 4 2 5 3 3 3" xfId="26550" xr:uid="{6EAB76BA-E1F9-4B4D-966D-BA0117E7B0BE}"/>
    <cellStyle name="Normal 7 4 2 5 3 3 4" xfId="14726" xr:uid="{7C738719-6FAF-4FC4-A32B-0116FAEB40E9}"/>
    <cellStyle name="Normal 7 4 2 5 3 4" xfId="7179" xr:uid="{F4DCA465-1ACF-45FC-9534-C32CF99F1CA5}"/>
    <cellStyle name="Normal 7 4 2 5 3 4 2" xfId="23472" xr:uid="{E9F5805B-9470-4EDC-ADDD-DCD941EAFF16}"/>
    <cellStyle name="Normal 7 4 2 5 3 4 3" xfId="26454" xr:uid="{7EECDE86-A8D7-4793-908A-F6DAB116F831}"/>
    <cellStyle name="Normal 7 4 2 5 3 4 4" xfId="17559" xr:uid="{758244B3-D92B-47D8-924C-7A5248D7C923}"/>
    <cellStyle name="Normal 7 4 2 5 3 5" xfId="10012" xr:uid="{737537A2-C40F-4B9F-BAA8-A6B342AC2340}"/>
    <cellStyle name="Normal 7 4 2 5 3 5 2" xfId="29455" xr:uid="{9BC5852B-53C0-43F8-A843-A5FF9D6E31BC}"/>
    <cellStyle name="Normal 7 4 2 5 3 5 3" xfId="20392" xr:uid="{6A8F803F-AA2E-4885-A0DA-C945AE5CD861}"/>
    <cellStyle name="Normal 7 4 2 5 3 6" xfId="25189" xr:uid="{5377AF0B-B07A-4D2B-80C5-F1CB2867184F}"/>
    <cellStyle name="Normal 7 4 2 5 3 7" xfId="14027" xr:uid="{E5137585-FB68-46C2-919F-DBB481287483}"/>
    <cellStyle name="Normal 7 4 2 5 4" xfId="1412" xr:uid="{00000000-0005-0000-0000-00005B070000}"/>
    <cellStyle name="Normal 7 4 2 5 4 2" xfId="5430" xr:uid="{9D587BF4-AC59-4918-97E4-B9E003E19072}"/>
    <cellStyle name="Normal 7 4 2 5 4 2 2" xfId="23734" xr:uid="{B019886C-1359-412E-8D96-C792177B3565}"/>
    <cellStyle name="Normal 7 4 2 5 4 2 3" xfId="26744" xr:uid="{0CE44BB1-8AB8-4275-AE33-7E35FAB49585}"/>
    <cellStyle name="Normal 7 4 2 5 4 2 4" xfId="14727" xr:uid="{45111C35-E0D5-4B5A-BBAE-16A4BE097BFF}"/>
    <cellStyle name="Normal 7 4 2 5 4 3" xfId="7180" xr:uid="{1A27C967-9251-40DF-ACB2-443B5CAB8019}"/>
    <cellStyle name="Normal 7 4 2 5 4 3 2" xfId="26087" xr:uid="{25621472-5CE3-4A0C-9494-30A0E3A54AFA}"/>
    <cellStyle name="Normal 7 4 2 5 4 3 3" xfId="17560" xr:uid="{B0C8B698-FB26-484E-873B-62D78C810D27}"/>
    <cellStyle name="Normal 7 4 2 5 4 4" xfId="10013" xr:uid="{18B4609A-23DC-4F90-B039-9F6A4303ABA1}"/>
    <cellStyle name="Normal 7 4 2 5 4 4 2" xfId="20393" xr:uid="{20A456CB-E6B6-4F6C-A6B2-C6D2B971D143}"/>
    <cellStyle name="Normal 7 4 2 5 4 5" xfId="24173" xr:uid="{FF9718A2-9A1D-406D-BDBD-1FC6CBCA4784}"/>
    <cellStyle name="Normal 7 4 2 5 4 6" xfId="13487" xr:uid="{73718355-8767-4822-BFEC-ED8909E4E64E}"/>
    <cellStyle name="Normal 7 4 2 5 5" xfId="2518" xr:uid="{00000000-0005-0000-0000-000059080000}"/>
    <cellStyle name="Normal 7 4 2 5 5 2" xfId="5796" xr:uid="{D91E1A03-91FC-4180-8558-21FDFA7B1A85}"/>
    <cellStyle name="Normal 7 4 2 5 5 2 2" xfId="26101" xr:uid="{899F7A24-B9A1-4C50-AEEA-9D474FA4A6E9}"/>
    <cellStyle name="Normal 7 4 2 5 5 2 3" xfId="15190" xr:uid="{8D1B3C93-EBFA-4819-958C-2F0CACFE1EFD}"/>
    <cellStyle name="Normal 7 4 2 5 5 3" xfId="7643" xr:uid="{81309B9C-59D9-4CC5-AD67-F40A50081CEB}"/>
    <cellStyle name="Normal 7 4 2 5 5 3 2" xfId="18023" xr:uid="{6D0B638F-51FC-4BB7-8833-AF7913B19F01}"/>
    <cellStyle name="Normal 7 4 2 5 5 4" xfId="10476" xr:uid="{EFD4DDC0-ADF2-449A-AC6E-069161845BFB}"/>
    <cellStyle name="Normal 7 4 2 5 5 4 2" xfId="20856" xr:uid="{F324FADB-B8D1-4342-A415-E1AB18C1AAA2}"/>
    <cellStyle name="Normal 7 4 2 5 5 5" xfId="24030" xr:uid="{7544ACC1-4452-4E36-8156-B8EB3A130A24}"/>
    <cellStyle name="Normal 7 4 2 5 5 6" xfId="12906" xr:uid="{5AE87465-D9FC-4676-8514-A35A9F559BF3}"/>
    <cellStyle name="Normal 7 4 2 5 6" xfId="2397" xr:uid="{00000000-0005-0000-0000-000053080000}"/>
    <cellStyle name="Normal 7 4 2 5 6 2" xfId="7524" xr:uid="{C44AA49F-EA30-4C1D-A7AA-368AC4FD12B0}"/>
    <cellStyle name="Normal 7 4 2 5 6 2 2" xfId="26848" xr:uid="{02C9C303-5722-4CA6-87FC-A9A5EBC995CE}"/>
    <cellStyle name="Normal 7 4 2 5 6 2 3" xfId="17904" xr:uid="{BB5EF9F8-B020-44DA-B448-A5890D3EE6E7}"/>
    <cellStyle name="Normal 7 4 2 5 6 3" xfId="10357" xr:uid="{A10D214D-A674-40AB-A355-E21B492E83BF}"/>
    <cellStyle name="Normal 7 4 2 5 6 3 2" xfId="20737" xr:uid="{5334C005-9896-43BF-8600-46AA296A307E}"/>
    <cellStyle name="Normal 7 4 2 5 6 4" xfId="23579" xr:uid="{24E987B6-8535-4A6B-8AC4-EF7BF8D0DAFA}"/>
    <cellStyle name="Normal 7 4 2 5 6 5" xfId="15071" xr:uid="{F3169F16-BF1F-4788-9CAD-AC7C449E61D1}"/>
    <cellStyle name="Normal 7 4 2 5 7" xfId="4065" xr:uid="{CD24C5D8-64C7-4E38-AE6A-E07FD8DAA435}"/>
    <cellStyle name="Normal 7 4 2 5 7 2" xfId="8845" xr:uid="{C6CE6DB9-81FB-438A-BE86-E541574BECAE}"/>
    <cellStyle name="Normal 7 4 2 5 7 2 2" xfId="19225" xr:uid="{1C3F134B-79D1-4839-97F2-130859F8B169}"/>
    <cellStyle name="Normal 7 4 2 5 7 3" xfId="11678" xr:uid="{57EDC30A-257C-419F-B6B7-784485107058}"/>
    <cellStyle name="Normal 7 4 2 5 7 3 2" xfId="22058" xr:uid="{A0F18111-F1BD-406C-99C7-3E89D5CADB8E}"/>
    <cellStyle name="Normal 7 4 2 5 7 4" xfId="28079" xr:uid="{C85E6CB5-C3DC-4F9A-ACB4-F3E56903F176}"/>
    <cellStyle name="Normal 7 4 2 5 7 5" xfId="16392" xr:uid="{72DD76BE-E92C-41A1-92BB-CBDEE0DF260F}"/>
    <cellStyle name="Normal 7 4 2 5 8" xfId="5426" xr:uid="{BB73E277-5C4F-4CAB-9689-E95916508D19}"/>
    <cellStyle name="Normal 7 4 2 5 8 2" xfId="14723" xr:uid="{4D7B405F-719B-4273-86A8-7ADE3E7CDFF0}"/>
    <cellStyle name="Normal 7 4 2 5 9" xfId="7176" xr:uid="{E2FC0238-D568-49BD-8CAD-C4343ECF0472}"/>
    <cellStyle name="Normal 7 4 2 5 9 2" xfId="17556" xr:uid="{1DD1EA12-FE9F-4321-98B3-29F2E25FFBB5}"/>
    <cellStyle name="Normal 7 4 2 6" xfId="1413" xr:uid="{00000000-0005-0000-0000-00005C070000}"/>
    <cellStyle name="Normal 7 4 2 6 10" xfId="10014" xr:uid="{B005047F-553F-4924-9AED-EE4FF4F402CC}"/>
    <cellStyle name="Normal 7 4 2 6 10 2" xfId="20394" xr:uid="{AEEC708B-5BE3-4339-9329-464B6727CE2D}"/>
    <cellStyle name="Normal 7 4 2 6 11" xfId="23969" xr:uid="{B1BFA53B-4411-4F77-90BC-F1ACAFC20672}"/>
    <cellStyle name="Normal 7 4 2 6 12" xfId="12632" xr:uid="{356EBB20-4CFC-4623-8999-6556D895B666}"/>
    <cellStyle name="Normal 7 4 2 6 2" xfId="1414" xr:uid="{00000000-0005-0000-0000-00005D070000}"/>
    <cellStyle name="Normal 7 4 2 6 2 2" xfId="1415" xr:uid="{00000000-0005-0000-0000-00005E070000}"/>
    <cellStyle name="Normal 7 4 2 6 2 2 2" xfId="5433" xr:uid="{ACC49959-56F5-457B-8777-6A4362BBF026}"/>
    <cellStyle name="Normal 7 4 2 6 2 2 2 2" xfId="25083" xr:uid="{3B9B08C4-D6CA-4A0C-B355-9341D725EBDD}"/>
    <cellStyle name="Normal 7 4 2 6 2 2 2 3" xfId="28229" xr:uid="{20C2A7A5-F58B-4B9B-B161-904618D63BBB}"/>
    <cellStyle name="Normal 7 4 2 6 2 2 2 4" xfId="14730" xr:uid="{C0232D7C-B838-4704-8517-D1D2136571EB}"/>
    <cellStyle name="Normal 7 4 2 6 2 2 3" xfId="7183" xr:uid="{BE33CC03-26D6-4F9E-96FB-EF0745C5CFBC}"/>
    <cellStyle name="Normal 7 4 2 6 2 2 3 2" xfId="27662" xr:uid="{8A55FD98-BA27-42A1-B444-FCB1DEC93CE1}"/>
    <cellStyle name="Normal 7 4 2 6 2 2 3 3" xfId="28706" xr:uid="{F3335788-22CA-49A2-A198-B67340352892}"/>
    <cellStyle name="Normal 7 4 2 6 2 2 3 4" xfId="17563" xr:uid="{5D2F1BA3-BFA8-4272-8075-7B079CD1E603}"/>
    <cellStyle name="Normal 7 4 2 6 2 2 4" xfId="10016" xr:uid="{62D4065E-236E-4227-B202-B705D98E07CB}"/>
    <cellStyle name="Normal 7 4 2 6 2 2 4 2" xfId="29456" xr:uid="{953B8973-E9D4-4A28-9448-9283324B166F}"/>
    <cellStyle name="Normal 7 4 2 6 2 2 4 3" xfId="20396" xr:uid="{A4154077-145C-4608-B623-9B291738B4B5}"/>
    <cellStyle name="Normal 7 4 2 6 2 2 5" xfId="24111" xr:uid="{1E6376B6-685C-41F6-AA1A-0E1371E4F7E4}"/>
    <cellStyle name="Normal 7 4 2 6 2 2 6" xfId="14028" xr:uid="{F2E8C2ED-6652-4E5E-B034-69DEC9945787}"/>
    <cellStyle name="Normal 7 4 2 6 2 2 7" xfId="30426" xr:uid="{777D44E9-4251-4B65-8462-357ADB11B1CF}"/>
    <cellStyle name="Normal 7 4 2 6 2 3" xfId="2827" xr:uid="{00000000-0005-0000-0000-00005D080000}"/>
    <cellStyle name="Normal 7 4 2 6 2 3 2" xfId="6043" xr:uid="{CD12F26D-7E38-4B72-BD0F-648FE20591B2}"/>
    <cellStyle name="Normal 7 4 2 6 2 3 2 2" xfId="26925" xr:uid="{7A04FC21-7B5E-4CD7-B124-1DF756BCC50B}"/>
    <cellStyle name="Normal 7 4 2 6 2 3 2 3" xfId="15497" xr:uid="{92AEBB35-1F1E-45DB-A179-204373507A49}"/>
    <cellStyle name="Normal 7 4 2 6 2 3 3" xfId="7950" xr:uid="{544102D1-B4FD-4580-AB52-37F5F53691B1}"/>
    <cellStyle name="Normal 7 4 2 6 2 3 3 2" xfId="18330" xr:uid="{D5BE6525-FBCC-4B18-A71C-5E613C285E72}"/>
    <cellStyle name="Normal 7 4 2 6 2 3 4" xfId="10783" xr:uid="{4F84140B-4949-4A65-8CA7-13438E35AAFE}"/>
    <cellStyle name="Normal 7 4 2 6 2 3 4 2" xfId="21163" xr:uid="{EADBB21F-4358-4A40-9D66-D97F8AD657E1}"/>
    <cellStyle name="Normal 7 4 2 6 2 3 5" xfId="24550" xr:uid="{236C8CB4-8771-4D9A-A151-835DD1644386}"/>
    <cellStyle name="Normal 7 4 2 6 2 3 6" xfId="13301" xr:uid="{FFBBAFCE-4E25-452F-A3A4-2BFC8F0A33A5}"/>
    <cellStyle name="Normal 7 4 2 6 2 4" xfId="4218" xr:uid="{CB5E1B9E-8298-4AB5-8BA2-CDA1208127F1}"/>
    <cellStyle name="Normal 7 4 2 6 2 4 2" xfId="8990" xr:uid="{8A08711D-C16C-4D26-A112-C5B19FD900A6}"/>
    <cellStyle name="Normal 7 4 2 6 2 4 2 2" xfId="29069" xr:uid="{7DBA42BE-1030-4A1A-9B27-A843FA100053}"/>
    <cellStyle name="Normal 7 4 2 6 2 4 2 3" xfId="19370" xr:uid="{185869D1-AB3E-426B-B499-220AD464EF35}"/>
    <cellStyle name="Normal 7 4 2 6 2 4 3" xfId="11823" xr:uid="{67F4D7A1-B4EE-4730-8EAD-10F1F3EF120C}"/>
    <cellStyle name="Normal 7 4 2 6 2 4 3 2" xfId="22203" xr:uid="{23FF878B-135C-476A-A974-E6D81A426931}"/>
    <cellStyle name="Normal 7 4 2 6 2 4 4" xfId="24156" xr:uid="{3F4AFEAA-481D-442A-A5F1-93DED3FB4675}"/>
    <cellStyle name="Normal 7 4 2 6 2 4 5" xfId="16537" xr:uid="{9DDB4BA9-5EFA-4772-8776-20EE45B267C5}"/>
    <cellStyle name="Normal 7 4 2 6 2 5" xfId="5432" xr:uid="{B53CA646-856C-40E3-B9B1-1B1C39C90F5B}"/>
    <cellStyle name="Normal 7 4 2 6 2 5 2" xfId="26381" xr:uid="{985CE4B6-9B97-404E-8FC0-9CA482811201}"/>
    <cellStyle name="Normal 7 4 2 6 2 5 3" xfId="14729" xr:uid="{0DB742FD-2D59-49F6-8D24-05C7BE73D3ED}"/>
    <cellStyle name="Normal 7 4 2 6 2 5 4" xfId="30550" xr:uid="{F650D32C-51A2-4363-AEAB-474F7CD34813}"/>
    <cellStyle name="Normal 7 4 2 6 2 6" xfId="7182" xr:uid="{7F0CD3EC-A7ED-415E-BB71-E350FC058EFE}"/>
    <cellStyle name="Normal 7 4 2 6 2 6 2" xfId="17562" xr:uid="{BF747459-136E-42E9-B078-152299A8E6D6}"/>
    <cellStyle name="Normal 7 4 2 6 2 6 3" xfId="30287" xr:uid="{E4750DE6-C652-4F13-9010-FCAFC925DB01}"/>
    <cellStyle name="Normal 7 4 2 6 2 6 4" xfId="30697" xr:uid="{DC673D89-2AAA-4F71-984E-912FAD11987D}"/>
    <cellStyle name="Normal 7 4 2 6 2 7" xfId="10015" xr:uid="{AE1DDB34-B94D-4F70-8B50-BBDACA9B0F46}"/>
    <cellStyle name="Normal 7 4 2 6 2 7 2" xfId="20395" xr:uid="{32D57998-B51C-4D26-AE68-6ED260EE16CF}"/>
    <cellStyle name="Normal 7 4 2 6 2 8" xfId="24493" xr:uid="{6CC6677E-E6E1-45EE-BA0C-C14C13A7610E}"/>
    <cellStyle name="Normal 7 4 2 6 2 9" xfId="12790" xr:uid="{173BBFF3-D0F4-4160-AFF4-3F0497245FA6}"/>
    <cellStyle name="Normal 7 4 2 6 3" xfId="1416" xr:uid="{00000000-0005-0000-0000-00005F070000}"/>
    <cellStyle name="Normal 7 4 2 6 3 2" xfId="4582" xr:uid="{1BF54EF6-A596-4E83-B706-8E4A11FB6522}"/>
    <cellStyle name="Normal 7 4 2 6 3 2 2" xfId="9354" xr:uid="{C70380DC-B373-40D4-AC39-627D89764B5A}"/>
    <cellStyle name="Normal 7 4 2 6 3 2 2 2" xfId="29326" xr:uid="{9C1A41FE-2635-4791-A25C-E3F106F38BD2}"/>
    <cellStyle name="Normal 7 4 2 6 3 2 2 3" xfId="19734" xr:uid="{C10CF57A-7449-4792-B663-B665D61B8051}"/>
    <cellStyle name="Normal 7 4 2 6 3 2 3" xfId="12187" xr:uid="{9987C1F0-235F-4763-85FC-D06D2B2C4ECF}"/>
    <cellStyle name="Normal 7 4 2 6 3 2 3 2" xfId="22567" xr:uid="{FB548799-0E5E-406E-9E65-6539CA2FCB7D}"/>
    <cellStyle name="Normal 7 4 2 6 3 2 4" xfId="23525" xr:uid="{43912BF1-D01E-4BCF-81CA-9DEFFB11AD82}"/>
    <cellStyle name="Normal 7 4 2 6 3 2 5" xfId="16901" xr:uid="{BA4ECC0D-83ED-407F-BCAA-064BFB4F01C3}"/>
    <cellStyle name="Normal 7 4 2 6 3 3" xfId="5434" xr:uid="{586EF2D9-24F5-4293-9A1C-40A22B06FF20}"/>
    <cellStyle name="Normal 7 4 2 6 3 3 2" xfId="26867" xr:uid="{9703619E-5EBC-4ECB-9542-BD3FC3B49889}"/>
    <cellStyle name="Normal 7 4 2 6 3 3 3" xfId="27060" xr:uid="{898A3EAE-B37A-42A8-A9B5-A4B9E4D060D4}"/>
    <cellStyle name="Normal 7 4 2 6 3 3 4" xfId="14731" xr:uid="{0BBC9CEC-1798-4D37-915A-9BA30FF844EE}"/>
    <cellStyle name="Normal 7 4 2 6 3 4" xfId="7184" xr:uid="{81C49B6A-535B-4744-9D34-E03E2DC1FC01}"/>
    <cellStyle name="Normal 7 4 2 6 3 4 2" xfId="26071" xr:uid="{54965685-2E95-4A9A-8DAC-26B9ACC33AAE}"/>
    <cellStyle name="Normal 7 4 2 6 3 4 3" xfId="26078" xr:uid="{4B8C6A35-BB5E-4E04-8659-982CCD8A6CCD}"/>
    <cellStyle name="Normal 7 4 2 6 3 4 4" xfId="17564" xr:uid="{B27B0C0C-397F-4F16-AD78-649203BA9DBB}"/>
    <cellStyle name="Normal 7 4 2 6 3 5" xfId="10017" xr:uid="{DB3DA74A-F661-4D5D-9965-C692008A5E5F}"/>
    <cellStyle name="Normal 7 4 2 6 3 5 2" xfId="29457" xr:uid="{D3B1CD2D-4B81-49DE-99E0-FDDCC3584FA2}"/>
    <cellStyle name="Normal 7 4 2 6 3 5 3" xfId="20397" xr:uid="{06C36481-C097-46B8-BFA2-9452BC204D9B}"/>
    <cellStyle name="Normal 7 4 2 6 3 6" xfId="23181" xr:uid="{1DB60C66-997E-4EBF-BC69-CA57773C7EEB}"/>
    <cellStyle name="Normal 7 4 2 6 3 7" xfId="14029" xr:uid="{38A60E8F-1A15-4F0E-B1BC-C7F451D6E98E}"/>
    <cellStyle name="Normal 7 4 2 6 4" xfId="1417" xr:uid="{00000000-0005-0000-0000-000060070000}"/>
    <cellStyle name="Normal 7 4 2 6 4 2" xfId="5435" xr:uid="{1098EACB-F920-4291-9391-EFC70FC55943}"/>
    <cellStyle name="Normal 7 4 2 6 4 2 2" xfId="25674" xr:uid="{A31B6F93-403A-46B7-838C-23C6F6A7892F}"/>
    <cellStyle name="Normal 7 4 2 6 4 2 3" xfId="27223" xr:uid="{AF167C8A-3895-4A44-9B5F-E4A0FD058299}"/>
    <cellStyle name="Normal 7 4 2 6 4 2 4" xfId="14732" xr:uid="{F0BBF8B3-23E5-4EA8-81AF-B1566C2E3D6F}"/>
    <cellStyle name="Normal 7 4 2 6 4 3" xfId="7185" xr:uid="{F100B69C-70E3-4089-B3A4-FA365EB5D525}"/>
    <cellStyle name="Normal 7 4 2 6 4 3 2" xfId="27074" xr:uid="{847359D5-C1DB-48F5-8BE8-52AA144B6839}"/>
    <cellStyle name="Normal 7 4 2 6 4 3 3" xfId="17565" xr:uid="{E755EA97-62BB-408D-812C-AD918708BE0D}"/>
    <cellStyle name="Normal 7 4 2 6 4 4" xfId="10018" xr:uid="{62B92776-CB32-4631-AAD3-0911FDE28057}"/>
    <cellStyle name="Normal 7 4 2 6 4 4 2" xfId="20398" xr:uid="{7E4BA555-3E90-425F-AD14-F5855C84BBEB}"/>
    <cellStyle name="Normal 7 4 2 6 4 5" xfId="24506" xr:uid="{D1F60048-1F01-454C-8F29-5C365FD9AE94}"/>
    <cellStyle name="Normal 7 4 2 6 4 6" xfId="13488" xr:uid="{A33226EE-2783-4EA0-AEF9-1D2369B95F25}"/>
    <cellStyle name="Normal 7 4 2 6 5" xfId="2581" xr:uid="{00000000-0005-0000-0000-000060080000}"/>
    <cellStyle name="Normal 7 4 2 6 5 2" xfId="5846" xr:uid="{17D75B77-B2E5-482C-AF94-4F4BB57B6AA4}"/>
    <cellStyle name="Normal 7 4 2 6 5 2 2" xfId="28578" xr:uid="{47400427-7ED5-4ED7-8D01-2982F6F56245}"/>
    <cellStyle name="Normal 7 4 2 6 5 2 3" xfId="15253" xr:uid="{0692E47A-8ABA-490E-B809-91E5AD376575}"/>
    <cellStyle name="Normal 7 4 2 6 5 3" xfId="7706" xr:uid="{8F573EFC-8B2A-4675-9DAA-06B413A2D871}"/>
    <cellStyle name="Normal 7 4 2 6 5 3 2" xfId="18086" xr:uid="{A72F17EF-D17E-457D-A99B-9EDDAE54C255}"/>
    <cellStyle name="Normal 7 4 2 6 5 4" xfId="10539" xr:uid="{FE721382-46EC-47CE-9E00-1C7D2AD5CB5C}"/>
    <cellStyle name="Normal 7 4 2 6 5 4 2" xfId="20919" xr:uid="{BA75287A-DD7E-48BF-B60B-1477C427A975}"/>
    <cellStyle name="Normal 7 4 2 6 5 5" xfId="25294" xr:uid="{2E4EDD41-397C-4261-A4FE-33FF3F5E5E5E}"/>
    <cellStyle name="Normal 7 4 2 6 5 6" xfId="12969" xr:uid="{D2E29B5C-A764-4CBE-A5A5-82E3569611B1}"/>
    <cellStyle name="Normal 7 4 2 6 6" xfId="2398" xr:uid="{00000000-0005-0000-0000-00005A080000}"/>
    <cellStyle name="Normal 7 4 2 6 6 2" xfId="7525" xr:uid="{21F174A7-4987-4EBF-A1EF-44A664994639}"/>
    <cellStyle name="Normal 7 4 2 6 6 2 2" xfId="26786" xr:uid="{FCC0CB2D-E4EF-45DB-B929-DFB54B1569B1}"/>
    <cellStyle name="Normal 7 4 2 6 6 2 3" xfId="17905" xr:uid="{6AAD9FE9-06E3-4AD8-95AD-40296A6C342B}"/>
    <cellStyle name="Normal 7 4 2 6 6 3" xfId="10358" xr:uid="{96808953-3DDB-4A9D-9F4C-E5CBDC75F4BE}"/>
    <cellStyle name="Normal 7 4 2 6 6 3 2" xfId="20738" xr:uid="{A6BE3F22-05B0-4709-A6B2-6F8C6FB45ECB}"/>
    <cellStyle name="Normal 7 4 2 6 6 4" xfId="23100" xr:uid="{50A340EA-2354-4D27-A57E-7B444BE316CA}"/>
    <cellStyle name="Normal 7 4 2 6 6 5" xfId="15072" xr:uid="{02E62824-B523-4CBE-9AC5-A726FE865AD8}"/>
    <cellStyle name="Normal 7 4 2 6 7" xfId="4066" xr:uid="{787504FD-E615-4DF1-9D77-BBECC0DE93F8}"/>
    <cellStyle name="Normal 7 4 2 6 7 2" xfId="8846" xr:uid="{FCF05B19-81FB-4A54-BEB7-F0A61DB12570}"/>
    <cellStyle name="Normal 7 4 2 6 7 2 2" xfId="19226" xr:uid="{32B3D620-F75A-4CAD-B1E5-597DD8136D45}"/>
    <cellStyle name="Normal 7 4 2 6 7 3" xfId="11679" xr:uid="{33C1B2BD-D14A-44C0-9307-05BFF67FA58E}"/>
    <cellStyle name="Normal 7 4 2 6 7 3 2" xfId="22059" xr:uid="{6B631C3B-0DB2-48F2-B87D-D2F45125569C}"/>
    <cellStyle name="Normal 7 4 2 6 7 4" xfId="28107" xr:uid="{F5261F1D-F1B9-45E8-8F81-7C53A7BE747C}"/>
    <cellStyle name="Normal 7 4 2 6 7 5" xfId="16393" xr:uid="{D8E47FB0-8BB3-4344-AB82-69A4BA1C62CB}"/>
    <cellStyle name="Normal 7 4 2 6 8" xfId="5431" xr:uid="{1F40B752-6737-46EE-A6DF-1B75DA96DBD1}"/>
    <cellStyle name="Normal 7 4 2 6 8 2" xfId="14728" xr:uid="{391F89FC-6944-4964-B2E1-FDFC3C4ED719}"/>
    <cellStyle name="Normal 7 4 2 6 9" xfId="7181" xr:uid="{450B9847-020C-49F1-B642-B0DEC3E29F00}"/>
    <cellStyle name="Normal 7 4 2 6 9 2" xfId="17561" xr:uid="{ACCB61D8-4537-48D9-9271-7E8864C9E44C}"/>
    <cellStyle name="Normal 7 4 2 7" xfId="1418" xr:uid="{00000000-0005-0000-0000-000061070000}"/>
    <cellStyle name="Normal 7 4 2 7 10" xfId="12633" xr:uid="{94DB8E25-984C-4D8D-A56D-979E81D1A1DE}"/>
    <cellStyle name="Normal 7 4 2 7 2" xfId="1419" xr:uid="{00000000-0005-0000-0000-000062070000}"/>
    <cellStyle name="Normal 7 4 2 7 2 2" xfId="2990" xr:uid="{00000000-0005-0000-0000-000063080000}"/>
    <cellStyle name="Normal 7 4 2 7 2 2 2" xfId="6140" xr:uid="{1266CA9C-5035-448E-8939-3C069FE41792}"/>
    <cellStyle name="Normal 7 4 2 7 2 2 2 2" xfId="27832" xr:uid="{6BA6E3E3-0B5D-4725-AD7D-45FA59660042}"/>
    <cellStyle name="Normal 7 4 2 7 2 2 2 3" xfId="26313" xr:uid="{14734C87-6DE6-4D0B-84FB-F5E620DB5FDB}"/>
    <cellStyle name="Normal 7 4 2 7 2 2 2 4" xfId="15618" xr:uid="{6FB34FEA-6554-4BE3-8D10-9AD6CE81D6C6}"/>
    <cellStyle name="Normal 7 4 2 7 2 2 3" xfId="8071" xr:uid="{CE9E1B3D-C1FD-4CBA-A6BB-D92144A0865F}"/>
    <cellStyle name="Normal 7 4 2 7 2 2 3 2" xfId="27723" xr:uid="{0032E810-F024-4C77-AE8D-9373B8055228}"/>
    <cellStyle name="Normal 7 4 2 7 2 2 3 3" xfId="18451" xr:uid="{B3FB1B6C-478C-4CD5-A026-5797CBD64E79}"/>
    <cellStyle name="Normal 7 4 2 7 2 2 4" xfId="10904" xr:uid="{4415CB7F-40E9-45E1-85D9-6DABC2764ED3}"/>
    <cellStyle name="Normal 7 4 2 7 2 2 4 2" xfId="21284" xr:uid="{3E1FD531-B551-4991-9904-10393FE33A3C}"/>
    <cellStyle name="Normal 7 4 2 7 2 2 5" xfId="23829" xr:uid="{E0E623C1-45BB-4EFA-87D1-5D1FD674B409}"/>
    <cellStyle name="Normal 7 4 2 7 2 2 6" xfId="13489" xr:uid="{6258D515-6824-426D-9C18-B099CE2EE0A9}"/>
    <cellStyle name="Normal 7 4 2 7 2 3" xfId="5437" xr:uid="{73706557-7274-4A62-9D2E-9D0F68BD4BC2}"/>
    <cellStyle name="Normal 7 4 2 7 2 3 2" xfId="23501" xr:uid="{15F8D672-281A-4D72-AD12-49CEE82E7533}"/>
    <cellStyle name="Normal 7 4 2 7 2 3 3" xfId="27197" xr:uid="{D064E7A5-6181-4134-830F-81AF10BBEB20}"/>
    <cellStyle name="Normal 7 4 2 7 2 3 4" xfId="14734" xr:uid="{DB7C5814-2379-4983-8608-9F3F172D6E7F}"/>
    <cellStyle name="Normal 7 4 2 7 2 4" xfId="7187" xr:uid="{3836BD7D-4B8E-4F9B-8B5D-7B489FC8B2BF}"/>
    <cellStyle name="Normal 7 4 2 7 2 4 2" xfId="26635" xr:uid="{18E5D6C6-EF43-4D85-8CE8-AE7EE66E87D1}"/>
    <cellStyle name="Normal 7 4 2 7 2 4 3" xfId="27244" xr:uid="{6B17FA2A-E0D2-44FB-8207-51940BE33BD3}"/>
    <cellStyle name="Normal 7 4 2 7 2 4 4" xfId="17567" xr:uid="{DFEF93DD-08C3-4443-844E-F6CA5FDD1CF2}"/>
    <cellStyle name="Normal 7 4 2 7 2 5" xfId="10020" xr:uid="{0889C94F-1ABA-4FC6-9E28-0795963A3FA9}"/>
    <cellStyle name="Normal 7 4 2 7 2 5 2" xfId="29458" xr:uid="{70201FCB-86E4-489F-8B22-D4D9F690346B}"/>
    <cellStyle name="Normal 7 4 2 7 2 5 3" xfId="20400" xr:uid="{89FBEA2D-C08B-4774-AF5A-524674D3512A}"/>
    <cellStyle name="Normal 7 4 2 7 2 5 4" xfId="30735" xr:uid="{65E6BCF9-0837-4285-ABC0-00B11BBCF0A1}"/>
    <cellStyle name="Normal 7 4 2 7 2 6" xfId="23850" xr:uid="{DF26400E-02C4-4589-8613-8A8F024D1767}"/>
    <cellStyle name="Normal 7 4 2 7 2 7" xfId="12791" xr:uid="{BFB7021A-E11C-42FB-8F02-FE5A49CDF78E}"/>
    <cellStyle name="Normal 7 4 2 7 2 8" xfId="30357" xr:uid="{9E4F3E0C-B45B-4A16-9FD4-60288852B271}"/>
    <cellStyle name="Normal 7 4 2 7 3" xfId="1420" xr:uid="{00000000-0005-0000-0000-000063070000}"/>
    <cellStyle name="Normal 7 4 2 7 3 2" xfId="5438" xr:uid="{82B5E694-2FC5-4E24-8479-0FC41482D483}"/>
    <cellStyle name="Normal 7 4 2 7 3 2 2" xfId="26972" xr:uid="{2BF54BE0-ED09-4508-B9C3-888EF3FACA7E}"/>
    <cellStyle name="Normal 7 4 2 7 3 2 3" xfId="28158" xr:uid="{41CB8755-7976-4FA8-92E0-440C84D9FADA}"/>
    <cellStyle name="Normal 7 4 2 7 3 2 4" xfId="14735" xr:uid="{8D89238C-0030-4AB4-9F24-B117B919F0F0}"/>
    <cellStyle name="Normal 7 4 2 7 3 3" xfId="7188" xr:uid="{0008B33A-5D63-4F47-B563-238954287A5F}"/>
    <cellStyle name="Normal 7 4 2 7 3 3 2" xfId="28238" xr:uid="{260C5BFE-EE4A-4508-BB9D-B54A34FC1DD1}"/>
    <cellStyle name="Normal 7 4 2 7 3 3 3" xfId="26044" xr:uid="{7BC6694E-8F7E-426B-982B-C6FE59EE42A5}"/>
    <cellStyle name="Normal 7 4 2 7 3 3 4" xfId="17568" xr:uid="{27E6BAC9-0590-4F18-8EA6-355AEED43B58}"/>
    <cellStyle name="Normal 7 4 2 7 3 4" xfId="10021" xr:uid="{D6282C0B-23EE-4436-B69D-F5E8D9CEA92A}"/>
    <cellStyle name="Normal 7 4 2 7 3 4 2" xfId="29459" xr:uid="{794BD335-970E-4ABE-8731-2B8B81EFDD62}"/>
    <cellStyle name="Normal 7 4 2 7 3 4 3" xfId="20401" xr:uid="{5459E404-4B22-4EAD-B82F-42EE3543FD20}"/>
    <cellStyle name="Normal 7 4 2 7 3 5" xfId="23110" xr:uid="{BCC33169-2365-4075-A213-E531A6313F02}"/>
    <cellStyle name="Normal 7 4 2 7 3 6" xfId="13302" xr:uid="{44BF5C5C-C4C7-4BF3-978B-7EB2E005626C}"/>
    <cellStyle name="Normal 7 4 2 7 4" xfId="2399" xr:uid="{00000000-0005-0000-0000-000061080000}"/>
    <cellStyle name="Normal 7 4 2 7 4 2" xfId="7526" xr:uid="{86492D43-90EB-48CF-8201-D4300A5D77A1}"/>
    <cellStyle name="Normal 7 4 2 7 4 2 2" xfId="25868" xr:uid="{FFB7116F-81E7-4660-99A9-B36EAAF51FAD}"/>
    <cellStyle name="Normal 7 4 2 7 4 2 3" xfId="17906" xr:uid="{9EBB2063-CA9F-41AA-ACB2-36A461FE1529}"/>
    <cellStyle name="Normal 7 4 2 7 4 3" xfId="10359" xr:uid="{54018CCB-AB0E-4704-9798-FE8BC0349EED}"/>
    <cellStyle name="Normal 7 4 2 7 4 3 2" xfId="20739" xr:uid="{9AD254BA-D173-4481-812D-E6A24542D02F}"/>
    <cellStyle name="Normal 7 4 2 7 4 4" xfId="24788" xr:uid="{9018913B-342D-4E75-A25C-8C37B551CB05}"/>
    <cellStyle name="Normal 7 4 2 7 4 5" xfId="15073" xr:uid="{7DD61C3C-68EC-4DA4-8FD3-0480FC45329D}"/>
    <cellStyle name="Normal 7 4 2 7 5" xfId="4067" xr:uid="{77472886-F551-449A-8098-A7FB30B7B646}"/>
    <cellStyle name="Normal 7 4 2 7 5 2" xfId="8847" xr:uid="{F84EA359-FB2C-4639-A40E-838E073F2E29}"/>
    <cellStyle name="Normal 7 4 2 7 5 2 2" xfId="28996" xr:uid="{7BF56CC5-6A5C-4EF6-B5F0-8F2CBE3D79FE}"/>
    <cellStyle name="Normal 7 4 2 7 5 2 3" xfId="19227" xr:uid="{8AD95E74-020B-4D2D-9F96-D8EB383DF9DA}"/>
    <cellStyle name="Normal 7 4 2 7 5 3" xfId="11680" xr:uid="{C12A5A78-6510-436E-A32D-926A5FAD00FB}"/>
    <cellStyle name="Normal 7 4 2 7 5 3 2" xfId="22060" xr:uid="{B6EEC522-B3A4-4B2E-85A7-A04BC0C8DDFB}"/>
    <cellStyle name="Normal 7 4 2 7 5 4" xfId="22812" xr:uid="{37258880-037A-4767-9152-4095A0169B94}"/>
    <cellStyle name="Normal 7 4 2 7 5 5" xfId="16394" xr:uid="{6E299FD7-684B-4802-A6FF-86435AC177AA}"/>
    <cellStyle name="Normal 7 4 2 7 6" xfId="5436" xr:uid="{D3C90363-648C-472E-B1D6-0895137A7634}"/>
    <cellStyle name="Normal 7 4 2 7 6 2" xfId="26328" xr:uid="{B017C560-B810-4746-8C55-B4995878F636}"/>
    <cellStyle name="Normal 7 4 2 7 6 3" xfId="26510" xr:uid="{92F04E2A-EF45-425E-B460-6E5D80E4539C}"/>
    <cellStyle name="Normal 7 4 2 7 6 4" xfId="14733" xr:uid="{BAE21227-5844-4849-AED3-9A0C92C98A8C}"/>
    <cellStyle name="Normal 7 4 2 7 7" xfId="7186" xr:uid="{7CC78FA1-708E-40DD-960B-EAF910F14868}"/>
    <cellStyle name="Normal 7 4 2 7 7 2" xfId="26421" xr:uid="{6A8787EE-F31E-4982-9135-5F1148B2FDBE}"/>
    <cellStyle name="Normal 7 4 2 7 7 3" xfId="17566" xr:uid="{23954045-1D4A-4E58-9EDC-5DC74BA99BA5}"/>
    <cellStyle name="Normal 7 4 2 7 8" xfId="10019" xr:uid="{94B3A68A-3BD4-419B-9AC3-B8BD758CE315}"/>
    <cellStyle name="Normal 7 4 2 7 8 2" xfId="20399" xr:uid="{FB3E73B1-994C-477B-9EC3-AED1D1AD3CD1}"/>
    <cellStyle name="Normal 7 4 2 7 9" xfId="24625" xr:uid="{E09003C2-1B00-4328-BBF9-063EA82CCD48}"/>
    <cellStyle name="Normal 7 4 2 8" xfId="1421" xr:uid="{00000000-0005-0000-0000-000064070000}"/>
    <cellStyle name="Normal 7 4 2 8 10" xfId="12634" xr:uid="{764DDC1B-9402-4F8E-8F51-32FAF920D60E}"/>
    <cellStyle name="Normal 7 4 2 8 2" xfId="1422" xr:uid="{00000000-0005-0000-0000-000065070000}"/>
    <cellStyle name="Normal 7 4 2 8 2 2" xfId="2991" xr:uid="{00000000-0005-0000-0000-000067080000}"/>
    <cellStyle name="Normal 7 4 2 8 2 2 2" xfId="6141" xr:uid="{9041C163-69A9-43CC-9E9A-D833F2C7176D}"/>
    <cellStyle name="Normal 7 4 2 8 2 2 2 2" xfId="26203" xr:uid="{B493E099-C3E2-4544-9AA4-825065CBA4E2}"/>
    <cellStyle name="Normal 7 4 2 8 2 2 2 3" xfId="27475" xr:uid="{3AB40F7B-C570-4D06-ADBC-05D10685A382}"/>
    <cellStyle name="Normal 7 4 2 8 2 2 2 4" xfId="15619" xr:uid="{662CF5B3-522E-4A27-8305-2C33727EF944}"/>
    <cellStyle name="Normal 7 4 2 8 2 2 3" xfId="8072" xr:uid="{A7D51079-161A-4855-A031-386021851227}"/>
    <cellStyle name="Normal 7 4 2 8 2 2 3 2" xfId="28767" xr:uid="{E2D87E69-31E9-42B6-96CD-1C9BA892C7BB}"/>
    <cellStyle name="Normal 7 4 2 8 2 2 3 3" xfId="18452" xr:uid="{A4CED350-C79A-4982-82E0-0E78037D358B}"/>
    <cellStyle name="Normal 7 4 2 8 2 2 4" xfId="10905" xr:uid="{CB272D73-6214-4DBE-B2F7-601C344F4AED}"/>
    <cellStyle name="Normal 7 4 2 8 2 2 4 2" xfId="21285" xr:uid="{A51A0245-F2DF-4AE0-AADB-DA7AF0E58429}"/>
    <cellStyle name="Normal 7 4 2 8 2 2 5" xfId="25247" xr:uid="{3814E4DE-EEA9-49D4-9238-DCCEEA448DD9}"/>
    <cellStyle name="Normal 7 4 2 8 2 2 6" xfId="13490" xr:uid="{CC3172A9-4FD7-4114-8024-2F839FFAC561}"/>
    <cellStyle name="Normal 7 4 2 8 2 3" xfId="5440" xr:uid="{336699C8-1CEE-4FE0-A41F-11B48F3781CB}"/>
    <cellStyle name="Normal 7 4 2 8 2 3 2" xfId="25141" xr:uid="{143F8DC0-D0F0-4F1B-A5F6-49BBA04A9BAA}"/>
    <cellStyle name="Normal 7 4 2 8 2 3 3" xfId="27241" xr:uid="{FCF3E825-A10B-4A4B-9EA1-E9B2699347E6}"/>
    <cellStyle name="Normal 7 4 2 8 2 3 4" xfId="14737" xr:uid="{F4C934E6-EF23-4A45-A8C7-37BB666CB016}"/>
    <cellStyle name="Normal 7 4 2 8 2 4" xfId="7190" xr:uid="{18D41000-B14D-4DB2-B55D-9828FC100708}"/>
    <cellStyle name="Normal 7 4 2 8 2 4 2" xfId="26095" xr:uid="{B5DDF77C-89DA-471A-8272-5E6E03F47423}"/>
    <cellStyle name="Normal 7 4 2 8 2 4 3" xfId="26435" xr:uid="{EADE3D3C-76DB-4633-9772-34B4800C979C}"/>
    <cellStyle name="Normal 7 4 2 8 2 4 4" xfId="17570" xr:uid="{2AEDA77A-D5D4-4E04-B75B-45DDA0F9A858}"/>
    <cellStyle name="Normal 7 4 2 8 2 5" xfId="10023" xr:uid="{0B9161BD-1312-4222-8C65-7C901862FE49}"/>
    <cellStyle name="Normal 7 4 2 8 2 5 2" xfId="29460" xr:uid="{3B11A4C3-9B9B-404A-AAB3-C3FF001AC2C4}"/>
    <cellStyle name="Normal 7 4 2 8 2 5 3" xfId="20403" xr:uid="{22CC1A39-7AB0-474E-9DD9-C58BA7F6E7DB}"/>
    <cellStyle name="Normal 7 4 2 8 2 5 4" xfId="30736" xr:uid="{BFC18032-5B65-47E5-8747-0173698A1C4E}"/>
    <cellStyle name="Normal 7 4 2 8 2 6" xfId="23375" xr:uid="{4798756F-1AD2-44D4-A672-6B80D892F56E}"/>
    <cellStyle name="Normal 7 4 2 8 2 7" xfId="12792" xr:uid="{BF2F52C6-13F2-4F1D-9924-D50FFADB0400}"/>
    <cellStyle name="Normal 7 4 2 8 2 8" xfId="30358" xr:uid="{CE96861C-E5C1-4D5F-A5A5-BE1180AAFAFA}"/>
    <cellStyle name="Normal 7 4 2 8 3" xfId="1423" xr:uid="{00000000-0005-0000-0000-000066070000}"/>
    <cellStyle name="Normal 7 4 2 8 3 2" xfId="5441" xr:uid="{DF7E501D-4D91-426D-AD30-9FD2EF2BFCE7}"/>
    <cellStyle name="Normal 7 4 2 8 3 2 2" xfId="27433" xr:uid="{7D3C8E64-94D2-442D-AA48-12B7CF08B5B7}"/>
    <cellStyle name="Normal 7 4 2 8 3 2 3" xfId="28601" xr:uid="{1FEA78ED-3976-4495-9929-FD5F90723AF7}"/>
    <cellStyle name="Normal 7 4 2 8 3 2 4" xfId="14738" xr:uid="{E3B0F55E-0118-4914-A1F6-148CF20F42D4}"/>
    <cellStyle name="Normal 7 4 2 8 3 3" xfId="7191" xr:uid="{E0B26F10-6A1D-4076-95F6-2A99FD4F5D93}"/>
    <cellStyle name="Normal 7 4 2 8 3 3 2" xfId="27426" xr:uid="{5A5AEE34-4573-48E5-9EB2-1803A67C8182}"/>
    <cellStyle name="Normal 7 4 2 8 3 3 3" xfId="27402" xr:uid="{2556DBBF-00E5-435C-841D-7AE47896058F}"/>
    <cellStyle name="Normal 7 4 2 8 3 3 4" xfId="17571" xr:uid="{050D4FF1-B4FE-48C8-B357-5E446ABB2642}"/>
    <cellStyle name="Normal 7 4 2 8 3 4" xfId="10024" xr:uid="{D2779331-985F-4D2A-B82B-048C9760EA3D}"/>
    <cellStyle name="Normal 7 4 2 8 3 4 2" xfId="29461" xr:uid="{637DFF79-F514-4FB7-8A89-4E4CEE4DC035}"/>
    <cellStyle name="Normal 7 4 2 8 3 4 3" xfId="20404" xr:uid="{1B7A3929-C49F-4C4E-A47E-E6A72371383E}"/>
    <cellStyle name="Normal 7 4 2 8 3 5" xfId="25126" xr:uid="{7A71748C-01E1-42B4-AA1C-8BCDE39C24C6}"/>
    <cellStyle name="Normal 7 4 2 8 3 6" xfId="13303" xr:uid="{D245C534-4BE7-4770-B518-4D1A290DFB03}"/>
    <cellStyle name="Normal 7 4 2 8 4" xfId="2400" xr:uid="{00000000-0005-0000-0000-000065080000}"/>
    <cellStyle name="Normal 7 4 2 8 4 2" xfId="7527" xr:uid="{7A821489-26D7-4677-B041-69A2C39EA31A}"/>
    <cellStyle name="Normal 7 4 2 8 4 2 2" xfId="26247" xr:uid="{3F381CF9-2F0E-45E0-99AC-CBE86D141DBD}"/>
    <cellStyle name="Normal 7 4 2 8 4 2 3" xfId="17907" xr:uid="{2272D246-2772-444E-8657-CD6E53F0122A}"/>
    <cellStyle name="Normal 7 4 2 8 4 3" xfId="10360" xr:uid="{E3E695FB-914F-4538-A5FE-829A11F73630}"/>
    <cellStyle name="Normal 7 4 2 8 4 3 2" xfId="20740" xr:uid="{E48C7E1C-2B52-443E-BF89-E06BBDE3396E}"/>
    <cellStyle name="Normal 7 4 2 8 4 4" xfId="25499" xr:uid="{A4BA8B26-23DB-4570-B019-11C38E654B92}"/>
    <cellStyle name="Normal 7 4 2 8 4 5" xfId="15074" xr:uid="{D4271D88-5D5E-4508-BFC3-E6279DEB43BE}"/>
    <cellStyle name="Normal 7 4 2 8 5" xfId="4068" xr:uid="{DEAF12DA-3FA9-4DCB-8904-0FEFEC41EF1A}"/>
    <cellStyle name="Normal 7 4 2 8 5 2" xfId="8848" xr:uid="{1E336397-8442-444B-B4E3-A2BBFD7CEBFF}"/>
    <cellStyle name="Normal 7 4 2 8 5 2 2" xfId="28997" xr:uid="{75514FFB-B72B-46F8-ACF7-870092C6E62D}"/>
    <cellStyle name="Normal 7 4 2 8 5 2 3" xfId="19228" xr:uid="{4DA0DEEB-F0A6-4D78-B87F-5D39B35D266F}"/>
    <cellStyle name="Normal 7 4 2 8 5 3" xfId="11681" xr:uid="{D55E82D3-75FE-4EF0-A82A-5C356FFF3CB3}"/>
    <cellStyle name="Normal 7 4 2 8 5 3 2" xfId="22061" xr:uid="{C7ED9254-E5EE-4DDC-883D-9503F73F9DA8}"/>
    <cellStyle name="Normal 7 4 2 8 5 4" xfId="24975" xr:uid="{A72BF85D-5E4B-40FC-84A2-4CFFF781B86B}"/>
    <cellStyle name="Normal 7 4 2 8 5 5" xfId="16395" xr:uid="{D3B83BD2-8D64-4965-BCEF-EA03A12C7646}"/>
    <cellStyle name="Normal 7 4 2 8 6" xfId="5439" xr:uid="{7F3F327F-51DB-4F24-9C4B-E5C89DF83EE3}"/>
    <cellStyle name="Normal 7 4 2 8 6 2" xfId="26898" xr:uid="{E8A65548-4070-4D93-BEEB-7CCF5EE40D86}"/>
    <cellStyle name="Normal 7 4 2 8 6 3" xfId="26871" xr:uid="{84838828-46F0-4DEF-BA3F-EAB48AF9A8E2}"/>
    <cellStyle name="Normal 7 4 2 8 6 4" xfId="14736" xr:uid="{69A46E30-CEE4-4EEB-93D4-36FD588DE682}"/>
    <cellStyle name="Normal 7 4 2 8 7" xfId="7189" xr:uid="{022E0D6E-5008-440E-94C0-FCA08E2C0C61}"/>
    <cellStyle name="Normal 7 4 2 8 7 2" xfId="26952" xr:uid="{2FCBC965-BC6D-4F97-8AB6-7B6C07325484}"/>
    <cellStyle name="Normal 7 4 2 8 7 3" xfId="17569" xr:uid="{D552055A-C5C7-4BFF-92A2-74EE2AEF58D8}"/>
    <cellStyle name="Normal 7 4 2 8 8" xfId="10022" xr:uid="{9EB0C26B-B5D2-4F74-A99F-8154FF2AFA9E}"/>
    <cellStyle name="Normal 7 4 2 8 8 2" xfId="20402" xr:uid="{FAE3E505-1AB7-4AFC-99DE-4F30A123E761}"/>
    <cellStyle name="Normal 7 4 2 8 9" xfId="24218" xr:uid="{90CC9198-C7BD-4DC7-A6D9-37C25CDAEFF2}"/>
    <cellStyle name="Normal 7 4 2 9" xfId="1424" xr:uid="{00000000-0005-0000-0000-000067070000}"/>
    <cellStyle name="Normal 7 4 2 9 10" xfId="12627" xr:uid="{DFDE78C4-8E58-41BD-A9CC-0E3FE4FF757E}"/>
    <cellStyle name="Normal 7 4 2 9 2" xfId="3444" xr:uid="{00000000-0005-0000-0000-00006A080000}"/>
    <cellStyle name="Normal 7 4 2 9 2 2" xfId="6499" xr:uid="{D6E9C181-6061-4F0C-B3EA-ED194457DA41}"/>
    <cellStyle name="Normal 7 4 2 9 2 2 2" xfId="25660" xr:uid="{AF607323-AC0D-414A-8F77-EE6893045231}"/>
    <cellStyle name="Normal 7 4 2 9 2 2 3" xfId="26412" xr:uid="{509785D6-8A2F-42A6-B8DB-8ABF8E3C060A}"/>
    <cellStyle name="Normal 7 4 2 9 2 2 4" xfId="16070" xr:uid="{A58D279F-36A8-461F-89B9-FFE923980C7C}"/>
    <cellStyle name="Normal 7 4 2 9 2 3" xfId="8523" xr:uid="{EF66F453-D807-4980-B50E-4CCBAFB733A8}"/>
    <cellStyle name="Normal 7 4 2 9 2 3 2" xfId="28604" xr:uid="{B547C6E4-D9DC-4171-8FAD-C356971CE623}"/>
    <cellStyle name="Normal 7 4 2 9 2 3 3" xfId="28938" xr:uid="{0E25B91D-7487-4276-B067-0ABEBC60BEDF}"/>
    <cellStyle name="Normal 7 4 2 9 2 3 4" xfId="18903" xr:uid="{02A1BA71-9964-4CB4-A4D8-1ADEA24125BC}"/>
    <cellStyle name="Normal 7 4 2 9 2 4" xfId="11356" xr:uid="{54519620-988D-49D7-A0EA-4A122FE56D51}"/>
    <cellStyle name="Normal 7 4 2 9 2 4 2" xfId="29484" xr:uid="{FC835250-DF4C-4944-8875-1A77052EC6B1}"/>
    <cellStyle name="Normal 7 4 2 9 2 4 3" xfId="21736" xr:uid="{6E24494B-DCF2-4A6B-A86C-9F188EF0E2F6}"/>
    <cellStyle name="Normal 7 4 2 9 2 5" xfId="25160" xr:uid="{A329167D-D56F-4DA6-B18E-91E3E4955854}"/>
    <cellStyle name="Normal 7 4 2 9 2 6" xfId="14030" xr:uid="{4C006EB8-F23A-4180-92FA-69EFDB76ED45}"/>
    <cellStyle name="Normal 7 4 2 9 3" xfId="2819" xr:uid="{00000000-0005-0000-0000-00006B080000}"/>
    <cellStyle name="Normal 7 4 2 9 3 2" xfId="6035" xr:uid="{795FEE40-626B-42B5-BAF9-A3BEA4C1BB8C}"/>
    <cellStyle name="Normal 7 4 2 9 3 2 2" xfId="26771" xr:uid="{87813332-7EAD-4E02-9112-3A1229BE077B}"/>
    <cellStyle name="Normal 7 4 2 9 3 2 3" xfId="15489" xr:uid="{DCBA6F41-7C2A-414B-A542-F8AB5A081384}"/>
    <cellStyle name="Normal 7 4 2 9 3 3" xfId="7942" xr:uid="{A1F020B0-9442-4F1D-A526-F7270CF91865}"/>
    <cellStyle name="Normal 7 4 2 9 3 3 2" xfId="18322" xr:uid="{3EB35884-0264-4057-AE8C-9FAA1A3E7328}"/>
    <cellStyle name="Normal 7 4 2 9 3 4" xfId="10775" xr:uid="{3F4BB8D7-6A93-4816-BC7A-13FB97BEC3AF}"/>
    <cellStyle name="Normal 7 4 2 9 3 4 2" xfId="21155" xr:uid="{13474AFC-43F4-443F-BE0B-320A30877F95}"/>
    <cellStyle name="Normal 7 4 2 9 3 5" xfId="25145" xr:uid="{6B8F29FD-44AE-4E2F-8C63-D9C0C2430D48}"/>
    <cellStyle name="Normal 7 4 2 9 3 6" xfId="13290" xr:uid="{5C832931-E50C-4A84-AC60-CCB69FE73A52}"/>
    <cellStyle name="Normal 7 4 2 9 4" xfId="2393" xr:uid="{00000000-0005-0000-0000-000069080000}"/>
    <cellStyle name="Normal 7 4 2 9 4 2" xfId="7520" xr:uid="{7870606D-1837-44BD-BC37-7E3134EB028F}"/>
    <cellStyle name="Normal 7 4 2 9 4 2 2" xfId="26415" xr:uid="{FF062303-D59F-49DD-AAC3-2A4BA0C5BA02}"/>
    <cellStyle name="Normal 7 4 2 9 4 2 3" xfId="17900" xr:uid="{C8470F4B-0DC2-4EF0-BD9F-ED27D4F6CB5A}"/>
    <cellStyle name="Normal 7 4 2 9 4 3" xfId="10353" xr:uid="{4D7874B9-E019-443B-B306-FA092DEC4B01}"/>
    <cellStyle name="Normal 7 4 2 9 4 3 2" xfId="20733" xr:uid="{585F05EA-88E4-4145-84E6-9E74DDADE4AE}"/>
    <cellStyle name="Normal 7 4 2 9 4 4" xfId="23871" xr:uid="{AFFA7455-76C5-4A6D-AEC8-973157377937}"/>
    <cellStyle name="Normal 7 4 2 9 4 5" xfId="15067" xr:uid="{B1DA497D-9798-4947-85EB-2DFFC2B3D5A0}"/>
    <cellStyle name="Normal 7 4 2 9 5" xfId="4097" xr:uid="{A842F1E4-1C7A-4362-BC43-4637DC25B33F}"/>
    <cellStyle name="Normal 7 4 2 9 5 2" xfId="8871" xr:uid="{E5C15C7A-E4A4-4CBD-BCBC-C757F7FB36EB}"/>
    <cellStyle name="Normal 7 4 2 9 5 2 2" xfId="19251" xr:uid="{F5CF3878-642A-43DB-BF34-E6CA3F0EA0BE}"/>
    <cellStyle name="Normal 7 4 2 9 5 3" xfId="11704" xr:uid="{117745DD-C582-496B-9D1E-46B70FE21667}"/>
    <cellStyle name="Normal 7 4 2 9 5 3 2" xfId="22084" xr:uid="{6A9EA27A-94F0-48FF-B287-40F1488F38AA}"/>
    <cellStyle name="Normal 7 4 2 9 5 4" xfId="27760" xr:uid="{2936B5FE-D440-4912-B0A0-9AB4800926E0}"/>
    <cellStyle name="Normal 7 4 2 9 5 5" xfId="16418" xr:uid="{07618204-4FC9-4EDF-BD54-DADBDD2AB6B1}"/>
    <cellStyle name="Normal 7 4 2 9 6" xfId="5442" xr:uid="{4C217F3C-EC4B-448B-A6F0-DF227F715B36}"/>
    <cellStyle name="Normal 7 4 2 9 6 2" xfId="14739" xr:uid="{92D1C401-A612-4185-9E34-B9FD7B5A1E0C}"/>
    <cellStyle name="Normal 7 4 2 9 7" xfId="7192" xr:uid="{10B00204-3DB2-47A6-950C-F9215B517CCC}"/>
    <cellStyle name="Normal 7 4 2 9 7 2" xfId="17572" xr:uid="{674329F4-AE34-4A67-BEF0-E293902B27BD}"/>
    <cellStyle name="Normal 7 4 2 9 8" xfId="10025" xr:uid="{99634E40-1A29-4CCD-AD4E-A2253FDB5D72}"/>
    <cellStyle name="Normal 7 4 2 9 8 2" xfId="20405" xr:uid="{244B2B4B-504F-45AA-A156-A6C6DAC7A6B6}"/>
    <cellStyle name="Normal 7 4 2 9 9" xfId="23434" xr:uid="{187FFA7C-3B7F-4477-A6E0-532B8B6D20FC}"/>
    <cellStyle name="Normal 7 4 20" xfId="23421" xr:uid="{560269DD-4FB6-443C-9D5A-BCA4A87C8567}"/>
    <cellStyle name="Normal 7 4 21" xfId="12392" xr:uid="{78020374-5E69-42E9-9C1C-CA25722A3109}"/>
    <cellStyle name="Normal 7 4 3" xfId="1425" xr:uid="{00000000-0005-0000-0000-000068070000}"/>
    <cellStyle name="Normal 7 4 3 10" xfId="5443" xr:uid="{C369CAD4-6E23-40D4-A836-672D1462F693}"/>
    <cellStyle name="Normal 7 4 3 10 2" xfId="14740" xr:uid="{7E55366E-75AD-4BA1-A727-D0583EBE90C3}"/>
    <cellStyle name="Normal 7 4 3 11" xfId="7193" xr:uid="{0B7C27FE-72A1-4F2E-882E-9EF1BC97106C}"/>
    <cellStyle name="Normal 7 4 3 11 2" xfId="17573" xr:uid="{4EEEDC54-1342-4B0A-B166-087A6D2AEEAD}"/>
    <cellStyle name="Normal 7 4 3 12" xfId="10026" xr:uid="{E732EAF0-F96F-48CF-9F7A-C0CBA9BC5432}"/>
    <cellStyle name="Normal 7 4 3 12 2" xfId="20406" xr:uid="{49E1E74F-71EF-4F1C-AD0E-90E359AF8CCB}"/>
    <cellStyle name="Normal 7 4 3 13" xfId="23484" xr:uid="{47A70420-A2A9-41DE-AA50-2BF0B5A3C8AD}"/>
    <cellStyle name="Normal 7 4 3 14" xfId="12411" xr:uid="{369AE292-FCDB-4819-B036-27F97726FB3B}"/>
    <cellStyle name="Normal 7 4 3 2" xfId="1426" xr:uid="{00000000-0005-0000-0000-000069070000}"/>
    <cellStyle name="Normal 7 4 3 2 10" xfId="7194" xr:uid="{2E0ABF26-5374-4290-A047-2C58A8227129}"/>
    <cellStyle name="Normal 7 4 3 2 10 2" xfId="17574" xr:uid="{396054ED-31D5-4B50-8579-D2DC193BBA01}"/>
    <cellStyle name="Normal 7 4 3 2 11" xfId="10027" xr:uid="{AB474B92-B5A4-4F31-86C9-46914798584A}"/>
    <cellStyle name="Normal 7 4 3 2 11 2" xfId="20407" xr:uid="{979AABA8-78AF-4E30-A6D0-985F1669E228}"/>
    <cellStyle name="Normal 7 4 3 2 12" xfId="22695" xr:uid="{A51C8BFF-F624-4974-B58B-B31555F393BD}"/>
    <cellStyle name="Normal 7 4 3 2 13" xfId="12471" xr:uid="{A89F8D3A-8214-40EA-ABAD-20CD723F2742}"/>
    <cellStyle name="Normal 7 4 3 2 2" xfId="1427" xr:uid="{00000000-0005-0000-0000-00006A070000}"/>
    <cellStyle name="Normal 7 4 3 2 2 10" xfId="10028" xr:uid="{9FD8A555-7A7B-47CE-8FEF-C456F4145EAB}"/>
    <cellStyle name="Normal 7 4 3 2 2 10 2" xfId="20408" xr:uid="{0029460B-CCCD-48EA-BB22-22239F4AAE76}"/>
    <cellStyle name="Normal 7 4 3 2 2 11" xfId="22907" xr:uid="{CB737441-0451-493A-B999-E5301B36F1C2}"/>
    <cellStyle name="Normal 7 4 3 2 2 12" xfId="12636" xr:uid="{DCD91032-04B0-4F09-8630-4478A35CD128}"/>
    <cellStyle name="Normal 7 4 3 2 2 2" xfId="2830" xr:uid="{00000000-0005-0000-0000-00006F080000}"/>
    <cellStyle name="Normal 7 4 3 2 2 2 2" xfId="3446" xr:uid="{00000000-0005-0000-0000-000070080000}"/>
    <cellStyle name="Normal 7 4 3 2 2 2 2 2" xfId="6501" xr:uid="{73A91FAC-8613-4027-A5BA-6AE933FD408E}"/>
    <cellStyle name="Normal 7 4 3 2 2 2 2 2 2" xfId="28313" xr:uid="{5FFBBE1D-255B-4763-A079-A6BEF753B5D3}"/>
    <cellStyle name="Normal 7 4 3 2 2 2 2 2 3" xfId="28248" xr:uid="{6DE3B26C-2185-455B-AF8E-B203BB4D126C}"/>
    <cellStyle name="Normal 7 4 3 2 2 2 2 2 4" xfId="16072" xr:uid="{F97FE7E3-C7AA-4795-A148-9D2A85B8CBA2}"/>
    <cellStyle name="Normal 7 4 3 2 2 2 2 3" xfId="8525" xr:uid="{BDA0CCFD-9723-4FEC-803F-F710041E190E}"/>
    <cellStyle name="Normal 7 4 3 2 2 2 2 3 2" xfId="28939" xr:uid="{EE6549BB-6E10-4DB0-BB3C-F04D23E78B70}"/>
    <cellStyle name="Normal 7 4 3 2 2 2 2 3 3" xfId="18905" xr:uid="{B9E0C6DC-AF27-408C-9952-F29578D91555}"/>
    <cellStyle name="Normal 7 4 3 2 2 2 2 4" xfId="11358" xr:uid="{DF6325A3-6120-4C43-8647-26D0489490F5}"/>
    <cellStyle name="Normal 7 4 3 2 2 2 2 4 2" xfId="21738" xr:uid="{8B137044-9094-44BE-840D-E4C6ED98F0D9}"/>
    <cellStyle name="Normal 7 4 3 2 2 2 2 5" xfId="23133" xr:uid="{D4DDEAEF-6C19-4D83-95A6-099272D66830}"/>
    <cellStyle name="Normal 7 4 3 2 2 2 2 6" xfId="14032" xr:uid="{535B6EB0-279D-4C7B-BE13-9884454E50BC}"/>
    <cellStyle name="Normal 7 4 3 2 2 2 3" xfId="4367" xr:uid="{77596B4F-F602-4722-A351-F785FD60A7E7}"/>
    <cellStyle name="Normal 7 4 3 2 2 2 3 2" xfId="9139" xr:uid="{C31CC852-97F2-4584-AE45-B2782F8C5E6E}"/>
    <cellStyle name="Normal 7 4 3 2 2 2 3 2 2" xfId="29182" xr:uid="{3F619BC3-5FA2-4B13-A833-32DA547B3E29}"/>
    <cellStyle name="Normal 7 4 3 2 2 2 3 2 3" xfId="19519" xr:uid="{FD1E87B0-BC72-47AF-B722-8D69342202EB}"/>
    <cellStyle name="Normal 7 4 3 2 2 2 3 3" xfId="11972" xr:uid="{C915D1DB-CF42-4E04-AB1B-D2FECA0D456D}"/>
    <cellStyle name="Normal 7 4 3 2 2 2 3 3 2" xfId="22352" xr:uid="{17772FA0-B8D8-4A5F-874D-62C8045E9355}"/>
    <cellStyle name="Normal 7 4 3 2 2 2 3 4" xfId="23317" xr:uid="{2E932ACB-2132-4D31-9BDD-0C7BB62784E7}"/>
    <cellStyle name="Normal 7 4 3 2 2 2 3 5" xfId="16686" xr:uid="{F938DDC9-6772-4E20-AC96-34B02072E7DD}"/>
    <cellStyle name="Normal 7 4 3 2 2 2 4" xfId="6046" xr:uid="{A2E7AD9E-4C3A-4EF6-8D2C-2EE0BABDB26E}"/>
    <cellStyle name="Normal 7 4 3 2 2 2 4 2" xfId="28517" xr:uid="{D9EE22C2-9722-4779-ABFC-5C853846D868}"/>
    <cellStyle name="Normal 7 4 3 2 2 2 4 3" xfId="15500" xr:uid="{0787DD3D-75F4-4B77-B226-57B449D82234}"/>
    <cellStyle name="Normal 7 4 3 2 2 2 5" xfId="7953" xr:uid="{5441EE2B-D936-489D-9EBE-9784A22F64F1}"/>
    <cellStyle name="Normal 7 4 3 2 2 2 5 2" xfId="18333" xr:uid="{1CEDD6E3-F816-47AA-9346-714025A00908}"/>
    <cellStyle name="Normal 7 4 3 2 2 2 6" xfId="10786" xr:uid="{59C2E9FD-C4D8-4357-9071-9887B6DEE46F}"/>
    <cellStyle name="Normal 7 4 3 2 2 2 6 2" xfId="21166" xr:uid="{39D776FF-EE52-4020-A835-6AE2523CED41}"/>
    <cellStyle name="Normal 7 4 3 2 2 2 7" xfId="24040" xr:uid="{49765F66-5107-44ED-A16D-3EC0454B4BFA}"/>
    <cellStyle name="Normal 7 4 3 2 2 2 8" xfId="13306" xr:uid="{5CCD7CD2-BA35-4202-81D4-C8C157A4EDE8}"/>
    <cellStyle name="Normal 7 4 3 2 2 3" xfId="3447" xr:uid="{00000000-0005-0000-0000-000071080000}"/>
    <cellStyle name="Normal 7 4 3 2 2 3 2" xfId="4583" xr:uid="{448BA9DD-CA71-4DD4-9A4A-98AC19CD0CE6}"/>
    <cellStyle name="Normal 7 4 3 2 2 3 2 2" xfId="9355" xr:uid="{E92207E9-8361-42B0-B86D-18828B8D9E09}"/>
    <cellStyle name="Normal 7 4 3 2 2 3 2 2 2" xfId="29327" xr:uid="{BEA8D4E0-A165-4EF0-B274-C351B0992894}"/>
    <cellStyle name="Normal 7 4 3 2 2 3 2 2 3" xfId="19735" xr:uid="{B5F2B030-D025-46A3-9DE3-E1053033F439}"/>
    <cellStyle name="Normal 7 4 3 2 2 3 2 3" xfId="12188" xr:uid="{F0DF7214-F1EA-4BE6-A67F-DAD43EA13FAE}"/>
    <cellStyle name="Normal 7 4 3 2 2 3 2 3 2" xfId="22568" xr:uid="{DB403025-7911-486A-A3FD-C254DE64CB5E}"/>
    <cellStyle name="Normal 7 4 3 2 2 3 2 4" xfId="27276" xr:uid="{4346FAE6-88C2-4B14-B648-0908CF5F5982}"/>
    <cellStyle name="Normal 7 4 3 2 2 3 2 5" xfId="16902" xr:uid="{ADFAEA55-BD5A-4623-8389-DFAB4EBE6B30}"/>
    <cellStyle name="Normal 7 4 3 2 2 3 3" xfId="6502" xr:uid="{520C026B-62FA-45B6-95E0-484FCC53083F}"/>
    <cellStyle name="Normal 7 4 3 2 2 3 3 2" xfId="28608" xr:uid="{C897C46F-99A8-4007-90ED-9A99E7AF6F58}"/>
    <cellStyle name="Normal 7 4 3 2 2 3 3 3" xfId="16073" xr:uid="{F5CABBCC-D517-4B6D-A06E-D8F75282FBCE}"/>
    <cellStyle name="Normal 7 4 3 2 2 3 4" xfId="8526" xr:uid="{3729610D-88BC-4173-9FCE-F431092F9000}"/>
    <cellStyle name="Normal 7 4 3 2 2 3 4 2" xfId="18906" xr:uid="{E6D5C908-F513-4FFF-94A8-9C385E02D92B}"/>
    <cellStyle name="Normal 7 4 3 2 2 3 5" xfId="11359" xr:uid="{C8B369C4-6E3E-4043-A7A3-2DBBE5A5EEE4}"/>
    <cellStyle name="Normal 7 4 3 2 2 3 5 2" xfId="21739" xr:uid="{2A4305E4-BB5C-496F-BC5B-49AD81EAD71D}"/>
    <cellStyle name="Normal 7 4 3 2 2 3 6" xfId="24457" xr:uid="{004AE425-5CEF-4BF9-B966-9DA729332B64}"/>
    <cellStyle name="Normal 7 4 3 2 2 3 7" xfId="14033" xr:uid="{90D6CE88-CD3F-49B3-9CCA-153BB73EB1F4}"/>
    <cellStyle name="Normal 7 4 3 2 2 4" xfId="3445" xr:uid="{00000000-0005-0000-0000-000072080000}"/>
    <cellStyle name="Normal 7 4 3 2 2 4 2" xfId="6500" xr:uid="{EB1A46E9-0FE2-4CAA-9295-95259B6574B9}"/>
    <cellStyle name="Normal 7 4 3 2 2 4 2 2" xfId="25967" xr:uid="{5E021479-D919-4B53-A37F-E3021A4A4C58}"/>
    <cellStyle name="Normal 7 4 3 2 2 4 2 3" xfId="16071" xr:uid="{BE7FB648-4CC2-40F0-96AE-D8F325984D9F}"/>
    <cellStyle name="Normal 7 4 3 2 2 4 3" xfId="8524" xr:uid="{777CCF37-BB25-4772-A0DC-981B9D2E7A87}"/>
    <cellStyle name="Normal 7 4 3 2 2 4 3 2" xfId="18904" xr:uid="{AE8E2B10-346F-47B4-9B2E-77F81B9526C2}"/>
    <cellStyle name="Normal 7 4 3 2 2 4 4" xfId="11357" xr:uid="{BBC2A0CE-EF62-486A-9D34-6338A93DC58C}"/>
    <cellStyle name="Normal 7 4 3 2 2 4 4 2" xfId="21737" xr:uid="{041F560B-48AB-42D2-A448-E298E35B1CC5}"/>
    <cellStyle name="Normal 7 4 3 2 2 4 5" xfId="23913" xr:uid="{C5DAC3F0-87A3-448C-B2FA-D1124791F83A}"/>
    <cellStyle name="Normal 7 4 3 2 2 4 6" xfId="14031" xr:uid="{76E94513-B395-4A5B-9A19-E0C9AF0486B0}"/>
    <cellStyle name="Normal 7 4 3 2 2 5" xfId="2647" xr:uid="{00000000-0005-0000-0000-000073080000}"/>
    <cellStyle name="Normal 7 4 3 2 2 5 2" xfId="5909" xr:uid="{991E32FB-FFEC-4EA7-9CFA-9C42ED05704F}"/>
    <cellStyle name="Normal 7 4 3 2 2 5 2 2" xfId="27455" xr:uid="{A709F353-F263-4736-9BD8-43DE5C3A1F1E}"/>
    <cellStyle name="Normal 7 4 3 2 2 5 2 3" xfId="15319" xr:uid="{EC252FE6-7278-4F83-A335-0B4F2B31C299}"/>
    <cellStyle name="Normal 7 4 3 2 2 5 3" xfId="7772" xr:uid="{BF3A39B9-A372-4F64-BA03-7A2CB5013155}"/>
    <cellStyle name="Normal 7 4 3 2 2 5 3 2" xfId="18152" xr:uid="{F7951E38-6DB3-42DD-A715-E051A96463DF}"/>
    <cellStyle name="Normal 7 4 3 2 2 5 4" xfId="10605" xr:uid="{A6C5F2DA-65F0-4837-AC0B-F544FBC34583}"/>
    <cellStyle name="Normal 7 4 3 2 2 5 4 2" xfId="20985" xr:uid="{CC5D2271-DC00-4E5E-AFDE-354FCBEB032E}"/>
    <cellStyle name="Normal 7 4 3 2 2 5 5" xfId="23860" xr:uid="{683ABF96-C534-42EC-96FE-087BCB2CEFFA}"/>
    <cellStyle name="Normal 7 4 3 2 2 5 6" xfId="13036" xr:uid="{555E0BEF-EA73-478D-97B4-3F259BFE293E}"/>
    <cellStyle name="Normal 7 4 3 2 2 6" xfId="2402" xr:uid="{00000000-0005-0000-0000-00006E080000}"/>
    <cellStyle name="Normal 7 4 3 2 2 6 2" xfId="7529" xr:uid="{B7D2C21E-E0D9-45E7-A65D-035B94FE8B2B}"/>
    <cellStyle name="Normal 7 4 3 2 2 6 2 2" xfId="17909" xr:uid="{FB97DE76-37F7-4312-9792-DADF345222B9}"/>
    <cellStyle name="Normal 7 4 3 2 2 6 3" xfId="10362" xr:uid="{84F3CEE3-971D-41E2-8788-31836FAA8B11}"/>
    <cellStyle name="Normal 7 4 3 2 2 6 3 2" xfId="20742" xr:uid="{11C0C840-C431-469C-B2DA-4DEF3F50D488}"/>
    <cellStyle name="Normal 7 4 3 2 2 6 4" xfId="25588" xr:uid="{283B6E97-968B-4F13-B48B-E1C3A2BE1C14}"/>
    <cellStyle name="Normal 7 4 3 2 2 6 5" xfId="15076" xr:uid="{442A0DA2-0514-4A45-ABB2-8E3FEBB68A4E}"/>
    <cellStyle name="Normal 7 4 3 2 2 7" xfId="4102" xr:uid="{5EFD4A15-4447-498E-A1F4-436CC18FD198}"/>
    <cellStyle name="Normal 7 4 3 2 2 7 2" xfId="8876" xr:uid="{E1E5E935-8613-425E-99C8-C13E6C6CE237}"/>
    <cellStyle name="Normal 7 4 3 2 2 7 2 2" xfId="19256" xr:uid="{D46AA6BF-B9D2-47B2-A934-C6205DF9E734}"/>
    <cellStyle name="Normal 7 4 3 2 2 7 3" xfId="11709" xr:uid="{3D93CCC8-260A-4414-BFCB-792F1491E5BD}"/>
    <cellStyle name="Normal 7 4 3 2 2 7 3 2" xfId="22089" xr:uid="{D6E8D4B0-0118-4AB7-BF38-587E40144071}"/>
    <cellStyle name="Normal 7 4 3 2 2 7 4" xfId="16423" xr:uid="{88D7E175-8BEC-464D-A5E9-B3DC7325B47A}"/>
    <cellStyle name="Normal 7 4 3 2 2 8" xfId="5445" xr:uid="{8E7E55A8-31B2-436C-9C83-C7D65E223C4C}"/>
    <cellStyle name="Normal 7 4 3 2 2 8 2" xfId="14742" xr:uid="{22FFCC05-27A4-40D7-AAAF-85620A809732}"/>
    <cellStyle name="Normal 7 4 3 2 2 9" xfId="7195" xr:uid="{004D57DF-3249-4E47-812A-2F3A521EE2C6}"/>
    <cellStyle name="Normal 7 4 3 2 2 9 2" xfId="17575" xr:uid="{B5B7B915-20E5-49CE-8BAD-437A52656451}"/>
    <cellStyle name="Normal 7 4 3 2 3" xfId="1428" xr:uid="{00000000-0005-0000-0000-00006B070000}"/>
    <cellStyle name="Normal 7 4 3 2 3 2" xfId="3448" xr:uid="{00000000-0005-0000-0000-000075080000}"/>
    <cellStyle name="Normal 7 4 3 2 3 2 2" xfId="6503" xr:uid="{21205F71-0D82-48F6-A296-F4892DB16333}"/>
    <cellStyle name="Normal 7 4 3 2 3 2 2 2" xfId="25919" xr:uid="{789EB38F-23A3-4908-8B10-A46B8010D0CA}"/>
    <cellStyle name="Normal 7 4 3 2 3 2 2 3" xfId="28080" xr:uid="{40051244-9B90-4AFF-8D4B-96A99796BEE4}"/>
    <cellStyle name="Normal 7 4 3 2 3 2 2 4" xfId="16074" xr:uid="{6C408732-3AE7-4EC2-B8C5-858C2DD6BE0C}"/>
    <cellStyle name="Normal 7 4 3 2 3 2 3" xfId="8527" xr:uid="{E103CC02-1ACB-4465-9645-7C3FE3CD6878}"/>
    <cellStyle name="Normal 7 4 3 2 3 2 3 2" xfId="28940" xr:uid="{4EAD5B8C-9A20-4B2D-99FD-A03A229996F1}"/>
    <cellStyle name="Normal 7 4 3 2 3 2 3 3" xfId="18907" xr:uid="{0852BAA3-CB15-47A3-91F9-32C7A65D879E}"/>
    <cellStyle name="Normal 7 4 3 2 3 2 4" xfId="11360" xr:uid="{9032075C-26ED-4781-966B-B0368C910AAE}"/>
    <cellStyle name="Normal 7 4 3 2 3 2 4 2" xfId="21740" xr:uid="{73A39CD6-9DDB-4407-B97F-C94710083B05}"/>
    <cellStyle name="Normal 7 4 3 2 3 2 5" xfId="23558" xr:uid="{0F0FD7DD-4A65-4952-92C4-0057997402F0}"/>
    <cellStyle name="Normal 7 4 3 2 3 2 6" xfId="14034" xr:uid="{F2AC072C-4C48-4344-BDF4-A2048CA14A6B}"/>
    <cellStyle name="Normal 7 4 3 2 3 3" xfId="2829" xr:uid="{00000000-0005-0000-0000-000076080000}"/>
    <cellStyle name="Normal 7 4 3 2 3 3 2" xfId="6045" xr:uid="{2F40B74F-DC07-4D92-886F-813AC11669F3}"/>
    <cellStyle name="Normal 7 4 3 2 3 3 2 2" xfId="28723" xr:uid="{3AC6F74E-A50C-4E63-A16C-07ED6E60BD5C}"/>
    <cellStyle name="Normal 7 4 3 2 3 3 2 3" xfId="15499" xr:uid="{8CBA6569-B346-4A2B-B530-A80A3C59EBBB}"/>
    <cellStyle name="Normal 7 4 3 2 3 3 3" xfId="7952" xr:uid="{4E373BB4-504E-47EF-9E79-CAC8FA87135F}"/>
    <cellStyle name="Normal 7 4 3 2 3 3 3 2" xfId="18332" xr:uid="{EB791CD6-0471-4D99-96B7-AB76F0B3136A}"/>
    <cellStyle name="Normal 7 4 3 2 3 3 4" xfId="10785" xr:uid="{DD737E0D-9AF6-4E52-9381-ACB0A82C147E}"/>
    <cellStyle name="Normal 7 4 3 2 3 3 4 2" xfId="21165" xr:uid="{F5859D5F-3700-4692-A331-58F93B34411D}"/>
    <cellStyle name="Normal 7 4 3 2 3 3 5" xfId="24641" xr:uid="{FF35E9EC-13CF-4680-A665-3EE2893DAD72}"/>
    <cellStyle name="Normal 7 4 3 2 3 3 6" xfId="13305" xr:uid="{3CE12D0D-599C-4B99-940A-93B1F0266566}"/>
    <cellStyle name="Normal 7 4 3 2 3 4" xfId="4220" xr:uid="{6E3BC1E7-F8BD-43C1-B91A-816D12426DEE}"/>
    <cellStyle name="Normal 7 4 3 2 3 4 2" xfId="8992" xr:uid="{0A692B99-1804-4513-9F06-643635BB0790}"/>
    <cellStyle name="Normal 7 4 3 2 3 4 2 2" xfId="29071" xr:uid="{DA9D2592-47FB-4F1D-BFA6-EBB81FB188E0}"/>
    <cellStyle name="Normal 7 4 3 2 3 4 2 3" xfId="19372" xr:uid="{038B2056-D737-4FB1-A6D2-4BC63B056001}"/>
    <cellStyle name="Normal 7 4 3 2 3 4 3" xfId="11825" xr:uid="{78535C63-AB7A-44EF-A101-95F98832CCA5}"/>
    <cellStyle name="Normal 7 4 3 2 3 4 3 2" xfId="22205" xr:uid="{6D16DAF9-4B44-4D47-BF69-2D8280A83371}"/>
    <cellStyle name="Normal 7 4 3 2 3 4 4" xfId="22693" xr:uid="{B973C05B-9CC2-478B-A2C5-62E833C796DA}"/>
    <cellStyle name="Normal 7 4 3 2 3 4 5" xfId="16539" xr:uid="{C4633A96-5B7D-47DC-85FA-81F02C2A433B}"/>
    <cellStyle name="Normal 7 4 3 2 3 5" xfId="5446" xr:uid="{3A6AD47D-EAD5-4F97-A979-749B398589A4}"/>
    <cellStyle name="Normal 7 4 3 2 3 5 2" xfId="25913" xr:uid="{C5D29D23-FE1C-4BFF-89C5-69310B0DCE9C}"/>
    <cellStyle name="Normal 7 4 3 2 3 5 3" xfId="14743" xr:uid="{BD3256AC-3DE1-47C1-935A-7AF5EA9C1D44}"/>
    <cellStyle name="Normal 7 4 3 2 3 6" xfId="7196" xr:uid="{47654914-8CFE-4023-AB97-B19E9F93A688}"/>
    <cellStyle name="Normal 7 4 3 2 3 6 2" xfId="17576" xr:uid="{631FE5E1-3465-4C7A-9FCD-6AC02CF6B120}"/>
    <cellStyle name="Normal 7 4 3 2 3 7" xfId="10029" xr:uid="{9112CE37-E33E-4B59-A80E-4B8E74D3D28E}"/>
    <cellStyle name="Normal 7 4 3 2 3 7 2" xfId="20409" xr:uid="{A9ED16B8-F03F-4E24-90D7-02012BB168AC}"/>
    <cellStyle name="Normal 7 4 3 2 3 8" xfId="23823" xr:uid="{D81D44BF-8E0A-479B-B128-DD40BB514314}"/>
    <cellStyle name="Normal 7 4 3 2 3 9" xfId="12794" xr:uid="{D3B2A001-D1BB-464D-85C9-47EEBAE40815}"/>
    <cellStyle name="Normal 7 4 3 2 4" xfId="3449" xr:uid="{00000000-0005-0000-0000-000077080000}"/>
    <cellStyle name="Normal 7 4 3 2 4 2" xfId="4584" xr:uid="{BE69B502-CFA4-4673-B0CA-466D6376D99E}"/>
    <cellStyle name="Normal 7 4 3 2 4 2 2" xfId="9356" xr:uid="{B6849C53-F490-4032-AEC4-3A084CC61281}"/>
    <cellStyle name="Normal 7 4 3 2 4 2 2 2" xfId="29328" xr:uid="{49EFC940-64F5-4477-9D86-DB69A7F4CFA3}"/>
    <cellStyle name="Normal 7 4 3 2 4 2 2 3" xfId="19736" xr:uid="{32AE62BA-70DE-498C-A44C-59826C128A7C}"/>
    <cellStyle name="Normal 7 4 3 2 4 2 3" xfId="12189" xr:uid="{159A9BA1-2929-4A12-92CB-676A1CFADB15}"/>
    <cellStyle name="Normal 7 4 3 2 4 2 3 2" xfId="22569" xr:uid="{292322E4-F4B3-4726-A139-7E0F817029FB}"/>
    <cellStyle name="Normal 7 4 3 2 4 2 4" xfId="23495" xr:uid="{E04771C6-694C-4C78-9686-66A2E4A88F17}"/>
    <cellStyle name="Normal 7 4 3 2 4 2 5" xfId="16903" xr:uid="{941EFF89-C574-4C61-88AF-87557EA019BF}"/>
    <cellStyle name="Normal 7 4 3 2 4 3" xfId="6504" xr:uid="{FE9CE113-79F2-4B5C-BA67-98F3380ED68B}"/>
    <cellStyle name="Normal 7 4 3 2 4 3 2" xfId="26656" xr:uid="{D6492BDD-063D-43CD-B114-9F3447EF7DF7}"/>
    <cellStyle name="Normal 7 4 3 2 4 3 3" xfId="16075" xr:uid="{D28ACD28-03F2-41DF-91DC-E18B1FFD3BD2}"/>
    <cellStyle name="Normal 7 4 3 2 4 4" xfId="8528" xr:uid="{E3E207EE-AB51-45CE-AC81-46110AE208CC}"/>
    <cellStyle name="Normal 7 4 3 2 4 4 2" xfId="18908" xr:uid="{3022FECD-1E22-4532-8251-13E8C2CA2EF1}"/>
    <cellStyle name="Normal 7 4 3 2 4 5" xfId="11361" xr:uid="{06032698-B473-4D99-B7A2-A384DF1D6120}"/>
    <cellStyle name="Normal 7 4 3 2 4 5 2" xfId="21741" xr:uid="{2DEF58B8-F434-4326-833C-2C6D8957AC90}"/>
    <cellStyle name="Normal 7 4 3 2 4 6" xfId="23941" xr:uid="{583D7F32-4C0C-48B8-B0D6-39460D9575C2}"/>
    <cellStyle name="Normal 7 4 3 2 4 7" xfId="14035" xr:uid="{60928655-B0A7-4FF0-B832-B5642E0859B1}"/>
    <cellStyle name="Normal 7 4 3 2 5" xfId="2993" xr:uid="{00000000-0005-0000-0000-000078080000}"/>
    <cellStyle name="Normal 7 4 3 2 5 2" xfId="6143" xr:uid="{578F7411-E3DC-4F14-81AC-C358F6B04072}"/>
    <cellStyle name="Normal 7 4 3 2 5 2 2" xfId="26933" xr:uid="{FBD999AA-530E-4AA4-BD85-D9722360CD28}"/>
    <cellStyle name="Normal 7 4 3 2 5 2 3" xfId="27870" xr:uid="{B257E8BD-D4E7-4059-8C1B-A9B76FE6BFEC}"/>
    <cellStyle name="Normal 7 4 3 2 5 2 4" xfId="15621" xr:uid="{CFEBD5F4-751F-4372-A347-0DA6494FD338}"/>
    <cellStyle name="Normal 7 4 3 2 5 3" xfId="8074" xr:uid="{538275EF-640F-432E-9825-FF19D2D51182}"/>
    <cellStyle name="Normal 7 4 3 2 5 3 2" xfId="28769" xr:uid="{C681F8E4-BF3D-4C72-BD42-733E0A0057F2}"/>
    <cellStyle name="Normal 7 4 3 2 5 3 3" xfId="18454" xr:uid="{F43F2424-0270-42EC-B3BD-C36BAC8BA10C}"/>
    <cellStyle name="Normal 7 4 3 2 5 4" xfId="10907" xr:uid="{35B6B5F3-DC7D-4D12-825A-3586A22CBAF9}"/>
    <cellStyle name="Normal 7 4 3 2 5 4 2" xfId="21287" xr:uid="{5169B47F-28E6-40F9-AA14-89B747D7E99D}"/>
    <cellStyle name="Normal 7 4 3 2 5 5" xfId="24997" xr:uid="{B73C22F6-2F7D-46AC-865D-26CB506AA2E2}"/>
    <cellStyle name="Normal 7 4 3 2 5 6" xfId="13492" xr:uid="{318B7E50-E7A8-4B7B-878B-4E42339EB4EA}"/>
    <cellStyle name="Normal 7 4 3 2 6" xfId="2545" xr:uid="{00000000-0005-0000-0000-000079080000}"/>
    <cellStyle name="Normal 7 4 3 2 6 2" xfId="5817" xr:uid="{56974547-57DB-43F4-ADFE-38DD14043912}"/>
    <cellStyle name="Normal 7 4 3 2 6 2 2" xfId="26665" xr:uid="{00B38EBC-9ECA-43A2-9A83-6AA81309DC05}"/>
    <cellStyle name="Normal 7 4 3 2 6 2 3" xfId="15217" xr:uid="{32481FC7-B74B-4984-A4FF-43335934C822}"/>
    <cellStyle name="Normal 7 4 3 2 6 3" xfId="7670" xr:uid="{35F1688F-0AB5-49FC-AE97-A0D52627FA0B}"/>
    <cellStyle name="Normal 7 4 3 2 6 3 2" xfId="18050" xr:uid="{ED46ED4D-BA3A-4FBE-8BBC-5F0DD9015BE0}"/>
    <cellStyle name="Normal 7 4 3 2 6 4" xfId="10503" xr:uid="{D5929A23-9E1C-4E58-A651-98B5DB851C0A}"/>
    <cellStyle name="Normal 7 4 3 2 6 4 2" xfId="20883" xr:uid="{02F5C775-2FC8-410B-8ABB-F0311A026A2D}"/>
    <cellStyle name="Normal 7 4 3 2 6 5" xfId="23680" xr:uid="{E5C72DE6-A4B7-4B4A-9F09-5E0E03FCE46C}"/>
    <cellStyle name="Normal 7 4 3 2 6 6" xfId="12933" xr:uid="{A1D994E2-F66D-4C4C-A4DF-BC2FEA1C8FFF}"/>
    <cellStyle name="Normal 7 4 3 2 7" xfId="2239" xr:uid="{00000000-0005-0000-0000-00006D080000}"/>
    <cellStyle name="Normal 7 4 3 2 7 2" xfId="7366" xr:uid="{54C6D058-527F-4302-B06F-EF8FAFA9A236}"/>
    <cellStyle name="Normal 7 4 3 2 7 2 2" xfId="17746" xr:uid="{D19D41E0-7A7D-40B2-9C1D-59DDB17FC557}"/>
    <cellStyle name="Normal 7 4 3 2 7 3" xfId="10199" xr:uid="{A2100957-86A7-40A9-A08A-021D8F1E89DF}"/>
    <cellStyle name="Normal 7 4 3 2 7 3 2" xfId="20579" xr:uid="{A2280B11-CD6D-4527-AFE0-8A056FB63D09}"/>
    <cellStyle name="Normal 7 4 3 2 7 4" xfId="25300" xr:uid="{0603B06E-A1F5-4D58-8A1B-000246F50293}"/>
    <cellStyle name="Normal 7 4 3 2 7 5" xfId="14913" xr:uid="{40C4DFAD-8EB2-498D-A09C-408A62E4D8B9}"/>
    <cellStyle name="Normal 7 4 3 2 8" xfId="4070" xr:uid="{1788756D-2364-4287-B913-92CA22C8B232}"/>
    <cellStyle name="Normal 7 4 3 2 8 2" xfId="8850" xr:uid="{F636902B-44CD-452E-A097-BD6C9B82C6F6}"/>
    <cellStyle name="Normal 7 4 3 2 8 2 2" xfId="19230" xr:uid="{6F87E975-C485-4A61-BE1A-5F05CB89F4EE}"/>
    <cellStyle name="Normal 7 4 3 2 8 3" xfId="11683" xr:uid="{8FFFB54E-DC3D-4100-9DB7-3C91F2B513D6}"/>
    <cellStyle name="Normal 7 4 3 2 8 3 2" xfId="22063" xr:uid="{16F6A337-3841-45CC-B34C-4B770E5AADE0}"/>
    <cellStyle name="Normal 7 4 3 2 8 4" xfId="16397" xr:uid="{96617CEB-2E3E-4F5C-BCE9-EEF55DA318E9}"/>
    <cellStyle name="Normal 7 4 3 2 9" xfId="5444" xr:uid="{3E4D21E4-15FB-474A-9291-70A16EB38D4A}"/>
    <cellStyle name="Normal 7 4 3 2 9 2" xfId="14741" xr:uid="{BA42F566-5410-4CAC-812B-1D5B44999462}"/>
    <cellStyle name="Normal 7 4 3 3" xfId="1429" xr:uid="{00000000-0005-0000-0000-00006C070000}"/>
    <cellStyle name="Normal 7 4 3 3 10" xfId="10030" xr:uid="{6667FA85-31D9-4427-9837-D0170AFC350D}"/>
    <cellStyle name="Normal 7 4 3 3 10 2" xfId="20410" xr:uid="{089B2346-AECA-44F6-9A15-0847870DF850}"/>
    <cellStyle name="Normal 7 4 3 3 11" xfId="22764" xr:uid="{B86F18A5-73F3-4000-ACBC-207F0FA23A4A}"/>
    <cellStyle name="Normal 7 4 3 3 12" xfId="12635" xr:uid="{7A85351B-D760-457A-A31A-24CD8DE5DBDA}"/>
    <cellStyle name="Normal 7 4 3 3 2" xfId="2831" xr:uid="{00000000-0005-0000-0000-00007B080000}"/>
    <cellStyle name="Normal 7 4 3 3 2 2" xfId="3451" xr:uid="{00000000-0005-0000-0000-00007C080000}"/>
    <cellStyle name="Normal 7 4 3 3 2 2 2" xfId="6506" xr:uid="{48B5E98D-E20A-446E-8CE6-CB1B22942103}"/>
    <cellStyle name="Normal 7 4 3 3 2 2 2 2" xfId="26050" xr:uid="{E78C11AD-0DCB-4CFD-AC95-376CACF35712}"/>
    <cellStyle name="Normal 7 4 3 3 2 2 2 3" xfId="28499" xr:uid="{D6EB5508-2B1F-409F-BF0E-5F62BF76C654}"/>
    <cellStyle name="Normal 7 4 3 3 2 2 2 4" xfId="16077" xr:uid="{262CD2BB-F139-47AC-90B7-CAB4073CD94D}"/>
    <cellStyle name="Normal 7 4 3 3 2 2 3" xfId="8530" xr:uid="{E30491D7-3CEA-4373-B543-9CB1B7626C17}"/>
    <cellStyle name="Normal 7 4 3 3 2 2 3 2" xfId="28941" xr:uid="{1D3C20E2-F2B4-4F2C-B041-D12DDFCD41DD}"/>
    <cellStyle name="Normal 7 4 3 3 2 2 3 3" xfId="18910" xr:uid="{B6EE3C50-3755-4F44-BF67-E82A5DFA14B4}"/>
    <cellStyle name="Normal 7 4 3 3 2 2 4" xfId="11363" xr:uid="{7DC0C649-CFCA-438C-96B8-974CDE4E2BAD}"/>
    <cellStyle name="Normal 7 4 3 3 2 2 4 2" xfId="21743" xr:uid="{312F8E66-125B-4C94-9E3C-927D9C54082E}"/>
    <cellStyle name="Normal 7 4 3 3 2 2 5" xfId="24577" xr:uid="{CF31D9AE-9CF8-4A4E-A71E-355ABC001280}"/>
    <cellStyle name="Normal 7 4 3 3 2 2 6" xfId="14037" xr:uid="{96ED7D6B-5A4B-4533-A5EC-81BAC427DE5C}"/>
    <cellStyle name="Normal 7 4 3 3 2 3" xfId="4368" xr:uid="{1164E2F6-BE54-4C9A-9367-B13ECC269973}"/>
    <cellStyle name="Normal 7 4 3 3 2 3 2" xfId="9140" xr:uid="{CE24510D-F338-49D8-B45A-D82D59DDA679}"/>
    <cellStyle name="Normal 7 4 3 3 2 3 2 2" xfId="29183" xr:uid="{15A0BC14-9723-4844-997D-7F608D6D3BE4}"/>
    <cellStyle name="Normal 7 4 3 3 2 3 2 3" xfId="19520" xr:uid="{279C4189-A4D0-4F42-B42F-D442B7F2B84D}"/>
    <cellStyle name="Normal 7 4 3 3 2 3 3" xfId="11973" xr:uid="{BEC1F4D3-518A-4F33-BA3F-4CF935058B4B}"/>
    <cellStyle name="Normal 7 4 3 3 2 3 3 2" xfId="22353" xr:uid="{F89F05BD-F693-4E0A-A692-51703F75E7DD}"/>
    <cellStyle name="Normal 7 4 3 3 2 3 4" xfId="22855" xr:uid="{1326B803-3310-46CE-A6FB-42D3ED54462C}"/>
    <cellStyle name="Normal 7 4 3 3 2 3 5" xfId="16687" xr:uid="{5014DB47-F0F0-40C8-B66B-0941FA40DF3B}"/>
    <cellStyle name="Normal 7 4 3 3 2 4" xfId="6047" xr:uid="{7BB6B4AF-EA51-459C-86B6-BABFCD88A947}"/>
    <cellStyle name="Normal 7 4 3 3 2 4 2" xfId="28067" xr:uid="{17D66357-EF32-4F8C-84B6-32FE3BE82A93}"/>
    <cellStyle name="Normal 7 4 3 3 2 4 3" xfId="15501" xr:uid="{9DD7B4D8-A34D-4CAB-91BE-38C25D3B1407}"/>
    <cellStyle name="Normal 7 4 3 3 2 5" xfId="7954" xr:uid="{A98EE685-BE0A-47CF-B38D-E67C444EBDC5}"/>
    <cellStyle name="Normal 7 4 3 3 2 5 2" xfId="18334" xr:uid="{7313D125-3020-4C73-A463-409099B17A9F}"/>
    <cellStyle name="Normal 7 4 3 3 2 6" xfId="10787" xr:uid="{C0957656-6A55-4DCB-918D-D196EA4F5E7F}"/>
    <cellStyle name="Normal 7 4 3 3 2 6 2" xfId="21167" xr:uid="{2A2FB51E-E0AF-4311-AF82-31FEE760DB29}"/>
    <cellStyle name="Normal 7 4 3 3 2 7" xfId="25204" xr:uid="{F41EA67F-7807-4F32-B7E0-7363D90FCC61}"/>
    <cellStyle name="Normal 7 4 3 3 2 8" xfId="13307" xr:uid="{607FBB25-0D28-4F52-AD1B-83BEBCB24050}"/>
    <cellStyle name="Normal 7 4 3 3 3" xfId="3452" xr:uid="{00000000-0005-0000-0000-00007D080000}"/>
    <cellStyle name="Normal 7 4 3 3 3 2" xfId="4585" xr:uid="{F18E3703-1BDE-480F-BE5E-1F730306F51A}"/>
    <cellStyle name="Normal 7 4 3 3 3 2 2" xfId="9357" xr:uid="{B0677BE6-9079-4D98-A8F1-8D97277FF505}"/>
    <cellStyle name="Normal 7 4 3 3 3 2 2 2" xfId="29329" xr:uid="{24071852-15EF-40E2-9F82-D651F337EB84}"/>
    <cellStyle name="Normal 7 4 3 3 3 2 2 3" xfId="19737" xr:uid="{12701740-B917-40F3-B4F7-9F90747D2844}"/>
    <cellStyle name="Normal 7 4 3 3 3 2 3" xfId="12190" xr:uid="{BB004EC3-B997-40D7-B22F-908ADF68194E}"/>
    <cellStyle name="Normal 7 4 3 3 3 2 3 2" xfId="22570" xr:uid="{C3534578-EB7C-4F64-8B94-4616D70F02AC}"/>
    <cellStyle name="Normal 7 4 3 3 3 2 4" xfId="25454" xr:uid="{22DA6432-24DF-4E3B-B59B-B9C6A0520FC1}"/>
    <cellStyle name="Normal 7 4 3 3 3 2 5" xfId="16904" xr:uid="{FCDC8A1C-E1FD-4A4B-9C72-13153C0BB55A}"/>
    <cellStyle name="Normal 7 4 3 3 3 3" xfId="6507" xr:uid="{654F5FB6-7196-47D6-8AAF-6C493651A246}"/>
    <cellStyle name="Normal 7 4 3 3 3 3 2" xfId="27474" xr:uid="{69965E02-6437-4F03-804C-9A661E470984}"/>
    <cellStyle name="Normal 7 4 3 3 3 3 3" xfId="16078" xr:uid="{55A8CC60-1E47-4A51-A6B4-F2F325865EC8}"/>
    <cellStyle name="Normal 7 4 3 3 3 4" xfId="8531" xr:uid="{5A83B3DB-B880-4A3B-AE55-6BB6EDA7B46B}"/>
    <cellStyle name="Normal 7 4 3 3 3 4 2" xfId="18911" xr:uid="{26FDF01F-42BD-4B10-8796-FE241310EE7C}"/>
    <cellStyle name="Normal 7 4 3 3 3 5" xfId="11364" xr:uid="{06C307B1-50D8-42DF-AA97-0D940E415962}"/>
    <cellStyle name="Normal 7 4 3 3 3 5 2" xfId="21744" xr:uid="{2B6081B6-FE53-4D57-BA48-CE0983A23D21}"/>
    <cellStyle name="Normal 7 4 3 3 3 6" xfId="25238" xr:uid="{C1208326-4645-4857-A234-EB126694D89D}"/>
    <cellStyle name="Normal 7 4 3 3 3 7" xfId="14038" xr:uid="{6150ABE2-3190-4D8E-9C58-717516F2FC4D}"/>
    <cellStyle name="Normal 7 4 3 3 4" xfId="3450" xr:uid="{00000000-0005-0000-0000-00007E080000}"/>
    <cellStyle name="Normal 7 4 3 3 4 2" xfId="6505" xr:uid="{AB9CC0A2-EA6E-4ECE-8E8F-6953D22BD62A}"/>
    <cellStyle name="Normal 7 4 3 3 4 2 2" xfId="26686" xr:uid="{EF441DC9-0BA0-4DAF-859C-EAED2F3FA7E7}"/>
    <cellStyle name="Normal 7 4 3 3 4 2 3" xfId="16076" xr:uid="{CF51B8B6-35B7-465A-A95E-21074B0F731E}"/>
    <cellStyle name="Normal 7 4 3 3 4 3" xfId="8529" xr:uid="{6E3458D8-3B9B-4F11-8724-43C5E55F88DF}"/>
    <cellStyle name="Normal 7 4 3 3 4 3 2" xfId="18909" xr:uid="{AFA529B8-41D2-4DBF-A25E-50AE2612621F}"/>
    <cellStyle name="Normal 7 4 3 3 4 4" xfId="11362" xr:uid="{25DDDA3A-69A0-4D9A-BEB2-4E48E9D4813E}"/>
    <cellStyle name="Normal 7 4 3 3 4 4 2" xfId="21742" xr:uid="{561A8E3B-8179-4F40-85BC-CDBEA35B6370}"/>
    <cellStyle name="Normal 7 4 3 3 4 5" xfId="24927" xr:uid="{DF90C266-0B60-4C07-BD54-1B0EEFE5325C}"/>
    <cellStyle name="Normal 7 4 3 3 4 6" xfId="14036" xr:uid="{DFE5541A-9458-4317-A8E5-1691D21861B9}"/>
    <cellStyle name="Normal 7 4 3 3 5" xfId="2588" xr:uid="{00000000-0005-0000-0000-00007F080000}"/>
    <cellStyle name="Normal 7 4 3 3 5 2" xfId="5853" xr:uid="{111C5C2C-A182-4704-A487-D3944057A596}"/>
    <cellStyle name="Normal 7 4 3 3 5 2 2" xfId="26178" xr:uid="{1F5AABDE-1389-477C-80D6-A213032F088B}"/>
    <cellStyle name="Normal 7 4 3 3 5 2 3" xfId="15260" xr:uid="{7EA4A352-F373-45DD-B537-590F3A11C396}"/>
    <cellStyle name="Normal 7 4 3 3 5 3" xfId="7713" xr:uid="{7EAFA413-63AD-4A34-B4A4-F513D1AD5670}"/>
    <cellStyle name="Normal 7 4 3 3 5 3 2" xfId="18093" xr:uid="{8BB37E77-570C-4567-8D06-F87243B472B1}"/>
    <cellStyle name="Normal 7 4 3 3 5 4" xfId="10546" xr:uid="{E1549959-8817-4633-8289-6E00F9783B2C}"/>
    <cellStyle name="Normal 7 4 3 3 5 4 2" xfId="20926" xr:uid="{2E6ED116-9846-431C-815B-D5DC8B253A02}"/>
    <cellStyle name="Normal 7 4 3 3 5 5" xfId="25048" xr:uid="{8511F9FB-FE04-4F54-B76D-0F6555F47898}"/>
    <cellStyle name="Normal 7 4 3 3 5 6" xfId="12976" xr:uid="{43FEF3D2-CBF4-4FBD-9A90-92776017DD28}"/>
    <cellStyle name="Normal 7 4 3 3 6" xfId="2401" xr:uid="{00000000-0005-0000-0000-00007A080000}"/>
    <cellStyle name="Normal 7 4 3 3 6 2" xfId="7528" xr:uid="{3FF4B652-F802-4890-923C-4AC57CFC6BA0}"/>
    <cellStyle name="Normal 7 4 3 3 6 2 2" xfId="17908" xr:uid="{E68CA27F-967A-487A-B572-281C900CF99F}"/>
    <cellStyle name="Normal 7 4 3 3 6 3" xfId="10361" xr:uid="{193E1795-909A-4BF7-8262-DD4654DFBF86}"/>
    <cellStyle name="Normal 7 4 3 3 6 3 2" xfId="20741" xr:uid="{7AAEED86-CD26-4E1B-BB33-3ADBE7B5BB89}"/>
    <cellStyle name="Normal 7 4 3 3 6 4" xfId="23249" xr:uid="{429D2802-A5D3-42F3-9D3E-41E494361E46}"/>
    <cellStyle name="Normal 7 4 3 3 6 5" xfId="15075" xr:uid="{BD8597E0-3AE8-49CB-9D76-9F4A689838B5}"/>
    <cellStyle name="Normal 7 4 3 3 7" xfId="4101" xr:uid="{F0B7520E-C9CD-4676-9705-62383BEED1A9}"/>
    <cellStyle name="Normal 7 4 3 3 7 2" xfId="8875" xr:uid="{10C788E9-E200-4D9A-AE89-79B41165D7DD}"/>
    <cellStyle name="Normal 7 4 3 3 7 2 2" xfId="19255" xr:uid="{EA5A4DC9-E0B7-41F7-9A93-A760A1F9960C}"/>
    <cellStyle name="Normal 7 4 3 3 7 3" xfId="11708" xr:uid="{5BD47590-79D5-442D-8776-37C03AA1DA7B}"/>
    <cellStyle name="Normal 7 4 3 3 7 3 2" xfId="22088" xr:uid="{3F53DE9D-52C7-4518-8D70-DA4FED8E9BF3}"/>
    <cellStyle name="Normal 7 4 3 3 7 4" xfId="16422" xr:uid="{02B56F57-C9AC-494F-8A20-DEC5A811C11D}"/>
    <cellStyle name="Normal 7 4 3 3 8" xfId="5447" xr:uid="{DB9B4F3E-2691-495E-8284-1ECC209D77C9}"/>
    <cellStyle name="Normal 7 4 3 3 8 2" xfId="14744" xr:uid="{004188FD-65A4-406B-B9B7-8FEFB49F8489}"/>
    <cellStyle name="Normal 7 4 3 3 9" xfId="7197" xr:uid="{1D9BF1DF-B944-4ABA-BE4A-CA1C939720ED}"/>
    <cellStyle name="Normal 7 4 3 3 9 2" xfId="17577" xr:uid="{7034C2D9-C843-4505-A313-432FB976C8D2}"/>
    <cellStyle name="Normal 7 4 3 4" xfId="1430" xr:uid="{00000000-0005-0000-0000-00006D070000}"/>
    <cellStyle name="Normal 7 4 3 4 2" xfId="3453" xr:uid="{00000000-0005-0000-0000-000081080000}"/>
    <cellStyle name="Normal 7 4 3 4 2 2" xfId="6508" xr:uid="{5CBF7F30-3323-4EAB-A7E0-3F88CF0BC913}"/>
    <cellStyle name="Normal 7 4 3 4 2 2 2" xfId="23518" xr:uid="{5901EB7B-0C5A-47E2-9E44-D71F908B0092}"/>
    <cellStyle name="Normal 7 4 3 4 2 2 3" xfId="25879" xr:uid="{B2BBB98A-4899-4C7E-B326-4C91DB326458}"/>
    <cellStyle name="Normal 7 4 3 4 2 2 4" xfId="16079" xr:uid="{7055F32A-BC18-4F42-A7A0-3D55BB69C3F4}"/>
    <cellStyle name="Normal 7 4 3 4 2 3" xfId="8532" xr:uid="{11430790-3FEE-49B1-8B5A-0D306385F222}"/>
    <cellStyle name="Normal 7 4 3 4 2 3 2" xfId="28942" xr:uid="{7163F059-7EB7-4F8B-BA34-ECD7FE44467B}"/>
    <cellStyle name="Normal 7 4 3 4 2 3 3" xfId="18912" xr:uid="{C9F4ED25-46E9-4B0D-BE71-DCFFD89F00A2}"/>
    <cellStyle name="Normal 7 4 3 4 2 4" xfId="11365" xr:uid="{22A9B4A9-E21A-4750-A368-B09B5A08F92A}"/>
    <cellStyle name="Normal 7 4 3 4 2 4 2" xfId="21745" xr:uid="{8AA30EE1-CC49-4A13-B4F6-AF9FBD41C4FD}"/>
    <cellStyle name="Normal 7 4 3 4 2 5" xfId="23352" xr:uid="{F9DBE65A-8BAE-46A8-93B5-A94EE58F61D8}"/>
    <cellStyle name="Normal 7 4 3 4 2 6" xfId="14039" xr:uid="{FCB69EA9-4645-4C69-910A-24F5C7EF16C8}"/>
    <cellStyle name="Normal 7 4 3 4 3" xfId="2828" xr:uid="{00000000-0005-0000-0000-000082080000}"/>
    <cellStyle name="Normal 7 4 3 4 3 2" xfId="6044" xr:uid="{D4436D1D-1802-4B4C-A77E-8756FEE4AB49}"/>
    <cellStyle name="Normal 7 4 3 4 3 2 2" xfId="26010" xr:uid="{65CC4502-9897-4C0E-9116-B511B4EB6C1D}"/>
    <cellStyle name="Normal 7 4 3 4 3 2 3" xfId="15498" xr:uid="{870FBBFF-365B-4C7C-83AC-AB62265F91CB}"/>
    <cellStyle name="Normal 7 4 3 4 3 3" xfId="7951" xr:uid="{F289DF43-462C-4EF2-A46E-67BDAB1512D1}"/>
    <cellStyle name="Normal 7 4 3 4 3 3 2" xfId="18331" xr:uid="{36038B05-0B63-4624-BCE8-A4FEBD5C722B}"/>
    <cellStyle name="Normal 7 4 3 4 3 4" xfId="10784" xr:uid="{6781698A-5BCE-41C9-BBCA-4301FDC8D239}"/>
    <cellStyle name="Normal 7 4 3 4 3 4 2" xfId="21164" xr:uid="{F7B0FE75-3DE0-4F6B-B8B2-1A43B84AC2DE}"/>
    <cellStyle name="Normal 7 4 3 4 3 5" xfId="24872" xr:uid="{52399C13-1388-495D-8E38-FC6CAC5DC2DF}"/>
    <cellStyle name="Normal 7 4 3 4 3 6" xfId="13304" xr:uid="{C10AA231-F24F-4722-9717-CB84CBE0EB2D}"/>
    <cellStyle name="Normal 7 4 3 4 4" xfId="4219" xr:uid="{F78D4B62-EDF2-4AB7-9DEE-497CD2C415AD}"/>
    <cellStyle name="Normal 7 4 3 4 4 2" xfId="8991" xr:uid="{F71EDB45-9810-4D87-8762-F549CCD7BB02}"/>
    <cellStyle name="Normal 7 4 3 4 4 2 2" xfId="29070" xr:uid="{524B28EC-43F0-4019-9D4D-DBF6E9BC9755}"/>
    <cellStyle name="Normal 7 4 3 4 4 2 3" xfId="19371" xr:uid="{56EC96C9-509D-400C-919D-212DC4D85B5F}"/>
    <cellStyle name="Normal 7 4 3 4 4 3" xfId="11824" xr:uid="{A6B36A25-F2E9-4829-80BF-949050D817B5}"/>
    <cellStyle name="Normal 7 4 3 4 4 3 2" xfId="22204" xr:uid="{D93F6B13-0F03-4A69-80D1-F00874B103F5}"/>
    <cellStyle name="Normal 7 4 3 4 4 4" xfId="24951" xr:uid="{98B0EA07-A356-42CD-A364-0F6F4D084560}"/>
    <cellStyle name="Normal 7 4 3 4 4 5" xfId="16538" xr:uid="{C99310B4-52FC-42F8-998B-F83A68E8C447}"/>
    <cellStyle name="Normal 7 4 3 4 5" xfId="5448" xr:uid="{FFA53823-102B-449A-B135-DAA9CE52C2E1}"/>
    <cellStyle name="Normal 7 4 3 4 5 2" xfId="25872" xr:uid="{8547CB7E-A1FF-4B13-951F-A22FF4AE4097}"/>
    <cellStyle name="Normal 7 4 3 4 5 3" xfId="14745" xr:uid="{08FF8EB2-D4DD-4BE1-968D-3CF95B1085D0}"/>
    <cellStyle name="Normal 7 4 3 4 6" xfId="7198" xr:uid="{BAF5CBFF-6980-43EA-959E-43221B798C71}"/>
    <cellStyle name="Normal 7 4 3 4 6 2" xfId="17578" xr:uid="{E0417E85-D902-45ED-850B-BDDDC1EAB10C}"/>
    <cellStyle name="Normal 7 4 3 4 7" xfId="10031" xr:uid="{20E05630-56E6-49F8-B05E-B39E08C74933}"/>
    <cellStyle name="Normal 7 4 3 4 7 2" xfId="20411" xr:uid="{D606B5E7-D6DF-49FB-B867-04950CA47F6F}"/>
    <cellStyle name="Normal 7 4 3 4 8" xfId="22698" xr:uid="{E663FDFE-3056-4B0A-A699-530B605D2EAB}"/>
    <cellStyle name="Normal 7 4 3 4 9" xfId="12793" xr:uid="{EFC20897-F697-4AC5-A1D5-242406207B9D}"/>
    <cellStyle name="Normal 7 4 3 5" xfId="1431" xr:uid="{00000000-0005-0000-0000-00006E070000}"/>
    <cellStyle name="Normal 7 4 3 5 2" xfId="4586" xr:uid="{32AAEC66-C84F-4F4B-9085-09C0EB6273DA}"/>
    <cellStyle name="Normal 7 4 3 5 2 2" xfId="9358" xr:uid="{90B25159-4300-4BCE-8DE3-24844D9CEED2}"/>
    <cellStyle name="Normal 7 4 3 5 2 2 2" xfId="29330" xr:uid="{03391A60-D465-4962-94B1-865E32136359}"/>
    <cellStyle name="Normal 7 4 3 5 2 2 3" xfId="19738" xr:uid="{7B7679F3-5742-44C6-B9DA-6773280A4856}"/>
    <cellStyle name="Normal 7 4 3 5 2 3" xfId="12191" xr:uid="{32F85BC9-45B3-4D52-9F8A-C4B8F058362B}"/>
    <cellStyle name="Normal 7 4 3 5 2 3 2" xfId="22571" xr:uid="{58028893-E889-4500-9A5A-5192B2981EAA}"/>
    <cellStyle name="Normal 7 4 3 5 2 4" xfId="23988" xr:uid="{662E79A0-DCE2-4051-9540-1F063C7A2FF5}"/>
    <cellStyle name="Normal 7 4 3 5 2 5" xfId="16905" xr:uid="{36964F92-B719-4357-928D-C0A9D95E955E}"/>
    <cellStyle name="Normal 7 4 3 5 3" xfId="5449" xr:uid="{55395201-A444-4DAF-8240-6F1A99D8FF91}"/>
    <cellStyle name="Normal 7 4 3 5 3 2" xfId="26343" xr:uid="{96547A6C-7F4D-47A4-936A-437334C9FF4F}"/>
    <cellStyle name="Normal 7 4 3 5 3 3" xfId="14746" xr:uid="{B01B003D-09F0-41A7-9E25-076F0A13C040}"/>
    <cellStyle name="Normal 7 4 3 5 4" xfId="7199" xr:uid="{06444F2C-0374-48A8-8176-B66859AA11CC}"/>
    <cellStyle name="Normal 7 4 3 5 4 2" xfId="17579" xr:uid="{8B888782-6FEA-407C-9DFB-589676603ED3}"/>
    <cellStyle name="Normal 7 4 3 5 5" xfId="10032" xr:uid="{29AAE153-BD0B-4399-9C73-A798C68315C9}"/>
    <cellStyle name="Normal 7 4 3 5 5 2" xfId="20412" xr:uid="{81DDCE17-9BA0-4C95-AE8E-4B670AEA1C3D}"/>
    <cellStyle name="Normal 7 4 3 5 6" xfId="23858" xr:uid="{DA4BEBB2-AFC0-4336-ADD6-7BD0DB116E1A}"/>
    <cellStyle name="Normal 7 4 3 5 7" xfId="14040" xr:uid="{78E0465A-D360-474F-81AB-8916C3666EF8}"/>
    <cellStyle name="Normal 7 4 3 6" xfId="2992" xr:uid="{00000000-0005-0000-0000-000084080000}"/>
    <cellStyle name="Normal 7 4 3 6 2" xfId="6142" xr:uid="{DECB5462-13A0-4971-93E2-67D64097B287}"/>
    <cellStyle name="Normal 7 4 3 6 2 2" xfId="24786" xr:uid="{4763614B-9A15-465F-B4E0-4D5682EEC570}"/>
    <cellStyle name="Normal 7 4 3 6 2 3" xfId="26641" xr:uid="{38E6F481-054E-4951-A4C8-038582470DEC}"/>
    <cellStyle name="Normal 7 4 3 6 2 4" xfId="15620" xr:uid="{CF275B3F-9D0A-467E-8F53-450B4BBB2501}"/>
    <cellStyle name="Normal 7 4 3 6 3" xfId="8073" xr:uid="{684E6C9B-8F1F-4C96-B900-9475A48A6A90}"/>
    <cellStyle name="Normal 7 4 3 6 3 2" xfId="28768" xr:uid="{101FAE63-21CF-4237-B40A-3C0788565985}"/>
    <cellStyle name="Normal 7 4 3 6 3 3" xfId="18453" xr:uid="{4E427ABA-F9E9-499C-9D02-F1D537CD0FCA}"/>
    <cellStyle name="Normal 7 4 3 6 4" xfId="10906" xr:uid="{A10836A0-4C54-4C33-9779-473B3614B4F3}"/>
    <cellStyle name="Normal 7 4 3 6 4 2" xfId="21286" xr:uid="{DA2223B3-1516-44A5-BF6E-D468F9EA8F0A}"/>
    <cellStyle name="Normal 7 4 3 6 5" xfId="24501" xr:uid="{2D2D3BAB-4EE1-40A9-9DAE-9BBDB025D104}"/>
    <cellStyle name="Normal 7 4 3 6 6" xfId="13491" xr:uid="{D8C51755-15E4-4D5D-B33E-C5777ED4CD4D}"/>
    <cellStyle name="Normal 7 4 3 7" xfId="2485" xr:uid="{00000000-0005-0000-0000-000085080000}"/>
    <cellStyle name="Normal 7 4 3 7 2" xfId="5771" xr:uid="{7EC0E344-7771-4C9E-8813-722F72405483}"/>
    <cellStyle name="Normal 7 4 3 7 2 2" xfId="27031" xr:uid="{C4A76B5A-3250-41B6-83CD-0ADFD2DE1444}"/>
    <cellStyle name="Normal 7 4 3 7 2 3" xfId="15157" xr:uid="{607EB0E2-E535-4617-8722-6D0ADED78D08}"/>
    <cellStyle name="Normal 7 4 3 7 3" xfId="7610" xr:uid="{33C3883B-9E2C-4F93-BF03-9232B138A1EE}"/>
    <cellStyle name="Normal 7 4 3 7 3 2" xfId="17990" xr:uid="{67879044-935B-4B97-A03A-E634BCF98FB2}"/>
    <cellStyle name="Normal 7 4 3 7 4" xfId="10443" xr:uid="{C8B9B9BB-45C1-46CC-A234-96C734088617}"/>
    <cellStyle name="Normal 7 4 3 7 4 2" xfId="20823" xr:uid="{1DE6E8F3-B876-42BD-BA32-1791CD97C485}"/>
    <cellStyle name="Normal 7 4 3 7 5" xfId="23068" xr:uid="{0271FA07-948E-446C-9858-16D19FE45933}"/>
    <cellStyle name="Normal 7 4 3 7 6" xfId="12873" xr:uid="{231A3B36-517F-475A-9A76-713D87C84C49}"/>
    <cellStyle name="Normal 7 4 3 8" xfId="2179" xr:uid="{00000000-0005-0000-0000-00006C080000}"/>
    <cellStyle name="Normal 7 4 3 8 2" xfId="7306" xr:uid="{61404530-84D2-4FCC-B79A-40F6D1459624}"/>
    <cellStyle name="Normal 7 4 3 8 2 2" xfId="17686" xr:uid="{0B164E7B-ABA5-4238-BF26-6C01C2A9E63F}"/>
    <cellStyle name="Normal 7 4 3 8 3" xfId="10139" xr:uid="{9D3117D7-E98C-47FF-B117-08F9C3256A30}"/>
    <cellStyle name="Normal 7 4 3 8 3 2" xfId="20519" xr:uid="{90C46BEB-9A72-495F-AF5C-3C849CDBEAB0}"/>
    <cellStyle name="Normal 7 4 3 8 4" xfId="22818" xr:uid="{8043779F-2F38-4DEF-B53C-1493A615375A}"/>
    <cellStyle name="Normal 7 4 3 8 5" xfId="14853" xr:uid="{92C41245-DB38-4685-9AA4-D23501AAEF39}"/>
    <cellStyle name="Normal 7 4 3 9" xfId="4069" xr:uid="{9B83B12B-F037-4973-AB0C-83E137F3CCA4}"/>
    <cellStyle name="Normal 7 4 3 9 2" xfId="8849" xr:uid="{F26D4E52-7049-4504-862C-EDEE61895F5C}"/>
    <cellStyle name="Normal 7 4 3 9 2 2" xfId="19229" xr:uid="{BF60D9B6-3B18-46FC-AF3E-456E390ED4FD}"/>
    <cellStyle name="Normal 7 4 3 9 3" xfId="11682" xr:uid="{5AE3403A-02C3-4D2D-8309-643F1A197D08}"/>
    <cellStyle name="Normal 7 4 3 9 3 2" xfId="22062" xr:uid="{0C78B99F-AD36-4BE1-92A4-14881384F045}"/>
    <cellStyle name="Normal 7 4 3 9 4" xfId="16396" xr:uid="{92F4B5A9-F8D7-426A-A253-1347198AF915}"/>
    <cellStyle name="Normal 7 4 4" xfId="1432" xr:uid="{00000000-0005-0000-0000-00006F070000}"/>
    <cellStyle name="Normal 7 4 4 10" xfId="5450" xr:uid="{E3B89E48-5BD7-4CAB-A493-53FC19BCD894}"/>
    <cellStyle name="Normal 7 4 4 10 2" xfId="14747" xr:uid="{F69FED75-DFAE-48F9-AEF7-F43173D57B3F}"/>
    <cellStyle name="Normal 7 4 4 11" xfId="7200" xr:uid="{450BA93B-30BB-4489-A0C0-4616AAFE258B}"/>
    <cellStyle name="Normal 7 4 4 11 2" xfId="17580" xr:uid="{38E264F0-7759-4EEB-A8BE-79CFD9A7C20A}"/>
    <cellStyle name="Normal 7 4 4 12" xfId="10033" xr:uid="{AFDCE651-09CB-423B-A6E6-CBD55F2B2AFA}"/>
    <cellStyle name="Normal 7 4 4 12 2" xfId="20413" xr:uid="{1DE52EE3-07B5-4308-A5FC-33897D9F665A}"/>
    <cellStyle name="Normal 7 4 4 13" xfId="25346" xr:uid="{ECE91AA8-E135-4F43-A425-BFD3BD91DA6D}"/>
    <cellStyle name="Normal 7 4 4 14" xfId="12418" xr:uid="{91BFECF0-198C-452A-90F5-3BC8E451D944}"/>
    <cellStyle name="Normal 7 4 4 2" xfId="1433" xr:uid="{00000000-0005-0000-0000-000070070000}"/>
    <cellStyle name="Normal 7 4 4 2 10" xfId="7201" xr:uid="{1780B4E2-A429-4928-8711-A8E9D8D7B098}"/>
    <cellStyle name="Normal 7 4 4 2 10 2" xfId="17581" xr:uid="{971BB55E-6229-4B92-8ACF-623834102A83}"/>
    <cellStyle name="Normal 7 4 4 2 11" xfId="10034" xr:uid="{C035D557-3EFF-45F3-BC8F-FDEA512F952C}"/>
    <cellStyle name="Normal 7 4 4 2 11 2" xfId="20414" xr:uid="{C4E67250-1EE6-4C48-A021-E2DE29480886}"/>
    <cellStyle name="Normal 7 4 4 2 12" xfId="23473" xr:uid="{99C65200-6E1C-4865-920A-1AD02BF528B9}"/>
    <cellStyle name="Normal 7 4 4 2 13" xfId="12478" xr:uid="{1787C933-1F9A-474B-94C4-ACF8D47EE646}"/>
    <cellStyle name="Normal 7 4 4 2 2" xfId="1434" xr:uid="{00000000-0005-0000-0000-000071070000}"/>
    <cellStyle name="Normal 7 4 4 2 2 10" xfId="13043" xr:uid="{85D260CD-ECE6-4BDB-B90F-7767C72C53D5}"/>
    <cellStyle name="Normal 7 4 4 2 2 2" xfId="2834" xr:uid="{00000000-0005-0000-0000-000089080000}"/>
    <cellStyle name="Normal 7 4 4 2 2 2 2" xfId="3456" xr:uid="{00000000-0005-0000-0000-00008A080000}"/>
    <cellStyle name="Normal 7 4 4 2 2 2 2 2" xfId="6511" xr:uid="{B0689EE3-D10E-460E-9499-3C1AFF201603}"/>
    <cellStyle name="Normal 7 4 4 2 2 2 2 2 2" xfId="27707" xr:uid="{F87B1CF3-4D27-433F-AEB6-4849FE48B7BE}"/>
    <cellStyle name="Normal 7 4 4 2 2 2 2 2 3" xfId="16082" xr:uid="{09436EDD-7B29-41AF-B1F1-BCEC022D3963}"/>
    <cellStyle name="Normal 7 4 4 2 2 2 2 3" xfId="8535" xr:uid="{8D76F6F3-08D3-4D55-883F-27E1666CE904}"/>
    <cellStyle name="Normal 7 4 4 2 2 2 2 3 2" xfId="18915" xr:uid="{BC115AB2-6628-4205-B78C-F266D4F8CD53}"/>
    <cellStyle name="Normal 7 4 4 2 2 2 2 4" xfId="11368" xr:uid="{A8742545-96B9-4C68-BB6A-E1AEAD17E7C4}"/>
    <cellStyle name="Normal 7 4 4 2 2 2 2 4 2" xfId="21748" xr:uid="{98077CBB-A4A3-4B92-8568-D1EC04E51BCA}"/>
    <cellStyle name="Normal 7 4 4 2 2 2 2 5" xfId="25334" xr:uid="{D866E4A2-C79F-444C-A4E1-DAB3A77704E1}"/>
    <cellStyle name="Normal 7 4 4 2 2 2 2 6" xfId="14043" xr:uid="{1FA1CED8-CA7B-4386-9666-50BF16F6D7AE}"/>
    <cellStyle name="Normal 7 4 4 2 2 2 3" xfId="4370" xr:uid="{0DAD4E56-0B56-42BE-BBA3-FC5733DFFF43}"/>
    <cellStyle name="Normal 7 4 4 2 2 2 3 2" xfId="9142" xr:uid="{105A3B7F-F95A-4D38-AA5A-0218E258D147}"/>
    <cellStyle name="Normal 7 4 4 2 2 2 3 2 2" xfId="29185" xr:uid="{9E197F34-F4F8-449E-BC15-E5F56BE7EE69}"/>
    <cellStyle name="Normal 7 4 4 2 2 2 3 2 3" xfId="19522" xr:uid="{0E93FDFD-73C9-46BA-9CB3-0CF54B0594EB}"/>
    <cellStyle name="Normal 7 4 4 2 2 2 3 3" xfId="11975" xr:uid="{4DAAE4C4-1896-44CD-A007-6C93B672DEB7}"/>
    <cellStyle name="Normal 7 4 4 2 2 2 3 3 2" xfId="22355" xr:uid="{1931F75A-796A-4B3B-89E8-933BD93EAF88}"/>
    <cellStyle name="Normal 7 4 4 2 2 2 3 4" xfId="25558" xr:uid="{072D2D10-7B7D-4B65-BC32-6BFD4E46F379}"/>
    <cellStyle name="Normal 7 4 4 2 2 2 3 5" xfId="16689" xr:uid="{EA5C8DFA-B06A-41F5-9FB1-BEE951D0CF65}"/>
    <cellStyle name="Normal 7 4 4 2 2 2 4" xfId="6050" xr:uid="{9ED16AA7-F360-4202-AB4C-D8C141A8E0C9}"/>
    <cellStyle name="Normal 7 4 4 2 2 2 4 2" xfId="28434" xr:uid="{08334893-4728-4854-B02F-B20CA7ACE106}"/>
    <cellStyle name="Normal 7 4 4 2 2 2 4 3" xfId="15504" xr:uid="{E45DE93C-3E44-4B63-8658-F9BF77A3F236}"/>
    <cellStyle name="Normal 7 4 4 2 2 2 5" xfId="7957" xr:uid="{B44D6036-ED79-4F4A-B1EB-626F643EB465}"/>
    <cellStyle name="Normal 7 4 4 2 2 2 5 2" xfId="18337" xr:uid="{B9EB0688-D67C-43ED-8CF5-A010D5608565}"/>
    <cellStyle name="Normal 7 4 4 2 2 2 6" xfId="10790" xr:uid="{2C09063D-25A9-413E-8F72-31835EC2AABA}"/>
    <cellStyle name="Normal 7 4 4 2 2 2 6 2" xfId="21170" xr:uid="{FDDA696B-39FC-44CD-BEFC-D8925BB1D484}"/>
    <cellStyle name="Normal 7 4 4 2 2 2 7" xfId="23132" xr:uid="{EE77D4BC-B01A-4857-8FD9-A3277F61286D}"/>
    <cellStyle name="Normal 7 4 4 2 2 2 8" xfId="13310" xr:uid="{D7EA7EE7-B82D-4043-8A0B-B0E6CF6892C8}"/>
    <cellStyle name="Normal 7 4 4 2 2 3" xfId="3457" xr:uid="{00000000-0005-0000-0000-00008B080000}"/>
    <cellStyle name="Normal 7 4 4 2 2 3 2" xfId="4587" xr:uid="{0A2EBD96-5343-4C53-A307-37B25ADC726E}"/>
    <cellStyle name="Normal 7 4 4 2 2 3 2 2" xfId="9359" xr:uid="{B7D332E5-2E09-4014-96B1-2C5C2738B2E4}"/>
    <cellStyle name="Normal 7 4 4 2 2 3 2 2 2" xfId="19739" xr:uid="{FFBD64CA-DA1C-4BB5-9282-DF6B817BD172}"/>
    <cellStyle name="Normal 7 4 4 2 2 3 2 3" xfId="12192" xr:uid="{2B77A7CA-EE70-44B3-8F8B-94F9305BBC2A}"/>
    <cellStyle name="Normal 7 4 4 2 2 3 2 3 2" xfId="22572" xr:uid="{18C8B68B-75B3-48CA-82A5-BD04641DB0F0}"/>
    <cellStyle name="Normal 7 4 4 2 2 3 2 4" xfId="28440" xr:uid="{371F78E5-887F-4666-B682-8E8898BBF52B}"/>
    <cellStyle name="Normal 7 4 4 2 2 3 2 5" xfId="16906" xr:uid="{B51432E6-24D0-4EB4-8058-909E6B13D686}"/>
    <cellStyle name="Normal 7 4 4 2 2 3 3" xfId="6512" xr:uid="{EBFEE145-7C44-4FEA-A424-560480DD22B9}"/>
    <cellStyle name="Normal 7 4 4 2 2 3 3 2" xfId="16083" xr:uid="{AC61386E-B397-4853-83DC-5AF087868306}"/>
    <cellStyle name="Normal 7 4 4 2 2 3 4" xfId="8536" xr:uid="{FDE0BA1F-9267-4564-94C9-C081213DD651}"/>
    <cellStyle name="Normal 7 4 4 2 2 3 4 2" xfId="18916" xr:uid="{1BE319B7-4E1A-4DCB-9664-0E818A5C84CD}"/>
    <cellStyle name="Normal 7 4 4 2 2 3 5" xfId="11369" xr:uid="{D0543F52-B8AC-4B37-819C-9DD0F9F23915}"/>
    <cellStyle name="Normal 7 4 4 2 2 3 5 2" xfId="21749" xr:uid="{C2548F04-A02E-4CD9-AAD1-D362474D311D}"/>
    <cellStyle name="Normal 7 4 4 2 2 3 6" xfId="23054" xr:uid="{001E25AE-D7A2-415C-A238-CF147CEF1ED8}"/>
    <cellStyle name="Normal 7 4 4 2 2 3 7" xfId="14044" xr:uid="{9A645B1E-FA20-4A76-94D7-27A4F1B0F564}"/>
    <cellStyle name="Normal 7 4 4 2 2 4" xfId="3455" xr:uid="{00000000-0005-0000-0000-00008C080000}"/>
    <cellStyle name="Normal 7 4 4 2 2 4 2" xfId="6510" xr:uid="{DB8979AA-4BDB-435B-A2C3-7F281B79A5DB}"/>
    <cellStyle name="Normal 7 4 4 2 2 4 2 2" xfId="27625" xr:uid="{1364445D-4378-4F8B-8E18-5CA8A1B837D2}"/>
    <cellStyle name="Normal 7 4 4 2 2 4 2 3" xfId="16081" xr:uid="{AE9BD2D5-10BC-4B9B-B911-5F91E53CB1D2}"/>
    <cellStyle name="Normal 7 4 4 2 2 4 3" xfId="8534" xr:uid="{AB089DE0-4D9C-4850-ABE7-B6F9056C3B5A}"/>
    <cellStyle name="Normal 7 4 4 2 2 4 3 2" xfId="18914" xr:uid="{088AB71F-1714-47EF-B619-63A0C5103E0F}"/>
    <cellStyle name="Normal 7 4 4 2 2 4 4" xfId="11367" xr:uid="{E6788041-E3DF-4264-B2C2-F3EB8F695F17}"/>
    <cellStyle name="Normal 7 4 4 2 2 4 4 2" xfId="21747" xr:uid="{F513B7B1-0713-491D-922C-7C02520EB424}"/>
    <cellStyle name="Normal 7 4 4 2 2 4 5" xfId="24473" xr:uid="{BD33F25E-4D01-43E2-A79E-DACF017A302B}"/>
    <cellStyle name="Normal 7 4 4 2 2 4 6" xfId="14042" xr:uid="{AA518B72-551D-49FF-97B6-5F5E268E2048}"/>
    <cellStyle name="Normal 7 4 4 2 2 5" xfId="4244" xr:uid="{6424EC82-10A1-42F5-9FFA-D6F9DA223917}"/>
    <cellStyle name="Normal 7 4 4 2 2 5 2" xfId="9016" xr:uid="{C0A51B5F-A418-46AF-81D2-8B163386F866}"/>
    <cellStyle name="Normal 7 4 4 2 2 5 2 2" xfId="29087" xr:uid="{7EBFC413-0B91-49A7-BDAD-66B27BE1A561}"/>
    <cellStyle name="Normal 7 4 4 2 2 5 2 3" xfId="19396" xr:uid="{13EEF0C0-7C9E-4888-9368-D49232433AAC}"/>
    <cellStyle name="Normal 7 4 4 2 2 5 3" xfId="11849" xr:uid="{CC1BFE65-A6EB-4675-B539-0C46A4A8B8A0}"/>
    <cellStyle name="Normal 7 4 4 2 2 5 3 2" xfId="22229" xr:uid="{2C82E1B6-16C8-4636-AE8B-2C290E7D2D6E}"/>
    <cellStyle name="Normal 7 4 4 2 2 5 4" xfId="23101" xr:uid="{B184A7CB-64E8-4552-9480-71A0B3794C87}"/>
    <cellStyle name="Normal 7 4 4 2 2 5 5" xfId="16563" xr:uid="{35234B4C-12F7-43EA-BCE1-C58380744C48}"/>
    <cellStyle name="Normal 7 4 4 2 2 6" xfId="5452" xr:uid="{C937A26F-B1D4-4453-9186-D297675A8C84}"/>
    <cellStyle name="Normal 7 4 4 2 2 6 2" xfId="26124" xr:uid="{C4976971-ADAE-423B-AE09-1C6B9BD6BE9E}"/>
    <cellStyle name="Normal 7 4 4 2 2 6 3" xfId="14749" xr:uid="{2AFE0F13-E501-4D26-96E0-F1BDEF3312A4}"/>
    <cellStyle name="Normal 7 4 4 2 2 7" xfId="7202" xr:uid="{C07BAA99-A4AD-40A8-8A24-D840DC98A042}"/>
    <cellStyle name="Normal 7 4 4 2 2 7 2" xfId="17582" xr:uid="{87D137C4-F41A-4C53-BD2A-2A75BD6A7E74}"/>
    <cellStyle name="Normal 7 4 4 2 2 8" xfId="10035" xr:uid="{2E0ADCB0-F339-4F9E-8A5D-752AB01A92F3}"/>
    <cellStyle name="Normal 7 4 4 2 2 8 2" xfId="20415" xr:uid="{6B75B93F-10E8-49C0-950C-F9A78D9836EF}"/>
    <cellStyle name="Normal 7 4 4 2 2 9" xfId="24460" xr:uid="{73C2BF4B-6624-44F6-8D87-B3A3255B3196}"/>
    <cellStyle name="Normal 7 4 4 2 3" xfId="2833" xr:uid="{00000000-0005-0000-0000-00008D080000}"/>
    <cellStyle name="Normal 7 4 4 2 3 2" xfId="3458" xr:uid="{00000000-0005-0000-0000-00008E080000}"/>
    <cellStyle name="Normal 7 4 4 2 3 2 2" xfId="6513" xr:uid="{34236F50-C037-4F8D-B6B2-6F0363CB5844}"/>
    <cellStyle name="Normal 7 4 4 2 3 2 2 2" xfId="28486" xr:uid="{339F1BE5-9433-44FE-A763-3AF771840D39}"/>
    <cellStyle name="Normal 7 4 4 2 3 2 2 3" xfId="16084" xr:uid="{61EB5AE0-87F8-4BF5-B28C-B790D2F2AC84}"/>
    <cellStyle name="Normal 7 4 4 2 3 2 3" xfId="8537" xr:uid="{650E8CFB-2725-44A8-89A1-D7BA0FE2923E}"/>
    <cellStyle name="Normal 7 4 4 2 3 2 3 2" xfId="18917" xr:uid="{91C5B97E-2457-4587-9FA5-4B5E372B5DCA}"/>
    <cellStyle name="Normal 7 4 4 2 3 2 4" xfId="11370" xr:uid="{DA7DFC6C-B0AC-4C3E-A861-98A860641B96}"/>
    <cellStyle name="Normal 7 4 4 2 3 2 4 2" xfId="21750" xr:uid="{C6B46EAB-3A80-43F7-B514-D3D782DCE271}"/>
    <cellStyle name="Normal 7 4 4 2 3 2 5" xfId="24499" xr:uid="{D8A95826-72A8-43FF-BD71-35E9BCBFCE99}"/>
    <cellStyle name="Normal 7 4 4 2 3 2 6" xfId="14045" xr:uid="{79DA3B40-853C-4D18-8FE6-C40E89EF19E0}"/>
    <cellStyle name="Normal 7 4 4 2 3 3" xfId="4369" xr:uid="{5718650D-9B49-4598-94A3-96C121F7519F}"/>
    <cellStyle name="Normal 7 4 4 2 3 3 2" xfId="9141" xr:uid="{50B08A76-5F8B-479D-99B5-B4F20FA5D439}"/>
    <cellStyle name="Normal 7 4 4 2 3 3 2 2" xfId="29184" xr:uid="{61F201DD-B55C-4156-A085-167C97EE008E}"/>
    <cellStyle name="Normal 7 4 4 2 3 3 2 3" xfId="19521" xr:uid="{DC5B0B79-D730-4828-98F9-CC47A1978333}"/>
    <cellStyle name="Normal 7 4 4 2 3 3 3" xfId="11974" xr:uid="{28D945B7-1103-47D4-A6EB-162A9E1A71DA}"/>
    <cellStyle name="Normal 7 4 4 2 3 3 3 2" xfId="22354" xr:uid="{E65617C7-B9F8-476B-8BF2-97882EAC814A}"/>
    <cellStyle name="Normal 7 4 4 2 3 3 4" xfId="23056" xr:uid="{3C537B82-AA9A-467F-ACA3-8F8ED612691F}"/>
    <cellStyle name="Normal 7 4 4 2 3 3 5" xfId="16688" xr:uid="{B7C056BC-24CF-4E2A-9F1C-4734D38A5989}"/>
    <cellStyle name="Normal 7 4 4 2 3 4" xfId="6049" xr:uid="{8614F297-A17E-4D0E-870D-3711AD73852B}"/>
    <cellStyle name="Normal 7 4 4 2 3 4 2" xfId="27642" xr:uid="{BA3C52BA-3AC7-4896-92F9-7A7300903EC5}"/>
    <cellStyle name="Normal 7 4 4 2 3 4 3" xfId="15503" xr:uid="{2876EE0A-FAFE-4DB0-A291-825A606682A6}"/>
    <cellStyle name="Normal 7 4 4 2 3 5" xfId="7956" xr:uid="{DB2DE750-5190-4404-B65E-67182576AD24}"/>
    <cellStyle name="Normal 7 4 4 2 3 5 2" xfId="18336" xr:uid="{882DBBCA-7C96-4DDE-A6C7-39C2E96C92ED}"/>
    <cellStyle name="Normal 7 4 4 2 3 6" xfId="10789" xr:uid="{45FA64DC-7A4B-4A17-9FB9-EAE8C4D295C8}"/>
    <cellStyle name="Normal 7 4 4 2 3 6 2" xfId="21169" xr:uid="{D2095383-C4E5-473E-A330-898A2D163753}"/>
    <cellStyle name="Normal 7 4 4 2 3 7" xfId="22897" xr:uid="{A02929AC-6E9B-44A5-80F6-0B24F1028588}"/>
    <cellStyle name="Normal 7 4 4 2 3 8" xfId="13309" xr:uid="{5B80B824-8D58-4B5C-AE5C-EDE867B145B7}"/>
    <cellStyle name="Normal 7 4 4 2 4" xfId="3459" xr:uid="{00000000-0005-0000-0000-00008F080000}"/>
    <cellStyle name="Normal 7 4 4 2 4 2" xfId="4588" xr:uid="{EB627D3D-2681-4252-9B95-0E8D4C27F3C3}"/>
    <cellStyle name="Normal 7 4 4 2 4 2 2" xfId="9360" xr:uid="{1C290444-83FC-41FC-B6A0-8BFA93D20B08}"/>
    <cellStyle name="Normal 7 4 4 2 4 2 2 2" xfId="19740" xr:uid="{0F8BD4ED-A530-4B81-8098-D4E0E51C95B1}"/>
    <cellStyle name="Normal 7 4 4 2 4 2 3" xfId="12193" xr:uid="{236D53CA-13DE-41CD-B516-3C2D9C7EACBB}"/>
    <cellStyle name="Normal 7 4 4 2 4 2 3 2" xfId="22573" xr:uid="{7BFB50A7-875F-418A-AF09-1025B45772EF}"/>
    <cellStyle name="Normal 7 4 4 2 4 2 4" xfId="25978" xr:uid="{D9B52417-CCBE-49AE-B848-B57D3E63404E}"/>
    <cellStyle name="Normal 7 4 4 2 4 2 5" xfId="16907" xr:uid="{517A41E9-BAC1-4FCE-BFF1-D519FE74BAC8}"/>
    <cellStyle name="Normal 7 4 4 2 4 3" xfId="6514" xr:uid="{715B2ACF-BA4F-4DF4-A8D1-52A2E092DDE9}"/>
    <cellStyle name="Normal 7 4 4 2 4 3 2" xfId="16085" xr:uid="{0D8CF97E-21EB-4AC7-A2BA-9764C4015C9E}"/>
    <cellStyle name="Normal 7 4 4 2 4 4" xfId="8538" xr:uid="{A22FAA5C-A938-4B0B-9F88-ACABAE0B73A9}"/>
    <cellStyle name="Normal 7 4 4 2 4 4 2" xfId="18918" xr:uid="{D9A5A6CF-640A-43A0-9D79-261DAED40A5C}"/>
    <cellStyle name="Normal 7 4 4 2 4 5" xfId="11371" xr:uid="{265CEEB0-A996-4D92-8966-842C11952763}"/>
    <cellStyle name="Normal 7 4 4 2 4 5 2" xfId="21751" xr:uid="{16F38D62-10F3-4B07-B1CE-B2AD6A5F059C}"/>
    <cellStyle name="Normal 7 4 4 2 4 6" xfId="22707" xr:uid="{68B1762D-D6C1-4593-8ADC-EC870A07BDF8}"/>
    <cellStyle name="Normal 7 4 4 2 4 7" xfId="14046" xr:uid="{12A4D8A0-42B0-4D28-B709-D35887FE31D9}"/>
    <cellStyle name="Normal 7 4 4 2 5" xfId="3454" xr:uid="{00000000-0005-0000-0000-000090080000}"/>
    <cellStyle name="Normal 7 4 4 2 5 2" xfId="6509" xr:uid="{71442CDA-8704-465A-9E78-1DF9673FDA59}"/>
    <cellStyle name="Normal 7 4 4 2 5 2 2" xfId="26471" xr:uid="{7968241E-6B5D-4F67-9009-FAA894F99D23}"/>
    <cellStyle name="Normal 7 4 4 2 5 2 3" xfId="16080" xr:uid="{F0CB1509-292A-48DF-97E6-9585DCB4F1B9}"/>
    <cellStyle name="Normal 7 4 4 2 5 3" xfId="8533" xr:uid="{0AAAFE54-847A-489F-AF1C-63C13B231E16}"/>
    <cellStyle name="Normal 7 4 4 2 5 3 2" xfId="18913" xr:uid="{A7AE5073-9934-4218-95BB-4C13A6598B37}"/>
    <cellStyle name="Normal 7 4 4 2 5 4" xfId="11366" xr:uid="{A9D3F44A-5F53-4F95-B187-DB99A473ACC0}"/>
    <cellStyle name="Normal 7 4 4 2 5 4 2" xfId="21746" xr:uid="{11B55F38-7F1C-4A4E-B4E8-833C6941F2AB}"/>
    <cellStyle name="Normal 7 4 4 2 5 5" xfId="25096" xr:uid="{3AB56816-3174-4584-B530-8EBDB09C1D5E}"/>
    <cellStyle name="Normal 7 4 4 2 5 6" xfId="14041" xr:uid="{81C8A64A-C038-4D7B-B98F-C8EAF384ECC4}"/>
    <cellStyle name="Normal 7 4 4 2 6" xfId="2552" xr:uid="{00000000-0005-0000-0000-000091080000}"/>
    <cellStyle name="Normal 7 4 4 2 6 2" xfId="5824" xr:uid="{F20CE6BA-12C7-4C14-A008-A15032D5A25B}"/>
    <cellStyle name="Normal 7 4 4 2 6 2 2" xfId="27587" xr:uid="{5BEA6F7A-80FC-4FFF-AAE9-237450D76ED5}"/>
    <cellStyle name="Normal 7 4 4 2 6 2 3" xfId="15224" xr:uid="{F90B9A98-A7E6-451C-8BAE-57C7F3A42DEA}"/>
    <cellStyle name="Normal 7 4 4 2 6 3" xfId="7677" xr:uid="{F23C6D6B-CF8D-40E4-A892-EFCF66043F69}"/>
    <cellStyle name="Normal 7 4 4 2 6 3 2" xfId="18057" xr:uid="{AFF8699B-7BCE-4E04-82FD-282E7A9342F1}"/>
    <cellStyle name="Normal 7 4 4 2 6 4" xfId="10510" xr:uid="{0D24AE76-6568-4B47-8025-7FA3A808C65A}"/>
    <cellStyle name="Normal 7 4 4 2 6 4 2" xfId="20890" xr:uid="{86768A89-C52D-46AE-9800-33A4FE29CFD8}"/>
    <cellStyle name="Normal 7 4 4 2 6 5" xfId="24200" xr:uid="{91F6AB87-A6E4-486E-A0B5-0D2DA2143D03}"/>
    <cellStyle name="Normal 7 4 4 2 6 6" xfId="12940" xr:uid="{C866F9FC-8C70-4F91-A275-BC83D5C86989}"/>
    <cellStyle name="Normal 7 4 4 2 7" xfId="2246" xr:uid="{00000000-0005-0000-0000-000087080000}"/>
    <cellStyle name="Normal 7 4 4 2 7 2" xfId="7373" xr:uid="{26283281-5ABF-482D-B5B3-127F8E984BFF}"/>
    <cellStyle name="Normal 7 4 4 2 7 2 2" xfId="17753" xr:uid="{2A060D8B-9545-4E67-BD93-DE0D9596E7FB}"/>
    <cellStyle name="Normal 7 4 4 2 7 3" xfId="10206" xr:uid="{F58D38A8-DBD8-41D8-AF5C-8D0538519E16}"/>
    <cellStyle name="Normal 7 4 4 2 7 3 2" xfId="20586" xr:uid="{5E0907C3-349F-4D28-A9D8-857AE3176668}"/>
    <cellStyle name="Normal 7 4 4 2 7 4" xfId="22753" xr:uid="{FD00B7D4-3539-4198-9907-1464487681AC}"/>
    <cellStyle name="Normal 7 4 4 2 7 5" xfId="14920" xr:uid="{BA2D0341-9462-4C2B-AF9D-67FB8C251BA0}"/>
    <cellStyle name="Normal 7 4 4 2 8" xfId="3799" xr:uid="{DAA32352-6BAD-430F-9A17-F7EF7AB6614A}"/>
    <cellStyle name="Normal 7 4 4 2 8 2" xfId="8635" xr:uid="{CD6C34D6-6911-49EF-B3EA-F852754DDF1F}"/>
    <cellStyle name="Normal 7 4 4 2 8 2 2" xfId="19015" xr:uid="{F97DB3D1-9FE7-40C0-8B08-55F2D4C221F4}"/>
    <cellStyle name="Normal 7 4 4 2 8 3" xfId="11468" xr:uid="{FCEA4E2D-C2D2-4663-92A4-343D02BD1178}"/>
    <cellStyle name="Normal 7 4 4 2 8 3 2" xfId="21848" xr:uid="{E050C544-35DC-4BD0-BCB9-42DCBE06AECA}"/>
    <cellStyle name="Normal 7 4 4 2 8 4" xfId="16182" xr:uid="{EC44B864-D532-4297-BAE3-94C32EBC660A}"/>
    <cellStyle name="Normal 7 4 4 2 9" xfId="5451" xr:uid="{EE4BCC74-C422-439B-AD8A-2B512A0795F4}"/>
    <cellStyle name="Normal 7 4 4 2 9 2" xfId="14748" xr:uid="{F516A8B1-8CC9-4949-9E5F-848D22370AAE}"/>
    <cellStyle name="Normal 7 4 4 3" xfId="1435" xr:uid="{00000000-0005-0000-0000-000072070000}"/>
    <cellStyle name="Normal 7 4 4 3 10" xfId="10036" xr:uid="{0AD9C01A-7272-4FE1-A52F-22B7BBD12FF2}"/>
    <cellStyle name="Normal 7 4 4 3 10 2" xfId="20416" xr:uid="{36F7C331-6751-4B69-8C0D-AB4B7C300153}"/>
    <cellStyle name="Normal 7 4 4 3 11" xfId="24032" xr:uid="{BA681105-BE24-4BB5-8D87-F19F049BCC02}"/>
    <cellStyle name="Normal 7 4 4 3 12" xfId="12637" xr:uid="{99999AEE-47FD-4FA7-8FD4-45B02F09CBEB}"/>
    <cellStyle name="Normal 7 4 4 3 2" xfId="2835" xr:uid="{00000000-0005-0000-0000-000093080000}"/>
    <cellStyle name="Normal 7 4 4 3 2 2" xfId="3461" xr:uid="{00000000-0005-0000-0000-000094080000}"/>
    <cellStyle name="Normal 7 4 4 3 2 2 2" xfId="6516" xr:uid="{034D1EAC-D921-43B0-9889-CD6826907649}"/>
    <cellStyle name="Normal 7 4 4 3 2 2 2 2" xfId="28680" xr:uid="{053950AF-9542-4417-9943-2597D0C02EBD}"/>
    <cellStyle name="Normal 7 4 4 3 2 2 2 3" xfId="16087" xr:uid="{D1C17C96-AF36-4CC9-96B3-454480DA749B}"/>
    <cellStyle name="Normal 7 4 4 3 2 2 3" xfId="8540" xr:uid="{986437B4-FBB8-4F2F-BB70-FA6454ADB463}"/>
    <cellStyle name="Normal 7 4 4 3 2 2 3 2" xfId="18920" xr:uid="{4C575817-6CB8-496D-BF09-ABB4A9CF2DCD}"/>
    <cellStyle name="Normal 7 4 4 3 2 2 4" xfId="11373" xr:uid="{54F9B92A-66AA-45B3-866D-B16A31EC942C}"/>
    <cellStyle name="Normal 7 4 4 3 2 2 4 2" xfId="21753" xr:uid="{2502CA8E-522F-42A9-B245-AF35E3C98EA0}"/>
    <cellStyle name="Normal 7 4 4 3 2 2 5" xfId="23907" xr:uid="{1D2E9EE8-F643-4313-AF75-E46F10BE5FC2}"/>
    <cellStyle name="Normal 7 4 4 3 2 2 6" xfId="14048" xr:uid="{C13405EC-5891-4A8E-8B7C-BC6D51C259A8}"/>
    <cellStyle name="Normal 7 4 4 3 2 3" xfId="4371" xr:uid="{0659832D-C1DD-467F-B7B6-1FE42F2F2940}"/>
    <cellStyle name="Normal 7 4 4 3 2 3 2" xfId="9143" xr:uid="{E6B3A5D8-7DA3-45F9-9942-9F0A3EF5ABB4}"/>
    <cellStyle name="Normal 7 4 4 3 2 3 2 2" xfId="29186" xr:uid="{BB606388-E4A1-42F9-9CF4-70216C3CF050}"/>
    <cellStyle name="Normal 7 4 4 3 2 3 2 3" xfId="19523" xr:uid="{EDFCAAEA-3CFC-4FDC-99F1-1183F7FC1430}"/>
    <cellStyle name="Normal 7 4 4 3 2 3 3" xfId="11976" xr:uid="{E656D6CD-A3F3-4801-985F-D85295FA1C57}"/>
    <cellStyle name="Normal 7 4 4 3 2 3 3 2" xfId="22356" xr:uid="{5155C7CA-726A-4A03-988F-9D04AEDE7B53}"/>
    <cellStyle name="Normal 7 4 4 3 2 3 4" xfId="23313" xr:uid="{FF037F3A-C9EE-4789-8D8F-16D1F83D2BA6}"/>
    <cellStyle name="Normal 7 4 4 3 2 3 5" xfId="16690" xr:uid="{8113FA6A-9C2B-46E4-9489-643A315959DF}"/>
    <cellStyle name="Normal 7 4 4 3 2 4" xfId="6051" xr:uid="{DE932555-5864-4A68-B63A-46AF8A2B591A}"/>
    <cellStyle name="Normal 7 4 4 3 2 4 2" xfId="28607" xr:uid="{E8D0DB87-9700-4EAB-990B-2381980AF999}"/>
    <cellStyle name="Normal 7 4 4 3 2 4 3" xfId="15505" xr:uid="{675359B0-1C01-40AA-B61F-9A4003C9AC56}"/>
    <cellStyle name="Normal 7 4 4 3 2 5" xfId="7958" xr:uid="{49DF7570-FCF9-426A-8F55-B6D9CDC1FB76}"/>
    <cellStyle name="Normal 7 4 4 3 2 5 2" xfId="18338" xr:uid="{4CFF227B-804B-4CC6-83BE-B35A6B8DAFBA}"/>
    <cellStyle name="Normal 7 4 4 3 2 6" xfId="10791" xr:uid="{04644EAF-96E5-4873-9266-32AAE5E3774A}"/>
    <cellStyle name="Normal 7 4 4 3 2 6 2" xfId="21171" xr:uid="{C81BB689-44C1-4D2A-82D1-C28D0552B0D8}"/>
    <cellStyle name="Normal 7 4 4 3 2 7" xfId="24868" xr:uid="{807E4EA1-9D04-4E45-83F2-68B50B7A8515}"/>
    <cellStyle name="Normal 7 4 4 3 2 8" xfId="13311" xr:uid="{BD10ACE1-8FCF-4488-A07D-D7342DFEBAD6}"/>
    <cellStyle name="Normal 7 4 4 3 3" xfId="3462" xr:uid="{00000000-0005-0000-0000-000095080000}"/>
    <cellStyle name="Normal 7 4 4 3 3 2" xfId="4589" xr:uid="{A474941C-FDE8-462E-80AC-1AEBB47CFAA8}"/>
    <cellStyle name="Normal 7 4 4 3 3 2 2" xfId="9361" xr:uid="{8C1074CE-37B7-4913-A6FF-6C6D691F1ED5}"/>
    <cellStyle name="Normal 7 4 4 3 3 2 2 2" xfId="29331" xr:uid="{A451520F-E369-4C5D-9818-8B2B69613E76}"/>
    <cellStyle name="Normal 7 4 4 3 3 2 2 3" xfId="19741" xr:uid="{9F6772C3-147C-42B4-9790-4925794F556E}"/>
    <cellStyle name="Normal 7 4 4 3 3 2 3" xfId="12194" xr:uid="{231DC338-AEDB-4BF9-A826-BC73AD859B1C}"/>
    <cellStyle name="Normal 7 4 4 3 3 2 3 2" xfId="22574" xr:uid="{092FBB8C-4A28-4367-B46E-126423D2A717}"/>
    <cellStyle name="Normal 7 4 4 3 3 2 4" xfId="25336" xr:uid="{0987B2FE-3244-4645-A112-18F593F4BCFA}"/>
    <cellStyle name="Normal 7 4 4 3 3 2 5" xfId="16908" xr:uid="{67B67DB3-2EDC-4FB1-868F-EDBA5B21871B}"/>
    <cellStyle name="Normal 7 4 4 3 3 3" xfId="6517" xr:uid="{AC414C89-6E7D-4392-B1CC-1E182DA39C3D}"/>
    <cellStyle name="Normal 7 4 4 3 3 3 2" xfId="28409" xr:uid="{8DBF70E8-8A8F-4CCD-83F2-87CABD6C61ED}"/>
    <cellStyle name="Normal 7 4 4 3 3 3 3" xfId="16088" xr:uid="{037F70C4-A8F5-46D9-9E67-E1D66CF33B36}"/>
    <cellStyle name="Normal 7 4 4 3 3 4" xfId="8541" xr:uid="{CFABD363-A6D3-452D-930E-013BC2326696}"/>
    <cellStyle name="Normal 7 4 4 3 3 4 2" xfId="18921" xr:uid="{55E0E2B5-57F9-4C00-9C63-80DB3467B08E}"/>
    <cellStyle name="Normal 7 4 4 3 3 5" xfId="11374" xr:uid="{BAEB42AC-B1BC-4DBE-B93C-B07B4FF468F7}"/>
    <cellStyle name="Normal 7 4 4 3 3 5 2" xfId="21754" xr:uid="{08795ADC-573E-43A9-A426-73BD16C606C4}"/>
    <cellStyle name="Normal 7 4 4 3 3 6" xfId="25143" xr:uid="{C7CCA1E3-02D1-4BB8-AD9F-084A8C76BBD2}"/>
    <cellStyle name="Normal 7 4 4 3 3 7" xfId="14049" xr:uid="{6C3CDA8A-5BA2-48C0-82AD-A38D7AA7E568}"/>
    <cellStyle name="Normal 7 4 4 3 4" xfId="3460" xr:uid="{00000000-0005-0000-0000-000096080000}"/>
    <cellStyle name="Normal 7 4 4 3 4 2" xfId="6515" xr:uid="{F9090B4D-F3CC-4F61-8095-3B8BE0779478}"/>
    <cellStyle name="Normal 7 4 4 3 4 2 2" xfId="26422" xr:uid="{D379E330-4095-4BDC-97F3-0ADCF8EECFBB}"/>
    <cellStyle name="Normal 7 4 4 3 4 2 3" xfId="16086" xr:uid="{D375E2F8-E8AE-4EEF-8ED1-BBDAD5360910}"/>
    <cellStyle name="Normal 7 4 4 3 4 3" xfId="8539" xr:uid="{A18FDA77-F04D-4DF8-A347-B24A599E4CFD}"/>
    <cellStyle name="Normal 7 4 4 3 4 3 2" xfId="18919" xr:uid="{88DD5590-8B64-4490-8E7C-9C0CAEA6849D}"/>
    <cellStyle name="Normal 7 4 4 3 4 4" xfId="11372" xr:uid="{524758A7-14DA-41D6-9A4A-6D4F48CE43A8}"/>
    <cellStyle name="Normal 7 4 4 3 4 4 2" xfId="21752" xr:uid="{2385AD1A-2651-4DD3-A382-D510A661377B}"/>
    <cellStyle name="Normal 7 4 4 3 4 5" xfId="23402" xr:uid="{76C33ED5-E615-4081-8154-0EFD014530B6}"/>
    <cellStyle name="Normal 7 4 4 3 4 6" xfId="14047" xr:uid="{A7C35981-5852-4505-AB7C-66BF7BBD2B18}"/>
    <cellStyle name="Normal 7 4 4 3 5" xfId="2595" xr:uid="{00000000-0005-0000-0000-000097080000}"/>
    <cellStyle name="Normal 7 4 4 3 5 2" xfId="5860" xr:uid="{F2599C98-B9A0-4118-9CE8-33021C6A6B6D}"/>
    <cellStyle name="Normal 7 4 4 3 5 2 2" xfId="27146" xr:uid="{76DC0338-C8F7-4BB1-A594-E523882A8B15}"/>
    <cellStyle name="Normal 7 4 4 3 5 2 3" xfId="15267" xr:uid="{5F33D464-7C8E-4DD5-9456-6D815C1F9100}"/>
    <cellStyle name="Normal 7 4 4 3 5 3" xfId="7720" xr:uid="{AFEF6897-243C-497C-A883-74FDF5E5B904}"/>
    <cellStyle name="Normal 7 4 4 3 5 3 2" xfId="18100" xr:uid="{943B9694-A54A-4FC0-BE14-C5768314675A}"/>
    <cellStyle name="Normal 7 4 4 3 5 4" xfId="10553" xr:uid="{A4072F29-C570-459A-B51F-E90C79C94AAA}"/>
    <cellStyle name="Normal 7 4 4 3 5 4 2" xfId="20933" xr:uid="{8051ED48-CFA2-4EF5-B914-29BDD6F917FF}"/>
    <cellStyle name="Normal 7 4 4 3 5 5" xfId="25264" xr:uid="{29DE1F0B-1A51-499B-8642-4715FCB8BDB9}"/>
    <cellStyle name="Normal 7 4 4 3 5 6" xfId="12983" xr:uid="{CB99174D-2904-4DB9-8D7E-5ED794E6D756}"/>
    <cellStyle name="Normal 7 4 4 3 6" xfId="2403" xr:uid="{00000000-0005-0000-0000-000092080000}"/>
    <cellStyle name="Normal 7 4 4 3 6 2" xfId="7530" xr:uid="{22B55CE2-FDBF-4440-B37F-3513AA4B2DB5}"/>
    <cellStyle name="Normal 7 4 4 3 6 2 2" xfId="17910" xr:uid="{00E4EC6B-257D-4D6E-B791-8B8C924B17E9}"/>
    <cellStyle name="Normal 7 4 4 3 6 3" xfId="10363" xr:uid="{1D14EC35-D8CD-41E6-A37C-78351754AA0E}"/>
    <cellStyle name="Normal 7 4 4 3 6 3 2" xfId="20743" xr:uid="{18DCC22E-5D92-407D-848C-517E166002DE}"/>
    <cellStyle name="Normal 7 4 4 3 6 4" xfId="23351" xr:uid="{6059F81A-D840-4902-B026-ABAEFA6A9F0B}"/>
    <cellStyle name="Normal 7 4 4 3 6 5" xfId="15077" xr:uid="{4D55F934-1FFC-4396-9F31-6D84758483DD}"/>
    <cellStyle name="Normal 7 4 4 3 7" xfId="4103" xr:uid="{6A1C0A1D-511F-4E74-B247-18BCDAE310FC}"/>
    <cellStyle name="Normal 7 4 4 3 7 2" xfId="8877" xr:uid="{27E6B2CE-1AFD-4862-9E16-5BF29D5C5909}"/>
    <cellStyle name="Normal 7 4 4 3 7 2 2" xfId="19257" xr:uid="{824FCCF6-6BC4-4C86-AB05-99C7ABE84B42}"/>
    <cellStyle name="Normal 7 4 4 3 7 3" xfId="11710" xr:uid="{05DB735E-454B-4105-88B9-5CC241F5CCCB}"/>
    <cellStyle name="Normal 7 4 4 3 7 3 2" xfId="22090" xr:uid="{81AFA6DA-3E88-4DB8-90F1-7319E912E8F2}"/>
    <cellStyle name="Normal 7 4 4 3 7 4" xfId="16424" xr:uid="{46FF35D0-51FF-4D94-B961-C26787B78596}"/>
    <cellStyle name="Normal 7 4 4 3 8" xfId="5453" xr:uid="{58EF8992-1F4B-41D3-A46F-97B36DCFC36A}"/>
    <cellStyle name="Normal 7 4 4 3 8 2" xfId="14750" xr:uid="{472FBAF2-5C4C-439D-9980-33A89F795071}"/>
    <cellStyle name="Normal 7 4 4 3 9" xfId="7203" xr:uid="{952ADF49-3098-473E-B217-95CF5041A2A8}"/>
    <cellStyle name="Normal 7 4 4 3 9 2" xfId="17583" xr:uid="{70E7D636-D7A1-460A-BE46-3B0A90B2B5F6}"/>
    <cellStyle name="Normal 7 4 4 4" xfId="1436" xr:uid="{00000000-0005-0000-0000-000073070000}"/>
    <cellStyle name="Normal 7 4 4 4 2" xfId="3463" xr:uid="{00000000-0005-0000-0000-000099080000}"/>
    <cellStyle name="Normal 7 4 4 4 2 2" xfId="6518" xr:uid="{F982CCF3-E4B3-45BC-9DF4-6F2C832F9625}"/>
    <cellStyle name="Normal 7 4 4 4 2 2 2" xfId="25835" xr:uid="{0C93712A-98B4-4A27-9406-FAAD6D859413}"/>
    <cellStyle name="Normal 7 4 4 4 2 2 3" xfId="16089" xr:uid="{48FB1532-3D66-4BB7-92D7-C502905FCC63}"/>
    <cellStyle name="Normal 7 4 4 4 2 3" xfId="8542" xr:uid="{4A994164-35D4-4108-80D3-9858944D52C1}"/>
    <cellStyle name="Normal 7 4 4 4 2 3 2" xfId="18922" xr:uid="{178C6F7F-B996-4AAC-9298-269F9631A294}"/>
    <cellStyle name="Normal 7 4 4 4 2 4" xfId="11375" xr:uid="{4FA9F0EE-E592-4579-A037-25E98C68D43D}"/>
    <cellStyle name="Normal 7 4 4 4 2 4 2" xfId="21755" xr:uid="{0FE6EAEE-F1E8-40B0-9D52-50A69A761F3A}"/>
    <cellStyle name="Normal 7 4 4 4 2 5" xfId="22765" xr:uid="{D6039679-CC4D-4C29-9FBD-23AA925B05DE}"/>
    <cellStyle name="Normal 7 4 4 4 2 6" xfId="14050" xr:uid="{AFEDC8C5-B75D-4B3B-A740-64D6C07312F0}"/>
    <cellStyle name="Normal 7 4 4 4 3" xfId="2832" xr:uid="{00000000-0005-0000-0000-00009A080000}"/>
    <cellStyle name="Normal 7 4 4 4 3 2" xfId="6048" xr:uid="{B47FB063-49D7-4081-8C3E-40F89A8ED9AD}"/>
    <cellStyle name="Normal 7 4 4 4 3 2 2" xfId="27734" xr:uid="{B792A0A3-E041-45B6-BFA5-6531E09A3C53}"/>
    <cellStyle name="Normal 7 4 4 4 3 2 3" xfId="15502" xr:uid="{12BEB11B-A442-450C-9428-A9E6BB086A87}"/>
    <cellStyle name="Normal 7 4 4 4 3 3" xfId="7955" xr:uid="{DA97BF09-2837-4C57-AB4E-94C0D8F31BD2}"/>
    <cellStyle name="Normal 7 4 4 4 3 3 2" xfId="18335" xr:uid="{5B287435-B7E4-48B5-9AA8-6B13DAD14B82}"/>
    <cellStyle name="Normal 7 4 4 4 3 4" xfId="10788" xr:uid="{0596FCAC-9CAA-4574-86D2-F97DE7354D19}"/>
    <cellStyle name="Normal 7 4 4 4 3 4 2" xfId="21168" xr:uid="{A899A5D7-41A6-498C-9BA0-19AD65E3F0A7}"/>
    <cellStyle name="Normal 7 4 4 4 3 5" xfId="25089" xr:uid="{68A8F8FA-735F-4F37-A8AD-7CF63DF62108}"/>
    <cellStyle name="Normal 7 4 4 4 3 6" xfId="13308" xr:uid="{E3C36802-0ABD-4645-B477-520D77839989}"/>
    <cellStyle name="Normal 7 4 4 4 4" xfId="4221" xr:uid="{44491943-E6A8-4D35-9E5F-48696B2FDF6C}"/>
    <cellStyle name="Normal 7 4 4 4 4 2" xfId="8993" xr:uid="{1E995EB1-E39A-482C-9073-C5620D091600}"/>
    <cellStyle name="Normal 7 4 4 4 4 2 2" xfId="19373" xr:uid="{2100FD03-C50A-4B77-A4DE-6A7C7745C0B5}"/>
    <cellStyle name="Normal 7 4 4 4 4 3" xfId="11826" xr:uid="{AE41E4D8-5D4B-4406-9864-AF1BE471B40F}"/>
    <cellStyle name="Normal 7 4 4 4 4 3 2" xfId="22206" xr:uid="{CA58DF2F-54B7-4BC1-B6A7-876B93D3E253}"/>
    <cellStyle name="Normal 7 4 4 4 4 4" xfId="22920" xr:uid="{3A848BF1-9B56-4355-A25C-B03A989D831A}"/>
    <cellStyle name="Normal 7 4 4 4 4 5" xfId="16540" xr:uid="{6E5F843C-BF66-444E-9962-572C83A6D746}"/>
    <cellStyle name="Normal 7 4 4 4 5" xfId="5454" xr:uid="{D13E76A0-1ECF-4EBD-9186-795140A7597B}"/>
    <cellStyle name="Normal 7 4 4 4 5 2" xfId="14751" xr:uid="{25EF9968-B704-4A78-9AD6-F02A07C76212}"/>
    <cellStyle name="Normal 7 4 4 4 6" xfId="7204" xr:uid="{1EC584B9-648C-453C-8CFB-406AB96E37EB}"/>
    <cellStyle name="Normal 7 4 4 4 6 2" xfId="17584" xr:uid="{E0CF6BBE-30B7-48B7-841A-C002A3E2060D}"/>
    <cellStyle name="Normal 7 4 4 4 7" xfId="10037" xr:uid="{460CF3DF-2A15-47CB-BF9D-651639FEFF7A}"/>
    <cellStyle name="Normal 7 4 4 4 7 2" xfId="20417" xr:uid="{01419667-F645-4A46-ABBE-D34331822207}"/>
    <cellStyle name="Normal 7 4 4 4 8" xfId="25155" xr:uid="{63897A23-9DF6-4E47-90C0-BA341FBC4E4F}"/>
    <cellStyle name="Normal 7 4 4 4 9" xfId="12795" xr:uid="{18F73C9F-56BF-4797-BE54-74F01120802D}"/>
    <cellStyle name="Normal 7 4 4 5" xfId="3464" xr:uid="{00000000-0005-0000-0000-00009B080000}"/>
    <cellStyle name="Normal 7 4 4 5 2" xfId="4590" xr:uid="{BBAA1457-EF96-48C1-BC26-BB325F7B0E53}"/>
    <cellStyle name="Normal 7 4 4 5 2 2" xfId="9362" xr:uid="{73D4206B-084D-4F0E-AB3C-3EE94F592A02}"/>
    <cellStyle name="Normal 7 4 4 5 2 2 2" xfId="29332" xr:uid="{2C97B3A2-03A9-4BF5-BB89-F3AB6C7DA914}"/>
    <cellStyle name="Normal 7 4 4 5 2 2 3" xfId="19742" xr:uid="{E7D47298-C79C-4B27-A375-271385A1F32E}"/>
    <cellStyle name="Normal 7 4 4 5 2 3" xfId="12195" xr:uid="{772E7CD2-A7F4-4D15-97BD-2B6F74B8C2F8}"/>
    <cellStyle name="Normal 7 4 4 5 2 3 2" xfId="22575" xr:uid="{C5AE1F92-A2D4-4FE4-81AB-738EA7E2869B}"/>
    <cellStyle name="Normal 7 4 4 5 2 4" xfId="24838" xr:uid="{7728F992-F520-4B48-88DC-FB6E4522D4E8}"/>
    <cellStyle name="Normal 7 4 4 5 2 5" xfId="16909" xr:uid="{B77B69CB-D17F-4BA0-8BD3-EEFDA8B55E6A}"/>
    <cellStyle name="Normal 7 4 4 5 3" xfId="6519" xr:uid="{B81E5C47-1D47-43B5-A72E-8098E337F4AB}"/>
    <cellStyle name="Normal 7 4 4 5 3 2" xfId="28487" xr:uid="{61508F15-6411-4A3A-A82A-871F8F563594}"/>
    <cellStyle name="Normal 7 4 4 5 3 3" xfId="16090" xr:uid="{C400E1FF-3987-425B-8638-06C24403A991}"/>
    <cellStyle name="Normal 7 4 4 5 4" xfId="8543" xr:uid="{0F897E2E-7061-41CB-8372-D4EFA0033D3B}"/>
    <cellStyle name="Normal 7 4 4 5 4 2" xfId="18923" xr:uid="{CEAB414B-8420-45E9-ABD5-BD6DD0561A42}"/>
    <cellStyle name="Normal 7 4 4 5 5" xfId="11376" xr:uid="{8063B509-CC82-421B-95B5-CBF15BA79A53}"/>
    <cellStyle name="Normal 7 4 4 5 5 2" xfId="21756" xr:uid="{7E8C913D-9533-4ABD-8479-CB6DB2D5AE29}"/>
    <cellStyle name="Normal 7 4 4 5 6" xfId="25190" xr:uid="{1E9517DB-DDAB-419C-992E-10533A90F797}"/>
    <cellStyle name="Normal 7 4 4 5 7" xfId="14051" xr:uid="{3F2AC03E-8703-48A2-89E3-48BA060139C0}"/>
    <cellStyle name="Normal 7 4 4 6" xfId="2994" xr:uid="{00000000-0005-0000-0000-00009C080000}"/>
    <cellStyle name="Normal 7 4 4 6 2" xfId="6144" xr:uid="{2B43D5BA-5114-430D-9C49-4DCAF0AB7850}"/>
    <cellStyle name="Normal 7 4 4 6 2 2" xfId="28477" xr:uid="{28BD2B38-C118-4B21-BF93-8215D5DE7C40}"/>
    <cellStyle name="Normal 7 4 4 6 2 3" xfId="15622" xr:uid="{1DD96F9A-EB3C-4030-9B74-E9C6683B6D13}"/>
    <cellStyle name="Normal 7 4 4 6 3" xfId="8075" xr:uid="{2CC6AF16-6074-435E-8A6B-605B84CC3B5A}"/>
    <cellStyle name="Normal 7 4 4 6 3 2" xfId="18455" xr:uid="{10C6D6B9-8ACB-42E3-BB51-CC60F075ABC4}"/>
    <cellStyle name="Normal 7 4 4 6 4" xfId="10908" xr:uid="{7F482487-2CC4-4837-B8DF-E45A7A5E75C7}"/>
    <cellStyle name="Normal 7 4 4 6 4 2" xfId="21288" xr:uid="{7622F3EF-8FA5-4E71-87E5-84797A8D97E4}"/>
    <cellStyle name="Normal 7 4 4 6 5" xfId="23333" xr:uid="{A4E4CD58-90B9-4C4C-9D2F-499DA1778149}"/>
    <cellStyle name="Normal 7 4 4 6 6" xfId="13493" xr:uid="{A5FAEBB9-6985-4BD3-A833-B5FDFF03F085}"/>
    <cellStyle name="Normal 7 4 4 7" xfId="2492" xr:uid="{00000000-0005-0000-0000-00009D080000}"/>
    <cellStyle name="Normal 7 4 4 7 2" xfId="5777" xr:uid="{01B52D0A-3CF0-46DC-B6F0-FBF64E3B159C}"/>
    <cellStyle name="Normal 7 4 4 7 2 2" xfId="28613" xr:uid="{24E7A3D5-3D8D-426B-8BD8-E36A2FA9DEB1}"/>
    <cellStyle name="Normal 7 4 4 7 2 3" xfId="15164" xr:uid="{B762EAD9-688B-4EDF-913C-39867300C7A8}"/>
    <cellStyle name="Normal 7 4 4 7 3" xfId="7617" xr:uid="{9CE6A97B-B5F4-46D8-8D4A-F4AA3D6F1806}"/>
    <cellStyle name="Normal 7 4 4 7 3 2" xfId="17997" xr:uid="{F8064113-CE90-49C0-A8B7-CC868350F09C}"/>
    <cellStyle name="Normal 7 4 4 7 4" xfId="10450" xr:uid="{B7983416-652E-43C7-8228-D077394E3EF5}"/>
    <cellStyle name="Normal 7 4 4 7 4 2" xfId="20830" xr:uid="{C937A6F6-E287-47A8-8618-DA885DC3C596}"/>
    <cellStyle name="Normal 7 4 4 7 5" xfId="25017" xr:uid="{AB707457-F50F-4488-B3E1-3EB8DAE6B6F6}"/>
    <cellStyle name="Normal 7 4 4 7 6" xfId="12880" xr:uid="{7546E79D-F083-4AA2-858C-2ED96CFB2C03}"/>
    <cellStyle name="Normal 7 4 4 8" xfId="2186" xr:uid="{00000000-0005-0000-0000-000086080000}"/>
    <cellStyle name="Normal 7 4 4 8 2" xfId="7313" xr:uid="{F190B6F3-DFEB-4069-BCA7-52C1B43AB5D8}"/>
    <cellStyle name="Normal 7 4 4 8 2 2" xfId="17693" xr:uid="{CD95C1DD-EB56-4B25-8F18-B6FE79337B1B}"/>
    <cellStyle name="Normal 7 4 4 8 3" xfId="10146" xr:uid="{C513C012-6B52-44B6-AD99-B5F620C56156}"/>
    <cellStyle name="Normal 7 4 4 8 3 2" xfId="20526" xr:uid="{E058294E-89D6-44CE-A1BE-2029E7C4C2E8}"/>
    <cellStyle name="Normal 7 4 4 8 4" xfId="24348" xr:uid="{A316E81C-E4FF-4399-BB54-8027D9BCFF0F}"/>
    <cellStyle name="Normal 7 4 4 8 5" xfId="14860" xr:uid="{6FAF84CF-AF10-4F2C-909B-E12D90F9401B}"/>
    <cellStyle name="Normal 7 4 4 9" xfId="4071" xr:uid="{8D74B87E-CD51-42A7-BBFA-D19E8595345F}"/>
    <cellStyle name="Normal 7 4 4 9 2" xfId="8851" xr:uid="{78141478-0620-4302-A6B6-3580DEEA7251}"/>
    <cellStyle name="Normal 7 4 4 9 2 2" xfId="19231" xr:uid="{6ACAF1E5-B00C-4740-95A1-FC93F0EB3386}"/>
    <cellStyle name="Normal 7 4 4 9 3" xfId="11684" xr:uid="{710F83C3-37EA-4B30-8D94-EFB2076B3B47}"/>
    <cellStyle name="Normal 7 4 4 9 3 2" xfId="22064" xr:uid="{5DACBBCD-65F7-421A-9850-59D620ABD4A6}"/>
    <cellStyle name="Normal 7 4 4 9 4" xfId="16398" xr:uid="{5108955D-11F1-4CB2-A850-EE4BFF4D196F}"/>
    <cellStyle name="Normal 7 4 5" xfId="1437" xr:uid="{00000000-0005-0000-0000-000074070000}"/>
    <cellStyle name="Normal 7 4 5 10" xfId="5455" xr:uid="{3BEA69EA-7367-4B83-93C6-827E4511E462}"/>
    <cellStyle name="Normal 7 4 5 10 2" xfId="14752" xr:uid="{98E0E415-F561-49A0-B3A0-87C6719E80DE}"/>
    <cellStyle name="Normal 7 4 5 11" xfId="7205" xr:uid="{D23C35F3-A56E-4ED3-98FB-293A345E11E0}"/>
    <cellStyle name="Normal 7 4 5 11 2" xfId="17585" xr:uid="{5A62008C-C375-43A8-BEEA-1B14C41898A5}"/>
    <cellStyle name="Normal 7 4 5 12" xfId="10038" xr:uid="{20AD47E1-C817-4817-B990-CA429EE224EE}"/>
    <cellStyle name="Normal 7 4 5 12 2" xfId="20418" xr:uid="{EE524DD4-A4A4-4D08-BFF5-C085C63825A1}"/>
    <cellStyle name="Normal 7 4 5 13" xfId="23190" xr:uid="{13FA5086-04B8-458F-9CD4-5D21F985A8FF}"/>
    <cellStyle name="Normal 7 4 5 14" xfId="12452" xr:uid="{8B12ECBD-940B-4229-8FBA-83B178826641}"/>
    <cellStyle name="Normal 7 4 5 2" xfId="1438" xr:uid="{00000000-0005-0000-0000-000075070000}"/>
    <cellStyle name="Normal 7 4 5 2 10" xfId="10039" xr:uid="{7E4A2B0B-6A88-44F0-A277-731B8AE6015E}"/>
    <cellStyle name="Normal 7 4 5 2 10 2" xfId="20419" xr:uid="{B2F2615F-9C46-4F7D-B051-AB20533FE80F}"/>
    <cellStyle name="Normal 7 4 5 2 11" xfId="24164" xr:uid="{C678FABD-64B0-41FB-ACC4-EC1234DAECA2}"/>
    <cellStyle name="Normal 7 4 5 2 12" xfId="12638" xr:uid="{C532D50D-F9F1-4330-BCE7-3F9E92E22F8A}"/>
    <cellStyle name="Normal 7 4 5 2 2" xfId="1439" xr:uid="{00000000-0005-0000-0000-000076070000}"/>
    <cellStyle name="Normal 7 4 5 2 2 2" xfId="3466" xr:uid="{00000000-0005-0000-0000-0000A1080000}"/>
    <cellStyle name="Normal 7 4 5 2 2 2 2" xfId="6521" xr:uid="{759C40B8-2BAD-48C4-BBAA-C50AB5F0A92A}"/>
    <cellStyle name="Normal 7 4 5 2 2 2 2 2" xfId="27739" xr:uid="{226FC528-0EE5-4D66-AFD9-5205DE87404B}"/>
    <cellStyle name="Normal 7 4 5 2 2 2 2 3" xfId="26928" xr:uid="{C9002E2F-8DCE-45A3-A35E-13558D4EEF36}"/>
    <cellStyle name="Normal 7 4 5 2 2 2 2 4" xfId="16092" xr:uid="{95B69166-525D-4D49-9E84-AF984F5FF843}"/>
    <cellStyle name="Normal 7 4 5 2 2 2 3" xfId="8545" xr:uid="{3B7703FE-2103-42F9-A5C2-D5E40CDEDA4F}"/>
    <cellStyle name="Normal 7 4 5 2 2 2 3 2" xfId="28943" xr:uid="{2B0205DA-F7B1-4837-88B4-3162D65112BC}"/>
    <cellStyle name="Normal 7 4 5 2 2 2 3 3" xfId="18925" xr:uid="{E3BD6200-D717-4910-8462-1C4409ADFDE1}"/>
    <cellStyle name="Normal 7 4 5 2 2 2 4" xfId="11378" xr:uid="{5DF666FB-AC85-4C66-9217-AD1973C4A5C7}"/>
    <cellStyle name="Normal 7 4 5 2 2 2 4 2" xfId="21758" xr:uid="{89F97885-1607-464C-BFB4-6A1857302746}"/>
    <cellStyle name="Normal 7 4 5 2 2 2 5" xfId="23452" xr:uid="{B7218DFF-9D69-4080-B380-64735778F0ED}"/>
    <cellStyle name="Normal 7 4 5 2 2 2 6" xfId="14053" xr:uid="{49DFE780-4C61-418F-994E-F134DF7FC24D}"/>
    <cellStyle name="Normal 7 4 5 2 2 3" xfId="4373" xr:uid="{C8443702-7F2D-4E52-9E30-664900B6AACD}"/>
    <cellStyle name="Normal 7 4 5 2 2 3 2" xfId="9145" xr:uid="{1AD95E88-1032-4597-92E3-C3C5614A1AC2}"/>
    <cellStyle name="Normal 7 4 5 2 2 3 2 2" xfId="29188" xr:uid="{D1EA1C01-4B98-4844-A2E8-A5971B45F20B}"/>
    <cellStyle name="Normal 7 4 5 2 2 3 2 3" xfId="19525" xr:uid="{5E4D1342-F5FF-465C-AD31-16ECFBBBAC0E}"/>
    <cellStyle name="Normal 7 4 5 2 2 3 3" xfId="11978" xr:uid="{C342A270-226B-4E98-BA91-0EEB14C41C73}"/>
    <cellStyle name="Normal 7 4 5 2 2 3 3 2" xfId="22358" xr:uid="{4ECE6B0F-AE4F-458C-A2BE-A10850F9160D}"/>
    <cellStyle name="Normal 7 4 5 2 2 3 4" xfId="24052" xr:uid="{7488166C-A495-44C2-B9F9-42FDCE3AB047}"/>
    <cellStyle name="Normal 7 4 5 2 2 3 5" xfId="16692" xr:uid="{E0EF8343-B663-4CC7-A472-DCFED6AB6021}"/>
    <cellStyle name="Normal 7 4 5 2 2 4" xfId="5457" xr:uid="{284E01FD-7710-485A-BFA2-B4C4EDB3EDD2}"/>
    <cellStyle name="Normal 7 4 5 2 2 4 2" xfId="26772" xr:uid="{02247007-EEC9-4278-828F-C6E499097436}"/>
    <cellStyle name="Normal 7 4 5 2 2 4 3" xfId="14754" xr:uid="{98DA4B1B-DB3E-4551-8B04-2BAFA1D10C83}"/>
    <cellStyle name="Normal 7 4 5 2 2 5" xfId="7207" xr:uid="{A8D606ED-48B7-4114-9511-75844D53DF0A}"/>
    <cellStyle name="Normal 7 4 5 2 2 5 2" xfId="17587" xr:uid="{76C499E0-4165-4B1F-B593-E78787CA9E29}"/>
    <cellStyle name="Normal 7 4 5 2 2 6" xfId="10040" xr:uid="{5EB3A933-48D2-47D3-A543-5C286C2649D5}"/>
    <cellStyle name="Normal 7 4 5 2 2 6 2" xfId="20420" xr:uid="{1CA99D9C-4FF8-42D1-A289-E0C84746A60D}"/>
    <cellStyle name="Normal 7 4 5 2 2 7" xfId="22835" xr:uid="{5A7C386A-1115-4874-85A7-41FBC5C69438}"/>
    <cellStyle name="Normal 7 4 5 2 2 8" xfId="13313" xr:uid="{3424E5BB-EBB7-47F3-8D06-BC6DC77B58DA}"/>
    <cellStyle name="Normal 7 4 5 2 3" xfId="3467" xr:uid="{00000000-0005-0000-0000-0000A2080000}"/>
    <cellStyle name="Normal 7 4 5 2 3 2" xfId="4591" xr:uid="{C5FB1697-5F66-4D73-BBEF-A574F753092C}"/>
    <cellStyle name="Normal 7 4 5 2 3 2 2" xfId="9363" xr:uid="{50D94030-38F6-450D-8C26-A93EA93BC79E}"/>
    <cellStyle name="Normal 7 4 5 2 3 2 2 2" xfId="29333" xr:uid="{31C34051-A5FD-4A0E-80FD-62F7A520F809}"/>
    <cellStyle name="Normal 7 4 5 2 3 2 2 3" xfId="19743" xr:uid="{5E42A3E0-37F7-43D6-9A70-88B270FB2BC0}"/>
    <cellStyle name="Normal 7 4 5 2 3 2 3" xfId="12196" xr:uid="{E6F6FA50-DEA6-420F-9D35-C11873B36E8B}"/>
    <cellStyle name="Normal 7 4 5 2 3 2 3 2" xfId="22576" xr:uid="{8E578A5C-8020-42A4-95A5-AD3C784CCEA8}"/>
    <cellStyle name="Normal 7 4 5 2 3 2 4" xfId="25337" xr:uid="{9EC854F1-36B2-407C-A633-75D679117AF6}"/>
    <cellStyle name="Normal 7 4 5 2 3 2 5" xfId="16910" xr:uid="{1C3506FF-1B26-4EAE-BF05-07D4747E042D}"/>
    <cellStyle name="Normal 7 4 5 2 3 3" xfId="6522" xr:uid="{56C522B1-B0A4-4B91-AD8E-03E569B695CC}"/>
    <cellStyle name="Normal 7 4 5 2 3 3 2" xfId="28702" xr:uid="{8D8C42E4-4AD0-4358-9332-A68EC79F9756}"/>
    <cellStyle name="Normal 7 4 5 2 3 3 3" xfId="16093" xr:uid="{5D57D89A-FFF1-4811-8C8B-67D4BCAC36D6}"/>
    <cellStyle name="Normal 7 4 5 2 3 4" xfId="8546" xr:uid="{8DEC7C9E-115A-40D0-A41A-8514A63B41A8}"/>
    <cellStyle name="Normal 7 4 5 2 3 4 2" xfId="18926" xr:uid="{BF4047EB-C272-4D1A-8B85-C5F2C820607D}"/>
    <cellStyle name="Normal 7 4 5 2 3 5" xfId="11379" xr:uid="{217215EC-841B-40AA-B0DB-35EFE4BC0D14}"/>
    <cellStyle name="Normal 7 4 5 2 3 5 2" xfId="21759" xr:uid="{FB26DF1D-3007-4DF0-9B48-A521486431BB}"/>
    <cellStyle name="Normal 7 4 5 2 3 6" xfId="23876" xr:uid="{2B142B24-9C6B-4A99-8197-3CAFB2245630}"/>
    <cellStyle name="Normal 7 4 5 2 3 7" xfId="14054" xr:uid="{528A2296-5118-41DE-B0F1-9251904292C4}"/>
    <cellStyle name="Normal 7 4 5 2 4" xfId="3465" xr:uid="{00000000-0005-0000-0000-0000A3080000}"/>
    <cellStyle name="Normal 7 4 5 2 4 2" xfId="6520" xr:uid="{3FCEE10E-AB9A-410F-ADD7-7A98A5FF4167}"/>
    <cellStyle name="Normal 7 4 5 2 4 2 2" xfId="27875" xr:uid="{08C35DFB-141B-4EB0-A9D0-6361D4F1E786}"/>
    <cellStyle name="Normal 7 4 5 2 4 2 3" xfId="16091" xr:uid="{938F8666-FB29-49E3-A3A9-8B5F7ABC7FDA}"/>
    <cellStyle name="Normal 7 4 5 2 4 3" xfId="8544" xr:uid="{6951522A-5B8B-4170-919C-C622CBC96F3D}"/>
    <cellStyle name="Normal 7 4 5 2 4 3 2" xfId="18924" xr:uid="{16D6616C-F1F8-4DC9-A10D-1E361B5A5261}"/>
    <cellStyle name="Normal 7 4 5 2 4 4" xfId="11377" xr:uid="{13ECABE8-85AD-4240-AE31-D061B4D05B5A}"/>
    <cellStyle name="Normal 7 4 5 2 4 4 2" xfId="21757" xr:uid="{9CC4C4C8-7B1B-4FC6-B531-18B674D20C27}"/>
    <cellStyle name="Normal 7 4 5 2 4 5" xfId="24453" xr:uid="{4E86DF6A-B825-4616-810A-F440E709C2B7}"/>
    <cellStyle name="Normal 7 4 5 2 4 6" xfId="14052" xr:uid="{8E394009-EDAA-4408-852F-E73257E41C83}"/>
    <cellStyle name="Normal 7 4 5 2 5" xfId="2526" xr:uid="{00000000-0005-0000-0000-0000A4080000}"/>
    <cellStyle name="Normal 7 4 5 2 5 2" xfId="5803" xr:uid="{AE5464FD-9C27-4CD4-835D-278EF0D461C1}"/>
    <cellStyle name="Normal 7 4 5 2 5 2 2" xfId="26297" xr:uid="{EE06E6B2-2519-4BEC-B248-A80F9A994B32}"/>
    <cellStyle name="Normal 7 4 5 2 5 2 3" xfId="15198" xr:uid="{4580F76A-3C06-4ADB-9621-BE67C42B329C}"/>
    <cellStyle name="Normal 7 4 5 2 5 3" xfId="7651" xr:uid="{E6F6C072-70FB-40C0-A9A9-ED00A30D4C7F}"/>
    <cellStyle name="Normal 7 4 5 2 5 3 2" xfId="18031" xr:uid="{C5875B92-3594-4955-AC39-B2AF25FFBDE0}"/>
    <cellStyle name="Normal 7 4 5 2 5 4" xfId="10484" xr:uid="{C4F87399-C515-4447-BF61-2B0AFDEDDD36}"/>
    <cellStyle name="Normal 7 4 5 2 5 4 2" xfId="20864" xr:uid="{4156CA54-464C-40C9-B49B-22F3D6E88135}"/>
    <cellStyle name="Normal 7 4 5 2 5 5" xfId="23209" xr:uid="{B2B70038-36D2-484A-9EDE-AF015FAE5F12}"/>
    <cellStyle name="Normal 7 4 5 2 5 6" xfId="12914" xr:uid="{EFEE560A-0B5F-41BA-B8C7-72148F06874C}"/>
    <cellStyle name="Normal 7 4 5 2 6" xfId="2404" xr:uid="{00000000-0005-0000-0000-00009F080000}"/>
    <cellStyle name="Normal 7 4 5 2 6 2" xfId="7531" xr:uid="{9BBEDFB3-869E-4604-9785-608F56B8E45A}"/>
    <cellStyle name="Normal 7 4 5 2 6 2 2" xfId="17911" xr:uid="{770AEAD1-1F39-4014-8A9A-93B524BD4E77}"/>
    <cellStyle name="Normal 7 4 5 2 6 3" xfId="10364" xr:uid="{5B6E3C15-26B9-45F6-9C7D-B57E3FA50F3B}"/>
    <cellStyle name="Normal 7 4 5 2 6 3 2" xfId="20744" xr:uid="{DB5830AA-A633-46EC-9F60-CA94BABB248D}"/>
    <cellStyle name="Normal 7 4 5 2 6 4" xfId="25260" xr:uid="{7B45440A-7E9E-4EB0-916B-88EE8F7E7259}"/>
    <cellStyle name="Normal 7 4 5 2 6 5" xfId="15078" xr:uid="{FB9032AF-3629-459C-B70A-4B9C53AEF29E}"/>
    <cellStyle name="Normal 7 4 5 2 7" xfId="4104" xr:uid="{8FD28EFA-C3CB-4557-AC4E-BF87B29153B0}"/>
    <cellStyle name="Normal 7 4 5 2 7 2" xfId="8878" xr:uid="{260B4A7B-6277-4E72-B3BC-9471517336C0}"/>
    <cellStyle name="Normal 7 4 5 2 7 2 2" xfId="19258" xr:uid="{AB1FB1C3-5381-4B26-BC02-389B83916361}"/>
    <cellStyle name="Normal 7 4 5 2 7 3" xfId="11711" xr:uid="{0AFBAB61-1214-4C50-BC9C-457C50C5A534}"/>
    <cellStyle name="Normal 7 4 5 2 7 3 2" xfId="22091" xr:uid="{A884F0D6-1218-4C37-9B1E-C74A3129080F}"/>
    <cellStyle name="Normal 7 4 5 2 7 4" xfId="16425" xr:uid="{849EE00F-E1E3-49D3-801F-6DEC2BFB5916}"/>
    <cellStyle name="Normal 7 4 5 2 8" xfId="5456" xr:uid="{F09B4FB6-D050-449A-B582-47A32A44F49C}"/>
    <cellStyle name="Normal 7 4 5 2 8 2" xfId="14753" xr:uid="{1249583C-87EA-482C-963D-784FE3213BCE}"/>
    <cellStyle name="Normal 7 4 5 2 9" xfId="7206" xr:uid="{0C851AFB-7C92-43C9-A4D6-A63E4FBF4BCD}"/>
    <cellStyle name="Normal 7 4 5 2 9 2" xfId="17586" xr:uid="{C14A22CA-C2B2-4725-9704-2F05FBB73448}"/>
    <cellStyle name="Normal 7 4 5 3" xfId="1440" xr:uid="{00000000-0005-0000-0000-000077070000}"/>
    <cellStyle name="Normal 7 4 5 3 10" xfId="24614" xr:uid="{4C744DA3-21BC-440E-8C96-D4CB18772947}"/>
    <cellStyle name="Normal 7 4 5 3 11" xfId="12796" xr:uid="{99365A30-2A21-4C99-87DC-94CD63FE7E63}"/>
    <cellStyle name="Normal 7 4 5 3 2" xfId="2836" xr:uid="{00000000-0005-0000-0000-0000A6080000}"/>
    <cellStyle name="Normal 7 4 5 3 2 2" xfId="3469" xr:uid="{00000000-0005-0000-0000-0000A7080000}"/>
    <cellStyle name="Normal 7 4 5 3 2 2 2" xfId="6524" xr:uid="{3D43E045-23D5-488C-9E94-5C16E657E405}"/>
    <cellStyle name="Normal 7 4 5 3 2 2 2 2" xfId="28423" xr:uid="{15790266-B34E-4E9F-933A-BD9FF2D41BBA}"/>
    <cellStyle name="Normal 7 4 5 3 2 2 2 3" xfId="16095" xr:uid="{C4463353-E454-41CE-A818-2C9CF0EA256D}"/>
    <cellStyle name="Normal 7 4 5 3 2 2 3" xfId="8548" xr:uid="{53F06438-B183-49CA-9ABA-B126D95AEB7C}"/>
    <cellStyle name="Normal 7 4 5 3 2 2 3 2" xfId="18928" xr:uid="{C5AF21F7-5F5E-49AF-98B0-B166EE2D6D36}"/>
    <cellStyle name="Normal 7 4 5 3 2 2 4" xfId="11381" xr:uid="{5550EB3C-C080-4D72-9AF8-79C67338107E}"/>
    <cellStyle name="Normal 7 4 5 3 2 2 4 2" xfId="21761" xr:uid="{0ADD8D08-89CC-4F81-8F2A-63C26EE882A8}"/>
    <cellStyle name="Normal 7 4 5 3 2 2 5" xfId="24331" xr:uid="{110C14E9-4DA6-4C8A-A623-8C4DA1C18513}"/>
    <cellStyle name="Normal 7 4 5 3 2 2 6" xfId="14056" xr:uid="{5D48DA47-A997-40DF-A05E-03E1AA896ED0}"/>
    <cellStyle name="Normal 7 4 5 3 2 3" xfId="4374" xr:uid="{0C638723-7EC5-4BBF-B85A-F7DA74481A1F}"/>
    <cellStyle name="Normal 7 4 5 3 2 3 2" xfId="9146" xr:uid="{B721CCCD-0A08-41C4-BCBF-1B443D0E2176}"/>
    <cellStyle name="Normal 7 4 5 3 2 3 2 2" xfId="29189" xr:uid="{9AF4A210-9EBD-431C-8F19-B71E5EADA8C2}"/>
    <cellStyle name="Normal 7 4 5 3 2 3 2 3" xfId="19526" xr:uid="{8171C32E-4272-46E8-8898-B49904C3F162}"/>
    <cellStyle name="Normal 7 4 5 3 2 3 3" xfId="11979" xr:uid="{3C2152C7-F5BB-419A-88C9-79BD358B1DD7}"/>
    <cellStyle name="Normal 7 4 5 3 2 3 3 2" xfId="22359" xr:uid="{28444200-7BA3-41E2-ADD8-7301CFF40D45}"/>
    <cellStyle name="Normal 7 4 5 3 2 3 4" xfId="22918" xr:uid="{09FBA3C0-D311-4F13-AFA1-7D0F432B1A8F}"/>
    <cellStyle name="Normal 7 4 5 3 2 3 5" xfId="16693" xr:uid="{78C2EC2F-2DA8-4386-8033-35B74E2DDBB6}"/>
    <cellStyle name="Normal 7 4 5 3 2 4" xfId="6052" xr:uid="{E39BE4B3-2DF2-44F3-AC26-C01470B4FC7A}"/>
    <cellStyle name="Normal 7 4 5 3 2 4 2" xfId="26566" xr:uid="{A98C0F54-6348-4585-9F78-F7DE2FC3E7D5}"/>
    <cellStyle name="Normal 7 4 5 3 2 4 3" xfId="15506" xr:uid="{71F9AB58-1893-4104-A00A-DF7B2A71C980}"/>
    <cellStyle name="Normal 7 4 5 3 2 5" xfId="7959" xr:uid="{C8BDD795-4668-43C6-AAD5-1987D8CA839C}"/>
    <cellStyle name="Normal 7 4 5 3 2 5 2" xfId="18339" xr:uid="{00EB6901-7F88-4FF7-8B00-FA4F51A5D420}"/>
    <cellStyle name="Normal 7 4 5 3 2 6" xfId="10792" xr:uid="{62A9211B-1887-457E-ABFA-3BA132E2CE7D}"/>
    <cellStyle name="Normal 7 4 5 3 2 6 2" xfId="21172" xr:uid="{1423FCE5-862C-46F5-8F8E-E6D61F840160}"/>
    <cellStyle name="Normal 7 4 5 3 2 7" xfId="23539" xr:uid="{DE2B695C-D9BC-4A10-AD4C-A8B5B1A7AB60}"/>
    <cellStyle name="Normal 7 4 5 3 2 8" xfId="13314" xr:uid="{5B7C446C-12F1-4EF5-99F8-DB42FFD90ADB}"/>
    <cellStyle name="Normal 7 4 5 3 3" xfId="3470" xr:uid="{00000000-0005-0000-0000-0000A8080000}"/>
    <cellStyle name="Normal 7 4 5 3 3 2" xfId="4592" xr:uid="{F16ECC63-77FB-4BC0-9263-3D0232E68377}"/>
    <cellStyle name="Normal 7 4 5 3 3 2 2" xfId="9364" xr:uid="{49B8B833-66EB-47B7-A317-B968AE51B0CF}"/>
    <cellStyle name="Normal 7 4 5 3 3 2 2 2" xfId="29334" xr:uid="{9593D21F-2633-4EB4-A6EC-5B30E8195583}"/>
    <cellStyle name="Normal 7 4 5 3 3 2 2 3" xfId="19744" xr:uid="{0D44F4C7-D9D4-4DBC-9DCD-9DFEB449FD0F}"/>
    <cellStyle name="Normal 7 4 5 3 3 2 3" xfId="12197" xr:uid="{5FB3DE9C-06F9-48E1-998C-8887FF754BAE}"/>
    <cellStyle name="Normal 7 4 5 3 3 2 3 2" xfId="22577" xr:uid="{FBDB5E6A-93AE-4500-9A85-23F5F0ECF22D}"/>
    <cellStyle name="Normal 7 4 5 3 3 2 4" xfId="25813" xr:uid="{B7346527-8675-4701-B877-62C841F6EBE0}"/>
    <cellStyle name="Normal 7 4 5 3 3 2 5" xfId="16911" xr:uid="{04D13FF9-3085-4228-BF3C-FE4E49CC3FCC}"/>
    <cellStyle name="Normal 7 4 5 3 3 3" xfId="6525" xr:uid="{9A4816BF-5D82-4100-95FF-086C23DB05A8}"/>
    <cellStyle name="Normal 7 4 5 3 3 3 2" xfId="26966" xr:uid="{7D3823DC-C7EB-4964-8756-C5BA544B68C4}"/>
    <cellStyle name="Normal 7 4 5 3 3 3 3" xfId="16096" xr:uid="{B126597B-9062-4A5E-968E-68A5860302BF}"/>
    <cellStyle name="Normal 7 4 5 3 3 4" xfId="8549" xr:uid="{4142520B-C995-40C9-9D97-9BBE14EDE247}"/>
    <cellStyle name="Normal 7 4 5 3 3 4 2" xfId="18929" xr:uid="{38A8EDC7-9CCF-4D01-B2AE-A1C83511C591}"/>
    <cellStyle name="Normal 7 4 5 3 3 5" xfId="11382" xr:uid="{28947E2A-5BBA-406A-98C1-DF60F3D73676}"/>
    <cellStyle name="Normal 7 4 5 3 3 5 2" xfId="21762" xr:uid="{5175FD23-5EE1-417D-A47F-73CF52833302}"/>
    <cellStyle name="Normal 7 4 5 3 3 6" xfId="25221" xr:uid="{64D9CA94-8A3C-40DD-98CD-79811DF79CBA}"/>
    <cellStyle name="Normal 7 4 5 3 3 7" xfId="14057" xr:uid="{F8447182-E098-4626-B45E-98AADA5EA0D7}"/>
    <cellStyle name="Normal 7 4 5 3 4" xfId="3468" xr:uid="{00000000-0005-0000-0000-0000A9080000}"/>
    <cellStyle name="Normal 7 4 5 3 4 2" xfId="6523" xr:uid="{EC580DD9-7275-479A-AA36-4019BB56B500}"/>
    <cellStyle name="Normal 7 4 5 3 4 2 2" xfId="28171" xr:uid="{667E8CEF-9AC4-4C27-96BB-0ADA10B9C7DA}"/>
    <cellStyle name="Normal 7 4 5 3 4 2 3" xfId="16094" xr:uid="{B8026675-0137-407F-933C-49AB3640FD85}"/>
    <cellStyle name="Normal 7 4 5 3 4 3" xfId="8547" xr:uid="{524A143B-8D12-41FA-9DBD-30220D6C3132}"/>
    <cellStyle name="Normal 7 4 5 3 4 3 2" xfId="18927" xr:uid="{0D27E462-6BF9-4BED-9856-E51B33311492}"/>
    <cellStyle name="Normal 7 4 5 3 4 4" xfId="11380" xr:uid="{3C91C5C8-72B4-426B-B061-1B5A2292495F}"/>
    <cellStyle name="Normal 7 4 5 3 4 4 2" xfId="21760" xr:uid="{8B5C94E8-934E-4BA0-8E92-79D17A692450}"/>
    <cellStyle name="Normal 7 4 5 3 4 5" xfId="24628" xr:uid="{D35239FD-09F5-4203-B7CB-904310CA3BF3}"/>
    <cellStyle name="Normal 7 4 5 3 4 6" xfId="14055" xr:uid="{C5CDB690-D4CE-42E7-ABAA-01518013248E}"/>
    <cellStyle name="Normal 7 4 5 3 5" xfId="2629" xr:uid="{00000000-0005-0000-0000-0000AA080000}"/>
    <cellStyle name="Normal 7 4 5 3 5 2" xfId="5891" xr:uid="{23142878-3E64-49A3-BA10-E99C203598A0}"/>
    <cellStyle name="Normal 7 4 5 3 5 2 2" xfId="26004" xr:uid="{BEF8B5AC-3BC3-4BD5-A597-7EC34795E82A}"/>
    <cellStyle name="Normal 7 4 5 3 5 2 3" xfId="15301" xr:uid="{1178578C-D67A-4B6C-8AFA-C38FDC910A54}"/>
    <cellStyle name="Normal 7 4 5 3 5 3" xfId="7754" xr:uid="{D6A72C4C-0188-4478-8821-B4BACD68C0F8}"/>
    <cellStyle name="Normal 7 4 5 3 5 3 2" xfId="18134" xr:uid="{046EB1D8-C08A-4410-B8C1-BA9D1632C251}"/>
    <cellStyle name="Normal 7 4 5 3 5 4" xfId="10587" xr:uid="{D00AB987-4839-467C-A7C1-09C933AED028}"/>
    <cellStyle name="Normal 7 4 5 3 5 4 2" xfId="20967" xr:uid="{147252C8-FADB-4773-B582-3E7DBC0152CB}"/>
    <cellStyle name="Normal 7 4 5 3 5 5" xfId="22879" xr:uid="{F78359D1-4FFF-4A2A-A148-43F4BFFDE41B}"/>
    <cellStyle name="Normal 7 4 5 3 5 6" xfId="13017" xr:uid="{0E89B7A7-D291-437F-B36D-3DABFBB30ECB}"/>
    <cellStyle name="Normal 7 4 5 3 6" xfId="4222" xr:uid="{6733272E-A744-4F20-B62A-DCC6BF90E6DB}"/>
    <cellStyle name="Normal 7 4 5 3 6 2" xfId="8994" xr:uid="{BD24733A-6C45-4563-87F3-273B8C8CA50A}"/>
    <cellStyle name="Normal 7 4 5 3 6 2 2" xfId="19374" xr:uid="{5DF50BFC-DDA0-4805-926D-A233BFE2283F}"/>
    <cellStyle name="Normal 7 4 5 3 6 3" xfId="11827" xr:uid="{87FB4150-563F-4FE9-8252-81900F4010FF}"/>
    <cellStyle name="Normal 7 4 5 3 6 3 2" xfId="22207" xr:uid="{3AEBE2F6-8496-45AA-B148-6F773FFCB072}"/>
    <cellStyle name="Normal 7 4 5 3 6 4" xfId="23592" xr:uid="{96941FE2-5BA6-45C7-94A9-6E6D07771D06}"/>
    <cellStyle name="Normal 7 4 5 3 6 5" xfId="16541" xr:uid="{AC15E640-E84D-4419-A405-D7592B8FFC29}"/>
    <cellStyle name="Normal 7 4 5 3 7" xfId="5458" xr:uid="{CB254C3D-8328-438C-BCB2-8175D5A7D7C0}"/>
    <cellStyle name="Normal 7 4 5 3 7 2" xfId="14755" xr:uid="{BF2EACDD-1085-482B-92B4-1207E9B75013}"/>
    <cellStyle name="Normal 7 4 5 3 8" xfId="7208" xr:uid="{AE704272-A315-4F5C-9074-FE104449892B}"/>
    <cellStyle name="Normal 7 4 5 3 8 2" xfId="17588" xr:uid="{0E02743E-A4C4-4CC3-8694-090F8FA53EAF}"/>
    <cellStyle name="Normal 7 4 5 3 9" xfId="10041" xr:uid="{0B61A119-BD13-445E-90A8-6817F9C647CE}"/>
    <cellStyle name="Normal 7 4 5 3 9 2" xfId="20421" xr:uid="{0BB920D2-DADD-49BC-BF35-D06395A6B8A6}"/>
    <cellStyle name="Normal 7 4 5 4" xfId="1441" xr:uid="{00000000-0005-0000-0000-000078070000}"/>
    <cellStyle name="Normal 7 4 5 4 2" xfId="3471" xr:uid="{00000000-0005-0000-0000-0000AC080000}"/>
    <cellStyle name="Normal 7 4 5 4 2 2" xfId="6526" xr:uid="{42FBD595-D5B7-4AB9-8D34-D4A4C1708753}"/>
    <cellStyle name="Normal 7 4 5 4 2 2 2" xfId="25971" xr:uid="{2980C43F-A4A4-4484-B060-7C9B30649953}"/>
    <cellStyle name="Normal 7 4 5 4 2 2 3" xfId="16097" xr:uid="{DCD9613D-4A7E-43F9-A40E-EE3F54EC9E4B}"/>
    <cellStyle name="Normal 7 4 5 4 2 3" xfId="8550" xr:uid="{55FBFC02-499D-47BD-B532-C2640EB2B05D}"/>
    <cellStyle name="Normal 7 4 5 4 2 3 2" xfId="18930" xr:uid="{0F914924-E3DF-4011-854A-867251C0B59B}"/>
    <cellStyle name="Normal 7 4 5 4 2 4" xfId="11383" xr:uid="{13AC4B8A-9E5B-474E-9E6C-EE4AE33C4E9C}"/>
    <cellStyle name="Normal 7 4 5 4 2 4 2" xfId="21763" xr:uid="{90CA32E0-CB42-40E4-9F5A-8DB54EAC6541}"/>
    <cellStyle name="Normal 7 4 5 4 2 5" xfId="22771" xr:uid="{94BBA90A-4A8B-48E8-A640-3995F7A77AF9}"/>
    <cellStyle name="Normal 7 4 5 4 2 6" xfId="14058" xr:uid="{B7C92D4B-1964-4EB7-9CFC-E84F2E7C7CAE}"/>
    <cellStyle name="Normal 7 4 5 4 3" xfId="4372" xr:uid="{982E9A28-BAEF-4D2A-BA36-1FA1CE6DD9F4}"/>
    <cellStyle name="Normal 7 4 5 4 3 2" xfId="9144" xr:uid="{B712051D-32A4-43A4-8A2F-54401EFD0C75}"/>
    <cellStyle name="Normal 7 4 5 4 3 2 2" xfId="29187" xr:uid="{99D741DD-8818-4024-9257-3A11E348F120}"/>
    <cellStyle name="Normal 7 4 5 4 3 2 3" xfId="19524" xr:uid="{8264D096-1196-40D9-B548-697DC033D31E}"/>
    <cellStyle name="Normal 7 4 5 4 3 3" xfId="11977" xr:uid="{152172AE-EAFB-467A-95C5-81277FA4B09E}"/>
    <cellStyle name="Normal 7 4 5 4 3 3 2" xfId="22357" xr:uid="{0508528A-A947-49DE-AF97-F946734EE209}"/>
    <cellStyle name="Normal 7 4 5 4 3 4" xfId="25531" xr:uid="{E6EC1743-A75B-4844-8031-40D139C09885}"/>
    <cellStyle name="Normal 7 4 5 4 3 5" xfId="16691" xr:uid="{36DC94FC-6C39-42C6-91E1-F72E73567142}"/>
    <cellStyle name="Normal 7 4 5 4 4" xfId="5459" xr:uid="{F4736D85-8878-4FA8-923A-E1403838DB9E}"/>
    <cellStyle name="Normal 7 4 5 4 4 2" xfId="26572" xr:uid="{624BF12C-C3D0-4C8B-A536-EFF8619DDA34}"/>
    <cellStyle name="Normal 7 4 5 4 4 3" xfId="14756" xr:uid="{1B9A5E26-C8C1-483B-9DFB-4844385D2F0A}"/>
    <cellStyle name="Normal 7 4 5 4 5" xfId="7209" xr:uid="{D60782DB-55D6-48B1-956D-983D1F530E6E}"/>
    <cellStyle name="Normal 7 4 5 4 5 2" xfId="17589" xr:uid="{5D06CA8C-1AD9-4647-94A1-100975BFC402}"/>
    <cellStyle name="Normal 7 4 5 4 6" xfId="10042" xr:uid="{B046BC94-B393-4FC2-B26B-E939306116A1}"/>
    <cellStyle name="Normal 7 4 5 4 6 2" xfId="20422" xr:uid="{E0179641-1977-468D-A4DF-EE6E9ED518F0}"/>
    <cellStyle name="Normal 7 4 5 4 7" xfId="25045" xr:uid="{DAD150E5-63F9-456D-9DE2-ECABA4755ED5}"/>
    <cellStyle name="Normal 7 4 5 4 8" xfId="13312" xr:uid="{8A287C97-45FB-442A-B27F-6A8E1BE93E89}"/>
    <cellStyle name="Normal 7 4 5 5" xfId="3472" xr:uid="{00000000-0005-0000-0000-0000AD080000}"/>
    <cellStyle name="Normal 7 4 5 5 2" xfId="4593" xr:uid="{35926369-7039-4EEC-B75A-3BB1B347393D}"/>
    <cellStyle name="Normal 7 4 5 5 2 2" xfId="9365" xr:uid="{546177B1-454A-4B2A-BFEC-6304F37CC577}"/>
    <cellStyle name="Normal 7 4 5 5 2 2 2" xfId="29335" xr:uid="{CC14DF5E-FE0D-486C-AAF8-1B25ECD8B96E}"/>
    <cellStyle name="Normal 7 4 5 5 2 2 3" xfId="19745" xr:uid="{87C6055A-3964-4D38-8D4A-CE748D2E6B01}"/>
    <cellStyle name="Normal 7 4 5 5 2 3" xfId="12198" xr:uid="{2EC098A8-4B36-4970-AF8C-00FFD5C5EBAE}"/>
    <cellStyle name="Normal 7 4 5 5 2 3 2" xfId="22578" xr:uid="{22FC2890-9AC8-4682-9492-D716708225D3}"/>
    <cellStyle name="Normal 7 4 5 5 2 4" xfId="25014" xr:uid="{BCC1CDE4-D924-4A74-ABE2-BC5407609446}"/>
    <cellStyle name="Normal 7 4 5 5 2 5" xfId="16912" xr:uid="{004673F0-7811-480D-A61E-403C4EE5590B}"/>
    <cellStyle name="Normal 7 4 5 5 3" xfId="6527" xr:uid="{E3206B87-3C43-4C2E-8780-6DE350835BA0}"/>
    <cellStyle name="Normal 7 4 5 5 3 2" xfId="27460" xr:uid="{2502B905-3FA1-4966-ACCB-BC7CAACEF295}"/>
    <cellStyle name="Normal 7 4 5 5 3 3" xfId="16098" xr:uid="{996D8786-8EBA-4700-BBEC-ED4C5AC1B543}"/>
    <cellStyle name="Normal 7 4 5 5 4" xfId="8551" xr:uid="{82075F95-A6E9-4D35-A9F0-06F7AC3631A3}"/>
    <cellStyle name="Normal 7 4 5 5 4 2" xfId="18931" xr:uid="{A9FEF4C5-48FB-455A-BC90-FD1F945BC554}"/>
    <cellStyle name="Normal 7 4 5 5 5" xfId="11384" xr:uid="{6649B145-16D2-42EB-9E9A-6272A5863D30}"/>
    <cellStyle name="Normal 7 4 5 5 5 2" xfId="21764" xr:uid="{23C63933-20B4-4F27-B148-5287C908DEA0}"/>
    <cellStyle name="Normal 7 4 5 5 6" xfId="24611" xr:uid="{EA31AACA-524A-4320-BE62-8957480C0168}"/>
    <cellStyle name="Normal 7 4 5 5 7" xfId="14059" xr:uid="{4CB9380D-C10B-4E9E-B0DE-819499236CC6}"/>
    <cellStyle name="Normal 7 4 5 6" xfId="2995" xr:uid="{00000000-0005-0000-0000-0000AE080000}"/>
    <cellStyle name="Normal 7 4 5 6 2" xfId="6145" xr:uid="{329964A5-29AB-4E50-A18A-0A87C77E0CD2}"/>
    <cellStyle name="Normal 7 4 5 6 2 2" xfId="26283" xr:uid="{F6A11925-35D7-4E7B-A272-D237D9A4867B}"/>
    <cellStyle name="Normal 7 4 5 6 2 3" xfId="15623" xr:uid="{8C08E7FF-2AAA-4A1F-ABA8-09F53F075606}"/>
    <cellStyle name="Normal 7 4 5 6 3" xfId="8076" xr:uid="{3CE81D40-D365-4DDF-AD91-51407A1C4B00}"/>
    <cellStyle name="Normal 7 4 5 6 3 2" xfId="18456" xr:uid="{2699446A-D6E3-4CE3-B055-4CB4598BFD69}"/>
    <cellStyle name="Normal 7 4 5 6 4" xfId="10909" xr:uid="{C0D1FBFA-0F28-4D12-A591-2DBC776B99E0}"/>
    <cellStyle name="Normal 7 4 5 6 4 2" xfId="21289" xr:uid="{9C1F2FD1-FEB8-41EF-98CD-A19DD9AE8D71}"/>
    <cellStyle name="Normal 7 4 5 6 5" xfId="23244" xr:uid="{76C9B4D9-2046-4620-9B09-B04B8044D621}"/>
    <cellStyle name="Normal 7 4 5 6 6" xfId="13494" xr:uid="{94814A25-6D71-4B56-BB2B-1EF7487F1533}"/>
    <cellStyle name="Normal 7 4 5 7" xfId="2466" xr:uid="{00000000-0005-0000-0000-0000AF080000}"/>
    <cellStyle name="Normal 7 4 5 7 2" xfId="5757" xr:uid="{0806CEDE-82C4-4757-94A1-D4A364F385D3}"/>
    <cellStyle name="Normal 7 4 5 7 2 2" xfId="27824" xr:uid="{D8A20EC4-0930-48B5-BB8D-002EEEFF8B79}"/>
    <cellStyle name="Normal 7 4 5 7 2 3" xfId="15138" xr:uid="{DAB03735-5BCD-45F9-965F-F78638AB8C71}"/>
    <cellStyle name="Normal 7 4 5 7 3" xfId="7591" xr:uid="{ED185F1D-0AFD-46B2-AFBC-5817A752073C}"/>
    <cellStyle name="Normal 7 4 5 7 3 2" xfId="17971" xr:uid="{2A1AE796-8920-4BEB-9B03-81203931504B}"/>
    <cellStyle name="Normal 7 4 5 7 4" xfId="10424" xr:uid="{F3CE7AE9-9597-4D70-ADB1-9CD09D5303E7}"/>
    <cellStyle name="Normal 7 4 5 7 4 2" xfId="20804" xr:uid="{4BD12F4B-85C9-443B-ADB6-EB5598A001F6}"/>
    <cellStyle name="Normal 7 4 5 7 5" xfId="24686" xr:uid="{7F498DCC-8B79-42AE-A66D-651ED3928429}"/>
    <cellStyle name="Normal 7 4 5 7 6" xfId="12854" xr:uid="{9679F6B9-5814-4809-BD04-04514E08081E}"/>
    <cellStyle name="Normal 7 4 5 8" xfId="2220" xr:uid="{00000000-0005-0000-0000-00009E080000}"/>
    <cellStyle name="Normal 7 4 5 8 2" xfId="7347" xr:uid="{F557962B-98E4-404E-BF09-964D44DF646A}"/>
    <cellStyle name="Normal 7 4 5 8 2 2" xfId="17727" xr:uid="{AC796349-D30C-4D4B-B059-04E362F1D48F}"/>
    <cellStyle name="Normal 7 4 5 8 3" xfId="10180" xr:uid="{65D29BBD-196A-4C9A-871F-33946F3CB743}"/>
    <cellStyle name="Normal 7 4 5 8 3 2" xfId="20560" xr:uid="{0A8EC2C8-C8BA-4B53-896F-A5393B55CE64}"/>
    <cellStyle name="Normal 7 4 5 8 4" xfId="25055" xr:uid="{1DAEE79F-B8A0-4360-B81F-5E1789B45645}"/>
    <cellStyle name="Normal 7 4 5 8 5" xfId="14894" xr:uid="{9007E917-66A3-431C-88DD-43C81AF06304}"/>
    <cellStyle name="Normal 7 4 5 9" xfId="4072" xr:uid="{3A901DB5-58D0-4820-A143-9FCA31460F7B}"/>
    <cellStyle name="Normal 7 4 5 9 2" xfId="8852" xr:uid="{700C17F6-D58A-408C-990F-C332EC8EC78C}"/>
    <cellStyle name="Normal 7 4 5 9 2 2" xfId="19232" xr:uid="{21BE3DC1-CB27-4FAF-BB6A-6FA87890E308}"/>
    <cellStyle name="Normal 7 4 5 9 3" xfId="11685" xr:uid="{1CB0413C-DD3D-4618-9B8E-208420E02059}"/>
    <cellStyle name="Normal 7 4 5 9 3 2" xfId="22065" xr:uid="{5227A0D6-DE0B-44F1-888B-5E60B3D3CD5C}"/>
    <cellStyle name="Normal 7 4 5 9 4" xfId="16399" xr:uid="{C8264871-7043-484B-8B5D-04A589B9A087}"/>
    <cellStyle name="Normal 7 4 6" xfId="1442" xr:uid="{00000000-0005-0000-0000-000079070000}"/>
    <cellStyle name="Normal 7 4 6 10" xfId="7210" xr:uid="{9D0BAB81-E060-46C4-A067-C3886DD2E4F5}"/>
    <cellStyle name="Normal 7 4 6 10 2" xfId="17590" xr:uid="{9281F678-6949-4A54-9733-A9AB1BF089C4}"/>
    <cellStyle name="Normal 7 4 6 11" xfId="10043" xr:uid="{579AAEC4-267E-45D8-8DA8-18AB3513478E}"/>
    <cellStyle name="Normal 7 4 6 11 2" xfId="20423" xr:uid="{59AE8321-472F-48C9-9BCE-38BE78599AF0}"/>
    <cellStyle name="Normal 7 4 6 12" xfId="24333" xr:uid="{BBFED37D-C0AD-4F14-AA04-70C6AE104C62}"/>
    <cellStyle name="Normal 7 4 6 13" xfId="12435" xr:uid="{6BCE06AF-85C4-4CC2-A918-E39D433FF0CD}"/>
    <cellStyle name="Normal 7 4 6 2" xfId="1443" xr:uid="{00000000-0005-0000-0000-00007A070000}"/>
    <cellStyle name="Normal 7 4 6 2 10" xfId="10044" xr:uid="{015A21AC-34D4-4826-84DF-2A188863A218}"/>
    <cellStyle name="Normal 7 4 6 2 10 2" xfId="20424" xr:uid="{57D37285-A06B-422F-B2D6-F44DF926CFBE}"/>
    <cellStyle name="Normal 7 4 6 2 11" xfId="24464" xr:uid="{3A31A8B7-2F92-472E-B7B5-9E887E7C8D00}"/>
    <cellStyle name="Normal 7 4 6 2 12" xfId="12639" xr:uid="{36FBE80E-5417-4AF5-86DE-81A4404606E3}"/>
    <cellStyle name="Normal 7 4 6 2 2" xfId="1444" xr:uid="{00000000-0005-0000-0000-00007B070000}"/>
    <cellStyle name="Normal 7 4 6 2 2 2" xfId="3474" xr:uid="{00000000-0005-0000-0000-0000B3080000}"/>
    <cellStyle name="Normal 7 4 6 2 2 2 2" xfId="6529" xr:uid="{2F811766-F2D8-4F4A-BA50-EF6F59704A35}"/>
    <cellStyle name="Normal 7 4 6 2 2 2 2 2" xfId="28019" xr:uid="{0EDEF980-8DC6-4133-825D-0AC672B945BF}"/>
    <cellStyle name="Normal 7 4 6 2 2 2 2 3" xfId="28174" xr:uid="{C9E9391A-CE76-400B-A4DD-A6C96FC18D1A}"/>
    <cellStyle name="Normal 7 4 6 2 2 2 2 4" xfId="16100" xr:uid="{3605FF11-A96C-4B5F-8FB7-99805CCB62D8}"/>
    <cellStyle name="Normal 7 4 6 2 2 2 3" xfId="8553" xr:uid="{C4F74542-B8A6-42C1-A393-BC01099B8C81}"/>
    <cellStyle name="Normal 7 4 6 2 2 2 3 2" xfId="28944" xr:uid="{484EA8FF-A658-414F-9465-055E6F23859F}"/>
    <cellStyle name="Normal 7 4 6 2 2 2 3 3" xfId="18933" xr:uid="{6981B120-B073-420F-B6D7-0CB1E2F8A322}"/>
    <cellStyle name="Normal 7 4 6 2 2 2 4" xfId="11386" xr:uid="{395CAD96-80CB-41CA-BD86-7FD10E6DB9DF}"/>
    <cellStyle name="Normal 7 4 6 2 2 2 4 2" xfId="21766" xr:uid="{50EB8523-F2CE-4146-8B69-A2E310D75B9E}"/>
    <cellStyle name="Normal 7 4 6 2 2 2 5" xfId="23315" xr:uid="{7176CF5D-11D8-4B27-8F9A-BFE9DC434CCA}"/>
    <cellStyle name="Normal 7 4 6 2 2 2 6" xfId="14061" xr:uid="{D5A276A3-7024-4E73-9B16-9116CA47891B}"/>
    <cellStyle name="Normal 7 4 6 2 2 3" xfId="4375" xr:uid="{A95130CF-C1A4-4A97-BA51-A9E1E46AC1AE}"/>
    <cellStyle name="Normal 7 4 6 2 2 3 2" xfId="9147" xr:uid="{8FB22CD3-2825-4E0D-8E2B-C6AE3C0C82EF}"/>
    <cellStyle name="Normal 7 4 6 2 2 3 2 2" xfId="29190" xr:uid="{D13D335D-E041-48E9-B7D1-4A67740958C5}"/>
    <cellStyle name="Normal 7 4 6 2 2 3 2 3" xfId="19527" xr:uid="{DB344710-F17E-418C-B4A2-630026663705}"/>
    <cellStyle name="Normal 7 4 6 2 2 3 3" xfId="11980" xr:uid="{8B36AEBF-4134-4BF8-A36C-9786466154DA}"/>
    <cellStyle name="Normal 7 4 6 2 2 3 3 2" xfId="22360" xr:uid="{C7F59C12-9CF7-4B47-9F45-F7C1BEC7C5BE}"/>
    <cellStyle name="Normal 7 4 6 2 2 3 4" xfId="25164" xr:uid="{3C115A6D-5126-4E2C-B507-31228BFAAE47}"/>
    <cellStyle name="Normal 7 4 6 2 2 3 5" xfId="16694" xr:uid="{D66D56DF-7F5C-49BE-BBB9-7F2F3686A2B0}"/>
    <cellStyle name="Normal 7 4 6 2 2 4" xfId="5462" xr:uid="{0CC6A5EB-0BCE-4510-BA88-5FEA0A5CE841}"/>
    <cellStyle name="Normal 7 4 6 2 2 4 2" xfId="28463" xr:uid="{5B671DBE-841C-4EF3-B4B0-44130DDBD783}"/>
    <cellStyle name="Normal 7 4 6 2 2 4 3" xfId="14759" xr:uid="{EDEA2358-8CBB-4A34-ADCC-15B892D84035}"/>
    <cellStyle name="Normal 7 4 6 2 2 5" xfId="7212" xr:uid="{C8622CF0-6FD8-4D48-B3CB-2AF7D2A7302D}"/>
    <cellStyle name="Normal 7 4 6 2 2 5 2" xfId="17592" xr:uid="{61377672-1CFC-4732-A347-7DE660EB372D}"/>
    <cellStyle name="Normal 7 4 6 2 2 6" xfId="10045" xr:uid="{65A19268-3767-4078-A796-2C4CBC861A87}"/>
    <cellStyle name="Normal 7 4 6 2 2 6 2" xfId="20425" xr:uid="{6EEB025A-54AB-4B21-B3FD-EFE52BBACBEC}"/>
    <cellStyle name="Normal 7 4 6 2 2 7" xfId="24150" xr:uid="{DF5D084C-42C6-42A0-B7E0-1157BB69E3A5}"/>
    <cellStyle name="Normal 7 4 6 2 2 8" xfId="13316" xr:uid="{165DDDD3-124E-47C3-91DC-3E4956AB94E1}"/>
    <cellStyle name="Normal 7 4 6 2 3" xfId="3475" xr:uid="{00000000-0005-0000-0000-0000B4080000}"/>
    <cellStyle name="Normal 7 4 6 2 3 2" xfId="4594" xr:uid="{AA9A90EB-6786-4553-BCF1-820E08D62D55}"/>
    <cellStyle name="Normal 7 4 6 2 3 2 2" xfId="9366" xr:uid="{C2246DDC-4E13-4C61-8968-6177DDB50795}"/>
    <cellStyle name="Normal 7 4 6 2 3 2 2 2" xfId="29336" xr:uid="{31266F53-CA8F-4EF3-8346-F5CE4DF6BBA1}"/>
    <cellStyle name="Normal 7 4 6 2 3 2 2 3" xfId="19746" xr:uid="{35689738-0262-4E2E-BAF1-64F685E77766}"/>
    <cellStyle name="Normal 7 4 6 2 3 2 3" xfId="12199" xr:uid="{BE3011C3-5EC8-436E-AAD2-BD8EF622F124}"/>
    <cellStyle name="Normal 7 4 6 2 3 2 3 2" xfId="22579" xr:uid="{8CC6CDDA-E727-4ED4-A72A-05F6C13D9FD8}"/>
    <cellStyle name="Normal 7 4 6 2 3 2 4" xfId="23993" xr:uid="{4D51B64E-BCB2-4EE1-B006-9BC0CD8C2EF3}"/>
    <cellStyle name="Normal 7 4 6 2 3 2 5" xfId="16913" xr:uid="{012AE3E8-1ED9-4641-AB2A-A7BB3922440C}"/>
    <cellStyle name="Normal 7 4 6 2 3 3" xfId="6530" xr:uid="{2EFCFD26-23A9-43B4-8E21-F6FB3260333C}"/>
    <cellStyle name="Normal 7 4 6 2 3 3 2" xfId="26702" xr:uid="{B4B5CA8E-1E02-446A-B17B-F16112AD7BB4}"/>
    <cellStyle name="Normal 7 4 6 2 3 3 3" xfId="16101" xr:uid="{6F902B5B-0EF3-4C63-810A-D291B05A10F1}"/>
    <cellStyle name="Normal 7 4 6 2 3 4" xfId="8554" xr:uid="{4687F2C9-0B83-42E4-B559-9E6EF6827985}"/>
    <cellStyle name="Normal 7 4 6 2 3 4 2" xfId="18934" xr:uid="{3B844C43-1343-40FE-BD7C-093E5C60487E}"/>
    <cellStyle name="Normal 7 4 6 2 3 5" xfId="11387" xr:uid="{D9D4C41C-9940-41B4-83A4-0C3BF2E3A360}"/>
    <cellStyle name="Normal 7 4 6 2 3 5 2" xfId="21767" xr:uid="{3A4A0930-732E-4036-913C-716D778E0713}"/>
    <cellStyle name="Normal 7 4 6 2 3 6" xfId="22900" xr:uid="{FC5630F8-D770-4D8E-B960-DE9C0187F3DE}"/>
    <cellStyle name="Normal 7 4 6 2 3 7" xfId="14062" xr:uid="{4CE8185E-7E44-4B27-A157-43795DCE7A16}"/>
    <cellStyle name="Normal 7 4 6 2 4" xfId="3473" xr:uid="{00000000-0005-0000-0000-0000B5080000}"/>
    <cellStyle name="Normal 7 4 6 2 4 2" xfId="6528" xr:uid="{A7065ACD-749C-4101-B617-76BAE472C0A7}"/>
    <cellStyle name="Normal 7 4 6 2 4 2 2" xfId="25906" xr:uid="{B86BAEC1-F979-42C6-99B5-2C2E12484112}"/>
    <cellStyle name="Normal 7 4 6 2 4 2 3" xfId="16099" xr:uid="{58F29C10-D636-4686-938A-855CF3DCD771}"/>
    <cellStyle name="Normal 7 4 6 2 4 3" xfId="8552" xr:uid="{0AEA8D9C-556A-403C-B4B1-97E240CDC933}"/>
    <cellStyle name="Normal 7 4 6 2 4 3 2" xfId="18932" xr:uid="{79DB9C0E-2454-4F95-BF3E-02655D6D29C7}"/>
    <cellStyle name="Normal 7 4 6 2 4 4" xfId="11385" xr:uid="{5704E751-D96F-4DBF-859F-4DEFDDB9AB3D}"/>
    <cellStyle name="Normal 7 4 6 2 4 4 2" xfId="21765" xr:uid="{731B8A3F-E65F-4DA0-8B6C-75A01AF6462B}"/>
    <cellStyle name="Normal 7 4 6 2 4 5" xfId="25051" xr:uid="{F842D7F2-DBC3-4B01-8A2B-4FBB6AB1F674}"/>
    <cellStyle name="Normal 7 4 6 2 4 6" xfId="14060" xr:uid="{3FA029E0-83EC-4C1E-924F-02FAFF8C3151}"/>
    <cellStyle name="Normal 7 4 6 2 5" xfId="2612" xr:uid="{00000000-0005-0000-0000-0000B6080000}"/>
    <cellStyle name="Normal 7 4 6 2 5 2" xfId="5876" xr:uid="{ED28E35E-3B05-43CA-8272-C98CFE752A4D}"/>
    <cellStyle name="Normal 7 4 6 2 5 2 2" xfId="28342" xr:uid="{AFB9A578-F33D-4994-B6A6-915A59C8352E}"/>
    <cellStyle name="Normal 7 4 6 2 5 2 3" xfId="15284" xr:uid="{183E967D-EBC3-47C1-BAF4-AC54C24D929C}"/>
    <cellStyle name="Normal 7 4 6 2 5 3" xfId="7737" xr:uid="{7E3AB69C-436C-401C-9731-4BF2E5CA0323}"/>
    <cellStyle name="Normal 7 4 6 2 5 3 2" xfId="18117" xr:uid="{37B93855-0475-488B-AD3D-C61E28883DFC}"/>
    <cellStyle name="Normal 7 4 6 2 5 4" xfId="10570" xr:uid="{B178F962-2657-4F24-AA8F-DE264DF48D23}"/>
    <cellStyle name="Normal 7 4 6 2 5 4 2" xfId="20950" xr:uid="{077C6A62-37F7-425D-AABA-A9B4B25DC1F8}"/>
    <cellStyle name="Normal 7 4 6 2 5 5" xfId="24143" xr:uid="{5151E569-3E21-4983-BF90-72E5D7566DF1}"/>
    <cellStyle name="Normal 7 4 6 2 5 6" xfId="13000" xr:uid="{B0D1F0C8-B578-42DD-9297-A7A26493E6A5}"/>
    <cellStyle name="Normal 7 4 6 2 6" xfId="2405" xr:uid="{00000000-0005-0000-0000-0000B1080000}"/>
    <cellStyle name="Normal 7 4 6 2 6 2" xfId="7532" xr:uid="{3E5CC756-B253-4B3C-9DB5-BDF4E3049137}"/>
    <cellStyle name="Normal 7 4 6 2 6 2 2" xfId="17912" xr:uid="{4F7B4801-3A30-4063-9945-9276C0972B4A}"/>
    <cellStyle name="Normal 7 4 6 2 6 3" xfId="10365" xr:uid="{D328754E-1865-498D-ABA5-A3AA117E1F7A}"/>
    <cellStyle name="Normal 7 4 6 2 6 3 2" xfId="20745" xr:uid="{89CE0C2E-16F7-4DA9-9179-5B9D4093E09C}"/>
    <cellStyle name="Normal 7 4 6 2 6 4" xfId="23614" xr:uid="{C63B725F-10E9-4005-B129-185D18AB4974}"/>
    <cellStyle name="Normal 7 4 6 2 6 5" xfId="15079" xr:uid="{686D7622-0DA7-455A-B5E0-6173D814EE00}"/>
    <cellStyle name="Normal 7 4 6 2 7" xfId="4105" xr:uid="{FBC0C879-14E9-4755-8B03-4CDD731C2FC5}"/>
    <cellStyle name="Normal 7 4 6 2 7 2" xfId="8879" xr:uid="{C58BACB1-648D-4A62-8DF5-AE1F6BC94290}"/>
    <cellStyle name="Normal 7 4 6 2 7 2 2" xfId="19259" xr:uid="{9DE98E81-F832-46FD-90D4-FD7D25B8E057}"/>
    <cellStyle name="Normal 7 4 6 2 7 3" xfId="11712" xr:uid="{74A38B67-90CA-4EEB-BF93-499AD9B73FD6}"/>
    <cellStyle name="Normal 7 4 6 2 7 3 2" xfId="22092" xr:uid="{D7F29AF2-0D5B-41BE-82B6-57DAC19ABB89}"/>
    <cellStyle name="Normal 7 4 6 2 7 4" xfId="16426" xr:uid="{637739DF-7C78-4B06-938E-04C37FC8F35F}"/>
    <cellStyle name="Normal 7 4 6 2 8" xfId="5461" xr:uid="{2F886AA2-4DDA-40FD-9E88-F748B011B828}"/>
    <cellStyle name="Normal 7 4 6 2 8 2" xfId="14758" xr:uid="{7FA1EA60-EAA8-429A-A717-719E22507350}"/>
    <cellStyle name="Normal 7 4 6 2 9" xfId="7211" xr:uid="{0EBDD1CB-AD53-45F4-AA45-AB9B37BCF00A}"/>
    <cellStyle name="Normal 7 4 6 2 9 2" xfId="17591" xr:uid="{6BC88A3B-1DCE-4ABE-9228-C1F329747FBB}"/>
    <cellStyle name="Normal 7 4 6 3" xfId="1445" xr:uid="{00000000-0005-0000-0000-00007C070000}"/>
    <cellStyle name="Normal 7 4 6 3 2" xfId="3476" xr:uid="{00000000-0005-0000-0000-0000B8080000}"/>
    <cellStyle name="Normal 7 4 6 3 2 2" xfId="6531" xr:uid="{35017E7D-4080-453E-9AB5-4EBD7D742297}"/>
    <cellStyle name="Normal 7 4 6 3 2 2 2" xfId="25596" xr:uid="{0F8CE7FB-386C-435B-A026-98059F5A95A9}"/>
    <cellStyle name="Normal 7 4 6 3 2 2 3" xfId="28536" xr:uid="{1F2CEFE1-D1FE-4130-ACC8-FD585A24FA99}"/>
    <cellStyle name="Normal 7 4 6 3 2 2 4" xfId="16102" xr:uid="{88626788-AA4A-42B7-8834-79CDBF1F5327}"/>
    <cellStyle name="Normal 7 4 6 3 2 3" xfId="8555" xr:uid="{8FB01244-A933-4F0C-BCDB-A633B5525C26}"/>
    <cellStyle name="Normal 7 4 6 3 2 3 2" xfId="28945" xr:uid="{B5BAFC47-2B98-4822-959C-22BE61FD9BC3}"/>
    <cellStyle name="Normal 7 4 6 3 2 3 3" xfId="18935" xr:uid="{763CE3F2-E5C5-47D8-BA0B-756F115B01F4}"/>
    <cellStyle name="Normal 7 4 6 3 2 4" xfId="11388" xr:uid="{3581D6B7-B0E6-457A-AA56-376099B8AF45}"/>
    <cellStyle name="Normal 7 4 6 3 2 4 2" xfId="21768" xr:uid="{9EAA1A85-C736-4161-8EB5-AE161B56076D}"/>
    <cellStyle name="Normal 7 4 6 3 2 5" xfId="23682" xr:uid="{F6B9E067-6AA6-466A-B3C9-A78C4E1F66B9}"/>
    <cellStyle name="Normal 7 4 6 3 2 6" xfId="14063" xr:uid="{22FA1A24-F2FC-4BFE-8BAB-1373E623DF80}"/>
    <cellStyle name="Normal 7 4 6 3 3" xfId="2837" xr:uid="{00000000-0005-0000-0000-0000B9080000}"/>
    <cellStyle name="Normal 7 4 6 3 3 2" xfId="6053" xr:uid="{9833E8C8-D664-4632-AEAC-06D0FE3225DB}"/>
    <cellStyle name="Normal 7 4 6 3 3 2 2" xfId="25926" xr:uid="{1F4B852F-4C06-42C4-AD07-13893317F0E1}"/>
    <cellStyle name="Normal 7 4 6 3 3 2 3" xfId="15507" xr:uid="{17B32C06-3280-4A63-81CA-C96A785D6C1D}"/>
    <cellStyle name="Normal 7 4 6 3 3 3" xfId="7960" xr:uid="{BC3F3018-7F28-4708-97DE-8915B1749A03}"/>
    <cellStyle name="Normal 7 4 6 3 3 3 2" xfId="18340" xr:uid="{27BA55F5-426F-4C43-9835-B844C5A2DD31}"/>
    <cellStyle name="Normal 7 4 6 3 3 4" xfId="10793" xr:uid="{EAA73794-EE82-4AE9-A943-B5B056B37C1A}"/>
    <cellStyle name="Normal 7 4 6 3 3 4 2" xfId="21173" xr:uid="{5A10CD32-36F2-438E-B345-DE2BDB4A9EFE}"/>
    <cellStyle name="Normal 7 4 6 3 3 5" xfId="22941" xr:uid="{FB4C0B42-AD50-4039-A7AA-357C00D435AC}"/>
    <cellStyle name="Normal 7 4 6 3 3 6" xfId="13315" xr:uid="{C3FCB08E-F407-46DD-8B97-023E94F4A4B3}"/>
    <cellStyle name="Normal 7 4 6 3 4" xfId="4223" xr:uid="{3D508AE3-1814-404D-9AC4-712273263D09}"/>
    <cellStyle name="Normal 7 4 6 3 4 2" xfId="8995" xr:uid="{CF3251C8-5F32-48E4-AEF0-9E4ECEFAC3C5}"/>
    <cellStyle name="Normal 7 4 6 3 4 2 2" xfId="29072" xr:uid="{1044CA18-5623-4314-B05D-5ABAAC6D8965}"/>
    <cellStyle name="Normal 7 4 6 3 4 2 3" xfId="19375" xr:uid="{3ADC7E10-6F86-492B-B40F-0999E1058B87}"/>
    <cellStyle name="Normal 7 4 6 3 4 3" xfId="11828" xr:uid="{059EDE9C-EEF9-4E19-A280-1845B7381291}"/>
    <cellStyle name="Normal 7 4 6 3 4 3 2" xfId="22208" xr:uid="{1E094AD0-1DCD-4C0E-9C66-5325193AEC02}"/>
    <cellStyle name="Normal 7 4 6 3 4 4" xfId="24428" xr:uid="{2757FBC0-CFF8-45CD-BA73-66D590E944AE}"/>
    <cellStyle name="Normal 7 4 6 3 4 5" xfId="16542" xr:uid="{E8F3403B-B7F8-45DF-841A-A643EC17ED5D}"/>
    <cellStyle name="Normal 7 4 6 3 5" xfId="5463" xr:uid="{ACED7834-840E-47D4-8EAE-013D3F8DD5E1}"/>
    <cellStyle name="Normal 7 4 6 3 5 2" xfId="28045" xr:uid="{DBA71A09-0ABB-419B-85A4-F90BCEADE320}"/>
    <cellStyle name="Normal 7 4 6 3 5 3" xfId="14760" xr:uid="{3F6B750F-8CA5-4894-B3FC-F21D8C721CA2}"/>
    <cellStyle name="Normal 7 4 6 3 6" xfId="7213" xr:uid="{C6DA2319-B02F-4D3C-BA00-AEB648EC567D}"/>
    <cellStyle name="Normal 7 4 6 3 6 2" xfId="17593" xr:uid="{F6ECAE9E-E100-48F6-90F1-82731369342C}"/>
    <cellStyle name="Normal 7 4 6 3 7" xfId="10046" xr:uid="{14B519C2-0820-4466-A584-7FE00120A0A3}"/>
    <cellStyle name="Normal 7 4 6 3 7 2" xfId="20426" xr:uid="{23B42D99-E8B9-470A-B34B-1E6BC71D1E6B}"/>
    <cellStyle name="Normal 7 4 6 3 8" xfId="23301" xr:uid="{D10B02A0-CC7F-451E-B557-50CF86281086}"/>
    <cellStyle name="Normal 7 4 6 3 9" xfId="12797" xr:uid="{4D297DEC-FC89-4059-A06B-191A9F90780A}"/>
    <cellStyle name="Normal 7 4 6 4" xfId="1446" xr:uid="{00000000-0005-0000-0000-00007D070000}"/>
    <cellStyle name="Normal 7 4 6 4 2" xfId="4595" xr:uid="{06556283-BC7A-40E8-B0B8-1D337E804B2B}"/>
    <cellStyle name="Normal 7 4 6 4 2 2" xfId="9367" xr:uid="{8802636A-28FD-46A2-8892-80F032F8547E}"/>
    <cellStyle name="Normal 7 4 6 4 2 2 2" xfId="29337" xr:uid="{61E34EF4-3A13-4C76-932B-12452DD5E700}"/>
    <cellStyle name="Normal 7 4 6 4 2 2 3" xfId="19747" xr:uid="{9021AC51-3EDE-4047-A68C-1E8C5C9E6091}"/>
    <cellStyle name="Normal 7 4 6 4 2 3" xfId="12200" xr:uid="{E5B5D3AD-DEE0-44EC-BCFE-0A1535C70484}"/>
    <cellStyle name="Normal 7 4 6 4 2 3 2" xfId="22580" xr:uid="{542A0DC7-1ED4-4D5E-AC95-46C3FA357628}"/>
    <cellStyle name="Normal 7 4 6 4 2 4" xfId="23086" xr:uid="{203B5CCE-9CAB-4CF3-AB1B-CA03B1CD66EE}"/>
    <cellStyle name="Normal 7 4 6 4 2 5" xfId="16914" xr:uid="{A4F82774-452B-493E-8F71-5D91F5FB0493}"/>
    <cellStyle name="Normal 7 4 6 4 3" xfId="5464" xr:uid="{B833A83F-A323-476C-BDC2-5D9177DC1535}"/>
    <cellStyle name="Normal 7 4 6 4 3 2" xfId="27063" xr:uid="{5B70F443-C489-4B90-8D3B-0BE26E28E497}"/>
    <cellStyle name="Normal 7 4 6 4 3 3" xfId="14761" xr:uid="{D5F94BAF-D334-43DC-B93D-852F0F7F4488}"/>
    <cellStyle name="Normal 7 4 6 4 4" xfId="7214" xr:uid="{BA01F59F-0ADB-4B7F-9840-4EDC9AA8FB21}"/>
    <cellStyle name="Normal 7 4 6 4 4 2" xfId="17594" xr:uid="{49834D77-38BE-4EF6-A045-C2AA3B4A435F}"/>
    <cellStyle name="Normal 7 4 6 4 5" xfId="10047" xr:uid="{7AFF5F4B-400D-4BCE-852F-FB4131887FFD}"/>
    <cellStyle name="Normal 7 4 6 4 5 2" xfId="20427" xr:uid="{1A653C84-D28E-46F4-871C-FFFD91262864}"/>
    <cellStyle name="Normal 7 4 6 4 6" xfId="23260" xr:uid="{3DF2D86D-5F6B-4241-8670-53457CA0D6BC}"/>
    <cellStyle name="Normal 7 4 6 4 7" xfId="14064" xr:uid="{EED9FD42-1709-4C37-A935-014C3E30E31B}"/>
    <cellStyle name="Normal 7 4 6 5" xfId="2996" xr:uid="{00000000-0005-0000-0000-0000BB080000}"/>
    <cellStyle name="Normal 7 4 6 5 2" xfId="6146" xr:uid="{55E48DA5-4B76-478A-BA7F-7495F63ACFBE}"/>
    <cellStyle name="Normal 7 4 6 5 2 2" xfId="22637" xr:uid="{67BD9E09-E9FD-4CC8-B327-D9551139194D}"/>
    <cellStyle name="Normal 7 4 6 5 2 3" xfId="26804" xr:uid="{643CC87A-6649-4CAA-9C93-5E302EDF844F}"/>
    <cellStyle name="Normal 7 4 6 5 2 4" xfId="15624" xr:uid="{0EFCFE9F-1BB0-4F14-9B97-C7E15DF2761F}"/>
    <cellStyle name="Normal 7 4 6 5 3" xfId="8077" xr:uid="{8814ED0B-8579-4B4A-ACC6-722A933F1F07}"/>
    <cellStyle name="Normal 7 4 6 5 3 2" xfId="28770" xr:uid="{CB6418F2-424E-4ABA-9D8A-0060B00E9E94}"/>
    <cellStyle name="Normal 7 4 6 5 3 3" xfId="18457" xr:uid="{7AAF2FE2-E9AE-437F-B825-DB61440AA9F7}"/>
    <cellStyle name="Normal 7 4 6 5 4" xfId="10910" xr:uid="{DFAA71AD-5AE9-4FD7-A701-8DD957708B93}"/>
    <cellStyle name="Normal 7 4 6 5 4 2" xfId="21290" xr:uid="{0F31019A-44AE-4AE4-8E49-3FAD3C383265}"/>
    <cellStyle name="Normal 7 4 6 5 5" xfId="24816" xr:uid="{55A88DCE-7EB1-4825-A9C5-5692F014DE4E}"/>
    <cellStyle name="Normal 7 4 6 5 6" xfId="13495" xr:uid="{DAFD1A46-5ED7-4040-809C-00EB2EDC4E0E}"/>
    <cellStyle name="Normal 7 4 6 6" xfId="2449" xr:uid="{00000000-0005-0000-0000-0000BC080000}"/>
    <cellStyle name="Normal 7 4 6 6 2" xfId="5743" xr:uid="{91DC8A24-84B8-44CC-8DAF-4A1B7006D8FA}"/>
    <cellStyle name="Normal 7 4 6 6 2 2" xfId="28603" xr:uid="{1008F856-5904-4562-8ABB-82B63C120CBB}"/>
    <cellStyle name="Normal 7 4 6 6 2 3" xfId="15121" xr:uid="{34BBFA9B-2282-4D60-A8D3-7F1983AF70F9}"/>
    <cellStyle name="Normal 7 4 6 6 3" xfId="7574" xr:uid="{38F769B6-93FF-41AE-989A-483E7E0C64A6}"/>
    <cellStyle name="Normal 7 4 6 6 3 2" xfId="17954" xr:uid="{E56532B5-334C-41A0-9408-9A8D9896B87A}"/>
    <cellStyle name="Normal 7 4 6 6 4" xfId="10407" xr:uid="{D4173E3F-45A5-4BB0-BA83-B0B90F13EDE9}"/>
    <cellStyle name="Normal 7 4 6 6 4 2" xfId="20787" xr:uid="{6E430E16-8CFC-444C-A9D6-F231C478AA65}"/>
    <cellStyle name="Normal 7 4 6 6 5" xfId="23461" xr:uid="{15E33F00-4954-4425-BC03-3D6722B643D9}"/>
    <cellStyle name="Normal 7 4 6 6 6" xfId="12837" xr:uid="{9DA777EC-6CF3-41AD-9C1B-C781CB28E336}"/>
    <cellStyle name="Normal 7 4 6 7" xfId="2203" xr:uid="{00000000-0005-0000-0000-0000B0080000}"/>
    <cellStyle name="Normal 7 4 6 7 2" xfId="7330" xr:uid="{A8F81ABD-473B-4918-9E04-DB1C766D92A5}"/>
    <cellStyle name="Normal 7 4 6 7 2 2" xfId="17710" xr:uid="{FDCE9D7A-B89D-40BB-BEA4-74A61A8B40CC}"/>
    <cellStyle name="Normal 7 4 6 7 3" xfId="10163" xr:uid="{2C0D19E8-C15D-422B-B923-BD2F5C035D3B}"/>
    <cellStyle name="Normal 7 4 6 7 3 2" xfId="20543" xr:uid="{394CAB9D-35A2-4A86-937B-5F0D8D6D7041}"/>
    <cellStyle name="Normal 7 4 6 7 4" xfId="24840" xr:uid="{9E5FDA80-4CAB-44E3-B4E4-46156B50308A}"/>
    <cellStyle name="Normal 7 4 6 7 5" xfId="14877" xr:uid="{5DF8B1D1-0475-4895-BFC3-551D63DE687A}"/>
    <cellStyle name="Normal 7 4 6 8" xfId="4073" xr:uid="{33E269F1-C808-433A-91A0-C4A75B23DD7C}"/>
    <cellStyle name="Normal 7 4 6 8 2" xfId="8853" xr:uid="{A6AB4A80-9BD7-4DBA-8503-88D339F7795E}"/>
    <cellStyle name="Normal 7 4 6 8 2 2" xfId="19233" xr:uid="{A79640B2-7119-4697-9C1C-115D9A4EAF16}"/>
    <cellStyle name="Normal 7 4 6 8 3" xfId="11686" xr:uid="{D99C783C-3268-4C21-8A0E-0C682639B465}"/>
    <cellStyle name="Normal 7 4 6 8 3 2" xfId="22066" xr:uid="{F152A3B2-D04F-4AD8-83C6-2BB298DF8924}"/>
    <cellStyle name="Normal 7 4 6 8 4" xfId="16400" xr:uid="{BD37A6C5-F0BE-4A49-BB6C-8F9B0900EB06}"/>
    <cellStyle name="Normal 7 4 6 9" xfId="5460" xr:uid="{71C8AF85-F312-4E30-893B-D1658E4F63A4}"/>
    <cellStyle name="Normal 7 4 6 9 2" xfId="14757" xr:uid="{F214C8CE-D46B-4D80-9E30-215AC376FC0F}"/>
    <cellStyle name="Normal 7 4 7" xfId="1447" xr:uid="{00000000-0005-0000-0000-00007E070000}"/>
    <cellStyle name="Normal 7 4 7 10" xfId="7215" xr:uid="{B79F1174-C0EF-43EE-B43A-E3C61683CAC6}"/>
    <cellStyle name="Normal 7 4 7 10 2" xfId="17595" xr:uid="{95B2FC8A-E885-4B3B-B5EC-02781C1A58EC}"/>
    <cellStyle name="Normal 7 4 7 11" xfId="10048" xr:uid="{61F7AF7F-836E-4902-8FA2-4DFDAF1457E1}"/>
    <cellStyle name="Normal 7 4 7 11 2" xfId="20428" xr:uid="{ACDF87DF-0957-4653-A0EB-E45124CC174F}"/>
    <cellStyle name="Normal 7 4 7 12" xfId="23784" xr:uid="{A414E85A-79DA-4583-8CF8-9F03726BE8F9}"/>
    <cellStyle name="Normal 7 4 7 13" xfId="12496" xr:uid="{E3FF85BB-8BF9-4B25-ADB5-6C1CD46C9B5C}"/>
    <cellStyle name="Normal 7 4 7 2" xfId="1448" xr:uid="{00000000-0005-0000-0000-00007F070000}"/>
    <cellStyle name="Normal 7 4 7 2 10" xfId="10049" xr:uid="{F40C03E6-EB31-4D47-9DB7-C15F15CCF13A}"/>
    <cellStyle name="Normal 7 4 7 2 10 2" xfId="20429" xr:uid="{F6D054F0-4AB0-4B3F-95C6-26A0388FEC62}"/>
    <cellStyle name="Normal 7 4 7 2 11" xfId="23602" xr:uid="{31F11D70-37E3-4F73-9881-E3BF5C0B086F}"/>
    <cellStyle name="Normal 7 4 7 2 12" xfId="12640" xr:uid="{C1B98FB0-5037-4A65-BF12-7FE07AB74A9A}"/>
    <cellStyle name="Normal 7 4 7 2 2" xfId="1449" xr:uid="{00000000-0005-0000-0000-000080070000}"/>
    <cellStyle name="Normal 7 4 7 2 2 2" xfId="3478" xr:uid="{00000000-0005-0000-0000-0000C0080000}"/>
    <cellStyle name="Normal 7 4 7 2 2 2 2" xfId="6533" xr:uid="{835532A3-77B8-450B-8517-EF41F501D9C9}"/>
    <cellStyle name="Normal 7 4 7 2 2 2 2 2" xfId="27878" xr:uid="{753EB7B4-3D9C-4D5D-A3FC-F4E5B8D41D55}"/>
    <cellStyle name="Normal 7 4 7 2 2 2 2 3" xfId="26176" xr:uid="{0582B580-DB86-483F-8105-DFA09FC7ADC3}"/>
    <cellStyle name="Normal 7 4 7 2 2 2 2 4" xfId="16104" xr:uid="{C69B7FE9-6CA8-4618-B6CE-089E9D15D73F}"/>
    <cellStyle name="Normal 7 4 7 2 2 2 3" xfId="8557" xr:uid="{CF3D07B9-FEBB-483E-9979-C38A4907E144}"/>
    <cellStyle name="Normal 7 4 7 2 2 2 3 2" xfId="28946" xr:uid="{569A284B-BF6D-43C1-912F-2FBEB10DEC4A}"/>
    <cellStyle name="Normal 7 4 7 2 2 2 3 3" xfId="18937" xr:uid="{B79C1081-154D-47F1-BE0F-7D0B459F0F90}"/>
    <cellStyle name="Normal 7 4 7 2 2 2 4" xfId="11390" xr:uid="{198CE081-D38D-41D3-BA1F-18F68ADDD82A}"/>
    <cellStyle name="Normal 7 4 7 2 2 2 4 2" xfId="21770" xr:uid="{E91A20DD-98E4-4926-83CB-3B99B424C5A2}"/>
    <cellStyle name="Normal 7 4 7 2 2 2 5" xfId="25070" xr:uid="{2EAD1687-EDF3-4532-8749-D9E3BE5D5912}"/>
    <cellStyle name="Normal 7 4 7 2 2 2 6" xfId="14066" xr:uid="{B8C2BAA5-061A-4030-945D-403DD5A96AFD}"/>
    <cellStyle name="Normal 7 4 7 2 2 3" xfId="4376" xr:uid="{BFB4A6B1-5B30-48CD-8C71-C8027AED9B9E}"/>
    <cellStyle name="Normal 7 4 7 2 2 3 2" xfId="9148" xr:uid="{1151F43E-E6E9-4C32-97FE-1859BBC3D077}"/>
    <cellStyle name="Normal 7 4 7 2 2 3 2 2" xfId="29191" xr:uid="{1E835761-F2DC-4A00-B563-DEBA163B5F0C}"/>
    <cellStyle name="Normal 7 4 7 2 2 3 2 3" xfId="19528" xr:uid="{635DC76E-0DCC-4D5C-B01B-95173782E5BA}"/>
    <cellStyle name="Normal 7 4 7 2 2 3 3" xfId="11981" xr:uid="{890425D6-E295-44D2-A670-FE1A4CBAF665}"/>
    <cellStyle name="Normal 7 4 7 2 2 3 3 2" xfId="22361" xr:uid="{7B6E5C9E-F032-49CB-93ED-49F1925F2AEC}"/>
    <cellStyle name="Normal 7 4 7 2 2 3 4" xfId="22921" xr:uid="{180EDF12-3F04-42F0-9650-D5BA1FEAAC50}"/>
    <cellStyle name="Normal 7 4 7 2 2 3 5" xfId="16695" xr:uid="{0B8F5DD4-C2A8-408C-AB7A-BFA92340C3F0}"/>
    <cellStyle name="Normal 7 4 7 2 2 4" xfId="5467" xr:uid="{085C80A0-B636-43BC-B6E0-918B21F9F4FE}"/>
    <cellStyle name="Normal 7 4 7 2 2 4 2" xfId="27877" xr:uid="{A0231EC6-6DBA-425B-A7BE-ECB7CCE7148D}"/>
    <cellStyle name="Normal 7 4 7 2 2 4 3" xfId="14764" xr:uid="{814A1EDD-0F76-4742-802A-DDF1E255A252}"/>
    <cellStyle name="Normal 7 4 7 2 2 5" xfId="7217" xr:uid="{60B59DE1-CF70-4DFA-83F7-D16E015BB124}"/>
    <cellStyle name="Normal 7 4 7 2 2 5 2" xfId="17597" xr:uid="{114C42DE-3216-4CD0-832F-26E415C0D56A}"/>
    <cellStyle name="Normal 7 4 7 2 2 6" xfId="10050" xr:uid="{0E815CF9-78A4-4845-B442-F14A9B09353A}"/>
    <cellStyle name="Normal 7 4 7 2 2 6 2" xfId="20430" xr:uid="{CEFB5057-1F37-48F9-A9C3-5EA3C85E5147}"/>
    <cellStyle name="Normal 7 4 7 2 2 7" xfId="25195" xr:uid="{809CDBE0-EF51-474A-8E89-25D65B8BA3D0}"/>
    <cellStyle name="Normal 7 4 7 2 2 8" xfId="13318" xr:uid="{1AADC6D2-94A6-4D00-8F14-11595BDC81F5}"/>
    <cellStyle name="Normal 7 4 7 2 3" xfId="3479" xr:uid="{00000000-0005-0000-0000-0000C1080000}"/>
    <cellStyle name="Normal 7 4 7 2 3 2" xfId="4596" xr:uid="{1689FB8F-5DB2-4F3F-8C00-9F23EBA7B220}"/>
    <cellStyle name="Normal 7 4 7 2 3 2 2" xfId="9368" xr:uid="{087BBC59-C397-489E-9DBF-0D4209A62F13}"/>
    <cellStyle name="Normal 7 4 7 2 3 2 2 2" xfId="29338" xr:uid="{DBD29D0C-9D6F-4A27-B56E-90DEE53D2EFB}"/>
    <cellStyle name="Normal 7 4 7 2 3 2 2 3" xfId="19748" xr:uid="{522F09AD-AAD5-4A97-BAC3-DBA3DE60D4F5}"/>
    <cellStyle name="Normal 7 4 7 2 3 2 3" xfId="12201" xr:uid="{55C93E96-8871-49B4-80C9-9B89DE07AEDE}"/>
    <cellStyle name="Normal 7 4 7 2 3 2 3 2" xfId="22581" xr:uid="{2AA920AA-7192-4A4A-9C0E-282153FC5606}"/>
    <cellStyle name="Normal 7 4 7 2 3 2 4" xfId="22803" xr:uid="{82676B81-828D-4BDD-8E8C-6D58812B4460}"/>
    <cellStyle name="Normal 7 4 7 2 3 2 5" xfId="16915" xr:uid="{7726C983-AA88-4D6C-AFCD-8DB7CCB30F29}"/>
    <cellStyle name="Normal 7 4 7 2 3 3" xfId="6534" xr:uid="{A95C4F38-A94E-4D03-9440-684836A648C8}"/>
    <cellStyle name="Normal 7 4 7 2 3 3 2" xfId="26904" xr:uid="{F523E6E7-5F38-4FFB-92F5-496B29A97F41}"/>
    <cellStyle name="Normal 7 4 7 2 3 3 3" xfId="16105" xr:uid="{6CC3315D-F4AA-41D1-955C-B870089E995B}"/>
    <cellStyle name="Normal 7 4 7 2 3 4" xfId="8558" xr:uid="{2D62317B-2C70-4287-8FDF-457891378A2F}"/>
    <cellStyle name="Normal 7 4 7 2 3 4 2" xfId="18938" xr:uid="{9138CF04-DC4A-4C56-B8F5-CD86EB6CC4C6}"/>
    <cellStyle name="Normal 7 4 7 2 3 5" xfId="11391" xr:uid="{F5B87F4C-24F6-4D73-BE1F-956492E1AA20}"/>
    <cellStyle name="Normal 7 4 7 2 3 5 2" xfId="21771" xr:uid="{180E7CB1-72AC-4F60-BA6F-72C3B5C0D1D7}"/>
    <cellStyle name="Normal 7 4 7 2 3 6" xfId="23660" xr:uid="{433E7EB2-4F66-404D-BD3F-C6CCCB4C2BAA}"/>
    <cellStyle name="Normal 7 4 7 2 3 7" xfId="14067" xr:uid="{14FE246A-9A3A-422B-AFD3-FFE4BA1479EC}"/>
    <cellStyle name="Normal 7 4 7 2 4" xfId="3477" xr:uid="{00000000-0005-0000-0000-0000C2080000}"/>
    <cellStyle name="Normal 7 4 7 2 4 2" xfId="6532" xr:uid="{AC873C04-59CF-44C5-B9D8-1244FA312A75}"/>
    <cellStyle name="Normal 7 4 7 2 4 2 2" xfId="28693" xr:uid="{F47CEBB1-A5FF-4223-AC54-5E4BFE1C4D05}"/>
    <cellStyle name="Normal 7 4 7 2 4 2 3" xfId="16103" xr:uid="{0ECF9ED6-B2E9-400C-A529-9D0DA49C269C}"/>
    <cellStyle name="Normal 7 4 7 2 4 3" xfId="8556" xr:uid="{0AEB99EA-8B24-4814-9EAD-C812A5E1DFA2}"/>
    <cellStyle name="Normal 7 4 7 2 4 3 2" xfId="18936" xr:uid="{FBF54366-F1B3-4EB3-9265-3AA238B11917}"/>
    <cellStyle name="Normal 7 4 7 2 4 4" xfId="11389" xr:uid="{CF7BF7FC-13C8-4CF2-A553-3E054EC32361}"/>
    <cellStyle name="Normal 7 4 7 2 4 4 2" xfId="21769" xr:uid="{7FBBBFD2-9D3F-4570-8E8D-42FCDBA696EF}"/>
    <cellStyle name="Normal 7 4 7 2 4 5" xfId="23082" xr:uid="{F500A9A7-03FF-48CE-B3DA-7D9A7BF22254}"/>
    <cellStyle name="Normal 7 4 7 2 4 6" xfId="14065" xr:uid="{944BD33C-BC03-4ECA-8058-07C53A9CECA4}"/>
    <cellStyle name="Normal 7 4 7 2 5" xfId="2659" xr:uid="{00000000-0005-0000-0000-0000C3080000}"/>
    <cellStyle name="Normal 7 4 7 2 5 2" xfId="5919" xr:uid="{443DCE2B-1BCC-4789-BC72-DF370AE7C418}"/>
    <cellStyle name="Normal 7 4 7 2 5 2 2" xfId="28338" xr:uid="{8B00CD0F-65F8-4F19-92C2-FBEC85C3723B}"/>
    <cellStyle name="Normal 7 4 7 2 5 2 3" xfId="15331" xr:uid="{BC3654FF-F640-4849-BBE5-A074CF7AE471}"/>
    <cellStyle name="Normal 7 4 7 2 5 3" xfId="7784" xr:uid="{96DFB3CC-A7FD-4EDB-A126-275A452086D4}"/>
    <cellStyle name="Normal 7 4 7 2 5 3 2" xfId="18164" xr:uid="{BB748B09-C445-4262-A3D2-665784591EBE}"/>
    <cellStyle name="Normal 7 4 7 2 5 4" xfId="10617" xr:uid="{9E00C11B-8CA0-4262-9313-24F7205A5E35}"/>
    <cellStyle name="Normal 7 4 7 2 5 4 2" xfId="20997" xr:uid="{44ACAF02-FCC8-46FF-BCFC-1AC8A436311E}"/>
    <cellStyle name="Normal 7 4 7 2 5 5" xfId="24249" xr:uid="{9652E4A4-661C-461F-A4E5-6C30D82367C9}"/>
    <cellStyle name="Normal 7 4 7 2 5 6" xfId="13061" xr:uid="{497D5461-BAB8-482E-AEF1-32484752C112}"/>
    <cellStyle name="Normal 7 4 7 2 6" xfId="2406" xr:uid="{00000000-0005-0000-0000-0000BE080000}"/>
    <cellStyle name="Normal 7 4 7 2 6 2" xfId="7533" xr:uid="{12C15163-D3D2-4099-AD4D-3F32D16C7917}"/>
    <cellStyle name="Normal 7 4 7 2 6 2 2" xfId="17913" xr:uid="{752FFE43-BDC1-4658-8EE9-E42E01502B7F}"/>
    <cellStyle name="Normal 7 4 7 2 6 3" xfId="10366" xr:uid="{414B79A5-C223-41B1-8954-D6404FDB9F63}"/>
    <cellStyle name="Normal 7 4 7 2 6 3 2" xfId="20746" xr:uid="{8E74309E-0898-4694-8E1E-F07D1D4CC7CA}"/>
    <cellStyle name="Normal 7 4 7 2 6 4" xfId="24277" xr:uid="{9D38924A-EC67-40DF-9F6E-C50DBBED1E9D}"/>
    <cellStyle name="Normal 7 4 7 2 6 5" xfId="15080" xr:uid="{73E8DB9B-F18A-47A6-8E5F-C8FA1EF47659}"/>
    <cellStyle name="Normal 7 4 7 2 7" xfId="4106" xr:uid="{D87A775D-18FB-45E1-96AA-50CF7B162F1F}"/>
    <cellStyle name="Normal 7 4 7 2 7 2" xfId="8880" xr:uid="{DF991E6F-1F0C-44AE-BA6A-543E71D4749D}"/>
    <cellStyle name="Normal 7 4 7 2 7 2 2" xfId="19260" xr:uid="{3B727B29-FCC8-4D2C-8F00-B26C7C7D7724}"/>
    <cellStyle name="Normal 7 4 7 2 7 3" xfId="11713" xr:uid="{16BF8E4F-AD5A-4707-A9DC-F6654F932618}"/>
    <cellStyle name="Normal 7 4 7 2 7 3 2" xfId="22093" xr:uid="{97491C52-85E1-4BAA-A2A7-BD76FA8D6397}"/>
    <cellStyle name="Normal 7 4 7 2 7 4" xfId="16427" xr:uid="{A5E909EF-B5C4-4877-941B-A3659F729203}"/>
    <cellStyle name="Normal 7 4 7 2 8" xfId="5466" xr:uid="{6F0B7010-59EE-490E-8ED4-B783C191CA87}"/>
    <cellStyle name="Normal 7 4 7 2 8 2" xfId="14763" xr:uid="{78E2288B-5128-4C6D-9A0F-3CB5109E590F}"/>
    <cellStyle name="Normal 7 4 7 2 9" xfId="7216" xr:uid="{F4913F37-2E7F-4915-B248-3364406353F7}"/>
    <cellStyle name="Normal 7 4 7 2 9 2" xfId="17596" xr:uid="{4B90E811-204E-4212-A726-358031C684E7}"/>
    <cellStyle name="Normal 7 4 7 3" xfId="1450" xr:uid="{00000000-0005-0000-0000-000081070000}"/>
    <cellStyle name="Normal 7 4 7 3 2" xfId="3480" xr:uid="{00000000-0005-0000-0000-0000C5080000}"/>
    <cellStyle name="Normal 7 4 7 3 2 2" xfId="6535" xr:uid="{61706EA8-5D82-469E-B186-E0431E394375}"/>
    <cellStyle name="Normal 7 4 7 3 2 2 2" xfId="25750" xr:uid="{ECFDC6EF-3C9F-4A61-BFBD-7FDC7F3C51B4}"/>
    <cellStyle name="Normal 7 4 7 3 2 2 3" xfId="28069" xr:uid="{7AFE8E7C-95E4-4E6B-ACC6-3E6100D2653B}"/>
    <cellStyle name="Normal 7 4 7 3 2 2 4" xfId="16106" xr:uid="{4493339F-23EC-4A52-A00A-F6BE7069BBA3}"/>
    <cellStyle name="Normal 7 4 7 3 2 3" xfId="8559" xr:uid="{335C79E9-6054-4027-BE5B-C25C41F48C52}"/>
    <cellStyle name="Normal 7 4 7 3 2 3 2" xfId="28947" xr:uid="{B5E39330-300B-4FD5-ACC7-490077C31DCA}"/>
    <cellStyle name="Normal 7 4 7 3 2 3 3" xfId="18939" xr:uid="{6FA3E757-27A9-4C60-9684-D2642DBB38CC}"/>
    <cellStyle name="Normal 7 4 7 3 2 4" xfId="11392" xr:uid="{086E2616-65C5-472F-8D1A-8BD68DCA150D}"/>
    <cellStyle name="Normal 7 4 7 3 2 4 2" xfId="21772" xr:uid="{F7D4E1DB-B764-47EB-B5F7-06B498E5C787}"/>
    <cellStyle name="Normal 7 4 7 3 2 5" xfId="23230" xr:uid="{4AB5FA36-6094-498D-AF13-7EB6F3BD39B5}"/>
    <cellStyle name="Normal 7 4 7 3 2 6" xfId="14068" xr:uid="{753790BE-DA64-4AB2-9067-92DD94E84573}"/>
    <cellStyle name="Normal 7 4 7 3 3" xfId="2838" xr:uid="{00000000-0005-0000-0000-0000C6080000}"/>
    <cellStyle name="Normal 7 4 7 3 3 2" xfId="6054" xr:uid="{8DE4C71E-332A-403D-A415-A81138DD4354}"/>
    <cellStyle name="Normal 7 4 7 3 3 2 2" xfId="26054" xr:uid="{D388C9E6-6518-457A-8D14-B941CACB46EC}"/>
    <cellStyle name="Normal 7 4 7 3 3 2 3" xfId="15508" xr:uid="{E0B7F2D8-A1B1-452C-A864-AEFFD9A3EB8E}"/>
    <cellStyle name="Normal 7 4 7 3 3 3" xfId="7961" xr:uid="{BBE9A254-9019-4A38-B50A-12B081FC8543}"/>
    <cellStyle name="Normal 7 4 7 3 3 3 2" xfId="18341" xr:uid="{7CEA1581-C4CF-43FD-8F79-132B725EA5F5}"/>
    <cellStyle name="Normal 7 4 7 3 3 4" xfId="10794" xr:uid="{03794532-AD69-4E82-B4E9-AF8643F71B54}"/>
    <cellStyle name="Normal 7 4 7 3 3 4 2" xfId="21174" xr:uid="{1B24BDCB-82BC-4609-BCA8-2D409AFBA1C1}"/>
    <cellStyle name="Normal 7 4 7 3 3 5" xfId="23420" xr:uid="{00DB68DD-9B57-4227-8DE6-69BEA69A5BDB}"/>
    <cellStyle name="Normal 7 4 7 3 3 6" xfId="13317" xr:uid="{79771691-01FB-4CD5-A8C5-73D033E20F8D}"/>
    <cellStyle name="Normal 7 4 7 3 4" xfId="4224" xr:uid="{868E8642-FD9A-4C16-A2A9-CB4C8F6EC4D8}"/>
    <cellStyle name="Normal 7 4 7 3 4 2" xfId="8996" xr:uid="{4A114C44-F849-4837-A218-8C4BFC20DB6C}"/>
    <cellStyle name="Normal 7 4 7 3 4 2 2" xfId="29073" xr:uid="{D37E2849-96A6-402D-BF6D-51D76082C881}"/>
    <cellStyle name="Normal 7 4 7 3 4 2 3" xfId="19376" xr:uid="{04B4192F-13C7-40A9-B41F-D9FDD757D52F}"/>
    <cellStyle name="Normal 7 4 7 3 4 3" xfId="11829" xr:uid="{3E2A0BF3-04EF-4A8F-A8FE-C3832F6D8A17}"/>
    <cellStyle name="Normal 7 4 7 3 4 3 2" xfId="22209" xr:uid="{D5CE6415-826C-4C7E-B729-9BC35B831ED8}"/>
    <cellStyle name="Normal 7 4 7 3 4 4" xfId="23217" xr:uid="{15E37647-CD6C-4DA4-BBA4-28A47CCC4BEB}"/>
    <cellStyle name="Normal 7 4 7 3 4 5" xfId="16543" xr:uid="{AD8FF9A8-C77A-44FB-9887-9087FCBC4094}"/>
    <cellStyle name="Normal 7 4 7 3 5" xfId="5468" xr:uid="{8D25D220-2FF2-43BE-BC8F-56B4161337FE}"/>
    <cellStyle name="Normal 7 4 7 3 5 2" xfId="27926" xr:uid="{2BBADF59-D9E5-42CB-B28C-CEA4A398C5D1}"/>
    <cellStyle name="Normal 7 4 7 3 5 3" xfId="14765" xr:uid="{D8A35B42-5228-4B3B-9E71-60B74908A532}"/>
    <cellStyle name="Normal 7 4 7 3 6" xfId="7218" xr:uid="{126128AB-A05E-4E92-A97F-5888BB8AD877}"/>
    <cellStyle name="Normal 7 4 7 3 6 2" xfId="17598" xr:uid="{436869C4-895A-4BA2-967B-234A76F89593}"/>
    <cellStyle name="Normal 7 4 7 3 7" xfId="10051" xr:uid="{2CCB0FF7-08CC-42D7-90B9-D3F0BB1A6436}"/>
    <cellStyle name="Normal 7 4 7 3 7 2" xfId="20431" xr:uid="{CD933EEC-61EC-456A-8E02-A24EDE00DC1D}"/>
    <cellStyle name="Normal 7 4 7 3 8" xfId="24365" xr:uid="{BD47C77D-257C-4527-977A-0E9C6C74B7D7}"/>
    <cellStyle name="Normal 7 4 7 3 9" xfId="12798" xr:uid="{9A8FCB18-907D-4ABD-B53A-8AE5A6F7F03E}"/>
    <cellStyle name="Normal 7 4 7 4" xfId="1451" xr:uid="{00000000-0005-0000-0000-000082070000}"/>
    <cellStyle name="Normal 7 4 7 4 2" xfId="4597" xr:uid="{FB99FE3F-BCFD-4770-AC9D-0E013FACC6CA}"/>
    <cellStyle name="Normal 7 4 7 4 2 2" xfId="9369" xr:uid="{0289CCA7-D936-43D2-BC28-CC7ED5349085}"/>
    <cellStyle name="Normal 7 4 7 4 2 2 2" xfId="29339" xr:uid="{D4D4E986-8887-481B-82EF-15450503BCC6}"/>
    <cellStyle name="Normal 7 4 7 4 2 2 3" xfId="19749" xr:uid="{13D5F93D-EBD5-4BFA-8470-D17F42C52125}"/>
    <cellStyle name="Normal 7 4 7 4 2 3" xfId="12202" xr:uid="{02996C38-3969-42E9-BBB1-7FF44A0DEB9F}"/>
    <cellStyle name="Normal 7 4 7 4 2 3 2" xfId="22582" xr:uid="{E90656C2-4548-4684-A2EA-CCE35561E46B}"/>
    <cellStyle name="Normal 7 4 7 4 2 4" xfId="25707" xr:uid="{A431ED13-DEE9-4D05-BFBD-82AE9B4033C6}"/>
    <cellStyle name="Normal 7 4 7 4 2 5" xfId="16916" xr:uid="{DDF9C28C-4DC4-4803-85E5-CD40F5201F86}"/>
    <cellStyle name="Normal 7 4 7 4 3" xfId="5469" xr:uid="{FCC12BAB-EB74-49EA-92F5-4DD47FAEF40D}"/>
    <cellStyle name="Normal 7 4 7 4 3 2" xfId="27196" xr:uid="{005C267B-13B8-4241-9E1F-9D6D0C8A2373}"/>
    <cellStyle name="Normal 7 4 7 4 3 3" xfId="14766" xr:uid="{F961C8CD-6951-4227-9997-B8ED73975A66}"/>
    <cellStyle name="Normal 7 4 7 4 4" xfId="7219" xr:uid="{78F1A636-2A49-46B5-B168-6DA0297DA514}"/>
    <cellStyle name="Normal 7 4 7 4 4 2" xfId="17599" xr:uid="{A0C1DAC9-3967-4DE6-A4E0-BC2933ECC7B0}"/>
    <cellStyle name="Normal 7 4 7 4 5" xfId="10052" xr:uid="{247CB7BF-F3AB-4FAB-8849-615BBF88BFE3}"/>
    <cellStyle name="Normal 7 4 7 4 5 2" xfId="20432" xr:uid="{433360EF-24F2-44FE-B491-00832D4F3C4C}"/>
    <cellStyle name="Normal 7 4 7 4 6" xfId="23942" xr:uid="{4B8E3C43-E3F8-45A4-B209-D344009322F9}"/>
    <cellStyle name="Normal 7 4 7 4 7" xfId="14069" xr:uid="{D6F7031A-BBD4-41CE-8452-F3D01734CF83}"/>
    <cellStyle name="Normal 7 4 7 5" xfId="2997" xr:uid="{00000000-0005-0000-0000-0000C8080000}"/>
    <cellStyle name="Normal 7 4 7 5 2" xfId="6147" xr:uid="{6BCE8B4A-9675-40C0-A2D5-6294386B68E9}"/>
    <cellStyle name="Normal 7 4 7 5 2 2" xfId="25621" xr:uid="{00D2962E-FF70-4896-8991-B69B1A34BC5D}"/>
    <cellStyle name="Normal 7 4 7 5 2 3" xfId="28713" xr:uid="{1A2B71F5-5B9A-42F3-9242-0C02BE2F4E8E}"/>
    <cellStyle name="Normal 7 4 7 5 2 4" xfId="15625" xr:uid="{2979D8AD-8A6A-430C-8D78-829E0661FEAF}"/>
    <cellStyle name="Normal 7 4 7 5 3" xfId="8078" xr:uid="{C3649476-9B69-458C-A42E-9F7BADBA0F44}"/>
    <cellStyle name="Normal 7 4 7 5 3 2" xfId="28771" xr:uid="{1FA1714F-F91C-4808-A63D-01DAD61C1825}"/>
    <cellStyle name="Normal 7 4 7 5 3 3" xfId="18458" xr:uid="{150810D6-BA47-481C-BE74-1A7170BE9834}"/>
    <cellStyle name="Normal 7 4 7 5 4" xfId="10911" xr:uid="{76AF9BC8-791B-41D3-8DDC-70BADCC74451}"/>
    <cellStyle name="Normal 7 4 7 5 4 2" xfId="21291" xr:uid="{464574B5-8425-4615-97A5-7E829E354DC4}"/>
    <cellStyle name="Normal 7 4 7 5 5" xfId="23237" xr:uid="{E90100EE-4289-4EA3-A0A4-25E461D2A1AE}"/>
    <cellStyle name="Normal 7 4 7 5 6" xfId="13496" xr:uid="{369EE70D-046F-4304-922A-298A8F178DE4}"/>
    <cellStyle name="Normal 7 4 7 6" xfId="2509" xr:uid="{00000000-0005-0000-0000-0000C9080000}"/>
    <cellStyle name="Normal 7 4 7 6 2" xfId="5789" xr:uid="{3282F4A4-00CD-4F19-9E65-F7B74C6C665F}"/>
    <cellStyle name="Normal 7 4 7 6 2 2" xfId="26983" xr:uid="{66B53AA0-BEFE-4749-A86C-02568B55DDB5}"/>
    <cellStyle name="Normal 7 4 7 6 2 3" xfId="15181" xr:uid="{55CD1FC0-6CF1-4FB1-83EE-30066C9FC681}"/>
    <cellStyle name="Normal 7 4 7 6 3" xfId="7634" xr:uid="{5D6AE3A2-45AE-49DD-BB38-14E2B4134932}"/>
    <cellStyle name="Normal 7 4 7 6 3 2" xfId="18014" xr:uid="{88E4946E-65D9-4531-AB80-D4140E7F23CD}"/>
    <cellStyle name="Normal 7 4 7 6 4" xfId="10467" xr:uid="{24758081-1C61-4D2A-94E1-4C6478F91DAC}"/>
    <cellStyle name="Normal 7 4 7 6 4 2" xfId="20847" xr:uid="{B09CA23A-6034-47FF-992D-9130CACE3CFB}"/>
    <cellStyle name="Normal 7 4 7 6 5" xfId="22837" xr:uid="{F640ABDA-F9FF-4991-9312-581AA991DA9E}"/>
    <cellStyle name="Normal 7 4 7 6 6" xfId="12897" xr:uid="{5B8820CC-2D2B-48FD-9836-B40397742CA8}"/>
    <cellStyle name="Normal 7 4 7 7" xfId="2264" xr:uid="{00000000-0005-0000-0000-0000BD080000}"/>
    <cellStyle name="Normal 7 4 7 7 2" xfId="7391" xr:uid="{E74BE3B4-261E-444B-A27C-4F00352E7831}"/>
    <cellStyle name="Normal 7 4 7 7 2 2" xfId="17771" xr:uid="{6CEFC5A1-6090-4C2C-B75A-8C0909309771}"/>
    <cellStyle name="Normal 7 4 7 7 3" xfId="10224" xr:uid="{65CE8179-84B8-4688-8184-4749C187FB18}"/>
    <cellStyle name="Normal 7 4 7 7 3 2" xfId="20604" xr:uid="{DF899853-DDB0-4671-B968-05FF263CF7A4}"/>
    <cellStyle name="Normal 7 4 7 7 4" xfId="24889" xr:uid="{47D07235-046B-4F6B-81B0-576B8D303214}"/>
    <cellStyle name="Normal 7 4 7 7 5" xfId="14938" xr:uid="{87694CAD-8FC6-450E-952E-6ED1E3EC09BD}"/>
    <cellStyle name="Normal 7 4 7 8" xfId="4074" xr:uid="{70E150A0-3A47-4E60-B8FA-194FFB563C3E}"/>
    <cellStyle name="Normal 7 4 7 8 2" xfId="8854" xr:uid="{5DF1E159-61F3-4D49-AA29-426995D42922}"/>
    <cellStyle name="Normal 7 4 7 8 2 2" xfId="19234" xr:uid="{5A6D3A2F-AFA5-4626-99E0-6FE492875E7B}"/>
    <cellStyle name="Normal 7 4 7 8 3" xfId="11687" xr:uid="{DBB786BC-AF1E-4169-916E-BD0BE84ED065}"/>
    <cellStyle name="Normal 7 4 7 8 3 2" xfId="22067" xr:uid="{9A3746EF-A789-4423-AE61-8B8F3818B0B2}"/>
    <cellStyle name="Normal 7 4 7 8 4" xfId="16401" xr:uid="{085B9D30-FF63-40A6-AD5F-27858B14E95D}"/>
    <cellStyle name="Normal 7 4 7 9" xfId="5465" xr:uid="{9299171B-9C8B-4B60-AB4A-96F4C3795E5F}"/>
    <cellStyle name="Normal 7 4 7 9 2" xfId="14762" xr:uid="{A42887CF-1C94-4F1E-9F18-7545BC723F24}"/>
    <cellStyle name="Normal 7 4 8" xfId="1452" xr:uid="{00000000-0005-0000-0000-000083070000}"/>
    <cellStyle name="Normal 7 4 8 10" xfId="10053" xr:uid="{EF1712B9-C7CB-4AE8-AF0F-EEFD4CA74A28}"/>
    <cellStyle name="Normal 7 4 8 10 2" xfId="20433" xr:uid="{3C6DBDF1-9C3E-4E2D-8524-E76C6490384E}"/>
    <cellStyle name="Normal 7 4 8 11" xfId="23573" xr:uid="{43D06133-5809-4FC6-8DC4-450E476CEC4E}"/>
    <cellStyle name="Normal 7 4 8 12" xfId="12641" xr:uid="{6961CC9C-F0C5-4FCB-B4DB-A0EB2B36D790}"/>
    <cellStyle name="Normal 7 4 8 2" xfId="1453" xr:uid="{00000000-0005-0000-0000-000084070000}"/>
    <cellStyle name="Normal 7 4 8 2 2" xfId="1454" xr:uid="{00000000-0005-0000-0000-000085070000}"/>
    <cellStyle name="Normal 7 4 8 2 2 2" xfId="5472" xr:uid="{3636D283-D47D-4334-9F84-556F35350CD4}"/>
    <cellStyle name="Normal 7 4 8 2 2 2 2" xfId="22857" xr:uid="{001F5703-3C79-4AFC-97A0-E655D62F5145}"/>
    <cellStyle name="Normal 7 4 8 2 2 2 3" xfId="26531" xr:uid="{7B3488E1-EC29-470F-8BCA-EE71F9B0E4F4}"/>
    <cellStyle name="Normal 7 4 8 2 2 2 4" xfId="14769" xr:uid="{0E4F747D-C5F0-4A33-9086-928DFCEC4AE7}"/>
    <cellStyle name="Normal 7 4 8 2 2 3" xfId="7222" xr:uid="{114E8657-7A27-4839-9190-62CF8DE676B8}"/>
    <cellStyle name="Normal 7 4 8 2 2 3 2" xfId="27673" xr:uid="{CDF11442-3C64-4690-8B34-D1E2879987F5}"/>
    <cellStyle name="Normal 7 4 8 2 2 3 3" xfId="27224" xr:uid="{00A3FBD5-8822-4EE3-BB33-4BB4B90B7BFE}"/>
    <cellStyle name="Normal 7 4 8 2 2 3 4" xfId="17602" xr:uid="{64BCE88B-475D-4F81-BBBF-81734BD592D1}"/>
    <cellStyle name="Normal 7 4 8 2 2 4" xfId="10055" xr:uid="{F90B0E8E-6484-4357-8D7A-CF9A58E95B54}"/>
    <cellStyle name="Normal 7 4 8 2 2 4 2" xfId="29462" xr:uid="{1DD9C4E6-F108-4FE3-B158-0F11A48A747D}"/>
    <cellStyle name="Normal 7 4 8 2 2 4 3" xfId="20435" xr:uid="{B151CD92-979C-4289-BA81-31E625EE1FB0}"/>
    <cellStyle name="Normal 7 4 8 2 2 5" xfId="22983" xr:uid="{DC1D515C-8D40-4010-B201-28E36CD742B8}"/>
    <cellStyle name="Normal 7 4 8 2 2 6" xfId="14070" xr:uid="{6269B15C-ED57-4E8D-9118-1C43CE8D3032}"/>
    <cellStyle name="Normal 7 4 8 2 2 7" xfId="30427" xr:uid="{D2B93A0C-6D50-4FD7-A6AF-190D94684E71}"/>
    <cellStyle name="Normal 7 4 8 2 3" xfId="2839" xr:uid="{00000000-0005-0000-0000-0000CD080000}"/>
    <cellStyle name="Normal 7 4 8 2 3 2" xfId="6055" xr:uid="{533E40A1-DF87-4FA6-AE2C-A2B63E3428C2}"/>
    <cellStyle name="Normal 7 4 8 2 3 2 2" xfId="27976" xr:uid="{B6DBF4DC-96B9-4B03-8C95-8AEF8EB0838E}"/>
    <cellStyle name="Normal 7 4 8 2 3 2 3" xfId="15509" xr:uid="{43E36D2B-2CE5-46AC-A934-BEF148DDBB44}"/>
    <cellStyle name="Normal 7 4 8 2 3 3" xfId="7962" xr:uid="{04A2E131-B306-4793-8B45-EB3B6D12F2D2}"/>
    <cellStyle name="Normal 7 4 8 2 3 3 2" xfId="18342" xr:uid="{0291A93E-8044-4E13-8231-4795AD85073F}"/>
    <cellStyle name="Normal 7 4 8 2 3 4" xfId="10795" xr:uid="{CCBF599F-2B4A-4F20-82CB-CACDF3B1F18F}"/>
    <cellStyle name="Normal 7 4 8 2 3 4 2" xfId="21175" xr:uid="{9E42111E-D727-414C-BB03-DCEC354A0271}"/>
    <cellStyle name="Normal 7 4 8 2 3 5" xfId="25545" xr:uid="{5B2D9023-73DA-4C07-93E9-9A05B412FA11}"/>
    <cellStyle name="Normal 7 4 8 2 3 6" xfId="13319" xr:uid="{372EB46D-FBCB-4920-A543-58B0CE78C24C}"/>
    <cellStyle name="Normal 7 4 8 2 4" xfId="4225" xr:uid="{8E084ECD-D9A3-44A4-A982-75C1FF528684}"/>
    <cellStyle name="Normal 7 4 8 2 4 2" xfId="8997" xr:uid="{079480DA-C2A6-4B8B-BD2D-0CE02AB0AE0C}"/>
    <cellStyle name="Normal 7 4 8 2 4 2 2" xfId="29074" xr:uid="{6DB4ED39-4019-42DC-B1AD-57FF195097E3}"/>
    <cellStyle name="Normal 7 4 8 2 4 2 3" xfId="19377" xr:uid="{C6F3931D-3785-40C9-9691-4E0B7196FB77}"/>
    <cellStyle name="Normal 7 4 8 2 4 3" xfId="11830" xr:uid="{CDA35758-37F4-4F93-AA7D-79E55E812167}"/>
    <cellStyle name="Normal 7 4 8 2 4 3 2" xfId="22210" xr:uid="{11D3B409-E9D6-41C2-A7CE-B4EEEF93B14D}"/>
    <cellStyle name="Normal 7 4 8 2 4 4" xfId="24112" xr:uid="{0B9D6056-DDE6-48B5-BA68-07BA3D8C25C7}"/>
    <cellStyle name="Normal 7 4 8 2 4 5" xfId="16544" xr:uid="{93347217-0AD9-43A3-A432-8A0B4AB0976F}"/>
    <cellStyle name="Normal 7 4 8 2 5" xfId="5471" xr:uid="{D16A82EB-F898-4D42-B341-781736254535}"/>
    <cellStyle name="Normal 7 4 8 2 5 2" xfId="28591" xr:uid="{07B1A7FE-5DA6-4522-B8AB-1D6656A4C352}"/>
    <cellStyle name="Normal 7 4 8 2 5 3" xfId="14768" xr:uid="{EF28EBA3-8C92-4F02-A28C-B91C1791E825}"/>
    <cellStyle name="Normal 7 4 8 2 5 4" xfId="30541" xr:uid="{782485A4-ED6B-41A5-B976-6364B52F7280}"/>
    <cellStyle name="Normal 7 4 8 2 6" xfId="7221" xr:uid="{F82626F9-B023-4DD5-99F4-C3233264730A}"/>
    <cellStyle name="Normal 7 4 8 2 6 2" xfId="17601" xr:uid="{65417845-AEB1-42BC-9F5C-EC07F3813DF3}"/>
    <cellStyle name="Normal 7 4 8 2 6 3" xfId="30288" xr:uid="{DA7A8FDD-3848-4409-8580-CD84BE03F7D9}"/>
    <cellStyle name="Normal 7 4 8 2 6 4" xfId="30698" xr:uid="{404B74E5-CFEF-41DD-8C24-55A8EF297BF4}"/>
    <cellStyle name="Normal 7 4 8 2 7" xfId="10054" xr:uid="{E3A0AD72-330F-4E16-9251-6FF44E174797}"/>
    <cellStyle name="Normal 7 4 8 2 7 2" xfId="20434" xr:uid="{92058508-752E-41BD-A1E3-6A7ECF2FF9AE}"/>
    <cellStyle name="Normal 7 4 8 2 8" xfId="23182" xr:uid="{D1A9F8F7-5B3D-47D5-9AB4-485129EF5884}"/>
    <cellStyle name="Normal 7 4 8 2 9" xfId="12799" xr:uid="{E5314721-3A8C-4084-92F5-27E37DA35265}"/>
    <cellStyle name="Normal 7 4 8 3" xfId="1455" xr:uid="{00000000-0005-0000-0000-000086070000}"/>
    <cellStyle name="Normal 7 4 8 3 2" xfId="4598" xr:uid="{0552F609-7B1B-4E64-BC29-4822327C096B}"/>
    <cellStyle name="Normal 7 4 8 3 2 2" xfId="9370" xr:uid="{EFB8727F-0BF3-4E35-A6CA-126317C3646D}"/>
    <cellStyle name="Normal 7 4 8 3 2 2 2" xfId="29340" xr:uid="{4FD2DF76-9645-465E-9B70-515351FB064B}"/>
    <cellStyle name="Normal 7 4 8 3 2 2 3" xfId="19750" xr:uid="{D0EAD18A-C677-44DB-BB26-6E71FE56911A}"/>
    <cellStyle name="Normal 7 4 8 3 2 3" xfId="12203" xr:uid="{41AA11EC-67D3-42D5-857C-D96D3CF6C217}"/>
    <cellStyle name="Normal 7 4 8 3 2 3 2" xfId="22583" xr:uid="{B914BBE6-A71D-4D37-848C-FD9C5600B136}"/>
    <cellStyle name="Normal 7 4 8 3 2 4" xfId="24049" xr:uid="{BC81B891-0337-4B68-A938-824B9F85EF89}"/>
    <cellStyle name="Normal 7 4 8 3 2 5" xfId="16917" xr:uid="{45508FF6-ADAC-476C-999C-574F428865E5}"/>
    <cellStyle name="Normal 7 4 8 3 3" xfId="5473" xr:uid="{9EB788E9-C458-4241-97E0-0A5708A4F013}"/>
    <cellStyle name="Normal 7 4 8 3 3 2" xfId="26873" xr:uid="{5864A27F-D222-4694-889D-07BC791B4827}"/>
    <cellStyle name="Normal 7 4 8 3 3 3" xfId="27753" xr:uid="{970D654A-3A39-468E-9FF8-6EEF5B872978}"/>
    <cellStyle name="Normal 7 4 8 3 3 4" xfId="14770" xr:uid="{D6471D8E-B8AD-4F07-A492-B59D7BA115C2}"/>
    <cellStyle name="Normal 7 4 8 3 4" xfId="7223" xr:uid="{CFB8BE2B-B057-4463-9007-F5A746AEEFA8}"/>
    <cellStyle name="Normal 7 4 8 3 4 2" xfId="27448" xr:uid="{2C111934-A6EB-4C1C-9E28-2B305E91DA34}"/>
    <cellStyle name="Normal 7 4 8 3 4 3" xfId="26542" xr:uid="{BA28009A-4CCE-42DC-847A-665A79744884}"/>
    <cellStyle name="Normal 7 4 8 3 4 4" xfId="17603" xr:uid="{7553F6F9-5D53-48F7-AEB8-ECD0645E5423}"/>
    <cellStyle name="Normal 7 4 8 3 5" xfId="10056" xr:uid="{53D5B659-CC9A-4282-AFB6-6FC4A325B9AF}"/>
    <cellStyle name="Normal 7 4 8 3 5 2" xfId="29463" xr:uid="{ED9AC750-B820-45ED-9DBD-C803097122AA}"/>
    <cellStyle name="Normal 7 4 8 3 5 3" xfId="20436" xr:uid="{199DA9D9-5D95-4BAD-B915-2F7DEE3B0A69}"/>
    <cellStyle name="Normal 7 4 8 3 6" xfId="24086" xr:uid="{C42B40C5-0926-44A6-864E-A770011B03A1}"/>
    <cellStyle name="Normal 7 4 8 3 7" xfId="14071" xr:uid="{2387A4F3-8807-408B-8776-012E16C10264}"/>
    <cellStyle name="Normal 7 4 8 4" xfId="1456" xr:uid="{00000000-0005-0000-0000-000087070000}"/>
    <cellStyle name="Normal 7 4 8 4 2" xfId="5474" xr:uid="{958CCFC7-A3AA-4E91-A046-F3DE252E7A43}"/>
    <cellStyle name="Normal 7 4 8 4 2 2" xfId="22869" xr:uid="{26AC1B0C-17C8-4C3C-9674-A1DBA9D4E53F}"/>
    <cellStyle name="Normal 7 4 8 4 2 3" xfId="28395" xr:uid="{4B196243-582F-478C-AA12-1B90DF8A5532}"/>
    <cellStyle name="Normal 7 4 8 4 2 4" xfId="14771" xr:uid="{078F1B5B-9148-46E4-A2CF-592D9DA8B159}"/>
    <cellStyle name="Normal 7 4 8 4 3" xfId="7224" xr:uid="{DFEAD6C0-7EC2-498F-B1CF-0095E0E59A1D}"/>
    <cellStyle name="Normal 7 4 8 4 3 2" xfId="27716" xr:uid="{DD897E5F-461E-405A-A6B7-D6F62706497F}"/>
    <cellStyle name="Normal 7 4 8 4 3 3" xfId="17604" xr:uid="{73799A35-854B-47AA-BF6B-D745F5F9AE43}"/>
    <cellStyle name="Normal 7 4 8 4 4" xfId="10057" xr:uid="{274713DF-9C4F-4F39-B0C6-CC78A3E62918}"/>
    <cellStyle name="Normal 7 4 8 4 4 2" xfId="20437" xr:uid="{3C396B5E-E960-4686-A80A-8B1A6FA7ECDA}"/>
    <cellStyle name="Normal 7 4 8 4 5" xfId="25226" xr:uid="{CA4E3F5D-FCCF-4226-B39A-0FBDEB279BA7}"/>
    <cellStyle name="Normal 7 4 8 4 6" xfId="13497" xr:uid="{4E555D96-9475-4A85-A500-2A06EECEF281}"/>
    <cellStyle name="Normal 7 4 8 5" xfId="2569" xr:uid="{00000000-0005-0000-0000-0000D0080000}"/>
    <cellStyle name="Normal 7 4 8 5 2" xfId="5838" xr:uid="{0B4A4FB7-E628-4771-9D78-2BE2F5A0CC9A}"/>
    <cellStyle name="Normal 7 4 8 5 2 2" xfId="27445" xr:uid="{1CBA59C3-48A6-4C5B-9198-9C49E59DEBC6}"/>
    <cellStyle name="Normal 7 4 8 5 2 3" xfId="15241" xr:uid="{84425239-7B88-447E-A96A-BA3BA78301FC}"/>
    <cellStyle name="Normal 7 4 8 5 3" xfId="7694" xr:uid="{FF7E3AB0-9D5B-4C6B-AAA9-013CDB84EC1F}"/>
    <cellStyle name="Normal 7 4 8 5 3 2" xfId="18074" xr:uid="{AAB89A67-DE61-47AA-A2A6-73C10586305C}"/>
    <cellStyle name="Normal 7 4 8 5 4" xfId="10527" xr:uid="{F7532814-E583-40F2-A2FF-CBD1218C2FF6}"/>
    <cellStyle name="Normal 7 4 8 5 4 2" xfId="20907" xr:uid="{84ADA1D1-FA62-44CA-B030-636B308291F0}"/>
    <cellStyle name="Normal 7 4 8 5 5" xfId="23703" xr:uid="{4027B57F-1CD2-4D4D-A090-33B6A7F2C613}"/>
    <cellStyle name="Normal 7 4 8 5 6" xfId="12957" xr:uid="{268865C0-322C-4EE8-BE9D-00E2CBABDD0C}"/>
    <cellStyle name="Normal 7 4 8 6" xfId="2407" xr:uid="{00000000-0005-0000-0000-0000CA080000}"/>
    <cellStyle name="Normal 7 4 8 6 2" xfId="7534" xr:uid="{A7B3FD74-6C53-412E-86D9-EF8903CBBE17}"/>
    <cellStyle name="Normal 7 4 8 6 2 2" xfId="26368" xr:uid="{39E3F7FF-2F09-4F7F-A9AD-B4DB0A684011}"/>
    <cellStyle name="Normal 7 4 8 6 2 3" xfId="17914" xr:uid="{B1256805-C7C5-4C0B-BA11-9A8F4E51285D}"/>
    <cellStyle name="Normal 7 4 8 6 3" xfId="10367" xr:uid="{357387AB-895E-4C97-BA1B-D5593175AC1E}"/>
    <cellStyle name="Normal 7 4 8 6 3 2" xfId="20747" xr:uid="{7921721A-A43F-41A0-8E28-79734A2F6035}"/>
    <cellStyle name="Normal 7 4 8 6 4" xfId="23366" xr:uid="{6FA3567B-2144-49ED-90E4-FC728EDA7B23}"/>
    <cellStyle name="Normal 7 4 8 6 5" xfId="15081" xr:uid="{5E7F0B08-7B2C-46AF-B59F-7D7551AA5123}"/>
    <cellStyle name="Normal 7 4 8 7" xfId="4075" xr:uid="{0960D526-1A98-4C15-8071-4F9A5745CC87}"/>
    <cellStyle name="Normal 7 4 8 7 2" xfId="8855" xr:uid="{DE5A15D0-8DC0-4101-8A38-F8E39D609947}"/>
    <cellStyle name="Normal 7 4 8 7 2 2" xfId="19235" xr:uid="{A8B73B77-4E88-4475-9F15-A36B45F1D723}"/>
    <cellStyle name="Normal 7 4 8 7 3" xfId="11688" xr:uid="{638EF884-A8AF-4064-ABC9-C467478312EA}"/>
    <cellStyle name="Normal 7 4 8 7 3 2" xfId="22068" xr:uid="{0B07804D-300E-47CC-89C7-F11AD7EAE2D8}"/>
    <cellStyle name="Normal 7 4 8 7 4" xfId="26796" xr:uid="{D442B26F-BA01-4D34-AAF2-C52342F27401}"/>
    <cellStyle name="Normal 7 4 8 7 5" xfId="16402" xr:uid="{2E4142AA-993D-483A-8966-B1CE97751566}"/>
    <cellStyle name="Normal 7 4 8 8" xfId="5470" xr:uid="{684AF55B-A0B4-4691-A806-7BC4B2CAB0C4}"/>
    <cellStyle name="Normal 7 4 8 8 2" xfId="14767" xr:uid="{56AB07C7-698B-401C-BD1B-D480F5B5CC29}"/>
    <cellStyle name="Normal 7 4 8 9" xfId="7220" xr:uid="{0F50CFEF-AF0B-45D4-9190-0FE1F1CDA087}"/>
    <cellStyle name="Normal 7 4 8 9 2" xfId="17600" xr:uid="{4BA2EB9D-922F-4E67-9D93-6F9A42F6CA96}"/>
    <cellStyle name="Normal 7 4 9" xfId="1457" xr:uid="{00000000-0005-0000-0000-000088070000}"/>
    <cellStyle name="Normal 7 4 9 10" xfId="25206" xr:uid="{7241CE05-D77C-43DB-A46C-C1B42A29B8E7}"/>
    <cellStyle name="Normal 7 4 9 11" xfId="12642" xr:uid="{3348A1C7-23FF-4553-B2D0-CAA7C2FEE860}"/>
    <cellStyle name="Normal 7 4 9 2" xfId="1458" xr:uid="{00000000-0005-0000-0000-000089070000}"/>
    <cellStyle name="Normal 7 4 9 2 2" xfId="3481" xr:uid="{00000000-0005-0000-0000-0000D3080000}"/>
    <cellStyle name="Normal 7 4 9 2 2 2" xfId="6536" xr:uid="{BA36B20E-5840-4A1D-B488-DFCC8F41A966}"/>
    <cellStyle name="Normal 7 4 9 2 2 2 2" xfId="28441" xr:uid="{D6EC271F-1033-42EC-BCC4-C111AA9739D7}"/>
    <cellStyle name="Normal 7 4 9 2 2 2 3" xfId="26053" xr:uid="{D6AEC97E-0F0C-4673-98BE-D6D52C7F62A4}"/>
    <cellStyle name="Normal 7 4 9 2 2 2 4" xfId="16107" xr:uid="{8BF22692-E9F8-494C-9A6B-4241FC5D6979}"/>
    <cellStyle name="Normal 7 4 9 2 2 3" xfId="8560" xr:uid="{059B61F9-92CF-4CE2-8726-6E51F0F784E1}"/>
    <cellStyle name="Normal 7 4 9 2 2 3 2" xfId="28948" xr:uid="{0A996F82-AA77-4746-9D04-6C2DA4C2F325}"/>
    <cellStyle name="Normal 7 4 9 2 2 3 3" xfId="18940" xr:uid="{F05DFFB1-DF31-43BE-A1DE-0DD45D4E96CB}"/>
    <cellStyle name="Normal 7 4 9 2 2 4" xfId="11393" xr:uid="{9F19B492-0FA2-48FF-A20C-B3E232687F08}"/>
    <cellStyle name="Normal 7 4 9 2 2 4 2" xfId="21773" xr:uid="{C34E92A8-B2C0-4916-ACDC-E064A3D90D7D}"/>
    <cellStyle name="Normal 7 4 9 2 2 5" xfId="24233" xr:uid="{409C5A68-292E-455E-8879-B09DBDC74F9A}"/>
    <cellStyle name="Normal 7 4 9 2 2 6" xfId="14072" xr:uid="{2C07340D-D89B-493A-AD4B-3B07D3EB92A4}"/>
    <cellStyle name="Normal 7 4 9 2 3" xfId="4226" xr:uid="{596C2C39-C518-4720-A6D0-F9BE8BDE57CA}"/>
    <cellStyle name="Normal 7 4 9 2 3 2" xfId="8998" xr:uid="{D3CFC366-2233-4F6C-B642-ED89E0F0C967}"/>
    <cellStyle name="Normal 7 4 9 2 3 2 2" xfId="29075" xr:uid="{FD2DA22B-237A-45D1-842A-050C7C47708B}"/>
    <cellStyle name="Normal 7 4 9 2 3 2 3" xfId="19378" xr:uid="{281CFFE6-2F57-4FCE-9539-7A33A062615C}"/>
    <cellStyle name="Normal 7 4 9 2 3 3" xfId="11831" xr:uid="{8EEFBD95-578D-419A-8ED8-F67E64F7B848}"/>
    <cellStyle name="Normal 7 4 9 2 3 3 2" xfId="22211" xr:uid="{81B9662E-3C24-4D48-AE45-898BC0B0A91D}"/>
    <cellStyle name="Normal 7 4 9 2 3 4" xfId="24769" xr:uid="{9204D11A-797E-4CDB-96F3-EFA40F92FDCE}"/>
    <cellStyle name="Normal 7 4 9 2 3 5" xfId="16545" xr:uid="{92792AC9-0339-4CFE-B08D-FC8D8DA12481}"/>
    <cellStyle name="Normal 7 4 9 2 4" xfId="5476" xr:uid="{F7D4DD52-F08A-491D-81DB-28C7127D001F}"/>
    <cellStyle name="Normal 7 4 9 2 4 2" xfId="27602" xr:uid="{1EC68115-1AF4-449C-A038-4F9044C92822}"/>
    <cellStyle name="Normal 7 4 9 2 4 3" xfId="27806" xr:uid="{F0339573-60E5-4002-918F-93569A80834E}"/>
    <cellStyle name="Normal 7 4 9 2 4 4" xfId="14773" xr:uid="{F5BBF738-CA06-4029-8192-1C40D3FEF50A}"/>
    <cellStyle name="Normal 7 4 9 2 5" xfId="7226" xr:uid="{AAC930F3-8E13-4B24-B773-D88136900BCE}"/>
    <cellStyle name="Normal 7 4 9 2 5 2" xfId="27800" xr:uid="{7161DC4A-CA9F-45BF-965B-4BAAF68A711F}"/>
    <cellStyle name="Normal 7 4 9 2 5 3" xfId="17606" xr:uid="{050BF83E-08D8-4B51-A14B-822887668489}"/>
    <cellStyle name="Normal 7 4 9 2 5 4" xfId="30771" xr:uid="{8F565B6E-9404-4412-A206-E10CF9A3AB00}"/>
    <cellStyle name="Normal 7 4 9 2 6" xfId="10059" xr:uid="{A1AB6BF3-ACFE-4CA6-8113-69FA37E93CDF}"/>
    <cellStyle name="Normal 7 4 9 2 6 2" xfId="20439" xr:uid="{6C7DEB65-E8D2-485F-988E-80A6D5DAE483}"/>
    <cellStyle name="Normal 7 4 9 2 7" xfId="23449" xr:uid="{ECB327FF-942C-49BB-B733-2341E1DAA505}"/>
    <cellStyle name="Normal 7 4 9 2 8" xfId="12800" xr:uid="{25890BCF-C627-49BF-A851-B35582533F92}"/>
    <cellStyle name="Normal 7 4 9 3" xfId="1459" xr:uid="{00000000-0005-0000-0000-00008A070000}"/>
    <cellStyle name="Normal 7 4 9 3 2" xfId="5477" xr:uid="{34FC27ED-9267-4FE6-804B-4B6B659DACF4}"/>
    <cellStyle name="Normal 7 4 9 3 2 2" xfId="25514" xr:uid="{ECBF6AE4-3B42-442A-B397-A47093BAA862}"/>
    <cellStyle name="Normal 7 4 9 3 2 3" xfId="28639" xr:uid="{FBE8799A-8110-4913-BBAD-AC016AF95620}"/>
    <cellStyle name="Normal 7 4 9 3 2 4" xfId="14774" xr:uid="{93071C95-B1DC-490F-994E-C804B09ED584}"/>
    <cellStyle name="Normal 7 4 9 3 3" xfId="7227" xr:uid="{CD11F4D1-4581-4F93-A457-798636273C9F}"/>
    <cellStyle name="Normal 7 4 9 3 3 2" xfId="27158" xr:uid="{3E22AF7B-8B3D-4F56-8ADD-62DB11A0E0EF}"/>
    <cellStyle name="Normal 7 4 9 3 3 3" xfId="25831" xr:uid="{951EB23D-D78B-46E0-8017-A74A3458DCA0}"/>
    <cellStyle name="Normal 7 4 9 3 3 4" xfId="17607" xr:uid="{50F913BF-F798-4DD0-AEBA-A8B491D17827}"/>
    <cellStyle name="Normal 7 4 9 3 4" xfId="10060" xr:uid="{AFDD6B66-0556-4939-B25D-3B996FBB9A2C}"/>
    <cellStyle name="Normal 7 4 9 3 4 2" xfId="26574" xr:uid="{4027B8DC-26EC-4C8C-A66F-E12FF5141C14}"/>
    <cellStyle name="Normal 7 4 9 3 4 3" xfId="29464" xr:uid="{CEAFC507-E9CD-4663-AF1E-05BEE35F8A93}"/>
    <cellStyle name="Normal 7 4 9 3 4 4" xfId="20440" xr:uid="{2EE181E1-A004-444C-9B6F-F734AC31831E}"/>
    <cellStyle name="Normal 7 4 9 3 5" xfId="23140" xr:uid="{2AF327B9-2D1D-40BF-9B1A-2480DE36D783}"/>
    <cellStyle name="Normal 7 4 9 3 6" xfId="27908" xr:uid="{2B94D36C-826D-4C6A-8ACC-DD1229001485}"/>
    <cellStyle name="Normal 7 4 9 3 7" xfId="13498" xr:uid="{AA8FEBD0-D55B-46DB-9349-45F5D78FB400}"/>
    <cellStyle name="Normal 7 4 9 4" xfId="2840" xr:uid="{00000000-0005-0000-0000-0000D5080000}"/>
    <cellStyle name="Normal 7 4 9 4 2" xfId="6056" xr:uid="{CA35AE32-8A49-4A1D-91F3-DB3B40F122BB}"/>
    <cellStyle name="Normal 7 4 9 4 2 2" xfId="27956" xr:uid="{F560F6A6-140A-400F-87EB-1F4947E73B88}"/>
    <cellStyle name="Normal 7 4 9 4 2 3" xfId="15510" xr:uid="{5CFD9CBC-FC1E-42AA-ABBE-8CCFCE4DE975}"/>
    <cellStyle name="Normal 7 4 9 4 3" xfId="7963" xr:uid="{44734FEC-A5EC-4868-8F46-984BBB606219}"/>
    <cellStyle name="Normal 7 4 9 4 3 2" xfId="18343" xr:uid="{600C4E21-9490-4C71-A5AF-A2F76E03C564}"/>
    <cellStyle name="Normal 7 4 9 4 4" xfId="10796" xr:uid="{3EB39DCA-A7D2-4A88-A314-E1390084789F}"/>
    <cellStyle name="Normal 7 4 9 4 4 2" xfId="21176" xr:uid="{C7E13083-4768-4A29-8D0F-7F432AD845A7}"/>
    <cellStyle name="Normal 7 4 9 4 5" xfId="25358" xr:uid="{0CB459D8-1683-498E-B309-B7437B03D01D}"/>
    <cellStyle name="Normal 7 4 9 4 6" xfId="13320" xr:uid="{0C7D5F92-015A-40C3-8658-AEFA983A7BB8}"/>
    <cellStyle name="Normal 7 4 9 5" xfId="2408" xr:uid="{00000000-0005-0000-0000-0000D1080000}"/>
    <cellStyle name="Normal 7 4 9 5 2" xfId="7535" xr:uid="{EA42B910-957F-406C-BBBC-C6DAF86D86FE}"/>
    <cellStyle name="Normal 7 4 9 5 2 2" xfId="27247" xr:uid="{9FBA0F6A-3E29-4A8F-B6CC-742C60529986}"/>
    <cellStyle name="Normal 7 4 9 5 2 3" xfId="17915" xr:uid="{78DC0D4E-C4F6-49C6-BEB9-F2A5C3EE8159}"/>
    <cellStyle name="Normal 7 4 9 5 3" xfId="10368" xr:uid="{86718D3C-0642-4DCF-BDE5-480BBF1B24B2}"/>
    <cellStyle name="Normal 7 4 9 5 3 2" xfId="20748" xr:uid="{7A76C505-1F7A-4AF0-992A-613760DD97E2}"/>
    <cellStyle name="Normal 7 4 9 5 4" xfId="24928" xr:uid="{A3747C55-5DBC-47EF-BFDD-BB8F9424984E}"/>
    <cellStyle name="Normal 7 4 9 5 5" xfId="15082" xr:uid="{2A282EA6-6DD9-4676-BA80-36F3388B61BC}"/>
    <cellStyle name="Normal 7 4 9 6" xfId="4076" xr:uid="{ECFEC964-18E2-4A55-9DDE-17A187421C86}"/>
    <cellStyle name="Normal 7 4 9 6 2" xfId="8856" xr:uid="{05369801-56D3-4D72-A3C4-13544C799199}"/>
    <cellStyle name="Normal 7 4 9 6 2 2" xfId="28998" xr:uid="{985A2476-8016-48C6-B19B-8E5A095831BA}"/>
    <cellStyle name="Normal 7 4 9 6 2 3" xfId="19236" xr:uid="{64AA5B8D-8160-4A3E-ADD4-0FA6DAA3D899}"/>
    <cellStyle name="Normal 7 4 9 6 3" xfId="11689" xr:uid="{5A407977-0356-48BB-B948-B9E2BF6E857D}"/>
    <cellStyle name="Normal 7 4 9 6 3 2" xfId="22069" xr:uid="{003FE15E-2013-4C8D-86ED-88B751E3DD2C}"/>
    <cellStyle name="Normal 7 4 9 6 4" xfId="28172" xr:uid="{1CCE1AE5-BE80-4AA7-85BF-C9A73A3EA59B}"/>
    <cellStyle name="Normal 7 4 9 6 5" xfId="16403" xr:uid="{1F7BD514-47B8-46FD-A352-A22BFCFA7682}"/>
    <cellStyle name="Normal 7 4 9 7" xfId="5475" xr:uid="{CCEF96D4-FC6A-423C-B1B0-072A0C3E5B8F}"/>
    <cellStyle name="Normal 7 4 9 7 2" xfId="28305" xr:uid="{D50CC486-3BAB-43DF-A9AF-FF380362D7CD}"/>
    <cellStyle name="Normal 7 4 9 7 3" xfId="14772" xr:uid="{2F958CE7-9EE8-42DA-8FA1-7E82351CCECD}"/>
    <cellStyle name="Normal 7 4 9 8" xfId="7225" xr:uid="{C11C0213-DE70-4B4C-910B-94E9A71F0D83}"/>
    <cellStyle name="Normal 7 4 9 8 2" xfId="17605" xr:uid="{EA06E039-073F-4D18-BECB-3A1FE3F10177}"/>
    <cellStyle name="Normal 7 4 9 9" xfId="10058" xr:uid="{BEF1D5CA-EBE5-46A7-A649-AEC3EEFC11C3}"/>
    <cellStyle name="Normal 7 4 9 9 2" xfId="20438"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7" xr:uid="{203ECEE9-28AC-4CA7-BFCE-356C379A39D2}"/>
    <cellStyle name="Normal 7 6 10 2 2 3" xfId="25006" xr:uid="{6823BFC9-1FCE-4FD7-B367-57FB0194A201}"/>
    <cellStyle name="Normal 7 6 10 2 3" xfId="1465" xr:uid="{00000000-0005-0000-0000-000090070000}"/>
    <cellStyle name="Normal 7 6 10 2 3 2" xfId="2031" xr:uid="{00000000-0005-0000-0000-000091070000}"/>
    <cellStyle name="Normal 7 6 10 2 3 3" xfId="3766" xr:uid="{00000000-0005-0000-0000-0000F0060000}"/>
    <cellStyle name="Normal 7 6 10 2 3 3 2" xfId="4757" xr:uid="{BE653DD7-1A95-4D05-ACBC-B4D6D2120D32}"/>
    <cellStyle name="Normal 7 6 10 2 4" xfId="25604" xr:uid="{1F88F4F4-8E7E-4A10-9831-AB18C3F05F2C}"/>
    <cellStyle name="Normal 7 6 10 3" xfId="1466" xr:uid="{00000000-0005-0000-0000-000092070000}"/>
    <cellStyle name="Normal 7 6 10 4" xfId="2998" xr:uid="{00000000-0005-0000-0000-0000DB080000}"/>
    <cellStyle name="Normal 7 6 10 5" xfId="2151" xr:uid="{00000000-0005-0000-0000-000024030000}"/>
    <cellStyle name="Normal 7 6 10 5 2" xfId="4681" xr:uid="{64225ED7-B81F-4829-937E-4C8F86992647}"/>
    <cellStyle name="Normal 7 6 10 6" xfId="4079" xr:uid="{5A04D94C-6FA8-4354-90B5-CFB60835C8E6}"/>
    <cellStyle name="Normal 7 6 10 6 2" xfId="4824" xr:uid="{0FEEC669-8F27-4B5E-8A98-CFDB8125CE32}"/>
    <cellStyle name="Normal 7 6 11" xfId="1467" xr:uid="{00000000-0005-0000-0000-000093070000}"/>
    <cellStyle name="Normal 7 6 11 10" xfId="12643" xr:uid="{4994F450-78F0-4D7A-AAC7-62621D59190D}"/>
    <cellStyle name="Normal 7 6 11 2" xfId="2424" xr:uid="{00000000-0005-0000-0000-0000DD080000}"/>
    <cellStyle name="Normal 7 6 11 2 2" xfId="2999" xr:uid="{00000000-0005-0000-0000-0000DE080000}"/>
    <cellStyle name="Normal 7 6 11 2 2 2" xfId="6148" xr:uid="{3AC7CF31-3B91-4166-A372-BC7763FFCF1D}"/>
    <cellStyle name="Normal 7 6 11 2 2 2 2" xfId="28149" xr:uid="{03FA1087-3B6E-4E72-8978-31D40D60E86C}"/>
    <cellStyle name="Normal 7 6 11 2 2 2 3" xfId="15626" xr:uid="{20161C1B-6017-4CDA-A29A-0102EDBEA5C3}"/>
    <cellStyle name="Normal 7 6 11 2 2 3" xfId="8079" xr:uid="{5E8D8961-5478-4CBE-BBDE-7EFC17FF8191}"/>
    <cellStyle name="Normal 7 6 11 2 2 3 2" xfId="18459" xr:uid="{BBB956AF-DFF1-4A67-B026-B9E16F6B9CC2}"/>
    <cellStyle name="Normal 7 6 11 2 2 4" xfId="10912" xr:uid="{3D74FEE2-D5B9-47DE-B190-ADE5D9E806EA}"/>
    <cellStyle name="Normal 7 6 11 2 2 4 2" xfId="21292" xr:uid="{7553158E-4646-4A2E-8950-DD4335E18336}"/>
    <cellStyle name="Normal 7 6 11 2 2 5" xfId="24372" xr:uid="{1CBCCA99-94AC-4230-979D-F81491E7E872}"/>
    <cellStyle name="Normal 7 6 11 2 2 6" xfId="13499" xr:uid="{92BCA6AD-5261-4290-88CB-25848BB8B0C3}"/>
    <cellStyle name="Normal 7 6 11 2 3" xfId="5724" xr:uid="{0C1D1DA6-3D1F-4E81-8A71-AC06F1C7C3AE}"/>
    <cellStyle name="Normal 7 6 11 2 3 2" xfId="26861" xr:uid="{86813863-7573-450B-8DAE-522DAD0AA597}"/>
    <cellStyle name="Normal 7 6 11 2 3 3" xfId="28088" xr:uid="{D75F17B0-65BB-480E-A52F-70B24F227861}"/>
    <cellStyle name="Normal 7 6 11 2 3 4" xfId="15098" xr:uid="{6A8E30D2-0E52-446B-B141-6C3E947D31E1}"/>
    <cellStyle name="Normal 7 6 11 2 4" xfId="7551" xr:uid="{19757AE8-A20E-4D43-B592-50A4FA82CE74}"/>
    <cellStyle name="Normal 7 6 11 2 4 2" xfId="27922" xr:uid="{BBE86201-DC1F-4FF6-9EBC-D8E968F51AF4}"/>
    <cellStyle name="Normal 7 6 11 2 4 3" xfId="17931" xr:uid="{DFA0D98A-67C2-4EEA-8877-4E00D8A21C99}"/>
    <cellStyle name="Normal 7 6 11 2 5" xfId="10384" xr:uid="{0BF49B14-911C-4DCA-B35A-7A442AC926C8}"/>
    <cellStyle name="Normal 7 6 11 2 5 2" xfId="20764" xr:uid="{5EBBEF21-D2B7-458D-A837-3D936316FF8C}"/>
    <cellStyle name="Normal 7 6 11 2 6" xfId="23441" xr:uid="{A3FF67C1-A1FC-4029-9CBD-98AE9B8E0075}"/>
    <cellStyle name="Normal 7 6 11 2 7" xfId="12801" xr:uid="{707CB870-238C-4E67-9DCB-86E13B5BF97A}"/>
    <cellStyle name="Normal 7 6 11 3" xfId="2841" xr:uid="{00000000-0005-0000-0000-0000DF080000}"/>
    <cellStyle name="Normal 7 6 11 3 2" xfId="6057" xr:uid="{0E66994F-AB92-4AE2-96D3-9E1476833E76}"/>
    <cellStyle name="Normal 7 6 11 3 2 2" xfId="28230" xr:uid="{90FBAF69-CCF2-42A5-BF1C-3A6F5F067F8F}"/>
    <cellStyle name="Normal 7 6 11 3 2 3" xfId="15511" xr:uid="{B5BE4AC8-6972-486A-9ECA-9CE45E91FADA}"/>
    <cellStyle name="Normal 7 6 11 3 3" xfId="7964" xr:uid="{A6137628-7F20-44C7-A345-B77B06069AB7}"/>
    <cellStyle name="Normal 7 6 11 3 3 2" xfId="18344" xr:uid="{5DD65BE9-E751-4A83-8338-FC6103F31FD9}"/>
    <cellStyle name="Normal 7 6 11 3 4" xfId="10797" xr:uid="{C820DEBB-9274-4C0C-93FC-B21E42B69993}"/>
    <cellStyle name="Normal 7 6 11 3 4 2" xfId="21177" xr:uid="{9DC86F1B-0AD8-41F1-9FEB-2C201D73B9DF}"/>
    <cellStyle name="Normal 7 6 11 3 5" xfId="24608" xr:uid="{001A71B5-1DBB-40D1-875D-925F704F1CD1}"/>
    <cellStyle name="Normal 7 6 11 3 6" xfId="13321" xr:uid="{96A8BCE1-FD6F-4D3C-B983-1D7D1555A729}"/>
    <cellStyle name="Normal 7 6 11 4" xfId="2409" xr:uid="{00000000-0005-0000-0000-0000DC080000}"/>
    <cellStyle name="Normal 7 6 11 4 2" xfId="7536" xr:uid="{AD2413B8-EBE9-49A2-BF62-6FA8BA92C6BA}"/>
    <cellStyle name="Normal 7 6 11 4 2 2" xfId="28150" xr:uid="{763A2114-8416-4167-99CE-F128ECACC10F}"/>
    <cellStyle name="Normal 7 6 11 4 2 3" xfId="17916" xr:uid="{7C3F0325-3EF4-4C37-B104-D0635FEB5EBF}"/>
    <cellStyle name="Normal 7 6 11 4 3" xfId="10369" xr:uid="{9023DCF8-60CC-48E8-99B6-35D3BD4D656C}"/>
    <cellStyle name="Normal 7 6 11 4 3 2" xfId="20749" xr:uid="{1BB90C20-7D78-4E49-9A7F-692C99895E0F}"/>
    <cellStyle name="Normal 7 6 11 4 4" xfId="23053" xr:uid="{1FB59AC9-B6FC-455D-9F5B-3D4148D5424E}"/>
    <cellStyle name="Normal 7 6 11 4 5" xfId="15083" xr:uid="{49648981-1940-424A-AF31-125BD8D9AD04}"/>
    <cellStyle name="Normal 7 6 11 5" xfId="4080" xr:uid="{29A54018-86C1-4A02-A68F-6FE599A9096C}"/>
    <cellStyle name="Normal 7 6 11 5 2" xfId="8858" xr:uid="{65C6C44F-2DCC-4DF3-8E09-472C2819728F}"/>
    <cellStyle name="Normal 7 6 11 5 2 2" xfId="19238" xr:uid="{375611D9-874F-4022-B426-FEDC446BD18B}"/>
    <cellStyle name="Normal 7 6 11 5 3" xfId="11691" xr:uid="{EE0497FB-2F90-477E-9FD1-5F91B9FE8910}"/>
    <cellStyle name="Normal 7 6 11 5 3 2" xfId="22071" xr:uid="{8FE4A299-C19E-40AF-839F-006BFA2FC9C8}"/>
    <cellStyle name="Normal 7 6 11 5 4" xfId="28366" xr:uid="{4AF83121-8555-436F-B8E0-9382F2D155A1}"/>
    <cellStyle name="Normal 7 6 11 5 5" xfId="16405" xr:uid="{362022DB-A9EF-45F7-9B15-4DD83BF95245}"/>
    <cellStyle name="Normal 7 6 11 6" xfId="5478" xr:uid="{5D97CF1F-2749-4B34-998A-6C1D9A483679}"/>
    <cellStyle name="Normal 7 6 11 6 2" xfId="14775" xr:uid="{ADCFD7A9-F5D7-4A62-ADD7-ECA794330AA8}"/>
    <cellStyle name="Normal 7 6 11 6 3" xfId="30246" xr:uid="{A61AE5E1-2DB9-4BDE-A989-BF7EFB56EDE5}"/>
    <cellStyle name="Normal 7 6 11 6 4" xfId="30646" xr:uid="{1A70C437-C9ED-4B84-9EDD-3D4748D67D7C}"/>
    <cellStyle name="Normal 7 6 11 7" xfId="7228" xr:uid="{B44B0FFA-7DF7-42E6-BF6C-909BD4DBFEF0}"/>
    <cellStyle name="Normal 7 6 11 7 2" xfId="17608" xr:uid="{FAFFFF1C-D94B-4D7D-BAC2-5D4812C6F508}"/>
    <cellStyle name="Normal 7 6 11 8" xfId="10061" xr:uid="{19AC1174-BF6A-442B-ACEE-30994F3F1F93}"/>
    <cellStyle name="Normal 7 6 11 8 2" xfId="20441" xr:uid="{244D7068-1150-4E32-9D14-FCEF0CE33CC3}"/>
    <cellStyle name="Normal 7 6 11 9" xfId="24344"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9" xr:uid="{827BC4BE-2AD5-432F-B7C7-325F08217BCC}"/>
    <cellStyle name="Normal 7 6 12 2 2 2 2" xfId="26110" xr:uid="{9418F1EA-2734-413D-8500-BB6C4AB45D6E}"/>
    <cellStyle name="Normal 7 6 12 2 2 2 3" xfId="17609" xr:uid="{A2391066-30A0-43F6-88D2-5FA6F36424A2}"/>
    <cellStyle name="Normal 7 6 12 2 2 3" xfId="10062" xr:uid="{595E208F-F756-4A10-8055-19FC6787F55B}"/>
    <cellStyle name="Normal 7 6 12 2 2 3 2" xfId="20442" xr:uid="{63C8C390-FE77-4EEF-B461-6CAF46B2A5A7}"/>
    <cellStyle name="Normal 7 6 12 2 2 4" xfId="24993" xr:uid="{6AF005A0-6095-4522-898B-BB64A806890B}"/>
    <cellStyle name="Normal 7 6 12 2 2 5" xfId="14776" xr:uid="{CA0D64A7-87C4-40FB-8E31-79D53531E706}"/>
    <cellStyle name="Normal 7 6 12 2 3" xfId="26127" xr:uid="{DE1761FF-B39A-4DEF-BB17-1AF5EDCE2CAB}"/>
    <cellStyle name="Normal 7 6 12 2 3 2" xfId="29956" xr:uid="{F4BA35E7-6780-4CCA-80F7-72924AAE8CBF}"/>
    <cellStyle name="Normal 7 6 12 2 3 3" xfId="30228" xr:uid="{606A6459-F7A6-4FF4-9A04-D1CEA23BE845}"/>
    <cellStyle name="Normal 7 6 12 2 3 4" xfId="30621" xr:uid="{84454B90-F95A-43D2-A58E-6181CCEED772}"/>
    <cellStyle name="Normal 7 6 12 2 3 5" xfId="29725" xr:uid="{44C07A50-84AA-4194-94ED-3F1A3FA3770E}"/>
    <cellStyle name="Normal 7 6 12 2 4" xfId="29814" xr:uid="{EA756AB4-D747-434C-863B-970CD1A46F96}"/>
    <cellStyle name="Normal 7 6 12 2 5" xfId="30094" xr:uid="{58237982-3CAE-4E1D-B712-A0C200E37B93}"/>
    <cellStyle name="Normal 7 6 12 2 6" xfId="30432" xr:uid="{B695A422-5BC5-470E-B135-6F4F425701F0}"/>
    <cellStyle name="Normal 7 6 12 3" xfId="1471" xr:uid="{00000000-0005-0000-0000-000097070000}"/>
    <cellStyle name="Normal 7 6 12 3 2" xfId="4658" xr:uid="{97AB34FA-8022-4EDD-B4EE-6D0A8751C733}"/>
    <cellStyle name="Normal 7 6 12 3 2 2" xfId="4781" xr:uid="{1283EBFF-7AA6-4AF6-9F77-7BA3E62CC93D}"/>
    <cellStyle name="Normal 7 6 12 3 3" xfId="22886" xr:uid="{EEFDE06D-FAD0-4B2C-B4EC-7A08AE158797}"/>
    <cellStyle name="Normal 7 6 12 4" xfId="2032" xr:uid="{00000000-0005-0000-0000-000098070000}"/>
    <cellStyle name="Normal 7 6 12 4 2" xfId="23741" xr:uid="{79817153-0D54-48A8-826F-2B970D536EE6}"/>
    <cellStyle name="Normal 7 6 12 4 2 2" xfId="26431" xr:uid="{C49203E7-1566-434F-BAE6-BF94EB7F9C20}"/>
    <cellStyle name="Normal 7 6 12 4 3" xfId="25192" xr:uid="{F061C7BC-0996-4741-82A0-31A69AC23C4A}"/>
    <cellStyle name="Normal 7 6 12 4 3 2" xfId="26655" xr:uid="{F87E6003-60F4-45AF-8490-D1CC2D385632}"/>
    <cellStyle name="Normal 7 6 12 4 4" xfId="26354" xr:uid="{FB10D5FA-D50A-43CE-A72A-FAB2CDEE87C7}"/>
    <cellStyle name="Normal 7 6 12 5" xfId="2154" xr:uid="{00000000-0005-0000-0000-000027030000}"/>
    <cellStyle name="Normal 7 6 12 5 2" xfId="4790" xr:uid="{41EDDE25-589E-426C-B333-2F90E7438841}"/>
    <cellStyle name="Normal 7 6 12 5 2 2" xfId="28351" xr:uid="{3EB7436E-C897-4D37-A74A-339AD61DBDE8}"/>
    <cellStyle name="Normal 7 6 12 6" xfId="4107" xr:uid="{30A2C7AC-688D-49BA-80A4-9263C9BFA06B}"/>
    <cellStyle name="Normal 7 6 12 6 2" xfId="4760" xr:uid="{A9321574-1AD7-4B70-B5D3-A6DF307B9A1E}"/>
    <cellStyle name="Normal 7 6 12 7" xfId="25333" xr:uid="{F7D8B81A-047F-48C6-A186-A40F67FBBC1A}"/>
    <cellStyle name="Normal 7 6 12 7 2" xfId="26410" xr:uid="{92E5298E-5151-4BC5-8530-0F8A55FB4F6C}"/>
    <cellStyle name="Normal 7 6 13" xfId="1472" xr:uid="{00000000-0005-0000-0000-000099070000}"/>
    <cellStyle name="Normal 7 6 13 2" xfId="4599" xr:uid="{3B4DDB37-5983-43FF-ACEF-860659222593}"/>
    <cellStyle name="Normal 7 6 13 2 2" xfId="9371" xr:uid="{CDEC0402-8630-454A-8E5A-5AC7B33D7A9D}"/>
    <cellStyle name="Normal 7 6 13 2 2 2" xfId="29341" xr:uid="{1398F320-3620-46AB-8D56-93072B29C3C1}"/>
    <cellStyle name="Normal 7 6 13 2 2 3" xfId="19751" xr:uid="{C0A6EE25-B01C-4B52-BECC-E276B0C87655}"/>
    <cellStyle name="Normal 7 6 13 2 3" xfId="12204" xr:uid="{43D41024-C8FE-4C65-B95F-208F8619F646}"/>
    <cellStyle name="Normal 7 6 13 2 3 2" xfId="22584" xr:uid="{3DF9474A-F397-4E1D-8623-AA6FF160C46C}"/>
    <cellStyle name="Normal 7 6 13 2 4" xfId="25323" xr:uid="{98ECA508-CF63-41EA-B13E-B59CBA420D04}"/>
    <cellStyle name="Normal 7 6 13 2 5" xfId="16918" xr:uid="{0CB1D580-E7FB-4A27-9476-70C921428E95}"/>
    <cellStyle name="Normal 7 6 13 3" xfId="5479" xr:uid="{CE46A238-16DD-4E36-BA20-268E23F60FCA}"/>
    <cellStyle name="Normal 7 6 13 3 2" xfId="23513" xr:uid="{1BC609B7-6C52-437C-A2E9-194250405883}"/>
    <cellStyle name="Normal 7 6 13 3 3" xfId="27939" xr:uid="{F9065EAC-74DE-4D0F-8B98-36D70B44BF47}"/>
    <cellStyle name="Normal 7 6 13 3 4" xfId="14777" xr:uid="{73B0D313-E46F-4BB7-9250-4D30D966D483}"/>
    <cellStyle name="Normal 7 6 13 4" xfId="7230" xr:uid="{A57384AF-2504-4427-ACE1-93DE4EDA52C9}"/>
    <cellStyle name="Normal 7 6 13 4 2" xfId="24385" xr:uid="{B1C46D47-275D-425D-ADBB-E99F9000C558}"/>
    <cellStyle name="Normal 7 6 13 4 3" xfId="28697" xr:uid="{A229D5F5-BE03-4E55-8618-2F91B811C9DB}"/>
    <cellStyle name="Normal 7 6 13 4 4" xfId="17610" xr:uid="{EEBC38E0-0F65-4135-BD17-F4E424EC63C7}"/>
    <cellStyle name="Normal 7 6 13 5" xfId="10063" xr:uid="{AAACA06A-32C1-487F-8989-1B393794C0E5}"/>
    <cellStyle name="Normal 7 6 13 5 2" xfId="29465" xr:uid="{18463E07-0ECC-4E05-84C7-B841D4A96E41}"/>
    <cellStyle name="Normal 7 6 13 5 3" xfId="20443" xr:uid="{C83BDC38-E3E2-47CA-BF4C-1C4B25CD76BF}"/>
    <cellStyle name="Normal 7 6 13 6" xfId="25178" xr:uid="{23CC18F1-B5FD-43D3-ACE6-4D68C924481A}"/>
    <cellStyle name="Normal 7 6 13 7" xfId="14073" xr:uid="{EA591954-F772-48CC-8DF0-65618EB3BC16}"/>
    <cellStyle name="Normal 7 6 14" xfId="1473" xr:uid="{00000000-0005-0000-0000-00009A070000}"/>
    <cellStyle name="Normal 7 6 14 2" xfId="1474" xr:uid="{00000000-0005-0000-0000-00009B070000}"/>
    <cellStyle name="Normal 7 6 14 3" xfId="3767" xr:uid="{00000000-0005-0000-0000-0000F9060000}"/>
    <cellStyle name="Normal 7 6 14 3 2" xfId="4765" xr:uid="{54A32A04-56ED-4AB1-B7BA-D2EE0846373E}"/>
    <cellStyle name="Normal 7 6 14 3 2 2" xfId="27604" xr:uid="{5CE32205-96EA-49E5-8C23-87FB17C255E3}"/>
    <cellStyle name="Normal 7 6 14 3 3" xfId="28622" xr:uid="{50B7BDC0-20CD-4F0E-861C-3C44806BB4F1}"/>
    <cellStyle name="Normal 7 6 14 4" xfId="28272" xr:uid="{76CFB33E-5912-4B74-BBBF-6DD865E37708}"/>
    <cellStyle name="Normal 7 6 15" xfId="2441" xr:uid="{00000000-0005-0000-0000-0000E4080000}"/>
    <cellStyle name="Normal 7 6 15 2" xfId="5736" xr:uid="{495C43A3-3574-42FB-866D-BB7B70A3AE84}"/>
    <cellStyle name="Normal 7 6 15 2 2" xfId="28257" xr:uid="{A7F5FD02-FE5F-4F52-9BDE-3CDFDEDF93F6}"/>
    <cellStyle name="Normal 7 6 15 2 3" xfId="15113" xr:uid="{A605DAC2-51E2-4793-85BE-FDF33844A779}"/>
    <cellStyle name="Normal 7 6 15 3" xfId="7566" xr:uid="{B1FBA154-3591-4765-849C-DC8A096E34E7}"/>
    <cellStyle name="Normal 7 6 15 3 2" xfId="17946" xr:uid="{95A63BD3-3AA5-4531-9C1F-2173606782E4}"/>
    <cellStyle name="Normal 7 6 15 4" xfId="10399" xr:uid="{F98C58F5-E2A2-46E9-A62C-89E1E7F78CB6}"/>
    <cellStyle name="Normal 7 6 15 4 2" xfId="20779" xr:uid="{6FF81C5F-5DE3-4A3F-B5BA-3A215ECF90ED}"/>
    <cellStyle name="Normal 7 6 15 5" xfId="23163" xr:uid="{10624513-C597-4EC4-8C9B-6ABB485F5B22}"/>
    <cellStyle name="Normal 7 6 15 6" xfId="12828" xr:uid="{D57B35CA-7752-4FA8-BF85-3846C00B7CF1}"/>
    <cellStyle name="Normal 7 6 16" xfId="2171" xr:uid="{00000000-0005-0000-0000-0000D7080000}"/>
    <cellStyle name="Normal 7 6 16 2" xfId="7298" xr:uid="{B69C3657-7ADD-440C-989D-222D5F260A6C}"/>
    <cellStyle name="Normal 7 6 16 2 2" xfId="28356" xr:uid="{D6C497BB-3960-49BA-854A-2D36942534BD}"/>
    <cellStyle name="Normal 7 6 16 2 3" xfId="17678" xr:uid="{3F943B67-BF68-46FE-8EDA-A84648BC5EE8}"/>
    <cellStyle name="Normal 7 6 16 3" xfId="10131" xr:uid="{255D5F4D-71A3-4CA9-A87C-1319BF01B770}"/>
    <cellStyle name="Normal 7 6 16 3 2" xfId="20511" xr:uid="{093DA020-9795-4CA2-889A-A189C62135C3}"/>
    <cellStyle name="Normal 7 6 16 4" xfId="24530" xr:uid="{EB3C2B4A-5266-490D-9B9B-69216121C96F}"/>
    <cellStyle name="Normal 7 6 16 5" xfId="14845" xr:uid="{889E0779-BA30-46AE-A624-D2769B733098}"/>
    <cellStyle name="Normal 7 6 17" xfId="2150" xr:uid="{00000000-0005-0000-0000-000023030000}"/>
    <cellStyle name="Normal 7 6 17 2" xfId="4752" xr:uid="{96FA94DC-ED9F-4AD7-A7E8-D4EAB8FFA409}"/>
    <cellStyle name="Normal 7 6 17 2 2" xfId="27349" xr:uid="{AA61CBCD-A41A-4F57-8D53-D196359313E1}"/>
    <cellStyle name="Normal 7 6 17 3" xfId="27002" xr:uid="{CF3F67CA-7171-40A7-8B27-2E3B488C6464}"/>
    <cellStyle name="Normal 7 6 18" xfId="4078" xr:uid="{0FEC4EED-31A4-4E9D-A539-4F81C2FE41D8}"/>
    <cellStyle name="Normal 7 6 18 2" xfId="4693" xr:uid="{BF19DB26-08D9-499A-A4F6-1D49D2A37102}"/>
    <cellStyle name="Normal 7 6 18 3" xfId="30333" xr:uid="{7A5E0B3C-CB17-474A-89DF-A8DE495493EB}"/>
    <cellStyle name="Normal 7 6 19" xfId="24158" xr:uid="{0B50E127-6DDF-46B3-9CFD-D81FF9105BDA}"/>
    <cellStyle name="Normal 7 6 2" xfId="1475" xr:uid="{00000000-0005-0000-0000-00009C070000}"/>
    <cellStyle name="Normal 7 6 2 10" xfId="28662" xr:uid="{0B934B43-1FFE-4900-9038-D4630AE52971}"/>
    <cellStyle name="Normal 7 6 2 11" xfId="12426" xr:uid="{2CBCC447-7587-426D-ACC9-4DB969F5CB85}"/>
    <cellStyle name="Normal 7 6 2 2" xfId="1476" xr:uid="{00000000-0005-0000-0000-00009D070000}"/>
    <cellStyle name="Normal 7 6 2 2 2" xfId="1477" xr:uid="{00000000-0005-0000-0000-00009E070000}"/>
    <cellStyle name="Normal 7 6 2 2 2 2" xfId="1478" xr:uid="{00000000-0005-0000-0000-00009F070000}"/>
    <cellStyle name="Normal 7 6 2 2 2 2 2" xfId="3483" xr:uid="{00000000-0005-0000-0000-0000E9080000}"/>
    <cellStyle name="Normal 7 6 2 2 2 2 2 2" xfId="6538" xr:uid="{3C43956B-92BD-42AF-94BE-7873034E45CC}"/>
    <cellStyle name="Normal 7 6 2 2 2 2 2 2 2" xfId="27971" xr:uid="{2C749FF5-9938-4C6E-8B13-46B6B9A118DE}"/>
    <cellStyle name="Normal 7 6 2 2 2 2 2 2 3" xfId="16109" xr:uid="{2E6F8660-BB0A-44BB-8411-930BB6C75FE5}"/>
    <cellStyle name="Normal 7 6 2 2 2 2 2 3" xfId="8562" xr:uid="{2D4F33BD-E1F5-48A7-B377-7ECD0C2B92E7}"/>
    <cellStyle name="Normal 7 6 2 2 2 2 2 3 2" xfId="18942" xr:uid="{F5908889-B071-4103-B187-EB026C3E9830}"/>
    <cellStyle name="Normal 7 6 2 2 2 2 2 4" xfId="11395" xr:uid="{198D3C54-6DB1-4A1B-9407-0DF7C2AEC7A3}"/>
    <cellStyle name="Normal 7 6 2 2 2 2 2 4 2" xfId="21775" xr:uid="{633C6899-E9CE-4394-8B2D-E18E351F1D3E}"/>
    <cellStyle name="Normal 7 6 2 2 2 2 2 5" xfId="23961" xr:uid="{4E1EA9D4-EA7B-4C15-8C17-E4CCEA800507}"/>
    <cellStyle name="Normal 7 6 2 2 2 2 2 6" xfId="14075" xr:uid="{917D2B9E-EF24-48CE-8383-273F4C0A52F4}"/>
    <cellStyle name="Normal 7 6 2 2 2 2 3" xfId="4377" xr:uid="{D4997153-9B6F-4C01-BE23-261C435D3A09}"/>
    <cellStyle name="Normal 7 6 2 2 2 2 3 2" xfId="9149" xr:uid="{73921F97-1065-4407-9809-495CBAD68613}"/>
    <cellStyle name="Normal 7 6 2 2 2 2 3 2 2" xfId="29192" xr:uid="{91EB5C62-EBF0-4364-A59B-31E9A108C41D}"/>
    <cellStyle name="Normal 7 6 2 2 2 2 3 2 3" xfId="19529" xr:uid="{82AB5975-74DF-48AA-A235-1243C30AF6E3}"/>
    <cellStyle name="Normal 7 6 2 2 2 2 3 3" xfId="11982" xr:uid="{0973E22F-3FBD-4A8F-A200-C78C9B6F33BB}"/>
    <cellStyle name="Normal 7 6 2 2 2 2 3 3 2" xfId="22362" xr:uid="{AFD10173-F0B6-48A8-B1EE-63990D38F079}"/>
    <cellStyle name="Normal 7 6 2 2 2 2 3 4" xfId="24427" xr:uid="{E6D7019A-E718-45E4-AFE1-762534489854}"/>
    <cellStyle name="Normal 7 6 2 2 2 2 3 5" xfId="16696" xr:uid="{F733C953-EF2A-4647-8D0D-E83858C2CA8F}"/>
    <cellStyle name="Normal 7 6 2 2 2 2 4" xfId="5480" xr:uid="{8DE60161-2BB3-4693-B577-A20D4692DEE6}"/>
    <cellStyle name="Normal 7 6 2 2 2 2 4 2" xfId="27358" xr:uid="{ADA7C34E-C8D7-4230-BA87-C3C3B92F3FB3}"/>
    <cellStyle name="Normal 7 6 2 2 2 2 4 3" xfId="14778" xr:uid="{2DA40E8B-A8D0-4E42-830B-4975E2564D1D}"/>
    <cellStyle name="Normal 7 6 2 2 2 2 5" xfId="7231" xr:uid="{AD3D54A5-6FF3-41E4-9694-D1AF111A41E0}"/>
    <cellStyle name="Normal 7 6 2 2 2 2 5 2" xfId="17611" xr:uid="{5CED58A6-1C51-42F3-A14D-7733BB90C807}"/>
    <cellStyle name="Normal 7 6 2 2 2 2 6" xfId="10064" xr:uid="{30F6F61F-22B1-464B-B9AA-148D29C8E096}"/>
    <cellStyle name="Normal 7 6 2 2 2 2 6 2" xfId="20444" xr:uid="{B11F13BF-C2A2-4741-BD41-3B0CA0F60C47}"/>
    <cellStyle name="Normal 7 6 2 2 2 2 7" xfId="25239" xr:uid="{297D51F8-69E1-48CA-A6D4-16811EF48A4E}"/>
    <cellStyle name="Normal 7 6 2 2 2 2 8" xfId="13322" xr:uid="{7D0E37C6-3D86-4C1F-9001-C790F89B8C34}"/>
    <cellStyle name="Normal 7 6 2 2 2 3" xfId="3484" xr:uid="{00000000-0005-0000-0000-0000EA080000}"/>
    <cellStyle name="Normal 7 6 2 2 2 3 2" xfId="4600" xr:uid="{F7E77E51-AF70-477D-915D-5CFCE89872C9}"/>
    <cellStyle name="Normal 7 6 2 2 2 3 2 2" xfId="9372" xr:uid="{6B21FC2E-9F3C-4C23-A412-2B431DD3ECBF}"/>
    <cellStyle name="Normal 7 6 2 2 2 3 2 2 2" xfId="29342" xr:uid="{062C8278-7C0B-4592-AAF6-FAF7FD1824CF}"/>
    <cellStyle name="Normal 7 6 2 2 2 3 2 2 3" xfId="19752" xr:uid="{540803B5-EB63-4312-ABB0-07CDC1D1382B}"/>
    <cellStyle name="Normal 7 6 2 2 2 3 2 3" xfId="12205" xr:uid="{E1162E05-973F-43E3-A05B-36A698B81043}"/>
    <cellStyle name="Normal 7 6 2 2 2 3 2 3 2" xfId="22585" xr:uid="{DB5AFD22-FB56-4383-9283-BD1C5CCDAD02}"/>
    <cellStyle name="Normal 7 6 2 2 2 3 2 4" xfId="25645" xr:uid="{CD6A38B1-3877-49CE-9454-AA7495112144}"/>
    <cellStyle name="Normal 7 6 2 2 2 3 2 5" xfId="16919" xr:uid="{FB7A93D7-025A-431A-A577-50FB9725D6E0}"/>
    <cellStyle name="Normal 7 6 2 2 2 3 3" xfId="6539" xr:uid="{0E10CFB7-73A1-4A1D-A4DC-825547754653}"/>
    <cellStyle name="Normal 7 6 2 2 2 3 3 2" xfId="27719" xr:uid="{2E469244-C77B-4BD3-960A-CFAD5B5A5197}"/>
    <cellStyle name="Normal 7 6 2 2 2 3 3 3" xfId="16110" xr:uid="{20249134-12C7-42F4-AA3F-D689BFD52AC9}"/>
    <cellStyle name="Normal 7 6 2 2 2 3 4" xfId="8563" xr:uid="{19B320F8-C9DF-4C65-847F-6BD39620D6EA}"/>
    <cellStyle name="Normal 7 6 2 2 2 3 4 2" xfId="18943" xr:uid="{5CD72663-E027-4421-9CC7-289E793CFD77}"/>
    <cellStyle name="Normal 7 6 2 2 2 3 5" xfId="11396" xr:uid="{FAC59828-E1EB-4737-81CE-DE16F306EB80}"/>
    <cellStyle name="Normal 7 6 2 2 2 3 5 2" xfId="21776" xr:uid="{474D0F86-4834-490D-A723-2FBB179E9695}"/>
    <cellStyle name="Normal 7 6 2 2 2 3 6" xfId="25365" xr:uid="{0F583448-3F60-430D-9CCC-94406A5FEA53}"/>
    <cellStyle name="Normal 7 6 2 2 2 3 7" xfId="25683" xr:uid="{6BEFCE0B-27F9-42CB-B022-6CCAE86597D8}"/>
    <cellStyle name="Normal 7 6 2 2 2 3 8" xfId="14076" xr:uid="{9FD870AE-3489-4168-934F-1025B36A5561}"/>
    <cellStyle name="Normal 7 6 2 2 2 4" xfId="3482" xr:uid="{00000000-0005-0000-0000-0000EB080000}"/>
    <cellStyle name="Normal 7 6 2 2 2 4 2" xfId="6537" xr:uid="{2320380E-A1D5-49AB-8E4A-A47391D43B4B}"/>
    <cellStyle name="Normal 7 6 2 2 2 4 2 2" xfId="27320" xr:uid="{1A19FDD6-EB0B-4C8E-A246-77221CE44C0A}"/>
    <cellStyle name="Normal 7 6 2 2 2 4 2 3" xfId="16108" xr:uid="{45DEF5E9-4AF0-432D-8F89-6A7ADEDA0AF0}"/>
    <cellStyle name="Normal 7 6 2 2 2 4 3" xfId="8561" xr:uid="{0A133847-C4E7-43AD-8ACD-B4957DABDD78}"/>
    <cellStyle name="Normal 7 6 2 2 2 4 3 2" xfId="18941" xr:uid="{FCEC1B20-9B09-42E7-BD3A-2B8A7462B387}"/>
    <cellStyle name="Normal 7 6 2 2 2 4 4" xfId="11394" xr:uid="{AA87D188-B539-4C73-BD47-2E0C1D4213FB}"/>
    <cellStyle name="Normal 7 6 2 2 2 4 4 2" xfId="21774" xr:uid="{E374D47B-912C-4DA9-88B5-2B7D5300E3C8}"/>
    <cellStyle name="Normal 7 6 2 2 2 4 5" xfId="23671" xr:uid="{1761F923-A575-4080-9E2C-8E823506DC55}"/>
    <cellStyle name="Normal 7 6 2 2 2 4 6" xfId="14074" xr:uid="{22FCA1B1-9327-4628-9DC9-AFD8BE8D4685}"/>
    <cellStyle name="Normal 7 6 2 2 2 5" xfId="2651" xr:uid="{00000000-0005-0000-0000-0000EC080000}"/>
    <cellStyle name="Normal 7 6 2 2 2 5 2" xfId="5913" xr:uid="{04EDB135-DE1E-44A7-AFBC-FCA5C83F406B}"/>
    <cellStyle name="Normal 7 6 2 2 2 5 2 2" xfId="28281" xr:uid="{11CC99B3-A87C-4175-91A2-9C4672B38B5C}"/>
    <cellStyle name="Normal 7 6 2 2 2 5 2 3" xfId="15323" xr:uid="{86CBC41F-3252-4286-A051-4D6F9B4B9CC8}"/>
    <cellStyle name="Normal 7 6 2 2 2 5 3" xfId="7776" xr:uid="{628AE643-BC3E-4EEC-8727-E55DCDB2A884}"/>
    <cellStyle name="Normal 7 6 2 2 2 5 3 2" xfId="18156" xr:uid="{C4AEBD2D-8F2E-4C83-BE00-B39F03431BCC}"/>
    <cellStyle name="Normal 7 6 2 2 2 5 4" xfId="10609" xr:uid="{A9A8B79E-C40F-46BD-8F9E-67BE47AD219F}"/>
    <cellStyle name="Normal 7 6 2 2 2 5 4 2" xfId="20989" xr:uid="{BC6C5DBE-8C7C-47A5-8E02-7EEE113AAD58}"/>
    <cellStyle name="Normal 7 6 2 2 2 5 5" xfId="23781" xr:uid="{B69EE12D-5EBE-4254-9996-F147571C3F8A}"/>
    <cellStyle name="Normal 7 6 2 2 2 5 6" xfId="13051" xr:uid="{0F059C69-DC57-4447-848B-B885E4C1D202}"/>
    <cellStyle name="Normal 7 6 2 2 2 6" xfId="4108" xr:uid="{14AB8BEC-B9AC-4B4E-AB64-5487A5CF4C35}"/>
    <cellStyle name="Normal 7 6 2 2 2 7" xfId="25095" xr:uid="{2DD6EE98-696C-462E-BCC5-900432B06F90}"/>
    <cellStyle name="Normal 7 6 2 2 3" xfId="1479" xr:uid="{00000000-0005-0000-0000-0000A0070000}"/>
    <cellStyle name="Normal 7 6 2 2 3 2" xfId="3485" xr:uid="{00000000-0005-0000-0000-0000EE080000}"/>
    <cellStyle name="Normal 7 6 2 2 3 2 2" xfId="6540" xr:uid="{FF18CD6A-4F26-4260-80A0-2005F66843B1}"/>
    <cellStyle name="Normal 7 6 2 2 3 2 2 2" xfId="28384" xr:uid="{07ECBAA9-9252-4872-A60C-A39FAE87088B}"/>
    <cellStyle name="Normal 7 6 2 2 3 2 2 3" xfId="16111" xr:uid="{6D800536-7678-4839-A8DC-19931B69DAFF}"/>
    <cellStyle name="Normal 7 6 2 2 3 2 3" xfId="8564" xr:uid="{A1BAE006-68DD-4C66-A71D-005340E3CC91}"/>
    <cellStyle name="Normal 7 6 2 2 3 2 3 2" xfId="18944" xr:uid="{E4D20621-0EB1-4163-B085-EFFE44787647}"/>
    <cellStyle name="Normal 7 6 2 2 3 2 4" xfId="11397" xr:uid="{EF40E55E-F2FD-46FF-A2A3-F2C8962B2EC8}"/>
    <cellStyle name="Normal 7 6 2 2 3 2 4 2" xfId="21777" xr:uid="{ADA49CD4-49EE-469A-AD60-21774BDCB933}"/>
    <cellStyle name="Normal 7 6 2 2 3 2 5" xfId="23482" xr:uid="{4DF0783F-7C7F-4C4C-82E0-206F0EAEE840}"/>
    <cellStyle name="Normal 7 6 2 2 3 2 6" xfId="14077" xr:uid="{16A9736A-144E-4928-9AF6-4EFDD1065295}"/>
    <cellStyle name="Normal 7 6 2 2 3 3" xfId="2843" xr:uid="{00000000-0005-0000-0000-0000ED080000}"/>
    <cellStyle name="Normal 7 6 2 2 3 3 2" xfId="7965" xr:uid="{7249D37C-1CE1-44C4-AB44-0C06094481CB}"/>
    <cellStyle name="Normal 7 6 2 2 3 3 2 2" xfId="26587" xr:uid="{4936CB13-CFAD-4C01-B8A0-C873FE6357D9}"/>
    <cellStyle name="Normal 7 6 2 2 3 3 2 3" xfId="18345" xr:uid="{767D9DE3-8BA8-4ECE-8DDF-A5DE470B5A45}"/>
    <cellStyle name="Normal 7 6 2 2 3 3 3" xfId="10798" xr:uid="{1384BC0E-AF6C-4966-8D47-C417BF01370D}"/>
    <cellStyle name="Normal 7 6 2 2 3 3 3 2" xfId="21178" xr:uid="{9ABF4405-E1F5-42AA-8EE4-047FB517FF60}"/>
    <cellStyle name="Normal 7 6 2 2 3 3 4" xfId="23158" xr:uid="{45CB43B7-725A-457E-BE64-9BA44477EA48}"/>
    <cellStyle name="Normal 7 6 2 2 3 3 5" xfId="15512" xr:uid="{B4B0CDB4-80E8-43B1-832A-7E27644129C5}"/>
    <cellStyle name="Normal 7 6 2 2 3 4" xfId="3804" xr:uid="{28B2792A-E4C2-42BA-AC1C-BAFBCE227706}"/>
    <cellStyle name="Normal 7 6 2 2 3 4 2" xfId="8640" xr:uid="{78F59A9D-589F-4C8B-9D37-7FAF077F9C38}"/>
    <cellStyle name="Normal 7 6 2 2 3 4 2 2" xfId="19020" xr:uid="{3A43083D-68EB-4073-BB41-542ACCDC4DD5}"/>
    <cellStyle name="Normal 7 6 2 2 3 4 3" xfId="11473" xr:uid="{77914C42-79A0-45E7-A6D5-C13A38D0FBFB}"/>
    <cellStyle name="Normal 7 6 2 2 3 4 3 2" xfId="21853" xr:uid="{6469B20A-8342-4E19-8943-E9F35BF15376}"/>
    <cellStyle name="Normal 7 6 2 2 3 4 4" xfId="27422" xr:uid="{F1090F80-B0C1-46E5-B080-330F0302A84D}"/>
    <cellStyle name="Normal 7 6 2 2 3 4 5" xfId="16187" xr:uid="{13904CB8-1769-410C-A745-D63646D406DF}"/>
    <cellStyle name="Normal 7 6 2 2 3 5" xfId="5481" xr:uid="{049B8662-1A99-4A8B-A424-009D4B14D026}"/>
    <cellStyle name="Normal 7 6 2 2 3 5 2" xfId="14779" xr:uid="{0AB0EF44-AADF-4F49-92B0-4065F856268C}"/>
    <cellStyle name="Normal 7 6 2 2 3 6" xfId="7232" xr:uid="{1FC6158B-B2CD-42C7-B621-C330C4EAC1A0}"/>
    <cellStyle name="Normal 7 6 2 2 3 6 2" xfId="17612" xr:uid="{68EE18A3-D37E-42DA-9C03-37DC158E6A58}"/>
    <cellStyle name="Normal 7 6 2 2 3 7" xfId="10065" xr:uid="{F7111006-E276-435A-93CD-33A3271CCB09}"/>
    <cellStyle name="Normal 7 6 2 2 3 7 2" xfId="20445" xr:uid="{0412B25D-50C0-4063-9B20-08869A45F482}"/>
    <cellStyle name="Normal 7 6 2 2 3 8" xfId="24088" xr:uid="{E2C51115-D68E-431A-8B6A-FB0455416D5A}"/>
    <cellStyle name="Normal 7 6 2 2 3 9" xfId="13323" xr:uid="{9E346B45-7006-4F4B-A3B6-4BDF7DD67189}"/>
    <cellStyle name="Normal 7 6 2 2 4" xfId="2842" xr:uid="{00000000-0005-0000-0000-0000EF080000}"/>
    <cellStyle name="Normal 7 6 2 2 4 2" xfId="30018" xr:uid="{79925C44-2676-4E8C-A1C4-CFBC1E47CADA}"/>
    <cellStyle name="Normal 7 6 2 2 4 3" xfId="29762" xr:uid="{AF3D564F-BB02-4675-9143-E56AF6DB9F2D}"/>
    <cellStyle name="Normal 7 6 2 2 5" xfId="3486" xr:uid="{00000000-0005-0000-0000-0000F0080000}"/>
    <cellStyle name="Normal 7 6 2 2 5 2" xfId="4601" xr:uid="{5382A3A7-0759-4813-94AB-A76BF14657A6}"/>
    <cellStyle name="Normal 7 6 2 2 5 2 2" xfId="9373" xr:uid="{4D3D6C70-B861-4573-814D-03A56D0F782A}"/>
    <cellStyle name="Normal 7 6 2 2 5 2 2 2" xfId="19753" xr:uid="{17D1EA00-D755-4FB7-89C1-504E5DBF8B1B}"/>
    <cellStyle name="Normal 7 6 2 2 5 2 3" xfId="12206" xr:uid="{97C9921C-C018-44E5-8721-8F39A9FF8C06}"/>
    <cellStyle name="Normal 7 6 2 2 5 2 3 2" xfId="22586" xr:uid="{69B2F764-A1F2-4BE8-AF28-B9F55204C887}"/>
    <cellStyle name="Normal 7 6 2 2 5 2 4" xfId="26736" xr:uid="{934F4AF8-BE69-4D83-8C74-1814C6B5140D}"/>
    <cellStyle name="Normal 7 6 2 2 5 2 5" xfId="16920" xr:uid="{040E12F0-1115-44F0-B8BF-02F016E01AB1}"/>
    <cellStyle name="Normal 7 6 2 2 5 3" xfId="6541" xr:uid="{61CB24AD-EF4B-4C70-8A05-E1ED25D7E49E}"/>
    <cellStyle name="Normal 7 6 2 2 5 3 2" xfId="16112" xr:uid="{D929F99D-2176-487F-9CC7-C2BD318A8A3C}"/>
    <cellStyle name="Normal 7 6 2 2 5 4" xfId="8565" xr:uid="{1B046643-6896-4EBD-A8BC-F4FE2D2C7ED5}"/>
    <cellStyle name="Normal 7 6 2 2 5 4 2" xfId="18945" xr:uid="{D8EEE973-8CA6-4140-90F5-0B6F16E7D485}"/>
    <cellStyle name="Normal 7 6 2 2 5 5" xfId="11398" xr:uid="{8A9DBD6E-90C5-4E9B-99D1-92A6BAC7FB19}"/>
    <cellStyle name="Normal 7 6 2 2 5 5 2" xfId="21778" xr:uid="{5BF316AA-94AB-4134-8F00-A333BEFF6EE0}"/>
    <cellStyle name="Normal 7 6 2 2 5 6" xfId="24562" xr:uid="{3E76B5FF-1B9A-4161-87A4-751D4B3E9752}"/>
    <cellStyle name="Normal 7 6 2 2 5 7" xfId="14078" xr:uid="{4DDD2D37-CA5D-497E-BC0D-7E552FC39117}"/>
    <cellStyle name="Normal 7 6 2 2 6" xfId="2560" xr:uid="{00000000-0005-0000-0000-0000F1080000}"/>
    <cellStyle name="Normal 7 6 2 2 6 2" xfId="5830" xr:uid="{B66FAA02-2061-4C28-94CA-12E640BE358B}"/>
    <cellStyle name="Normal 7 6 2 2 6 2 2" xfId="28672" xr:uid="{B0FFD673-EFD7-4AF0-A637-F37D84DBAEDF}"/>
    <cellStyle name="Normal 7 6 2 2 6 2 3" xfId="15232" xr:uid="{9DFBBEA0-13F0-460E-A223-45BA0E6D6AA1}"/>
    <cellStyle name="Normal 7 6 2 2 6 3" xfId="7685" xr:uid="{63FA4D9A-472C-4BCB-9C4D-EBF0C0779232}"/>
    <cellStyle name="Normal 7 6 2 2 6 3 2" xfId="18065" xr:uid="{AA1276C8-F94F-4E02-9918-E5158BBD146E}"/>
    <cellStyle name="Normal 7 6 2 2 6 4" xfId="10518" xr:uid="{39AA716C-C051-4882-8AB7-1A507ADBEE45}"/>
    <cellStyle name="Normal 7 6 2 2 6 4 2" xfId="20898" xr:uid="{6A7A902D-7399-4B15-ADA7-3A63D562E9E1}"/>
    <cellStyle name="Normal 7 6 2 2 6 5" xfId="23879" xr:uid="{B97EB2A7-DC6C-47FB-9D73-FFC054BBD131}"/>
    <cellStyle name="Normal 7 6 2 2 6 6" xfId="12948" xr:uid="{5C138EAE-DEA9-4AD5-A5FC-91C0DB1C2EFB}"/>
    <cellStyle name="Normal 7 6 2 2 7" xfId="2254" xr:uid="{00000000-0005-0000-0000-0000E6080000}"/>
    <cellStyle name="Normal 7 6 2 2 7 2" xfId="7381" xr:uid="{FF82BE85-CF7E-4D30-9509-E49B9532792C}"/>
    <cellStyle name="Normal 7 6 2 2 7 2 2" xfId="17761" xr:uid="{757A19E5-54D2-47FB-9AAD-B0C917D4B4BB}"/>
    <cellStyle name="Normal 7 6 2 2 7 3" xfId="10214" xr:uid="{9E5C0D3E-2C0D-4C99-8AC6-38661FC76CAE}"/>
    <cellStyle name="Normal 7 6 2 2 7 3 2" xfId="20594" xr:uid="{E32D5685-E2FB-49A1-A380-BF6348883FF4}"/>
    <cellStyle name="Normal 7 6 2 2 7 4" xfId="22862" xr:uid="{1D27C0B9-DB74-48FE-AB51-476EA2630360}"/>
    <cellStyle name="Normal 7 6 2 2 7 5" xfId="14928" xr:uid="{1AE6BEDE-C5EE-45E3-B1A0-392B2C209929}"/>
    <cellStyle name="Normal 7 6 2 2 8" xfId="23548" xr:uid="{C5CE898B-5079-473C-B569-1516EB8A0480}"/>
    <cellStyle name="Normal 7 6 2 2 9" xfId="12486" xr:uid="{39F8E732-094A-4460-B449-9D1468C045E8}"/>
    <cellStyle name="Normal 7 6 2 3" xfId="1480" xr:uid="{00000000-0005-0000-0000-0000A1070000}"/>
    <cellStyle name="Normal 7 6 2 3 10" xfId="10066" xr:uid="{1E1A3F6E-F969-4BAE-9F6F-3AA572EF8B3A}"/>
    <cellStyle name="Normal 7 6 2 3 10 2" xfId="20446" xr:uid="{256AC34C-FBD0-4F27-88CC-FEFDC0ABDECA}"/>
    <cellStyle name="Normal 7 6 2 3 11" xfId="25393" xr:uid="{167A9EED-2DEA-4CC9-B832-6DB0C5C99144}"/>
    <cellStyle name="Normal 7 6 2 3 12" xfId="12644" xr:uid="{E8BC95D7-541E-43E5-A0AF-7043290B7F2A}"/>
    <cellStyle name="Normal 7 6 2 3 2" xfId="2425" xr:uid="{00000000-0005-0000-0000-0000F3080000}"/>
    <cellStyle name="Normal 7 6 2 3 2 2" xfId="3487" xr:uid="{00000000-0005-0000-0000-0000F4080000}"/>
    <cellStyle name="Normal 7 6 2 3 2 2 2" xfId="6542" xr:uid="{2ED177E0-8D34-47F6-A550-BB54CD807983}"/>
    <cellStyle name="Normal 7 6 2 3 2 2 2 2" xfId="27736" xr:uid="{7B4B4AD0-D389-448D-9CF1-2C7A12CFAB15}"/>
    <cellStyle name="Normal 7 6 2 3 2 2 2 3" xfId="27486" xr:uid="{974FFAAC-0323-4FC9-A221-BF7EAC317557}"/>
    <cellStyle name="Normal 7 6 2 3 2 2 2 4" xfId="16113" xr:uid="{943B722A-1B6D-485C-BE3E-606506E530D2}"/>
    <cellStyle name="Normal 7 6 2 3 2 2 3" xfId="8566" xr:uid="{FA3BE7CA-8711-46A0-ACF0-5961A05AB851}"/>
    <cellStyle name="Normal 7 6 2 3 2 2 3 2" xfId="28949" xr:uid="{A37E3316-1CDF-4325-9EA6-9E73D2DB4680}"/>
    <cellStyle name="Normal 7 6 2 3 2 2 3 3" xfId="18946" xr:uid="{DF22B7A1-C024-4378-99DA-6E0A161155FE}"/>
    <cellStyle name="Normal 7 6 2 3 2 2 4" xfId="11399" xr:uid="{5880DDF9-8A56-4C4D-9CD8-7088981D7E9F}"/>
    <cellStyle name="Normal 7 6 2 3 2 2 4 2" xfId="21779" xr:uid="{4CB6013D-D85D-4607-B82A-4F2B066B2D34}"/>
    <cellStyle name="Normal 7 6 2 3 2 2 5" xfId="24797" xr:uid="{3EA3BD21-3DB5-4AE3-BB45-0A9CADD59DC2}"/>
    <cellStyle name="Normal 7 6 2 3 2 2 6" xfId="14079" xr:uid="{CC47A00B-1AB7-464B-A96F-1B0D14F90019}"/>
    <cellStyle name="Normal 7 6 2 3 2 3" xfId="2844" xr:uid="{00000000-0005-0000-0000-0000F5080000}"/>
    <cellStyle name="Normal 7 6 2 3 2 3 2" xfId="6058" xr:uid="{28B2E169-D7C2-4667-819D-0471C974F8D7}"/>
    <cellStyle name="Normal 7 6 2 3 2 3 2 2" xfId="26561" xr:uid="{74A0F5AF-D0CB-49BF-8753-E75A9FB067B3}"/>
    <cellStyle name="Normal 7 6 2 3 2 3 2 3" xfId="15513" xr:uid="{11978ACD-762B-44EB-A880-BC19191F914D}"/>
    <cellStyle name="Normal 7 6 2 3 2 3 3" xfId="7966" xr:uid="{B0545A4D-8699-4CA2-B39E-1B70F4A32311}"/>
    <cellStyle name="Normal 7 6 2 3 2 3 3 2" xfId="18346" xr:uid="{0DA7AE16-5A69-446A-A742-5D1BA50817CC}"/>
    <cellStyle name="Normal 7 6 2 3 2 3 4" xfId="10799" xr:uid="{A22CF988-77B7-483B-B476-BEAFAE84D019}"/>
    <cellStyle name="Normal 7 6 2 3 2 3 4 2" xfId="21179" xr:uid="{52400798-466A-47CC-86FE-E125E28CA297}"/>
    <cellStyle name="Normal 7 6 2 3 2 3 5" xfId="23176" xr:uid="{CF5192CA-0014-421A-99D0-F4FCC99E05C3}"/>
    <cellStyle name="Normal 7 6 2 3 2 3 6" xfId="13324" xr:uid="{613B7118-BE5A-48C6-B989-DE44F6BDA5DE}"/>
    <cellStyle name="Normal 7 6 2 3 2 4" xfId="4227" xr:uid="{4C5857AD-234B-4557-ADE5-B8289ADFA87B}"/>
    <cellStyle name="Normal 7 6 2 3 2 4 2" xfId="8999" xr:uid="{CB3B5041-B31D-497A-9D0B-64FC5C0E3A11}"/>
    <cellStyle name="Normal 7 6 2 3 2 4 2 2" xfId="19379" xr:uid="{60104DF8-912C-4105-A482-48B17DE8EA36}"/>
    <cellStyle name="Normal 7 6 2 3 2 4 3" xfId="11832" xr:uid="{2A4BF771-42B9-4F8D-B0E4-FB6E90789D39}"/>
    <cellStyle name="Normal 7 6 2 3 2 4 3 2" xfId="22212" xr:uid="{180518FC-28E0-4F1D-B9E9-975CB149259E}"/>
    <cellStyle name="Normal 7 6 2 3 2 4 4" xfId="23191" xr:uid="{DF7D4F32-EB8C-4BB1-AF49-8F4DEC3925B3}"/>
    <cellStyle name="Normal 7 6 2 3 2 4 5" xfId="16546" xr:uid="{16983FF2-37E5-4C2D-9694-40C4B52EDD4E}"/>
    <cellStyle name="Normal 7 6 2 3 2 5" xfId="5725" xr:uid="{CEE0CD0B-5F26-4751-88D7-0A0E532635CB}"/>
    <cellStyle name="Normal 7 6 2 3 2 5 2" xfId="15099" xr:uid="{C6DBCB33-7F20-48A6-9F48-D85BE71DD538}"/>
    <cellStyle name="Normal 7 6 2 3 2 6" xfId="7552" xr:uid="{189EF68A-E256-4796-89AE-AC0F3FAF7D8E}"/>
    <cellStyle name="Normal 7 6 2 3 2 6 2" xfId="17932" xr:uid="{43FB66C0-390C-4279-B678-C9FDF62130EE}"/>
    <cellStyle name="Normal 7 6 2 3 2 7" xfId="10385" xr:uid="{DBB79F94-F3C9-4812-B61F-AFDCD4D42AF7}"/>
    <cellStyle name="Normal 7 6 2 3 2 7 2" xfId="20765" xr:uid="{3C339B12-A6EB-4E4B-8738-0FBB837DE6F7}"/>
    <cellStyle name="Normal 7 6 2 3 2 8" xfId="23597" xr:uid="{46362229-43AB-4867-8795-752F1117C320}"/>
    <cellStyle name="Normal 7 6 2 3 2 9" xfId="12802" xr:uid="{00811522-1434-49F0-9892-C89467140CF9}"/>
    <cellStyle name="Normal 7 6 2 3 3" xfId="3488" xr:uid="{00000000-0005-0000-0000-0000F6080000}"/>
    <cellStyle name="Normal 7 6 2 3 3 2" xfId="4602" xr:uid="{4517D012-AB3F-4A50-A0AE-6DC9C9AABA35}"/>
    <cellStyle name="Normal 7 6 2 3 3 2 2" xfId="9374" xr:uid="{C788363A-D2D0-4902-9FC0-2B01B7C53F29}"/>
    <cellStyle name="Normal 7 6 2 3 3 2 2 2" xfId="29343" xr:uid="{F7D3D6A1-47D2-48DF-964B-7A00284DE874}"/>
    <cellStyle name="Normal 7 6 2 3 3 2 2 3" xfId="19754" xr:uid="{2595AF05-3149-411D-B2A3-9AB2965C3326}"/>
    <cellStyle name="Normal 7 6 2 3 3 2 3" xfId="12207" xr:uid="{8306838D-A175-48DF-9E22-7CCECC7A46AF}"/>
    <cellStyle name="Normal 7 6 2 3 3 2 3 2" xfId="22587" xr:uid="{666A7408-14DC-4E23-BF53-D70A7F51D1CC}"/>
    <cellStyle name="Normal 7 6 2 3 3 2 4" xfId="23845" xr:uid="{E19D32D2-28B6-4847-815D-8D68D928324E}"/>
    <cellStyle name="Normal 7 6 2 3 3 2 5" xfId="16921" xr:uid="{1F763406-0259-44E6-8D78-7596465B723C}"/>
    <cellStyle name="Normal 7 6 2 3 3 3" xfId="6543" xr:uid="{935A2752-8B7F-4C6A-BF5C-9EDD067E1A9A}"/>
    <cellStyle name="Normal 7 6 2 3 3 3 2" xfId="26797" xr:uid="{88148196-7D1B-4249-9D88-AFD134F9481F}"/>
    <cellStyle name="Normal 7 6 2 3 3 3 3" xfId="16114" xr:uid="{5C68F48B-039B-4724-A7FE-555E7C0A0FE3}"/>
    <cellStyle name="Normal 7 6 2 3 3 4" xfId="8567" xr:uid="{A34AC5BC-0734-4227-9483-F63AE9FA58A4}"/>
    <cellStyle name="Normal 7 6 2 3 3 4 2" xfId="18947" xr:uid="{DA7AF1A6-8AED-419E-8558-7AA2EF1EDAAE}"/>
    <cellStyle name="Normal 7 6 2 3 3 5" xfId="11400" xr:uid="{ADA725C3-BAC9-4DE8-B058-DE956EBE7BD5}"/>
    <cellStyle name="Normal 7 6 2 3 3 5 2" xfId="21780" xr:uid="{106E1BA2-A679-4A52-8A91-C8AD22D52F32}"/>
    <cellStyle name="Normal 7 6 2 3 3 6" xfId="23952" xr:uid="{3DF65DFE-68C1-4814-B5DB-D46D28CCC849}"/>
    <cellStyle name="Normal 7 6 2 3 3 7" xfId="14080" xr:uid="{2AAC3EB0-648E-4039-A54B-70CFFB60586E}"/>
    <cellStyle name="Normal 7 6 2 3 4" xfId="3000" xr:uid="{00000000-0005-0000-0000-0000F7080000}"/>
    <cellStyle name="Normal 7 6 2 3 4 2" xfId="6149" xr:uid="{8CE6BF8B-0E9F-4452-84EA-E1F3441688C5}"/>
    <cellStyle name="Normal 7 6 2 3 4 2 2" xfId="26411" xr:uid="{58070C94-302A-4FED-9388-BC7FD3B37CC0}"/>
    <cellStyle name="Normal 7 6 2 3 4 2 3" xfId="15627" xr:uid="{0C47AA3F-AB24-4930-9F11-72E8E2853579}"/>
    <cellStyle name="Normal 7 6 2 3 4 3" xfId="8080" xr:uid="{DE95BD2A-6FEC-43D3-99B0-B0875EAAA115}"/>
    <cellStyle name="Normal 7 6 2 3 4 3 2" xfId="18460" xr:uid="{ED7BAE7D-93BA-4869-9024-02B2F0BF21BA}"/>
    <cellStyle name="Normal 7 6 2 3 4 4" xfId="10913" xr:uid="{B17E3A17-CCA1-40F8-B55A-5C7F6649D437}"/>
    <cellStyle name="Normal 7 6 2 3 4 4 2" xfId="21293" xr:uid="{E8854CB8-4A7B-42B7-B6C5-59EAF2B0AF74}"/>
    <cellStyle name="Normal 7 6 2 3 4 5" xfId="24932" xr:uid="{CD25090A-1621-41C6-A210-0964DFF056A3}"/>
    <cellStyle name="Normal 7 6 2 3 4 6" xfId="13500" xr:uid="{FBD1A3F5-66E5-42B8-A13E-5BBCC43129D9}"/>
    <cellStyle name="Normal 7 6 2 3 5" xfId="2603" xr:uid="{00000000-0005-0000-0000-0000F8080000}"/>
    <cellStyle name="Normal 7 6 2 3 5 2" xfId="5868" xr:uid="{68540AEA-0E8E-4490-B917-D8E157903F73}"/>
    <cellStyle name="Normal 7 6 2 3 5 2 2" xfId="25873" xr:uid="{99D1D200-427F-4337-BF8F-46411779011E}"/>
    <cellStyle name="Normal 7 6 2 3 5 2 3" xfId="15275" xr:uid="{7B3CE3F2-FBE3-4F86-B53B-87E78ECF1E4D}"/>
    <cellStyle name="Normal 7 6 2 3 5 3" xfId="7728" xr:uid="{46B538C4-698E-407A-A73A-E6508947368F}"/>
    <cellStyle name="Normal 7 6 2 3 5 3 2" xfId="18108" xr:uid="{8C020935-67DA-4919-8F95-EE48A1028C02}"/>
    <cellStyle name="Normal 7 6 2 3 5 4" xfId="10561" xr:uid="{A7DF25E5-D097-4AB6-8A00-5C02D02AC826}"/>
    <cellStyle name="Normal 7 6 2 3 5 4 2" xfId="20941" xr:uid="{31A32AC7-551F-4906-BAB2-3B442B016CFC}"/>
    <cellStyle name="Normal 7 6 2 3 5 5" xfId="22926" xr:uid="{DCFA66F2-A4CC-4D03-88FA-4D2DEDA2B454}"/>
    <cellStyle name="Normal 7 6 2 3 5 6" xfId="12991" xr:uid="{F0E67ACF-9FBC-40E0-A18F-2E957BAD3AC0}"/>
    <cellStyle name="Normal 7 6 2 3 6" xfId="2410" xr:uid="{00000000-0005-0000-0000-0000F2080000}"/>
    <cellStyle name="Normal 7 6 2 3 6 2" xfId="7537" xr:uid="{78E3D2FD-30E3-475C-A30E-3B2F53C80C2E}"/>
    <cellStyle name="Normal 7 6 2 3 6 2 2" xfId="17917" xr:uid="{81BE1BC3-C79A-4BCB-A37E-0F1B6A11141F}"/>
    <cellStyle name="Normal 7 6 2 3 6 3" xfId="10370" xr:uid="{BC48B4BF-DD1D-4F5D-8422-249DC6A0F923}"/>
    <cellStyle name="Normal 7 6 2 3 6 3 2" xfId="20750" xr:uid="{186FE3F9-E38C-4563-937D-AF0E6A552712}"/>
    <cellStyle name="Normal 7 6 2 3 6 4" xfId="25440" xr:uid="{FEDB20F1-CD1B-4AB9-9D41-85153BDA663B}"/>
    <cellStyle name="Normal 7 6 2 3 6 5" xfId="15084" xr:uid="{94E2F247-9332-4E0E-A9F1-EE55A5533C72}"/>
    <cellStyle name="Normal 7 6 2 3 7" xfId="4081" xr:uid="{A6B066F1-DD96-4C23-A370-41D05A534855}"/>
    <cellStyle name="Normal 7 6 2 3 7 2" xfId="8859" xr:uid="{667C695F-D196-43B0-9454-E2BEAC50E32B}"/>
    <cellStyle name="Normal 7 6 2 3 7 2 2" xfId="19239" xr:uid="{58A1C407-A8BF-4947-968E-83CFCDF6891D}"/>
    <cellStyle name="Normal 7 6 2 3 7 3" xfId="11692" xr:uid="{D348FA38-632B-4CDE-8A66-F8DC1E6E7289}"/>
    <cellStyle name="Normal 7 6 2 3 7 3 2" xfId="22072" xr:uid="{860FD70A-BDAB-4B4D-84BD-620614E8FCD7}"/>
    <cellStyle name="Normal 7 6 2 3 7 4" xfId="16406" xr:uid="{95D5832A-9277-429F-AC12-EB7E130781B2}"/>
    <cellStyle name="Normal 7 6 2 3 8" xfId="5482" xr:uid="{7A635B9E-6B33-46CF-BC6A-D7E5668F196F}"/>
    <cellStyle name="Normal 7 6 2 3 8 2" xfId="14780" xr:uid="{A9FE8C30-9E0C-4D99-BCA5-24D0BB0B4012}"/>
    <cellStyle name="Normal 7 6 2 3 9" xfId="7233" xr:uid="{69B6C9D1-4B47-4FD4-9E52-B740DF431ACF}"/>
    <cellStyle name="Normal 7 6 2 3 9 2" xfId="17613" xr:uid="{B773A3F7-250A-44AB-B434-737FFFE34FD5}"/>
    <cellStyle name="Normal 7 6 2 4" xfId="1481" xr:uid="{00000000-0005-0000-0000-0000A2070000}"/>
    <cellStyle name="Normal 7 6 2 4 2" xfId="1482" xr:uid="{00000000-0005-0000-0000-0000A3070000}"/>
    <cellStyle name="Normal 7 6 2 4 2 2" xfId="7234" xr:uid="{6E122A99-0A2B-481E-941E-1A629EFDA561}"/>
    <cellStyle name="Normal 7 6 2 4 2 2 2" xfId="28573" xr:uid="{83729F6A-F6F6-4A57-98C1-F05D08D6747E}"/>
    <cellStyle name="Normal 7 6 2 4 2 2 3" xfId="28472" xr:uid="{B2F2DA54-1103-42A2-9A7C-76FB970A49FC}"/>
    <cellStyle name="Normal 7 6 2 4 2 2 4" xfId="17614" xr:uid="{D3ADCC34-AB49-487F-8203-E8A8E112658B}"/>
    <cellStyle name="Normal 7 6 2 4 2 3" xfId="10067" xr:uid="{CEDBC37A-7193-45AF-A6B6-FCA2810ED39C}"/>
    <cellStyle name="Normal 7 6 2 4 2 3 2" xfId="29466" xr:uid="{2956D692-3D13-45A4-A872-ED62089834FD}"/>
    <cellStyle name="Normal 7 6 2 4 2 3 3" xfId="20447" xr:uid="{6A1C4D72-F17D-4E46-9A7F-286D12EE63B6}"/>
    <cellStyle name="Normal 7 6 2 4 2 3 4" xfId="30622" xr:uid="{B5BC5835-2272-4241-AEB8-E4D3A95F1913}"/>
    <cellStyle name="Normal 7 6 2 4 2 4" xfId="22635" xr:uid="{4D6831AF-81DC-4B28-8CFE-4A01A6C21AFC}"/>
    <cellStyle name="Normal 7 6 2 4 2 5" xfId="14781" xr:uid="{724AB0AE-DCBD-447A-9A5F-559E64BBAC60}"/>
    <cellStyle name="Normal 7 6 2 4 2 6" xfId="30433" xr:uid="{A7AC10B4-3D40-4A56-8C2F-7994F18C6CD9}"/>
    <cellStyle name="Normal 7 6 2 4 3" xfId="27384" xr:uid="{FA1FF1D9-E270-4A7D-A943-E427F0729186}"/>
    <cellStyle name="Normal 7 6 2 4 4" xfId="27362" xr:uid="{5E3A2284-2B4C-4BE2-948C-47C09382975B}"/>
    <cellStyle name="Normal 7 6 2 5" xfId="1483" xr:uid="{00000000-0005-0000-0000-0000A4070000}"/>
    <cellStyle name="Normal 7 6 2 5 2" xfId="4603" xr:uid="{12B5E42F-D790-45DA-9D1D-5C233CD01BAE}"/>
    <cellStyle name="Normal 7 6 2 5 2 2" xfId="9375" xr:uid="{2F3F45FC-EC56-4E7D-93DD-DA14367C6125}"/>
    <cellStyle name="Normal 7 6 2 5 2 2 2" xfId="29344" xr:uid="{19A9BD2C-7CD5-4F36-819D-FCF0DCCAC26D}"/>
    <cellStyle name="Normal 7 6 2 5 2 2 3" xfId="19755" xr:uid="{6D73268A-E381-41BB-9B34-46954B025484}"/>
    <cellStyle name="Normal 7 6 2 5 2 3" xfId="12208" xr:uid="{B541EE0C-4218-421C-9358-C9821E1A6070}"/>
    <cellStyle name="Normal 7 6 2 5 2 3 2" xfId="22588" xr:uid="{012FB8A7-B699-401A-B4CF-B396529CC047}"/>
    <cellStyle name="Normal 7 6 2 5 2 4" xfId="22819" xr:uid="{5A2CA262-985D-488C-8315-7CA4E45DF330}"/>
    <cellStyle name="Normal 7 6 2 5 2 5" xfId="16922" xr:uid="{3BAEB2FB-CA7F-4AFE-9FED-04598FABBA68}"/>
    <cellStyle name="Normal 7 6 2 5 3" xfId="5483" xr:uid="{9BFE6913-B7FD-46C9-B7DA-1CA04FBD48E1}"/>
    <cellStyle name="Normal 7 6 2 5 3 2" xfId="23480" xr:uid="{FB55B3A7-7CC4-4B33-81ED-58C90816DEA3}"/>
    <cellStyle name="Normal 7 6 2 5 3 3" xfId="26130" xr:uid="{E82DA417-FF46-4F52-9655-06161D003715}"/>
    <cellStyle name="Normal 7 6 2 5 3 4" xfId="14782" xr:uid="{35CE0722-3881-4B50-B822-855499230C93}"/>
    <cellStyle name="Normal 7 6 2 5 4" xfId="7235" xr:uid="{61D9F8CE-C3A3-4C75-975A-5683861D81A8}"/>
    <cellStyle name="Normal 7 6 2 5 4 2" xfId="24405" xr:uid="{FF928902-5FAB-491E-94A9-CC6410DAF7CB}"/>
    <cellStyle name="Normal 7 6 2 5 4 3" xfId="26436" xr:uid="{92080964-D7FF-4FC2-9B39-69DF9E261DF5}"/>
    <cellStyle name="Normal 7 6 2 5 4 4" xfId="17615" xr:uid="{A1508B5E-4B42-4C5E-8E1E-D427EE683154}"/>
    <cellStyle name="Normal 7 6 2 5 5" xfId="10068" xr:uid="{5E8CB66E-C768-459E-B683-3A13F096FB12}"/>
    <cellStyle name="Normal 7 6 2 5 5 2" xfId="29467" xr:uid="{A01A7646-22A0-41C3-B691-FACD4DA56448}"/>
    <cellStyle name="Normal 7 6 2 5 5 3" xfId="20448" xr:uid="{E4F574C7-E9B7-468D-9451-085997566E7D}"/>
    <cellStyle name="Normal 7 6 2 5 6" xfId="25144" xr:uid="{1CD5A22A-E0C0-40E0-BF04-96020AA18368}"/>
    <cellStyle name="Normal 7 6 2 5 7" xfId="14081" xr:uid="{6F77A334-7E8D-454F-9079-979D25F26416}"/>
    <cellStyle name="Normal 7 6 2 6" xfId="1484" xr:uid="{00000000-0005-0000-0000-0000A5070000}"/>
    <cellStyle name="Normal 7 6 2 6 2" xfId="2500" xr:uid="{00000000-0005-0000-0000-0000FB080000}"/>
    <cellStyle name="Normal 7 6 2 6 2 2" xfId="7625" xr:uid="{6DA91824-4395-46A4-B38A-CA6BA7737022}"/>
    <cellStyle name="Normal 7 6 2 6 2 2 2" xfId="18005" xr:uid="{B286C0FC-B35F-4A65-8F1E-46A4D3D798C7}"/>
    <cellStyle name="Normal 7 6 2 6 2 3" xfId="10458" xr:uid="{F0F27D90-69BA-4FBF-9D6A-63517C68C43B}"/>
    <cellStyle name="Normal 7 6 2 6 2 3 2" xfId="20838" xr:uid="{5D964759-6C67-4757-A5AD-5C7EDC1A05BE}"/>
    <cellStyle name="Normal 7 6 2 6 2 4" xfId="28457" xr:uid="{14B8BD50-F673-4976-A063-187232F799C6}"/>
    <cellStyle name="Normal 7 6 2 6 2 5" xfId="15172" xr:uid="{B518ABFA-065B-423C-BD0E-6902CAC24386}"/>
    <cellStyle name="Normal 7 6 2 6 3" xfId="2047" xr:uid="{00000000-0005-0000-0000-0000A5070000}"/>
    <cellStyle name="Normal 7 6 2 6 4" xfId="5484" xr:uid="{A67FD77B-8C42-46EF-8626-0391DF1149CC}"/>
    <cellStyle name="Normal 7 6 2 6 5" xfId="22767" xr:uid="{55D9A16F-D7A4-4684-8925-24433A61B1FE}"/>
    <cellStyle name="Normal 7 6 2 6 6" xfId="12888" xr:uid="{23CC4D2E-FB2B-433A-8457-8D4F882A536F}"/>
    <cellStyle name="Normal 7 6 2 7" xfId="2194" xr:uid="{00000000-0005-0000-0000-0000E5080000}"/>
    <cellStyle name="Normal 7 6 2 7 2" xfId="7321" xr:uid="{BF72EEEC-0363-42E3-BC13-D45899A28E16}"/>
    <cellStyle name="Normal 7 6 2 7 2 2" xfId="25934" xr:uid="{B86B97D5-6C7E-4598-A23A-995132FA8F68}"/>
    <cellStyle name="Normal 7 6 2 7 2 3" xfId="17701" xr:uid="{4BEFBD65-26C5-4811-A175-AF2DB6BCCA56}"/>
    <cellStyle name="Normal 7 6 2 7 3" xfId="10154" xr:uid="{21A3D271-F3A0-4463-94E9-EDCAD5111008}"/>
    <cellStyle name="Normal 7 6 2 7 3 2" xfId="20534" xr:uid="{E0479714-0684-4F81-93CE-59DB467146FA}"/>
    <cellStyle name="Normal 7 6 2 7 4" xfId="24913" xr:uid="{8956E53A-E2B5-4656-A712-A63BE9BA9A20}"/>
    <cellStyle name="Normal 7 6 2 7 5" xfId="14868" xr:uid="{53DC5CB4-8DC4-4461-95A0-784F72F2BAF7}"/>
    <cellStyle name="Normal 7 6 2 8" xfId="24378" xr:uid="{ED4EC8EF-5843-457B-AF88-4D7D2FF16CC9}"/>
    <cellStyle name="Normal 7 6 2 8 2" xfId="26104" xr:uid="{1718AF5F-58E8-4B0F-AB17-E916184D4514}"/>
    <cellStyle name="Normal 7 6 2 9" xfId="26699" xr:uid="{6293BA1F-4F0E-4845-A691-991D33328C21}"/>
    <cellStyle name="Normal 7 6 20" xfId="12403" xr:uid="{4D736B5C-A5E8-4CE8-A84B-CC95F0450F18}"/>
    <cellStyle name="Normal 7 6 3" xfId="1485" xr:uid="{00000000-0005-0000-0000-0000A6070000}"/>
    <cellStyle name="Normal 7 6 3 10" xfId="5485" xr:uid="{0FF0B9C9-C1B6-4F32-B56F-A6E9F15C0064}"/>
    <cellStyle name="Normal 7 6 3 10 2" xfId="14783" xr:uid="{11F63485-85EE-419C-92E1-1121CED9FCEE}"/>
    <cellStyle name="Normal 7 6 3 11" xfId="7236" xr:uid="{C03B5CF4-3859-4FAB-B0F8-AD00D31F5CD5}"/>
    <cellStyle name="Normal 7 6 3 11 2" xfId="17616" xr:uid="{3965AFF5-D500-4564-8608-7B8F9F639B94}"/>
    <cellStyle name="Normal 7 6 3 12" xfId="10069" xr:uid="{FB397A62-BE51-4249-8822-47E85F69ACF6}"/>
    <cellStyle name="Normal 7 6 3 12 2" xfId="20449" xr:uid="{2017A004-559C-4D69-BB7E-AF23B9128025}"/>
    <cellStyle name="Normal 7 6 3 13" xfId="24060" xr:uid="{00283BD8-6DFE-4D42-A8C9-DE55BB8542D4}"/>
    <cellStyle name="Normal 7 6 3 14" xfId="12463" xr:uid="{330A2FA6-1B02-4750-856C-3013779CABB4}"/>
    <cellStyle name="Normal 7 6 3 2" xfId="1486" xr:uid="{00000000-0005-0000-0000-0000A7070000}"/>
    <cellStyle name="Normal 7 6 3 2 10" xfId="10070" xr:uid="{C384459C-EE0B-4E33-B24B-329E5047D295}"/>
    <cellStyle name="Normal 7 6 3 2 10 2" xfId="20450" xr:uid="{36061472-8AC3-4274-8073-CEF844A71F48}"/>
    <cellStyle name="Normal 7 6 3 2 11" xfId="24505" xr:uid="{4204AB79-5DC5-4919-B457-C0C5904DDC3B}"/>
    <cellStyle name="Normal 7 6 3 2 12" xfId="12645" xr:uid="{22329E4F-DB2C-4C3F-9CF0-92AE194A115C}"/>
    <cellStyle name="Normal 7 6 3 2 2" xfId="1487" xr:uid="{00000000-0005-0000-0000-0000A8070000}"/>
    <cellStyle name="Normal 7 6 3 2 2 2" xfId="3490" xr:uid="{00000000-0005-0000-0000-0000FF080000}"/>
    <cellStyle name="Normal 7 6 3 2 2 2 2" xfId="6545" xr:uid="{A75AD212-DE64-4528-9504-E8C40F6BFFD9}"/>
    <cellStyle name="Normal 7 6 3 2 2 2 2 2" xfId="24605" xr:uid="{A8C4C092-3BDF-4E13-8A90-AF197A9ED4D0}"/>
    <cellStyle name="Normal 7 6 3 2 2 2 2 3" xfId="27048" xr:uid="{2ED1A404-9ADC-44F3-A047-EBCF7D564F86}"/>
    <cellStyle name="Normal 7 6 3 2 2 2 2 4" xfId="16116" xr:uid="{EF263C13-2736-4C6F-8F51-B5CEE61F346C}"/>
    <cellStyle name="Normal 7 6 3 2 2 2 3" xfId="8569" xr:uid="{32111021-159F-4647-B700-FE0DBF32DC34}"/>
    <cellStyle name="Normal 7 6 3 2 2 2 3 2" xfId="28950" xr:uid="{EAA0EE0C-4FE5-4161-BCED-F3045E4F6B01}"/>
    <cellStyle name="Normal 7 6 3 2 2 2 3 3" xfId="18949" xr:uid="{BFC8A839-9433-4509-8CDC-EE5B8F75A796}"/>
    <cellStyle name="Normal 7 6 3 2 2 2 4" xfId="11402" xr:uid="{3903FC95-6D88-43D5-B48C-BF1168E91186}"/>
    <cellStyle name="Normal 7 6 3 2 2 2 4 2" xfId="21782" xr:uid="{85F0D391-5129-4115-8BDB-5E45211D7ADD}"/>
    <cellStyle name="Normal 7 6 3 2 2 2 5" xfId="24106" xr:uid="{53B646B6-BDEF-47EF-BC18-89C8554F3A50}"/>
    <cellStyle name="Normal 7 6 3 2 2 2 6" xfId="14083" xr:uid="{BAE7D445-FB7C-42D7-AD8B-B9AC3626DEDA}"/>
    <cellStyle name="Normal 7 6 3 2 2 3" xfId="4378" xr:uid="{C162742C-DE66-4955-A711-6E4484B11279}"/>
    <cellStyle name="Normal 7 6 3 2 2 3 2" xfId="9150" xr:uid="{0918B151-3C2B-4B85-A6EE-AA68960CB029}"/>
    <cellStyle name="Normal 7 6 3 2 2 3 2 2" xfId="29193" xr:uid="{88587D24-EEEF-4814-86EC-5BC5CAA19DD2}"/>
    <cellStyle name="Normal 7 6 3 2 2 3 2 3" xfId="19530" xr:uid="{8B3E029C-4D34-4CE9-B3C5-4B123FC6AEC1}"/>
    <cellStyle name="Normal 7 6 3 2 2 3 3" xfId="11983" xr:uid="{266513DF-7348-434C-8067-A7FDC9FC347D}"/>
    <cellStyle name="Normal 7 6 3 2 2 3 3 2" xfId="22363" xr:uid="{F34BC78C-C166-4889-B870-241F722142EB}"/>
    <cellStyle name="Normal 7 6 3 2 2 3 4" xfId="24116" xr:uid="{9C2A6350-DC11-4F7E-A855-98DE6405744B}"/>
    <cellStyle name="Normal 7 6 3 2 2 3 5" xfId="16697" xr:uid="{EA3FD3EA-104B-4372-8508-1829A0B44B5A}"/>
    <cellStyle name="Normal 7 6 3 2 2 4" xfId="5487" xr:uid="{F6EB880C-ED38-43AD-9751-1348F342E406}"/>
    <cellStyle name="Normal 7 6 3 2 2 4 2" xfId="26682" xr:uid="{174D04E0-A481-4349-AFBB-03F3FEE58C33}"/>
    <cellStyle name="Normal 7 6 3 2 2 4 3" xfId="14785" xr:uid="{1351964C-5036-4720-AC2B-4923681CF4AE}"/>
    <cellStyle name="Normal 7 6 3 2 2 4 4" xfId="30700" xr:uid="{7A232DD5-3290-45E1-BD2D-BCE5723C96BB}"/>
    <cellStyle name="Normal 7 6 3 2 2 5" xfId="7238" xr:uid="{B202CF5B-A6DC-4139-A90D-747D11398E52}"/>
    <cellStyle name="Normal 7 6 3 2 2 5 2" xfId="17618" xr:uid="{B893D070-4A71-4F7A-9322-7BF783E4AD36}"/>
    <cellStyle name="Normal 7 6 3 2 2 6" xfId="10071" xr:uid="{4F20E983-D5B4-4F3B-9774-CCF5C3CD4021}"/>
    <cellStyle name="Normal 7 6 3 2 2 6 2" xfId="20451" xr:uid="{EF6D2DA0-8AC6-416D-AB1F-40B3D31A6C2B}"/>
    <cellStyle name="Normal 7 6 3 2 2 7" xfId="25106" xr:uid="{89018BB3-8938-462E-AEA3-006F14FFFBAD}"/>
    <cellStyle name="Normal 7 6 3 2 2 8" xfId="13326" xr:uid="{61F590E0-3462-4D35-AD10-130D37A535D8}"/>
    <cellStyle name="Normal 7 6 3 2 3" xfId="3491" xr:uid="{00000000-0005-0000-0000-000000090000}"/>
    <cellStyle name="Normal 7 6 3 2 3 2" xfId="4604" xr:uid="{39ECBFA1-EFA7-434E-B5B7-F7621C6DED91}"/>
    <cellStyle name="Normal 7 6 3 2 3 2 2" xfId="9376" xr:uid="{6A24BE19-D00A-402A-BF36-29A11EF1785A}"/>
    <cellStyle name="Normal 7 6 3 2 3 2 2 2" xfId="29345" xr:uid="{1EFC031E-8BC5-41C9-B3F7-ADEFFFCEF88E}"/>
    <cellStyle name="Normal 7 6 3 2 3 2 2 3" xfId="19756" xr:uid="{F8C1338B-9D46-4335-A532-D1A8DCD6CDB1}"/>
    <cellStyle name="Normal 7 6 3 2 3 2 3" xfId="12209" xr:uid="{E79DF795-2412-48C3-839B-400AC4100CB6}"/>
    <cellStyle name="Normal 7 6 3 2 3 2 3 2" xfId="22589" xr:uid="{90C6B6F4-9B46-4D95-BA39-EA67B5D745C0}"/>
    <cellStyle name="Normal 7 6 3 2 3 2 4" xfId="25653" xr:uid="{2CE1781A-5E26-4029-AEFA-75D6D87258A2}"/>
    <cellStyle name="Normal 7 6 3 2 3 2 5" xfId="16923" xr:uid="{9B51D3E1-8B40-45FB-B22D-E8E0CBC33D80}"/>
    <cellStyle name="Normal 7 6 3 2 3 3" xfId="6546" xr:uid="{E4F7623D-6662-4A7F-8469-B85FD6B2A69A}"/>
    <cellStyle name="Normal 7 6 3 2 3 3 2" xfId="26834" xr:uid="{EBEE138B-E2C0-41E6-96F2-23A53F2328CC}"/>
    <cellStyle name="Normal 7 6 3 2 3 3 3" xfId="16117" xr:uid="{94112684-D143-469E-B73F-BA75177662C5}"/>
    <cellStyle name="Normal 7 6 3 2 3 4" xfId="8570" xr:uid="{204587C1-477C-4F02-AC2C-FB776FA0CC80}"/>
    <cellStyle name="Normal 7 6 3 2 3 4 2" xfId="18950" xr:uid="{5C79DCA2-4A5F-46C4-AAFF-A42ADB2FB554}"/>
    <cellStyle name="Normal 7 6 3 2 3 5" xfId="11403" xr:uid="{AEB043DD-3436-4ACC-B81C-0B3407855D19}"/>
    <cellStyle name="Normal 7 6 3 2 3 5 2" xfId="21783" xr:uid="{BAC586FA-8088-469D-8538-E78A0BE57809}"/>
    <cellStyle name="Normal 7 6 3 2 3 6" xfId="24227" xr:uid="{8EED4C54-AB70-4569-8CE6-1053658155E5}"/>
    <cellStyle name="Normal 7 6 3 2 3 7" xfId="14084" xr:uid="{30054B3B-B915-405B-ADE7-584368C336C6}"/>
    <cellStyle name="Normal 7 6 3 2 4" xfId="3489" xr:uid="{00000000-0005-0000-0000-000001090000}"/>
    <cellStyle name="Normal 7 6 3 2 4 2" xfId="6544" xr:uid="{7B6E7000-0441-4622-945D-CE45B7D4AB6B}"/>
    <cellStyle name="Normal 7 6 3 2 4 2 2" xfId="26593" xr:uid="{4BCE06FB-C81E-4322-B29F-BBE14600E106}"/>
    <cellStyle name="Normal 7 6 3 2 4 2 3" xfId="16115" xr:uid="{3A1732FA-27B6-45A2-AF77-63EB64C97D89}"/>
    <cellStyle name="Normal 7 6 3 2 4 3" xfId="8568" xr:uid="{9DD597EA-EC23-4792-894C-E9B1C33E94AE}"/>
    <cellStyle name="Normal 7 6 3 2 4 3 2" xfId="18948" xr:uid="{362CFB7D-F2B8-4926-B044-983395B01BA1}"/>
    <cellStyle name="Normal 7 6 3 2 4 4" xfId="11401" xr:uid="{D92811AC-761B-403F-B3BF-E85A22387678}"/>
    <cellStyle name="Normal 7 6 3 2 4 4 2" xfId="21781" xr:uid="{FB91684D-B12B-42F6-90A5-428E33A98090}"/>
    <cellStyle name="Normal 7 6 3 2 4 5" xfId="23524" xr:uid="{8A11F309-5766-481E-9FEA-7954DA7B47B4}"/>
    <cellStyle name="Normal 7 6 3 2 4 6" xfId="14082" xr:uid="{CE988D99-B1B8-4C92-985D-D11FA4B9C379}"/>
    <cellStyle name="Normal 7 6 3 2 5" xfId="2537" xr:uid="{00000000-0005-0000-0000-000002090000}"/>
    <cellStyle name="Normal 7 6 3 2 5 2" xfId="5811" xr:uid="{F4DFDF64-7DF7-4B91-90EE-A93EAE6980E3}"/>
    <cellStyle name="Normal 7 6 3 2 5 2 2" xfId="27623" xr:uid="{63BA84BA-A60E-4664-B663-17E1FEC0AD59}"/>
    <cellStyle name="Normal 7 6 3 2 5 2 3" xfId="15209" xr:uid="{BBE616B4-4FED-4FAD-9B28-D5068FF531DD}"/>
    <cellStyle name="Normal 7 6 3 2 5 3" xfId="7662" xr:uid="{61134F25-A1A6-4156-9344-85714967A00C}"/>
    <cellStyle name="Normal 7 6 3 2 5 3 2" xfId="18042" xr:uid="{05AE6B0B-E90F-496D-9F41-02F654425368}"/>
    <cellStyle name="Normal 7 6 3 2 5 4" xfId="10495" xr:uid="{5797FCFC-89AF-49F9-9975-DF75035D6631}"/>
    <cellStyle name="Normal 7 6 3 2 5 4 2" xfId="20875" xr:uid="{D1EF8E00-47DB-4AF1-89E3-031429467C7E}"/>
    <cellStyle name="Normal 7 6 3 2 5 5" xfId="24103" xr:uid="{037A8E6B-0580-4D89-A363-ABD4DA75EE1C}"/>
    <cellStyle name="Normal 7 6 3 2 5 6" xfId="12925" xr:uid="{F05D9D0A-05DF-4E0B-BA3C-4F5C0046ED46}"/>
    <cellStyle name="Normal 7 6 3 2 6" xfId="2411" xr:uid="{00000000-0005-0000-0000-0000FD080000}"/>
    <cellStyle name="Normal 7 6 3 2 6 2" xfId="7538" xr:uid="{0AF1B255-9782-4AA0-85B9-E2F027122566}"/>
    <cellStyle name="Normal 7 6 3 2 6 2 2" xfId="17918" xr:uid="{A8F0BB78-33FF-4A33-9C14-85171F59F9D7}"/>
    <cellStyle name="Normal 7 6 3 2 6 3" xfId="10371" xr:uid="{748D5359-7EA2-4C9F-A25C-AC466CAA6C64}"/>
    <cellStyle name="Normal 7 6 3 2 6 3 2" xfId="20751" xr:uid="{21BAC3C7-CA48-4471-B2F8-D6F7724DCB22}"/>
    <cellStyle name="Normal 7 6 3 2 6 4" xfId="24579" xr:uid="{7DA92AAD-0C30-4D70-8EF8-F92F27EDCF5E}"/>
    <cellStyle name="Normal 7 6 3 2 6 5" xfId="15085" xr:uid="{3F5B5856-726F-4C40-B48C-00F81E228475}"/>
    <cellStyle name="Normal 7 6 3 2 7" xfId="4083" xr:uid="{8905C58B-3AA2-4522-9658-D1A4F26EBCA6}"/>
    <cellStyle name="Normal 7 6 3 2 7 2" xfId="8861" xr:uid="{AE4A32B9-46AF-4B7A-9737-F3E5908BFA7F}"/>
    <cellStyle name="Normal 7 6 3 2 7 2 2" xfId="19241" xr:uid="{9A3E086B-6CD9-4D34-9AB3-3AECDBA64CA3}"/>
    <cellStyle name="Normal 7 6 3 2 7 3" xfId="11694" xr:uid="{6653D4D5-6BF4-413E-A5D3-BE0A02CE4719}"/>
    <cellStyle name="Normal 7 6 3 2 7 3 2" xfId="22074" xr:uid="{0D8C75DD-86CE-40BD-B9F8-D0241E611C28}"/>
    <cellStyle name="Normal 7 6 3 2 7 4" xfId="16408" xr:uid="{24095FED-6EE3-4AC6-9E67-DA564407F3A5}"/>
    <cellStyle name="Normal 7 6 3 2 8" xfId="5486" xr:uid="{1C04D63F-2527-4922-B84E-C8532F610DB5}"/>
    <cellStyle name="Normal 7 6 3 2 8 2" xfId="14784" xr:uid="{FE9598D6-D404-4D12-A2A9-953F6914CC16}"/>
    <cellStyle name="Normal 7 6 3 2 9" xfId="7237" xr:uid="{EF280821-8194-4C2F-9C83-1E7EDD85217C}"/>
    <cellStyle name="Normal 7 6 3 2 9 2" xfId="17617"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4" xr:uid="{00000000-0005-0000-0000-000005090000}"/>
    <cellStyle name="Normal 7 6 3 3 2 2 2 2" xfId="8572" xr:uid="{8B74FCD3-3004-4FF9-A207-3B34207350F0}"/>
    <cellStyle name="Normal 7 6 3 3 2 2 2 2 2" xfId="28952" xr:uid="{7332878A-36D6-4C54-9958-DC49BDBA1940}"/>
    <cellStyle name="Normal 7 6 3 3 2 2 2 2 3" xfId="18952" xr:uid="{5421953C-2644-4634-A08A-92CAB110B78D}"/>
    <cellStyle name="Normal 7 6 3 3 2 2 2 3" xfId="11405" xr:uid="{595A7502-EE64-4239-A595-0E27D4A90B57}"/>
    <cellStyle name="Normal 7 6 3 3 2 2 2 3 2" xfId="21785" xr:uid="{AD091209-4EC8-4E66-94C2-820E502DE9F6}"/>
    <cellStyle name="Normal 7 6 3 3 2 2 2 4" xfId="23834" xr:uid="{1CC13E34-5A25-404A-9A23-D6B30847F204}"/>
    <cellStyle name="Normal 7 6 3 3 2 2 2 5" xfId="16119" xr:uid="{2C6D172E-98DF-4EBB-AA83-BFF35D6113D1}"/>
    <cellStyle name="Normal 7 6 3 3 2 2 3" xfId="3624" xr:uid="{00000000-0005-0000-0000-0000AB070000}"/>
    <cellStyle name="Normal 7 6 3 3 2 2 3 2" xfId="28144" xr:uid="{8EEB4BA7-6823-4210-B5A8-6255A1ED9AD1}"/>
    <cellStyle name="Normal 7 6 3 3 2 2 3 2 2" xfId="30772" xr:uid="{1D4B8373-1290-4963-9C8D-E79735F4A586}"/>
    <cellStyle name="Normal 7 6 3 3 2 2 3 3" xfId="26091" xr:uid="{EB27B8F3-FCF2-43E1-9E0B-18AE21233D3B}"/>
    <cellStyle name="Normal 7 6 3 3 2 2 4" xfId="5488" xr:uid="{3D8DF5C9-2CCE-4182-AF0F-F0C5756989A7}"/>
    <cellStyle name="Normal 7 6 3 3 2 2 5" xfId="24559" xr:uid="{B922943A-682E-4BDA-97D1-4B15684C58BE}"/>
    <cellStyle name="Normal 7 6 3 3 2 2 6" xfId="14086" xr:uid="{962D000C-A1AC-4453-ACAB-73642BEFA1C9}"/>
    <cellStyle name="Normal 7 6 3 3 2 3" xfId="3493" xr:uid="{00000000-0005-0000-0000-000006090000}"/>
    <cellStyle name="Normal 7 6 3 3 2 4" xfId="2846" xr:uid="{00000000-0005-0000-0000-000004090000}"/>
    <cellStyle name="Normal 7 6 3 3 2 4 2" xfId="7968" xr:uid="{7FEAC7C5-8702-4A4A-B139-616752534E0F}"/>
    <cellStyle name="Normal 7 6 3 3 2 4 2 2" xfId="26705" xr:uid="{CB561070-5FA2-49DC-A8AE-EB062A357746}"/>
    <cellStyle name="Normal 7 6 3 3 2 4 2 3" xfId="18348" xr:uid="{B7D03DF5-BD0B-495C-8930-FF0F2A8CD2C0}"/>
    <cellStyle name="Normal 7 6 3 3 2 4 3" xfId="10801" xr:uid="{F0E2E89E-372C-4389-8A1A-DBA4DCC2754E}"/>
    <cellStyle name="Normal 7 6 3 3 2 4 3 2" xfId="21181" xr:uid="{10594F66-5859-4BA2-8F95-ABD9FCBFBF80}"/>
    <cellStyle name="Normal 7 6 3 3 2 4 4" xfId="22794" xr:uid="{19E007BA-7098-4A3F-9530-9818CE4A424A}"/>
    <cellStyle name="Normal 7 6 3 3 2 4 5" xfId="15515" xr:uid="{08EB1DFA-FFE2-4B40-9F7A-2B80C57D678F}"/>
    <cellStyle name="Normal 7 6 3 3 2 5" xfId="3768" xr:uid="{00000000-0005-0000-0000-000009070000}"/>
    <cellStyle name="Normal 7 6 3 3 2 5 2" xfId="4095" xr:uid="{9ECDFCFE-9E25-458F-A3CA-22ABFB47DDE6}"/>
    <cellStyle name="Normal 7 6 3 3 2 5 3" xfId="23112" xr:uid="{8B9C337C-9F1F-4B71-B33C-4BBF8768F2B4}"/>
    <cellStyle name="Normal 7 6 3 3 2 5 4" xfId="25624" xr:uid="{08F19465-FA20-4EFC-BDBA-F333EA0FE99C}"/>
    <cellStyle name="Normal 7 6 3 3 2 6" xfId="23049" xr:uid="{6A1329E9-4F61-4AE7-A038-DC47D92FCBA5}"/>
    <cellStyle name="Normal 7 6 3 3 2 6 2" xfId="29684" xr:uid="{22F56EE9-4C12-4F62-8FF2-7529BE1126A8}"/>
    <cellStyle name="Normal 7 6 3 3 2 7" xfId="13327" xr:uid="{F64208F4-0E3F-4CEE-8256-88031B63933C}"/>
    <cellStyle name="Normal 7 6 3 3 3" xfId="1491" xr:uid="{00000000-0005-0000-0000-0000AC070000}"/>
    <cellStyle name="Normal 7 6 3 3 3 2" xfId="3495" xr:uid="{00000000-0005-0000-0000-000007090000}"/>
    <cellStyle name="Normal 7 6 3 3 3 2 2" xfId="8573" xr:uid="{EF5855A4-E2C1-49DF-9504-E2EA90CE0347}"/>
    <cellStyle name="Normal 7 6 3 3 3 2 2 2" xfId="28953" xr:uid="{025541B1-DBD4-4EEF-9100-08DB729F7508}"/>
    <cellStyle name="Normal 7 6 3 3 3 2 2 3" xfId="18953" xr:uid="{63D9C151-495E-40D9-AF42-DAF5A7960CFA}"/>
    <cellStyle name="Normal 7 6 3 3 3 2 3" xfId="11406" xr:uid="{36AF5DE9-B923-43DA-853A-9DA9024BB51D}"/>
    <cellStyle name="Normal 7 6 3 3 3 2 3 2" xfId="21786" xr:uid="{1F465D1C-26CD-4943-9251-547D0E3620B2}"/>
    <cellStyle name="Normal 7 6 3 3 3 2 4" xfId="25234" xr:uid="{ACDE281D-914C-4269-A204-0BEA3AA49052}"/>
    <cellStyle name="Normal 7 6 3 3 3 2 5" xfId="24790" xr:uid="{E7424FEE-A287-4278-8785-A45E7B369859}"/>
    <cellStyle name="Normal 7 6 3 3 3 2 6" xfId="16120" xr:uid="{36AD8D00-0916-4C96-8A04-308D4955D853}"/>
    <cellStyle name="Normal 7 6 3 3 3 3" xfId="3582" xr:uid="{00000000-0005-0000-0000-0000AC070000}"/>
    <cellStyle name="Normal 7 6 3 3 3 3 2" xfId="22702" xr:uid="{AA2F5C75-DC2C-4230-A5D8-101807C85474}"/>
    <cellStyle name="Normal 7 6 3 3 3 3 3" xfId="23939" xr:uid="{BF96C682-830A-4B3C-86E6-BED0BFAFAB1E}"/>
    <cellStyle name="Normal 7 6 3 3 3 4" xfId="4605" xr:uid="{B2D18F5D-868F-400D-8613-513DEF26BB5F}"/>
    <cellStyle name="Normal 7 6 3 3 3 4 2" xfId="9377" xr:uid="{0425B6A6-629F-4611-80FC-EDBECEF46DCF}"/>
    <cellStyle name="Normal 7 6 3 3 3 4 2 2" xfId="19757" xr:uid="{F252610E-686D-4982-B396-9C861E514B40}"/>
    <cellStyle name="Normal 7 6 3 3 3 4 3" xfId="12210" xr:uid="{380CCD94-C053-4C53-BD94-FFD08E872D30}"/>
    <cellStyle name="Normal 7 6 3 3 3 4 3 2" xfId="22590" xr:uid="{6FDC5E10-66D4-454D-ADAD-CEBBF6359800}"/>
    <cellStyle name="Normal 7 6 3 3 3 4 4" xfId="16924" xr:uid="{F6ECB581-5B9B-47AF-9F76-84B6EC88C8E6}"/>
    <cellStyle name="Normal 7 6 3 3 3 5" xfId="5489" xr:uid="{E526189A-FBBF-4CD8-BD80-1D49B21A9FC2}"/>
    <cellStyle name="Normal 7 6 3 3 3 6" xfId="22964" xr:uid="{A39247FC-957C-4179-8B1D-E102D3CFAC6C}"/>
    <cellStyle name="Normal 7 6 3 3 3 7" xfId="25779" xr:uid="{E22A0136-BAAB-4D71-B4B6-C80D15B87F53}"/>
    <cellStyle name="Normal 7 6 3 3 3 8" xfId="14087" xr:uid="{574FAC05-942C-4FEA-9B51-28FD901D0829}"/>
    <cellStyle name="Normal 7 6 3 3 4" xfId="3492" xr:uid="{00000000-0005-0000-0000-000008090000}"/>
    <cellStyle name="Normal 7 6 3 3 4 2" xfId="6547" xr:uid="{F5FEA776-40B7-467D-A373-0714A130124A}"/>
    <cellStyle name="Normal 7 6 3 3 4 2 2" xfId="23242" xr:uid="{51F7082C-2196-41C7-B373-69BB56C93B1A}"/>
    <cellStyle name="Normal 7 6 3 3 4 2 3" xfId="28160" xr:uid="{DC6147DF-82B5-4E3B-916F-0BCF6F0F8E91}"/>
    <cellStyle name="Normal 7 6 3 3 4 2 4" xfId="16118" xr:uid="{30F026B2-B805-4647-990F-CDDA94500353}"/>
    <cellStyle name="Normal 7 6 3 3 4 3" xfId="8571" xr:uid="{1B8B625A-97E3-41E8-AF27-40244788585F}"/>
    <cellStyle name="Normal 7 6 3 3 4 3 2" xfId="28951" xr:uid="{3B3AD2CA-9486-42DA-8189-C299B1046117}"/>
    <cellStyle name="Normal 7 6 3 3 4 3 3" xfId="18951" xr:uid="{82189C2D-B2BE-4B80-88E4-6F1F020896B9}"/>
    <cellStyle name="Normal 7 6 3 3 4 4" xfId="11404" xr:uid="{303873E4-CF73-49B2-B038-F358E018E3BA}"/>
    <cellStyle name="Normal 7 6 3 3 4 4 2" xfId="21784" xr:uid="{5ED4D9AD-9B8A-4975-ACB2-0C70ABBDF531}"/>
    <cellStyle name="Normal 7 6 3 3 4 5" xfId="23498" xr:uid="{32B2BFD8-525E-4378-91D5-DDA650781DB0}"/>
    <cellStyle name="Normal 7 6 3 3 4 6" xfId="26302" xr:uid="{7E74C817-56EC-4084-A037-5AED7963C962}"/>
    <cellStyle name="Normal 7 6 3 3 4 7" xfId="14085" xr:uid="{470675C5-9F8B-41C5-B2C5-F6046364DB90}"/>
    <cellStyle name="Normal 7 6 3 3 5" xfId="2639" xr:uid="{00000000-0005-0000-0000-000009090000}"/>
    <cellStyle name="Normal 7 6 3 3 5 2" xfId="5901" xr:uid="{48132DCA-E8C2-4B60-8DE5-7EB3B66FFC2A}"/>
    <cellStyle name="Normal 7 6 3 3 5 2 2" xfId="15311" xr:uid="{0F63A216-69B1-45FD-AB2D-0A9A1A2FF379}"/>
    <cellStyle name="Normal 7 6 3 3 5 3" xfId="7764" xr:uid="{DBB43D33-4A0F-4C79-9AD8-720A439FBA15}"/>
    <cellStyle name="Normal 7 6 3 3 5 3 2" xfId="18144" xr:uid="{8030CBFF-0684-4121-AA6D-DB623D42B6E4}"/>
    <cellStyle name="Normal 7 6 3 3 5 4" xfId="10597" xr:uid="{389C6673-130F-44DE-BAD7-639E6FAAE7BC}"/>
    <cellStyle name="Normal 7 6 3 3 5 4 2" xfId="20977" xr:uid="{132AC504-2503-4B3D-AFD5-9A34968FC33D}"/>
    <cellStyle name="Normal 7 6 3 3 5 5" xfId="22690" xr:uid="{3688B1EF-53C5-488A-ACE0-5EA188193F00}"/>
    <cellStyle name="Normal 7 6 3 3 5 6" xfId="27189" xr:uid="{C5DA87B6-E3B5-4F70-81FF-F04A3C4CD07F}"/>
    <cellStyle name="Normal 7 6 3 3 5 7" xfId="13028" xr:uid="{CEBC3EB5-DFC0-40A5-A11A-60194FAE245D}"/>
    <cellStyle name="Normal 7 6 3 3 6" xfId="2152" xr:uid="{00000000-0005-0000-0000-000031030000}"/>
    <cellStyle name="Normal 7 6 3 3 6 2" xfId="4639" xr:uid="{DDD6DC4B-9466-4B61-9B06-D6792D4BBF9B}"/>
    <cellStyle name="Normal 7 6 3 3 7" xfId="4084" xr:uid="{FF6F513F-DDB9-462A-B13C-92776B7D2349}"/>
    <cellStyle name="Normal 7 6 3 3 7 2" xfId="4736" xr:uid="{CF2CB097-34DC-4247-8F0E-ABB43BA53B2B}"/>
    <cellStyle name="Normal 7 6 3 3 7 2 2" xfId="27718" xr:uid="{1EDD18A6-6835-40A8-88E3-C4F11ED69DE5}"/>
    <cellStyle name="Normal 7 6 3 3 7 3" xfId="26788" xr:uid="{96671C3B-A1B1-44DF-9104-304A20AEB2C0}"/>
    <cellStyle name="Normal 7 6 3 3 7 4" xfId="27627" xr:uid="{D690042B-48A8-4B37-88B6-2BF49BC9445A}"/>
    <cellStyle name="Normal 7 6 3 4" xfId="1492" xr:uid="{00000000-0005-0000-0000-0000AD070000}"/>
    <cellStyle name="Normal 7 6 3 4 2" xfId="3496" xr:uid="{00000000-0005-0000-0000-00000B090000}"/>
    <cellStyle name="Normal 7 6 3 4 2 2" xfId="6548" xr:uid="{BDCE6B7E-62BD-4044-B894-D9E0A2E850C9}"/>
    <cellStyle name="Normal 7 6 3 4 2 2 2" xfId="25817" xr:uid="{7B4532F0-478E-4AB7-9ED1-5AA482BF542A}"/>
    <cellStyle name="Normal 7 6 3 4 2 2 3" xfId="16121" xr:uid="{35E135D1-54BB-4081-99BA-AEF677987A76}"/>
    <cellStyle name="Normal 7 6 3 4 2 3" xfId="8574" xr:uid="{90BA02D6-CC03-4693-9CC9-BCB83579C29B}"/>
    <cellStyle name="Normal 7 6 3 4 2 3 2" xfId="18954" xr:uid="{65545394-FAE5-44BB-B2F1-507185147897}"/>
    <cellStyle name="Normal 7 6 3 4 2 4" xfId="11407" xr:uid="{CFF84FD6-9744-4EFE-86F3-8F7164451CEF}"/>
    <cellStyle name="Normal 7 6 3 4 2 4 2" xfId="21787" xr:uid="{1D951B25-C0C3-4BD6-96F5-5A17B8028CF0}"/>
    <cellStyle name="Normal 7 6 3 4 2 5" xfId="23155" xr:uid="{2B59EF41-2E53-450E-A5F1-810ABB2CF3ED}"/>
    <cellStyle name="Normal 7 6 3 4 2 6" xfId="14088" xr:uid="{9879ECFA-35C0-46D6-8663-23859D7AC2AF}"/>
    <cellStyle name="Normal 7 6 3 4 3" xfId="2845" xr:uid="{00000000-0005-0000-0000-00000C090000}"/>
    <cellStyle name="Normal 7 6 3 4 3 2" xfId="6059" xr:uid="{7FB49BD6-6F31-4B45-B557-17E3453C031E}"/>
    <cellStyle name="Normal 7 6 3 4 3 2 2" xfId="27111" xr:uid="{55A0543A-1117-4D83-A7B8-F9A9D7E41E40}"/>
    <cellStyle name="Normal 7 6 3 4 3 2 3" xfId="15514" xr:uid="{D16F7FB5-F41D-421D-A9B9-779147882517}"/>
    <cellStyle name="Normal 7 6 3 4 3 3" xfId="7967" xr:uid="{15655578-63B4-41BF-A5B3-024B7D70EB39}"/>
    <cellStyle name="Normal 7 6 3 4 3 3 2" xfId="18347" xr:uid="{630A5C95-8882-492D-8B3C-D91C8593B88B}"/>
    <cellStyle name="Normal 7 6 3 4 3 4" xfId="10800" xr:uid="{3EEDB382-2C2E-4827-8256-DD31D1484B28}"/>
    <cellStyle name="Normal 7 6 3 4 3 4 2" xfId="21180" xr:uid="{9D54FC28-AC6C-48D7-AEFC-121BF1CB48EB}"/>
    <cellStyle name="Normal 7 6 3 4 3 5" xfId="25338" xr:uid="{16C01234-1BA7-4D1A-9A8A-A36392ED2FF9}"/>
    <cellStyle name="Normal 7 6 3 4 3 6" xfId="13325" xr:uid="{DE1E783A-8BA0-4C3B-8CCC-83EDD34DE2B3}"/>
    <cellStyle name="Normal 7 6 3 4 4" xfId="4228" xr:uid="{32C5111D-E894-401D-8BA7-B9AF0DE3D009}"/>
    <cellStyle name="Normal 7 6 3 4 4 2" xfId="9000" xr:uid="{75079CD1-BECF-4205-B52C-BD9B59C4C153}"/>
    <cellStyle name="Normal 7 6 3 4 4 2 2" xfId="19380" xr:uid="{F7166BD3-B39C-465F-B5F9-DDCE8F8F3F52}"/>
    <cellStyle name="Normal 7 6 3 4 4 3" xfId="11833" xr:uid="{1463F024-B423-4C98-815A-F12B8C80C849}"/>
    <cellStyle name="Normal 7 6 3 4 4 3 2" xfId="22213" xr:uid="{13DD88AD-FF73-4A21-BE70-28E43FA1F7E0}"/>
    <cellStyle name="Normal 7 6 3 4 4 4" xfId="23208" xr:uid="{BBA65995-B27D-45A9-BD56-3555EE9DE275}"/>
    <cellStyle name="Normal 7 6 3 4 4 5" xfId="16547" xr:uid="{23563D06-ACFA-4D53-8FAB-2687F20D5518}"/>
    <cellStyle name="Normal 7 6 3 4 5" xfId="5490" xr:uid="{B1CB6DCF-31E2-43F8-A244-6C39885D46AF}"/>
    <cellStyle name="Normal 7 6 3 4 5 2" xfId="14786" xr:uid="{95E64EF2-3171-4025-9C61-DD362010BBE1}"/>
    <cellStyle name="Normal 7 6 3 4 5 3" xfId="30289" xr:uid="{51A4C3CB-944A-4368-BF07-AA232532D795}"/>
    <cellStyle name="Normal 7 6 3 4 5 4" xfId="30699" xr:uid="{89427B92-EE46-40AC-8B01-AA76C4AE9445}"/>
    <cellStyle name="Normal 7 6 3 4 6" xfId="7239" xr:uid="{108BD58C-916F-48C3-9672-7A310AE010EF}"/>
    <cellStyle name="Normal 7 6 3 4 6 2" xfId="17619" xr:uid="{C5E76D88-3368-4496-BCBD-A49B920BB512}"/>
    <cellStyle name="Normal 7 6 3 4 7" xfId="10072" xr:uid="{1CFE59E8-5846-4B0B-A048-57B198C01098}"/>
    <cellStyle name="Normal 7 6 3 4 7 2" xfId="20452" xr:uid="{2EC0ED5F-C82F-46A2-8D96-111897ACAF92}"/>
    <cellStyle name="Normal 7 6 3 4 8" xfId="25111" xr:uid="{1645CE95-CC52-4795-AA28-D0ACA599BC28}"/>
    <cellStyle name="Normal 7 6 3 4 9" xfId="12803" xr:uid="{861CFB80-084F-49F2-BC7A-8CE1FD2B9E70}"/>
    <cellStyle name="Normal 7 6 3 5" xfId="1493" xr:uid="{00000000-0005-0000-0000-0000AE070000}"/>
    <cellStyle name="Normal 7 6 3 5 2" xfId="4606" xr:uid="{334770A4-F9AD-44B1-9E35-20123E2610C4}"/>
    <cellStyle name="Normal 7 6 3 5 2 2" xfId="9378" xr:uid="{0A3E0FEE-8653-4C0D-A345-B0A5A370D5F5}"/>
    <cellStyle name="Normal 7 6 3 5 2 2 2" xfId="29346" xr:uid="{BA7A14BD-8546-4157-B552-4D65E2B154EF}"/>
    <cellStyle name="Normal 7 6 3 5 2 2 3" xfId="19758" xr:uid="{55B73C30-5F3E-4A07-AAD1-7978DB1C75D8}"/>
    <cellStyle name="Normal 7 6 3 5 2 3" xfId="12211" xr:uid="{00F0E0D4-CA95-4E8F-A0C3-023838EADDCF}"/>
    <cellStyle name="Normal 7 6 3 5 2 3 2" xfId="22591" xr:uid="{2DBB6977-B16C-4C03-9F51-82159352EC90}"/>
    <cellStyle name="Normal 7 6 3 5 2 4" xfId="25453" xr:uid="{F2EF33B9-DD57-4843-BF51-CF9E8EF3466B}"/>
    <cellStyle name="Normal 7 6 3 5 2 5" xfId="16925" xr:uid="{8A2C4A4E-12AD-476D-B7FD-3F9AE25A9C30}"/>
    <cellStyle name="Normal 7 6 3 5 3" xfId="5491" xr:uid="{78A76860-74B0-42D7-8CAB-5F737FE07FBE}"/>
    <cellStyle name="Normal 7 6 3 5 3 2" xfId="27481" xr:uid="{7F98AA3E-87F5-46D2-8F9F-22BC5432271A}"/>
    <cellStyle name="Normal 7 6 3 5 3 3" xfId="14787" xr:uid="{4591BEF2-F23B-4A12-B0A5-E1E40B0CBD23}"/>
    <cellStyle name="Normal 7 6 3 5 4" xfId="7240" xr:uid="{C134C1AF-352F-41CC-A63F-8160F9B16606}"/>
    <cellStyle name="Normal 7 6 3 5 4 2" xfId="17620" xr:uid="{908330EF-5FDB-4180-9CAA-5D7CAC7F7E2B}"/>
    <cellStyle name="Normal 7 6 3 5 5" xfId="10073" xr:uid="{8374ABE6-97A6-401D-8078-3437C41512B6}"/>
    <cellStyle name="Normal 7 6 3 5 5 2" xfId="20453" xr:uid="{A09BCBE1-F36A-4F23-8013-7B3682F03646}"/>
    <cellStyle name="Normal 7 6 3 5 6" xfId="24065" xr:uid="{F27258FD-AF9D-4FDF-AFF2-21ACF01FCDB7}"/>
    <cellStyle name="Normal 7 6 3 5 7" xfId="14089" xr:uid="{6FE82AB9-A0E6-4E41-AB83-B9B16AA87F12}"/>
    <cellStyle name="Normal 7 6 3 6" xfId="3001" xr:uid="{00000000-0005-0000-0000-00000E090000}"/>
    <cellStyle name="Normal 7 6 3 6 2" xfId="6150" xr:uid="{D2225D40-537E-4931-856D-C80A52FF4BFA}"/>
    <cellStyle name="Normal 7 6 3 6 2 2" xfId="24293" xr:uid="{26C16EB9-858D-4BD4-9CFC-A8959CDF03BA}"/>
    <cellStyle name="Normal 7 6 3 6 2 3" xfId="15628" xr:uid="{27642C92-841C-4AFF-A755-FBC6D1CD5A2F}"/>
    <cellStyle name="Normal 7 6 3 6 3" xfId="8081" xr:uid="{CAC6634D-B02E-46B0-97B1-64A92891BB5A}"/>
    <cellStyle name="Normal 7 6 3 6 3 2" xfId="18461" xr:uid="{011E2817-E21F-42F8-8972-6FD23128CA95}"/>
    <cellStyle name="Normal 7 6 3 6 4" xfId="10914" xr:uid="{A9C75B3C-8F6C-49E9-9579-D72106984BF7}"/>
    <cellStyle name="Normal 7 6 3 6 4 2" xfId="21294" xr:uid="{2DDB2999-8856-41A9-BB9E-8E60C308C139}"/>
    <cellStyle name="Normal 7 6 3 6 5" xfId="23062" xr:uid="{E42710B7-7567-4CFC-8C13-A58F2CF6B02A}"/>
    <cellStyle name="Normal 7 6 3 6 6" xfId="13501" xr:uid="{262120CC-206C-4228-98C6-2FE900E4E433}"/>
    <cellStyle name="Normal 7 6 3 7" xfId="2477" xr:uid="{00000000-0005-0000-0000-00000F090000}"/>
    <cellStyle name="Normal 7 6 3 7 2" xfId="5765" xr:uid="{D54B627D-F2BB-47A4-8AAC-8C90500B1422}"/>
    <cellStyle name="Normal 7 6 3 7 2 2" xfId="27190" xr:uid="{5AE2C8CB-5B95-4C16-9ED1-D003474EDB5F}"/>
    <cellStyle name="Normal 7 6 3 7 2 3" xfId="15149" xr:uid="{228B54B7-1555-4C16-BE58-ACEEF3A67042}"/>
    <cellStyle name="Normal 7 6 3 7 3" xfId="7602" xr:uid="{4BD16946-689F-47B3-8C7A-0D7BA2F18EA5}"/>
    <cellStyle name="Normal 7 6 3 7 3 2" xfId="17982" xr:uid="{8F73512D-077C-4320-8FF6-BC40E720BEE9}"/>
    <cellStyle name="Normal 7 6 3 7 4" xfId="10435" xr:uid="{2CFE7D18-FF92-4123-B761-3B4491F2CFA2}"/>
    <cellStyle name="Normal 7 6 3 7 4 2" xfId="20815" xr:uid="{2707D9FB-9E67-43DB-962B-7B7F5F705B63}"/>
    <cellStyle name="Normal 7 6 3 7 5" xfId="23768" xr:uid="{936336D0-0778-4AE6-9464-D33BF9F6A356}"/>
    <cellStyle name="Normal 7 6 3 7 6" xfId="12865" xr:uid="{082891E5-27E3-4D78-A5F1-3147C37C3EE4}"/>
    <cellStyle name="Normal 7 6 3 8" xfId="2231" xr:uid="{00000000-0005-0000-0000-0000FC080000}"/>
    <cellStyle name="Normal 7 6 3 8 2" xfId="7358" xr:uid="{B0DD7F28-8B64-421D-811E-519E770901DA}"/>
    <cellStyle name="Normal 7 6 3 8 2 2" xfId="17738" xr:uid="{BB0AB26C-8DA6-4783-AA0E-4EAA007CB7EF}"/>
    <cellStyle name="Normal 7 6 3 8 3" xfId="10191" xr:uid="{BEBBE2B1-8816-4318-AE32-5D46A10282F2}"/>
    <cellStyle name="Normal 7 6 3 8 3 2" xfId="20571" xr:uid="{B88BB2F0-AE3C-4FF5-95A4-01B02DFB5404}"/>
    <cellStyle name="Normal 7 6 3 8 4" xfId="23684" xr:uid="{CED53B9C-BA16-4491-B6F8-6BD65392DCD9}"/>
    <cellStyle name="Normal 7 6 3 8 5" xfId="14905" xr:uid="{7AF9EC48-2BFE-41A4-97B8-C7DC6094307C}"/>
    <cellStyle name="Normal 7 6 3 9" xfId="4082" xr:uid="{EF2773C0-75F8-4338-8D49-6A223B83D823}"/>
    <cellStyle name="Normal 7 6 3 9 2" xfId="8860" xr:uid="{C24C100F-3C93-4C78-BABE-8D3DA12C1E19}"/>
    <cellStyle name="Normal 7 6 3 9 2 2" xfId="19240" xr:uid="{B526C73A-CE7A-462A-BBCE-70A06B044FE8}"/>
    <cellStyle name="Normal 7 6 3 9 3" xfId="11693" xr:uid="{A39B2275-139E-43AE-9E93-1C45495EAD8D}"/>
    <cellStyle name="Normal 7 6 3 9 3 2" xfId="22073" xr:uid="{24D02D32-3058-49EF-824F-F7408B5EB3A0}"/>
    <cellStyle name="Normal 7 6 3 9 4" xfId="16407" xr:uid="{F289F06D-4061-4F56-A06D-D8BCDAA2EEB2}"/>
    <cellStyle name="Normal 7 6 4" xfId="1494" xr:uid="{00000000-0005-0000-0000-0000AF070000}"/>
    <cellStyle name="Normal 7 6 4 10" xfId="7241" xr:uid="{035EE198-4A52-4876-87A0-070F5F7708CF}"/>
    <cellStyle name="Normal 7 6 4 10 2" xfId="17621" xr:uid="{D89DF4CC-0987-4DE1-8B85-5A0C99566751}"/>
    <cellStyle name="Normal 7 6 4 11" xfId="10074" xr:uid="{F5343F40-5D9A-4340-8BBF-07E79251F3C3}"/>
    <cellStyle name="Normal 7 6 4 11 2" xfId="20454" xr:uid="{B702B95F-96D1-4434-9D40-676A330F5478}"/>
    <cellStyle name="Normal 7 6 4 12" xfId="24699" xr:uid="{0F9783B3-1B61-4494-BDB0-5321A3955761}"/>
    <cellStyle name="Normal 7 6 4 13" xfId="12443" xr:uid="{E596B25F-4216-4C7F-AFEA-51C74067E89C}"/>
    <cellStyle name="Normal 7 6 4 2" xfId="1495" xr:uid="{00000000-0005-0000-0000-0000B0070000}"/>
    <cellStyle name="Normal 7 6 4 2 10" xfId="10075" xr:uid="{49AB007F-0B85-4E9B-9297-7FAB9EDD1A13}"/>
    <cellStyle name="Normal 7 6 4 2 10 2" xfId="20455" xr:uid="{07B8A567-6003-482F-A8D1-6F8D08720156}"/>
    <cellStyle name="Normal 7 6 4 2 11" xfId="24834" xr:uid="{84097491-E54A-4F8D-89AD-642D736C2ECF}"/>
    <cellStyle name="Normal 7 6 4 2 12" xfId="12646" xr:uid="{D133F7A5-CB7E-41D0-B1D2-C6384AA4A48A}"/>
    <cellStyle name="Normal 7 6 4 2 2" xfId="1496" xr:uid="{00000000-0005-0000-0000-0000B1070000}"/>
    <cellStyle name="Normal 7 6 4 2 2 2" xfId="3498" xr:uid="{00000000-0005-0000-0000-000013090000}"/>
    <cellStyle name="Normal 7 6 4 2 2 2 2" xfId="6550" xr:uid="{214EEB64-1D93-45D2-8CEE-24CCB5F09020}"/>
    <cellStyle name="Normal 7 6 4 2 2 2 2 2" xfId="26710" xr:uid="{2A3AD107-4414-477B-8FB4-A88673D3BC25}"/>
    <cellStyle name="Normal 7 6 4 2 2 2 2 3" xfId="27005" xr:uid="{39EEA1F4-25C0-4828-9CB9-0A7767AB67EE}"/>
    <cellStyle name="Normal 7 6 4 2 2 2 2 4" xfId="16123" xr:uid="{C223E3D0-527D-4D4A-AC2A-7D30010B4321}"/>
    <cellStyle name="Normal 7 6 4 2 2 2 3" xfId="8576" xr:uid="{CA2E8B40-3298-401D-9DF9-9D47F9083327}"/>
    <cellStyle name="Normal 7 6 4 2 2 2 3 2" xfId="28954" xr:uid="{285D4BB7-57D0-491B-8105-EBF2388F0C4C}"/>
    <cellStyle name="Normal 7 6 4 2 2 2 3 3" xfId="18956" xr:uid="{A56A4225-07CA-4D6C-95D3-ED802EA7B0A3}"/>
    <cellStyle name="Normal 7 6 4 2 2 2 4" xfId="11409" xr:uid="{DA0BBD34-69D9-440E-BD34-6F0EE9C954A7}"/>
    <cellStyle name="Normal 7 6 4 2 2 2 4 2" xfId="21789" xr:uid="{674CA4BB-0812-40C8-A408-5A3CF9E6C347}"/>
    <cellStyle name="Normal 7 6 4 2 2 2 5" xfId="25576" xr:uid="{2A25585F-AAD2-4C72-8326-06640CEA80EE}"/>
    <cellStyle name="Normal 7 6 4 2 2 2 6" xfId="14091" xr:uid="{62891AED-D085-4513-83D0-0FDF749C6787}"/>
    <cellStyle name="Normal 7 6 4 2 2 3" xfId="4379" xr:uid="{6B0C6F2C-F1EA-4317-B151-4A0E02E17B31}"/>
    <cellStyle name="Normal 7 6 4 2 2 3 2" xfId="9151" xr:uid="{5E25D483-94C1-4C6C-8F93-262F279AE31D}"/>
    <cellStyle name="Normal 7 6 4 2 2 3 2 2" xfId="29194" xr:uid="{1C357637-EB2A-4B49-B8E1-5CFCFBEF3DA0}"/>
    <cellStyle name="Normal 7 6 4 2 2 3 2 3" xfId="19531" xr:uid="{008419AC-12D3-4030-8471-7A11685807FB}"/>
    <cellStyle name="Normal 7 6 4 2 2 3 3" xfId="11984" xr:uid="{CE59ADFC-3D0E-4D8E-A1E0-67BF151C7A21}"/>
    <cellStyle name="Normal 7 6 4 2 2 3 3 2" xfId="22364" xr:uid="{D470C0D9-346B-4FF2-AE3C-7631F48FE8B6}"/>
    <cellStyle name="Normal 7 6 4 2 2 3 4" xfId="24133" xr:uid="{01CA1647-475F-4DAE-A951-51BAB4AE9EB2}"/>
    <cellStyle name="Normal 7 6 4 2 2 3 5" xfId="16698" xr:uid="{ADD8F09B-422D-4159-884D-963C9A8967E0}"/>
    <cellStyle name="Normal 7 6 4 2 2 4" xfId="5494" xr:uid="{C30A7CF7-8099-4867-879B-2A15BF15C23D}"/>
    <cellStyle name="Normal 7 6 4 2 2 4 2" xfId="26927" xr:uid="{51714018-8DA3-4B95-8778-06DDBC6938DC}"/>
    <cellStyle name="Normal 7 6 4 2 2 4 3" xfId="14790" xr:uid="{76D31EED-C37C-4B0B-9F52-FB4C8E514434}"/>
    <cellStyle name="Normal 7 6 4 2 2 5" xfId="7243" xr:uid="{80EAA8DB-BAA0-4ABA-8A4D-573BCCD6D179}"/>
    <cellStyle name="Normal 7 6 4 2 2 5 2" xfId="17623" xr:uid="{96D2DF67-A618-41C9-9E6F-6575B034B959}"/>
    <cellStyle name="Normal 7 6 4 2 2 6" xfId="10076" xr:uid="{5C6DCC4E-28BF-4E27-8114-ADE19AE0B452}"/>
    <cellStyle name="Normal 7 6 4 2 2 6 2" xfId="20456" xr:uid="{8A009F11-04D3-497F-9B78-CB0EFDD8CB6B}"/>
    <cellStyle name="Normal 7 6 4 2 2 7" xfId="24578" xr:uid="{1A61F48B-7205-49C2-AA4D-4F3208C1919B}"/>
    <cellStyle name="Normal 7 6 4 2 2 8" xfId="13329" xr:uid="{6FA52218-8A77-4EF4-94F5-80A5FB768C2E}"/>
    <cellStyle name="Normal 7 6 4 2 3" xfId="3499" xr:uid="{00000000-0005-0000-0000-000014090000}"/>
    <cellStyle name="Normal 7 6 4 2 3 2" xfId="4607" xr:uid="{66F6D489-D49B-45AF-ADD0-5A63CD6F86D1}"/>
    <cellStyle name="Normal 7 6 4 2 3 2 2" xfId="9379" xr:uid="{13F6ED99-B520-4F0F-962D-7C6496C77841}"/>
    <cellStyle name="Normal 7 6 4 2 3 2 2 2" xfId="29347" xr:uid="{111B7E26-43CD-4734-AC48-BDB1414D34B9}"/>
    <cellStyle name="Normal 7 6 4 2 3 2 2 3" xfId="19759" xr:uid="{0AAD0977-7135-4C42-8D21-D2C61851AABF}"/>
    <cellStyle name="Normal 7 6 4 2 3 2 3" xfId="12212" xr:uid="{0428E7B4-13B1-4215-8937-D2289B0A14E5}"/>
    <cellStyle name="Normal 7 6 4 2 3 2 3 2" xfId="22592" xr:uid="{A0B6B42E-F3D2-408A-BC8A-BADCC9B082A8}"/>
    <cellStyle name="Normal 7 6 4 2 3 2 4" xfId="23245" xr:uid="{09DA1CB3-B645-49A8-8DCF-D310CFCEAA5B}"/>
    <cellStyle name="Normal 7 6 4 2 3 2 5" xfId="16926" xr:uid="{C7D63BF1-7F62-45F4-BCC1-DEFBD46C845A}"/>
    <cellStyle name="Normal 7 6 4 2 3 3" xfId="6551" xr:uid="{F5922A6E-BDD9-4825-BAF7-237878C34A8D}"/>
    <cellStyle name="Normal 7 6 4 2 3 3 2" xfId="27769" xr:uid="{D3CFDD13-73FD-4080-8D31-72CE817E5517}"/>
    <cellStyle name="Normal 7 6 4 2 3 3 3" xfId="16124" xr:uid="{569ACA0E-6D2C-41EF-9BF3-A6E20F299AFA}"/>
    <cellStyle name="Normal 7 6 4 2 3 4" xfId="8577" xr:uid="{0B4CADA8-46D5-435B-AE28-90CAFED1AF89}"/>
    <cellStyle name="Normal 7 6 4 2 3 4 2" xfId="18957" xr:uid="{34F622B0-3350-4944-8D8B-BC2F93F58DE3}"/>
    <cellStyle name="Normal 7 6 4 2 3 5" xfId="11410" xr:uid="{31F6793A-534E-42E2-AD39-BA9DD8743DB4}"/>
    <cellStyle name="Normal 7 6 4 2 3 5 2" xfId="21790" xr:uid="{5673C078-898F-4C9D-B37B-B7F3C28FF66A}"/>
    <cellStyle name="Normal 7 6 4 2 3 6" xfId="23960" xr:uid="{D783E5CE-2E14-4883-88B2-8675FBE6978F}"/>
    <cellStyle name="Normal 7 6 4 2 3 7" xfId="14092" xr:uid="{E2CF11E8-08A7-456F-ABF1-92CDC18F2C5C}"/>
    <cellStyle name="Normal 7 6 4 2 4" xfId="3497" xr:uid="{00000000-0005-0000-0000-000015090000}"/>
    <cellStyle name="Normal 7 6 4 2 4 2" xfId="6549" xr:uid="{CD82B9AD-1120-4375-8BF3-85B1EB5A0DFC}"/>
    <cellStyle name="Normal 7 6 4 2 4 2 2" xfId="26287" xr:uid="{8525F22A-04E3-4DB9-A4BB-91F8DD646266}"/>
    <cellStyle name="Normal 7 6 4 2 4 2 3" xfId="16122" xr:uid="{623069F8-A423-469D-A071-FE11F0374414}"/>
    <cellStyle name="Normal 7 6 4 2 4 3" xfId="8575" xr:uid="{49DD5175-9EA0-48AC-BDD5-DEB9FB6E8565}"/>
    <cellStyle name="Normal 7 6 4 2 4 3 2" xfId="18955" xr:uid="{337F8F82-4C28-41F2-B7E5-F877F277B9EE}"/>
    <cellStyle name="Normal 7 6 4 2 4 4" xfId="11408" xr:uid="{2368853A-E8C0-46E9-A1A2-939D1BB14FD5}"/>
    <cellStyle name="Normal 7 6 4 2 4 4 2" xfId="21788" xr:uid="{69D7CCEF-F97D-42F4-94BB-EB13570F5694}"/>
    <cellStyle name="Normal 7 6 4 2 4 5" xfId="22703" xr:uid="{297823CD-807C-4D59-BFA8-2B0411ACC5E4}"/>
    <cellStyle name="Normal 7 6 4 2 4 6" xfId="14090" xr:uid="{03F4B3A2-BAFC-45D5-9F9A-E46A98E9A94B}"/>
    <cellStyle name="Normal 7 6 4 2 5" xfId="2620" xr:uid="{00000000-0005-0000-0000-000016090000}"/>
    <cellStyle name="Normal 7 6 4 2 5 2" xfId="5882" xr:uid="{CA82C9FA-ECBB-4830-AAC9-1A35263FD096}"/>
    <cellStyle name="Normal 7 6 4 2 5 2 2" xfId="27735" xr:uid="{B4311067-D804-4D03-B5B7-74D45B43874D}"/>
    <cellStyle name="Normal 7 6 4 2 5 2 3" xfId="15292" xr:uid="{062D6E6D-9851-4F2C-B5D5-BD6F47412466}"/>
    <cellStyle name="Normal 7 6 4 2 5 3" xfId="7745" xr:uid="{D11D1D9F-CBC8-439E-9280-87A8061AD43A}"/>
    <cellStyle name="Normal 7 6 4 2 5 3 2" xfId="18125" xr:uid="{C2F39C00-C66C-4C15-BBDB-2798A8E8031C}"/>
    <cellStyle name="Normal 7 6 4 2 5 4" xfId="10578" xr:uid="{03D8FC28-5C5B-4C0F-95C5-F44C702848F1}"/>
    <cellStyle name="Normal 7 6 4 2 5 4 2" xfId="20958" xr:uid="{BA2958BA-73A3-40F8-BDF5-31AD53E6180E}"/>
    <cellStyle name="Normal 7 6 4 2 5 5" xfId="23642" xr:uid="{89F6BECF-0EC9-478F-B1DE-95553FB28B0C}"/>
    <cellStyle name="Normal 7 6 4 2 5 6" xfId="13008" xr:uid="{B1E7B27F-1398-479E-9BD9-CC4DE1E4F93F}"/>
    <cellStyle name="Normal 7 6 4 2 6" xfId="2412" xr:uid="{00000000-0005-0000-0000-000011090000}"/>
    <cellStyle name="Normal 7 6 4 2 6 2" xfId="7539" xr:uid="{909C80D6-F97A-4A5F-9535-F2822C42DD2D}"/>
    <cellStyle name="Normal 7 6 4 2 6 2 2" xfId="17919" xr:uid="{2E747C5F-4256-4B90-9FCC-72116FC8D146}"/>
    <cellStyle name="Normal 7 6 4 2 6 3" xfId="10372" xr:uid="{DA9631A7-2BA3-48D2-B158-0A801C9D75EF}"/>
    <cellStyle name="Normal 7 6 4 2 6 3 2" xfId="20752" xr:uid="{218BD272-9FA9-449E-989D-FAA0659443DC}"/>
    <cellStyle name="Normal 7 6 4 2 6 4" xfId="22963" xr:uid="{DB140B91-8617-458B-A1D6-A52A595FFBAA}"/>
    <cellStyle name="Normal 7 6 4 2 6 5" xfId="15086" xr:uid="{9D2CFA7D-55B1-4DF9-9125-26CBC1EC63D4}"/>
    <cellStyle name="Normal 7 6 4 2 7" xfId="4109" xr:uid="{77E46761-4AE2-4ED7-BEE7-7728377FC1FB}"/>
    <cellStyle name="Normal 7 6 4 2 7 2" xfId="8881" xr:uid="{6C0F0865-8587-43DB-AB1E-FC6EE651C3FE}"/>
    <cellStyle name="Normal 7 6 4 2 7 2 2" xfId="19261" xr:uid="{79693B14-F256-438F-80F3-2E9EAE2685D3}"/>
    <cellStyle name="Normal 7 6 4 2 7 3" xfId="11714" xr:uid="{BD46F7F7-AF10-44E4-A8E7-4A239FB3CAE8}"/>
    <cellStyle name="Normal 7 6 4 2 7 3 2" xfId="22094" xr:uid="{4BC53BCB-BF34-4BCB-87E8-584A463F96BE}"/>
    <cellStyle name="Normal 7 6 4 2 7 4" xfId="16428" xr:uid="{161D2999-90BA-4C98-82B4-AAA544CB94F7}"/>
    <cellStyle name="Normal 7 6 4 2 8" xfId="5493" xr:uid="{ED208182-AB4A-43E2-B8D4-3D0E4CE3FC3D}"/>
    <cellStyle name="Normal 7 6 4 2 8 2" xfId="14789" xr:uid="{827BB9A6-6F22-42F9-97F6-75D452236B82}"/>
    <cellStyle name="Normal 7 6 4 2 9" xfId="7242" xr:uid="{5FCE118D-9011-46AC-97E4-C1A923D60652}"/>
    <cellStyle name="Normal 7 6 4 2 9 2" xfId="17622" xr:uid="{F5FC5549-0709-4391-A1B4-7DFCAB1765FB}"/>
    <cellStyle name="Normal 7 6 4 3" xfId="1497" xr:uid="{00000000-0005-0000-0000-0000B2070000}"/>
    <cellStyle name="Normal 7 6 4 3 2" xfId="3500" xr:uid="{00000000-0005-0000-0000-000018090000}"/>
    <cellStyle name="Normal 7 6 4 3 2 2" xfId="6552" xr:uid="{D5D721FD-4294-41E9-9E53-B39918ABA39F}"/>
    <cellStyle name="Normal 7 6 4 3 2 2 2" xfId="23055" xr:uid="{3BE78620-1BC4-4DF3-A5DE-DB2C98BC7C91}"/>
    <cellStyle name="Normal 7 6 4 3 2 2 3" xfId="26088" xr:uid="{F8B224D6-DEB0-48B7-8C9E-E1D80A12A2C2}"/>
    <cellStyle name="Normal 7 6 4 3 2 2 4" xfId="16125" xr:uid="{A36195B5-1EBC-40F4-A100-AC26DF93E762}"/>
    <cellStyle name="Normal 7 6 4 3 2 3" xfId="8578" xr:uid="{937966F0-4210-4544-AC52-3D1795A1E072}"/>
    <cellStyle name="Normal 7 6 4 3 2 3 2" xfId="28955" xr:uid="{A459C81F-790B-4A1C-B115-EB72415FCA89}"/>
    <cellStyle name="Normal 7 6 4 3 2 3 3" xfId="18958" xr:uid="{C9A2FCA2-BCF3-40D5-9E91-1625D7C4269A}"/>
    <cellStyle name="Normal 7 6 4 3 2 4" xfId="11411" xr:uid="{781009EA-ACEE-4181-95A0-1AD5234FF42C}"/>
    <cellStyle name="Normal 7 6 4 3 2 4 2" xfId="21791" xr:uid="{DF504D84-6586-4591-BEFB-5063037976D2}"/>
    <cellStyle name="Normal 7 6 4 3 2 5" xfId="24723" xr:uid="{E9ECF8B6-8C80-4E7D-A69B-84FDD893AE7D}"/>
    <cellStyle name="Normal 7 6 4 3 2 6" xfId="14093" xr:uid="{82571571-29DA-43BB-B6F9-C12F49F1DAAC}"/>
    <cellStyle name="Normal 7 6 4 3 3" xfId="2847" xr:uid="{00000000-0005-0000-0000-000019090000}"/>
    <cellStyle name="Normal 7 6 4 3 3 2" xfId="6060" xr:uid="{0DA2B59D-B791-46D6-8532-4C10B6B91FBA}"/>
    <cellStyle name="Normal 7 6 4 3 3 2 2" xfId="28357" xr:uid="{5D105145-8517-4BE2-A09D-ECFB5DEA7455}"/>
    <cellStyle name="Normal 7 6 4 3 3 2 3" xfId="15516" xr:uid="{096319CA-E769-4DE6-BECA-93CE94F800F8}"/>
    <cellStyle name="Normal 7 6 4 3 3 3" xfId="7969" xr:uid="{2F5CE179-3A0F-4A9D-B401-53D318BCBD18}"/>
    <cellStyle name="Normal 7 6 4 3 3 3 2" xfId="18349" xr:uid="{FBFA4E50-9252-468E-8F29-60E2C05BE592}"/>
    <cellStyle name="Normal 7 6 4 3 3 4" xfId="10802" xr:uid="{3E22AB5A-4335-420E-80AD-C0134BE393BF}"/>
    <cellStyle name="Normal 7 6 4 3 3 4 2" xfId="21182" xr:uid="{8CE11DFB-2E08-48D4-ABB7-4E2446763A20}"/>
    <cellStyle name="Normal 7 6 4 3 3 5" xfId="24987" xr:uid="{2B1A971E-F5B0-47FF-8658-F8F56EDA747D}"/>
    <cellStyle name="Normal 7 6 4 3 3 6" xfId="13328" xr:uid="{4E9911BA-E1F1-432A-85FE-474B10F1C98E}"/>
    <cellStyle name="Normal 7 6 4 3 4" xfId="4229" xr:uid="{5644E9A4-EBAE-4A30-A3A7-814AEB5E2BBD}"/>
    <cellStyle name="Normal 7 6 4 3 4 2" xfId="9001" xr:uid="{1F1E9345-0D5F-4EB5-BC77-66AA88AF8084}"/>
    <cellStyle name="Normal 7 6 4 3 4 2 2" xfId="29076" xr:uid="{04EF2121-8F9D-47E1-95D6-2A96462046A0}"/>
    <cellStyle name="Normal 7 6 4 3 4 2 3" xfId="19381" xr:uid="{00120F8E-2E91-487F-AC3F-BD77EFA709C8}"/>
    <cellStyle name="Normal 7 6 4 3 4 3" xfId="11834" xr:uid="{3133CD66-DEC5-48F4-9AAD-E488D033F91C}"/>
    <cellStyle name="Normal 7 6 4 3 4 3 2" xfId="22214" xr:uid="{AB3E41C7-A31C-482C-8829-CDF220706801}"/>
    <cellStyle name="Normal 7 6 4 3 4 4" xfId="22916" xr:uid="{117F10E1-0F2A-436E-ACBF-F6C29F47C5A9}"/>
    <cellStyle name="Normal 7 6 4 3 4 5" xfId="16548" xr:uid="{A5BEF6C1-15E3-4E49-8272-A8C2C967417A}"/>
    <cellStyle name="Normal 7 6 4 3 5" xfId="5495" xr:uid="{B08F0AA9-0A61-4228-BEC0-06332A122D18}"/>
    <cellStyle name="Normal 7 6 4 3 5 2" xfId="28396" xr:uid="{761A86C3-ED31-49F1-93DC-0C7D04858817}"/>
    <cellStyle name="Normal 7 6 4 3 5 3" xfId="14791" xr:uid="{49F51432-65E2-4899-8358-EACE04E00462}"/>
    <cellStyle name="Normal 7 6 4 3 6" xfId="7244" xr:uid="{F646D13A-AED6-4D8D-A845-E6F81DC4ECAA}"/>
    <cellStyle name="Normal 7 6 4 3 6 2" xfId="17624" xr:uid="{F4ED4057-A56C-40B8-B84C-F083BD5C8E7D}"/>
    <cellStyle name="Normal 7 6 4 3 7" xfId="10077" xr:uid="{DF3E602C-AE99-4F19-BF5D-BA08004E781C}"/>
    <cellStyle name="Normal 7 6 4 3 7 2" xfId="20457" xr:uid="{6D5DAEA5-68AE-4405-8C12-ECE841313B1E}"/>
    <cellStyle name="Normal 7 6 4 3 8" xfId="23341" xr:uid="{635B3F8E-57FD-4427-A73F-46D378261E0D}"/>
    <cellStyle name="Normal 7 6 4 3 9" xfId="12804" xr:uid="{6E0D6631-0B8D-43E8-9700-2101A92FE9BC}"/>
    <cellStyle name="Normal 7 6 4 4" xfId="1498" xr:uid="{00000000-0005-0000-0000-0000B3070000}"/>
    <cellStyle name="Normal 7 6 4 4 2" xfId="4608" xr:uid="{B16931EB-7DAE-4907-8E70-D8B738510EE6}"/>
    <cellStyle name="Normal 7 6 4 4 2 2" xfId="9380" xr:uid="{D3C7172B-6501-44FC-BC19-3FAAE562FBFB}"/>
    <cellStyle name="Normal 7 6 4 4 2 2 2" xfId="29348" xr:uid="{5028358C-192B-4348-BDD4-2BD130CC8A4F}"/>
    <cellStyle name="Normal 7 6 4 4 2 2 3" xfId="19760" xr:uid="{13D538F3-9528-4969-A811-47504BBADF1D}"/>
    <cellStyle name="Normal 7 6 4 4 2 3" xfId="12213" xr:uid="{74B0E405-8302-4CE7-8775-ECA51A499A38}"/>
    <cellStyle name="Normal 7 6 4 4 2 3 2" xfId="22593" xr:uid="{A8AB96D9-7258-42D5-99A1-55B661C2972D}"/>
    <cellStyle name="Normal 7 6 4 4 2 4" xfId="23737" xr:uid="{9C5B22E1-2BF8-44D0-8F15-C795EA035DF6}"/>
    <cellStyle name="Normal 7 6 4 4 2 5" xfId="16927" xr:uid="{7512255A-B8C1-4313-98A9-B8AAA554676D}"/>
    <cellStyle name="Normal 7 6 4 4 3" xfId="5496" xr:uid="{0773F734-9059-4CFF-8EC5-101FF109C416}"/>
    <cellStyle name="Normal 7 6 4 4 3 2" xfId="27784" xr:uid="{1A12C115-CC31-43A4-9197-A7CD1F6F391C}"/>
    <cellStyle name="Normal 7 6 4 4 3 3" xfId="14792" xr:uid="{C18CF4CC-B277-44AB-828B-A04FF0926824}"/>
    <cellStyle name="Normal 7 6 4 4 4" xfId="7245" xr:uid="{6240168D-E640-496A-96A9-F337D8E4203C}"/>
    <cellStyle name="Normal 7 6 4 4 4 2" xfId="17625" xr:uid="{525548CA-F646-40DD-BC6F-23687FEDF6FD}"/>
    <cellStyle name="Normal 7 6 4 4 5" xfId="10078" xr:uid="{CE001266-510D-4FC6-B297-6ECD56E12BDC}"/>
    <cellStyle name="Normal 7 6 4 4 5 2" xfId="20458" xr:uid="{B242D98E-EABD-4686-955D-F8E4E40B0A18}"/>
    <cellStyle name="Normal 7 6 4 4 6" xfId="23474" xr:uid="{D2D71813-8875-4C5D-B3D6-044D13BE8A19}"/>
    <cellStyle name="Normal 7 6 4 4 7" xfId="14094" xr:uid="{AD175A59-4B0F-44EC-9EE9-E862184E4AF4}"/>
    <cellStyle name="Normal 7 6 4 5" xfId="3002" xr:uid="{00000000-0005-0000-0000-00001B090000}"/>
    <cellStyle name="Normal 7 6 4 5 2" xfId="6151" xr:uid="{90578136-11C7-49EF-81BA-156BF174B318}"/>
    <cellStyle name="Normal 7 6 4 5 2 2" xfId="25647" xr:uid="{50B6CDAF-0D17-4CD8-90BD-95FF3A06F049}"/>
    <cellStyle name="Normal 7 6 4 5 2 3" xfId="27508" xr:uid="{E3DABAFF-4279-48AD-9175-C601B5BFAC61}"/>
    <cellStyle name="Normal 7 6 4 5 2 4" xfId="15629" xr:uid="{59D28FE0-3EBB-4B33-8B51-3592740E3B8E}"/>
    <cellStyle name="Normal 7 6 4 5 3" xfId="8082" xr:uid="{1593290C-B0DA-4379-A3E0-534ACFF6909F}"/>
    <cellStyle name="Normal 7 6 4 5 3 2" xfId="28772" xr:uid="{03946E0B-3269-497D-B1B4-77B97149BEDE}"/>
    <cellStyle name="Normal 7 6 4 5 3 3" xfId="18462" xr:uid="{BF16C1A0-9822-4D47-A742-0B5348BF515D}"/>
    <cellStyle name="Normal 7 6 4 5 4" xfId="10915" xr:uid="{15D1B895-427B-42C9-8218-BC101DA53385}"/>
    <cellStyle name="Normal 7 6 4 5 4 2" xfId="21295" xr:uid="{07E05386-D6B5-4F0F-9541-E2ADBF877C18}"/>
    <cellStyle name="Normal 7 6 4 5 5" xfId="22988" xr:uid="{AA691454-5113-4FB4-87D2-11739E7C604C}"/>
    <cellStyle name="Normal 7 6 4 5 6" xfId="13502" xr:uid="{80EDD499-EB67-449A-A662-417C08D2759D}"/>
    <cellStyle name="Normal 7 6 4 6" xfId="2457" xr:uid="{00000000-0005-0000-0000-00001C090000}"/>
    <cellStyle name="Normal 7 6 4 6 2" xfId="5749" xr:uid="{5C7ECC11-5A5E-4742-93C1-93ABCAF451DD}"/>
    <cellStyle name="Normal 7 6 4 6 2 2" xfId="27519" xr:uid="{0B431D5C-5A9F-40C1-A469-B3FB46C54045}"/>
    <cellStyle name="Normal 7 6 4 6 2 3" xfId="15129" xr:uid="{7786E342-5940-4005-A46E-4386156685AA}"/>
    <cellStyle name="Normal 7 6 4 6 3" xfId="7582" xr:uid="{6614F47F-3B61-438F-A015-54D8ED0B784D}"/>
    <cellStyle name="Normal 7 6 4 6 3 2" xfId="17962" xr:uid="{582818AA-C3A4-4DAA-8F13-7948F36C02D0}"/>
    <cellStyle name="Normal 7 6 4 6 4" xfId="10415" xr:uid="{0840C9DB-4E69-40F0-BEE7-88E70FFD731F}"/>
    <cellStyle name="Normal 7 6 4 6 4 2" xfId="20795" xr:uid="{12344003-0DAF-491F-972E-91BB6DFF52CC}"/>
    <cellStyle name="Normal 7 6 4 6 5" xfId="23396" xr:uid="{9FA5B035-2601-4F75-8A83-5A87EB96104D}"/>
    <cellStyle name="Normal 7 6 4 6 6" xfId="12845" xr:uid="{9ED57ABB-C750-4436-896D-DA1DBDFB3F0B}"/>
    <cellStyle name="Normal 7 6 4 7" xfId="2211" xr:uid="{00000000-0005-0000-0000-000010090000}"/>
    <cellStyle name="Normal 7 6 4 7 2" xfId="7338" xr:uid="{C6DD2CEB-8E2E-467D-BAE0-3FBCF447319B}"/>
    <cellStyle name="Normal 7 6 4 7 2 2" xfId="17718" xr:uid="{29EE4852-5465-45F1-8671-6D1F0111BE9B}"/>
    <cellStyle name="Normal 7 6 4 7 3" xfId="10171" xr:uid="{41AD4F93-CE63-4CAF-8287-65AE5F09F554}"/>
    <cellStyle name="Normal 7 6 4 7 3 2" xfId="20551" xr:uid="{438D9016-FB78-4B8E-BF5E-6395939B03E9}"/>
    <cellStyle name="Normal 7 6 4 7 4" xfId="23895" xr:uid="{0CADA542-F7D4-4031-8302-CBD27A5EA11C}"/>
    <cellStyle name="Normal 7 6 4 7 5" xfId="14885" xr:uid="{2FCCF03A-40FB-4A4C-BEB3-A1933E008AB1}"/>
    <cellStyle name="Normal 7 6 4 8" xfId="4085" xr:uid="{11850CE3-2A1F-47EF-B471-999DD0D6EC39}"/>
    <cellStyle name="Normal 7 6 4 8 2" xfId="8862" xr:uid="{FE95634D-8F33-41D2-9E6C-F65192F00752}"/>
    <cellStyle name="Normal 7 6 4 8 2 2" xfId="19242" xr:uid="{8BE33F30-94BC-4BBC-8383-2CB6173F8692}"/>
    <cellStyle name="Normal 7 6 4 8 3" xfId="11695" xr:uid="{CE13F861-80D1-45D9-B0C6-B1E764EFA1C2}"/>
    <cellStyle name="Normal 7 6 4 8 3 2" xfId="22075" xr:uid="{95A5F071-E116-4268-8948-93F70ECB1FF0}"/>
    <cellStyle name="Normal 7 6 4 8 4" xfId="16409" xr:uid="{C8F0C22F-C200-44E0-8CBD-0716BEC85CC9}"/>
    <cellStyle name="Normal 7 6 4 9" xfId="5492" xr:uid="{D292BAB4-4D87-46A6-BF4A-6386D5DA9302}"/>
    <cellStyle name="Normal 7 6 4 9 2" xfId="14788" xr:uid="{50E78859-CACB-4E35-B1CA-1A390D183C89}"/>
    <cellStyle name="Normal 7 6 5" xfId="1499" xr:uid="{00000000-0005-0000-0000-0000B4070000}"/>
    <cellStyle name="Normal 7 6 5 10" xfId="10079" xr:uid="{DF3FBC87-0B9B-40A1-AE4C-0EAC5DF663CA}"/>
    <cellStyle name="Normal 7 6 5 10 2" xfId="20459" xr:uid="{4EC8ADD7-9EF6-408B-969E-A98714B64BE2}"/>
    <cellStyle name="Normal 7 6 5 11" xfId="24069" xr:uid="{E61F5D74-F8CC-4F82-8A62-7F385A9996D1}"/>
    <cellStyle name="Normal 7 6 5 12" xfId="12647" xr:uid="{FB75F0C5-BC27-4FA1-8CDF-8AB2BD8454C9}"/>
    <cellStyle name="Normal 7 6 5 2" xfId="1500" xr:uid="{00000000-0005-0000-0000-0000B5070000}"/>
    <cellStyle name="Normal 7 6 5 2 2" xfId="1501" xr:uid="{00000000-0005-0000-0000-0000B6070000}"/>
    <cellStyle name="Normal 7 6 5 2 2 2" xfId="5499" xr:uid="{E7D01064-A9DA-43E2-BD7F-8BE99A6CBE46}"/>
    <cellStyle name="Normal 7 6 5 2 2 2 2" xfId="24804" xr:uid="{D74CCB81-EE89-40BD-A651-D2397EED77F1}"/>
    <cellStyle name="Normal 7 6 5 2 2 2 3" xfId="27836" xr:uid="{858DF70D-599C-44FE-BC8D-CCEEAE3631E2}"/>
    <cellStyle name="Normal 7 6 5 2 2 2 4" xfId="14795" xr:uid="{5AFCEABD-88CD-4BC1-A9F3-858BA1A0DB98}"/>
    <cellStyle name="Normal 7 6 5 2 2 3" xfId="7248" xr:uid="{205E6962-B9B9-4764-A254-6B36C81DAA70}"/>
    <cellStyle name="Normal 7 6 5 2 2 3 2" xfId="27680" xr:uid="{903D530F-9213-4378-A3E2-20DB1D6D8E2E}"/>
    <cellStyle name="Normal 7 6 5 2 2 3 3" xfId="27830" xr:uid="{B8EB2944-3F2D-4394-970A-437B5D6F330F}"/>
    <cellStyle name="Normal 7 6 5 2 2 3 4" xfId="17628" xr:uid="{51A2E2CE-64DE-40DE-A6A2-316D44780599}"/>
    <cellStyle name="Normal 7 6 5 2 2 4" xfId="10081" xr:uid="{1A92C8BC-D39C-4639-8D36-28691DFCA540}"/>
    <cellStyle name="Normal 7 6 5 2 2 4 2" xfId="29468" xr:uid="{9F20443E-21B9-494F-B24D-1211805F4477}"/>
    <cellStyle name="Normal 7 6 5 2 2 4 3" xfId="20461" xr:uid="{93EC5B0D-A3C5-4AFE-ADC9-40F688624D8C}"/>
    <cellStyle name="Normal 7 6 5 2 2 5" xfId="24687" xr:uid="{DE10F9B7-7379-4872-8B6A-23698B840900}"/>
    <cellStyle name="Normal 7 6 5 2 2 6" xfId="14095" xr:uid="{B0BE8522-4076-441B-96EA-40824BB98BCA}"/>
    <cellStyle name="Normal 7 6 5 2 2 7" xfId="30428" xr:uid="{FFDF600C-83A4-4925-AEE1-D47CF8E33F86}"/>
    <cellStyle name="Normal 7 6 5 2 3" xfId="2848" xr:uid="{00000000-0005-0000-0000-000020090000}"/>
    <cellStyle name="Normal 7 6 5 2 3 2" xfId="6061" xr:uid="{2D925E2C-A4E9-4D58-917A-11A3E56E570C}"/>
    <cellStyle name="Normal 7 6 5 2 3 2 2" xfId="27687" xr:uid="{08579B00-37A0-4D2D-B741-0D76075C24B8}"/>
    <cellStyle name="Normal 7 6 5 2 3 2 3" xfId="15517" xr:uid="{937FC035-2C2E-4A21-989C-416B995AE6D9}"/>
    <cellStyle name="Normal 7 6 5 2 3 3" xfId="7970" xr:uid="{564FBD73-78CC-4849-8011-285DF5FAEA1D}"/>
    <cellStyle name="Normal 7 6 5 2 3 3 2" xfId="18350" xr:uid="{4B9EECFA-4E80-40F4-8D21-9F0CD286499E}"/>
    <cellStyle name="Normal 7 6 5 2 3 4" xfId="10803" xr:uid="{643B0A30-BEED-4CC2-9056-F8CB97C651AA}"/>
    <cellStyle name="Normal 7 6 5 2 3 4 2" xfId="21183" xr:uid="{BC6BBA72-C174-4E41-B37A-38CFFE3AF547}"/>
    <cellStyle name="Normal 7 6 5 2 3 5" xfId="24230" xr:uid="{2DD603A8-BED6-4F04-BFF2-A5BDD9C3C6AE}"/>
    <cellStyle name="Normal 7 6 5 2 3 6" xfId="13330" xr:uid="{E11FFCF2-C722-4897-80E4-2E9BB38A8AAB}"/>
    <cellStyle name="Normal 7 6 5 2 4" xfId="4230" xr:uid="{BEFF7DA6-1B62-4455-981F-FF52525144C4}"/>
    <cellStyle name="Normal 7 6 5 2 4 2" xfId="9002" xr:uid="{052E31BB-E2DA-475B-AF01-E6B7DC9A4042}"/>
    <cellStyle name="Normal 7 6 5 2 4 2 2" xfId="29077" xr:uid="{F6532E92-B218-496F-A9A0-A9A7BD61A0F8}"/>
    <cellStyle name="Normal 7 6 5 2 4 2 3" xfId="19382" xr:uid="{7DD29C7B-D90B-4FBB-A9F7-7C6E62FCEBD4}"/>
    <cellStyle name="Normal 7 6 5 2 4 3" xfId="11835" xr:uid="{33D767A8-829E-46E3-896D-5754A6CF897C}"/>
    <cellStyle name="Normal 7 6 5 2 4 3 2" xfId="22215" xr:uid="{DD737A68-9990-408A-95BA-F9BE69979620}"/>
    <cellStyle name="Normal 7 6 5 2 4 4" xfId="23844" xr:uid="{D76A78E7-45C2-4F5D-8A2F-1A50B7832796}"/>
    <cellStyle name="Normal 7 6 5 2 4 5" xfId="16549" xr:uid="{2890542C-1270-4BDE-AF4B-E1326976F566}"/>
    <cellStyle name="Normal 7 6 5 2 5" xfId="5498" xr:uid="{57B78EE6-7841-42ED-A2A6-9BDAEA7C889A}"/>
    <cellStyle name="Normal 7 6 5 2 5 2" xfId="27139" xr:uid="{3CB9700E-5A5C-4819-AB08-22F6E62D5BE7}"/>
    <cellStyle name="Normal 7 6 5 2 5 3" xfId="14794" xr:uid="{A7FE7C76-E922-4743-B111-09BC9106E9CC}"/>
    <cellStyle name="Normal 7 6 5 2 5 4" xfId="30562" xr:uid="{A331E28E-FED3-46D2-9196-844F97D074EF}"/>
    <cellStyle name="Normal 7 6 5 2 6" xfId="7247" xr:uid="{4862564F-D428-4D96-A80C-2DCBD8993F2B}"/>
    <cellStyle name="Normal 7 6 5 2 6 2" xfId="17627" xr:uid="{562F2376-9098-419C-95D0-4E76847DFC1B}"/>
    <cellStyle name="Normal 7 6 5 2 6 3" xfId="30290" xr:uid="{37CA612A-E0F1-4063-BEB0-BAA52CEA57D3}"/>
    <cellStyle name="Normal 7 6 5 2 6 4" xfId="30701" xr:uid="{98B3C383-2E8F-46CE-BF8F-81E0097A90CE}"/>
    <cellStyle name="Normal 7 6 5 2 7" xfId="10080" xr:uid="{DC63A437-50E5-491A-AD3F-C1CABC2759BE}"/>
    <cellStyle name="Normal 7 6 5 2 7 2" xfId="20460" xr:uid="{5124A459-17B2-48D3-91D4-BD503E8A9CF2}"/>
    <cellStyle name="Normal 7 6 5 2 8" xfId="23238" xr:uid="{9E3CA18B-B945-400C-9C14-33091210BAF6}"/>
    <cellStyle name="Normal 7 6 5 2 9" xfId="12805" xr:uid="{C37684F4-A37F-4EA8-AAA9-4B7A6619FBB3}"/>
    <cellStyle name="Normal 7 6 5 3" xfId="1502" xr:uid="{00000000-0005-0000-0000-0000B7070000}"/>
    <cellStyle name="Normal 7 6 5 3 2" xfId="4609" xr:uid="{A31E5E11-9452-49DF-82C6-7A872B65B43C}"/>
    <cellStyle name="Normal 7 6 5 3 2 2" xfId="9381" xr:uid="{5D7F5286-3528-42BB-8D71-FDB46231D195}"/>
    <cellStyle name="Normal 7 6 5 3 2 2 2" xfId="29349" xr:uid="{6FA31A69-84ED-4BEC-A0E2-88DDF5E61206}"/>
    <cellStyle name="Normal 7 6 5 3 2 2 3" xfId="19761" xr:uid="{9FBC37E3-2557-4260-A526-F7BB117EF95D}"/>
    <cellStyle name="Normal 7 6 5 3 2 3" xfId="12214" xr:uid="{3BB80120-C50E-4D9B-8D76-121F08A551F3}"/>
    <cellStyle name="Normal 7 6 5 3 2 3 2" xfId="22594" xr:uid="{6BF84990-48C2-4EC4-9B8F-77256D126BCB}"/>
    <cellStyle name="Normal 7 6 5 3 2 4" xfId="23875" xr:uid="{A4373488-25F7-4AE1-A30A-4A24639504D8}"/>
    <cellStyle name="Normal 7 6 5 3 2 5" xfId="16928" xr:uid="{EAA94611-9138-4B12-9179-5EA06D298EEA}"/>
    <cellStyle name="Normal 7 6 5 3 3" xfId="5500" xr:uid="{E7DAD043-6AE3-4AC1-B786-9BBFE7339374}"/>
    <cellStyle name="Normal 7 6 5 3 3 2" xfId="25801" xr:uid="{44967C79-7D0B-4E84-A99E-681F3E8F24C1}"/>
    <cellStyle name="Normal 7 6 5 3 3 3" xfId="28114" xr:uid="{B93C29BC-09E4-4A66-8E44-8F0A6CF78288}"/>
    <cellStyle name="Normal 7 6 5 3 3 4" xfId="14796" xr:uid="{D165794D-EA70-4A47-8B38-33BA446E4169}"/>
    <cellStyle name="Normal 7 6 5 3 4" xfId="7249" xr:uid="{81B50CBF-AC87-4D6C-8852-00497000B5CD}"/>
    <cellStyle name="Normal 7 6 5 3 4 2" xfId="24855" xr:uid="{FE06049C-30C1-43B9-B38C-3DFFB8716974}"/>
    <cellStyle name="Normal 7 6 5 3 4 3" xfId="27206" xr:uid="{63796442-6B39-4ABD-BFF2-28A58284432A}"/>
    <cellStyle name="Normal 7 6 5 3 4 4" xfId="17629" xr:uid="{A5F050B3-85E0-4682-A9DB-664CDC9A79EF}"/>
    <cellStyle name="Normal 7 6 5 3 5" xfId="10082" xr:uid="{D7DC216D-1E73-4623-8389-1E20B8153073}"/>
    <cellStyle name="Normal 7 6 5 3 5 2" xfId="29469" xr:uid="{200210D5-41D4-42EC-8CE0-4DC6FEF33C50}"/>
    <cellStyle name="Normal 7 6 5 3 5 3" xfId="20462" xr:uid="{A19966B2-E5BB-4CC7-A122-3C1E264E1887}"/>
    <cellStyle name="Normal 7 6 5 3 6" xfId="23590" xr:uid="{82992022-37F0-40A8-9867-021839D0216E}"/>
    <cellStyle name="Normal 7 6 5 3 7" xfId="14096" xr:uid="{B9886D02-1060-421F-98E1-3B9D47822D62}"/>
    <cellStyle name="Normal 7 6 5 4" xfId="1503" xr:uid="{00000000-0005-0000-0000-0000B8070000}"/>
    <cellStyle name="Normal 7 6 5 4 2" xfId="5501" xr:uid="{0448C5CA-400A-4F9A-9F2C-FFC0C2A5BC16}"/>
    <cellStyle name="Normal 7 6 5 4 2 2" xfId="25065" xr:uid="{6D85387C-BEE5-4EA8-8562-29F7FEAF8C54}"/>
    <cellStyle name="Normal 7 6 5 4 2 3" xfId="28317" xr:uid="{5BA3CC29-3443-4898-BCAE-1DE0AD6F8EB1}"/>
    <cellStyle name="Normal 7 6 5 4 2 4" xfId="14797" xr:uid="{F6A537C0-D38D-49E9-A143-B03E526A3625}"/>
    <cellStyle name="Normal 7 6 5 4 3" xfId="7250" xr:uid="{D3E2AE04-D1F3-4C38-A891-B9B7297207D2}"/>
    <cellStyle name="Normal 7 6 5 4 3 2" xfId="27311" xr:uid="{96C97A13-D7ED-428C-8971-01428BF5CD64}"/>
    <cellStyle name="Normal 7 6 5 4 3 3" xfId="17630" xr:uid="{137D9BBF-689C-40AD-98C7-64A77D725B87}"/>
    <cellStyle name="Normal 7 6 5 4 4" xfId="10083" xr:uid="{0A5C38E3-CD4B-488F-97E0-91E36EEDF728}"/>
    <cellStyle name="Normal 7 6 5 4 4 2" xfId="20463" xr:uid="{39388F70-C8A2-4962-AC8A-626FD65554AC}"/>
    <cellStyle name="Normal 7 6 5 4 5" xfId="23554" xr:uid="{98F9B7CA-BCF9-44B6-A03D-846CA1C21B07}"/>
    <cellStyle name="Normal 7 6 5 4 6" xfId="13503" xr:uid="{8D2DF42F-EFC1-44D8-9472-20F47BF14A7E}"/>
    <cellStyle name="Normal 7 6 5 5" xfId="2517" xr:uid="{00000000-0005-0000-0000-000023090000}"/>
    <cellStyle name="Normal 7 6 5 5 2" xfId="5795" xr:uid="{A9F19D54-6E6A-46E2-9C4C-8DF33B402472}"/>
    <cellStyle name="Normal 7 6 5 5 2 2" xfId="26308" xr:uid="{60489D58-1A9D-4CF3-9EED-BEEB248944F9}"/>
    <cellStyle name="Normal 7 6 5 5 2 3" xfId="15189" xr:uid="{59C38AAD-98DE-48FB-8D51-B5ED5DB69078}"/>
    <cellStyle name="Normal 7 6 5 5 3" xfId="7642" xr:uid="{114DA3DD-D026-404F-B1D3-2312EE0C354A}"/>
    <cellStyle name="Normal 7 6 5 5 3 2" xfId="18022" xr:uid="{0DD8FB3C-2F4B-4FDF-AF12-910BBC8759CD}"/>
    <cellStyle name="Normal 7 6 5 5 4" xfId="10475" xr:uid="{3E356359-D060-4D23-991E-B97B13F06CB5}"/>
    <cellStyle name="Normal 7 6 5 5 4 2" xfId="20855" xr:uid="{44EECC84-9E0F-4F15-B137-F654756F5474}"/>
    <cellStyle name="Normal 7 6 5 5 5" xfId="23906" xr:uid="{E3F90392-059D-469A-AC0E-0BDACDF09501}"/>
    <cellStyle name="Normal 7 6 5 5 6" xfId="12905" xr:uid="{C1D38FF7-5C92-4681-BF21-05503F8663E1}"/>
    <cellStyle name="Normal 7 6 5 6" xfId="2413" xr:uid="{00000000-0005-0000-0000-00001D090000}"/>
    <cellStyle name="Normal 7 6 5 6 2" xfId="7540" xr:uid="{3508834D-B89E-46C8-B299-CDA7B4274BBE}"/>
    <cellStyle name="Normal 7 6 5 6 2 2" xfId="28431" xr:uid="{4C9CF324-6BA4-4F60-B99D-0370AA4F4A93}"/>
    <cellStyle name="Normal 7 6 5 6 2 3" xfId="17920" xr:uid="{99EA2127-49D3-4607-95F1-053C6827513B}"/>
    <cellStyle name="Normal 7 6 5 6 3" xfId="10373" xr:uid="{B72334EA-2842-42B8-AE23-5F70208D013F}"/>
    <cellStyle name="Normal 7 6 5 6 3 2" xfId="20753" xr:uid="{FA60AE56-242F-41F8-94D0-21A1BEDA3DB4}"/>
    <cellStyle name="Normal 7 6 5 6 4" xfId="24940" xr:uid="{CFE09879-813F-4BF0-BF6F-92F31AC8B8AC}"/>
    <cellStyle name="Normal 7 6 5 6 5" xfId="15087" xr:uid="{5E843A23-20EA-4DBC-8888-73032B54F864}"/>
    <cellStyle name="Normal 7 6 5 7" xfId="4086" xr:uid="{B50348EB-0804-4161-A015-D162F110C8BD}"/>
    <cellStyle name="Normal 7 6 5 7 2" xfId="8863" xr:uid="{24B99DFC-2ACB-4ED6-90AC-1BBEFE0B71C7}"/>
    <cellStyle name="Normal 7 6 5 7 2 2" xfId="19243" xr:uid="{4C2B3425-55F2-43B2-9249-D780CDF9D891}"/>
    <cellStyle name="Normal 7 6 5 7 3" xfId="11696" xr:uid="{2357267F-3C24-4CB3-8332-CAA36D5BC0A7}"/>
    <cellStyle name="Normal 7 6 5 7 3 2" xfId="22076" xr:uid="{2DD6BFAA-42BC-4F91-A4AF-9EC1FA3D0BA3}"/>
    <cellStyle name="Normal 7 6 5 7 4" xfId="27365" xr:uid="{DBD02698-3E7A-4D39-940A-E12FE30B168E}"/>
    <cellStyle name="Normal 7 6 5 7 5" xfId="16410" xr:uid="{A55057EA-B0DE-44A3-86F5-D09B84CC644A}"/>
    <cellStyle name="Normal 7 6 5 8" xfId="5497" xr:uid="{C4B4A565-1729-4507-AEF3-F0F3746693D0}"/>
    <cellStyle name="Normal 7 6 5 8 2" xfId="14793" xr:uid="{39D3E485-0063-4AE3-A647-329FAC49358D}"/>
    <cellStyle name="Normal 7 6 5 9" xfId="7246" xr:uid="{FDBB60B6-CCCA-4215-9EBD-417F9A818965}"/>
    <cellStyle name="Normal 7 6 5 9 2" xfId="17626" xr:uid="{4C1C3760-73F1-4520-AA0E-3E8190282C36}"/>
    <cellStyle name="Normal 7 6 6" xfId="1504" xr:uid="{00000000-0005-0000-0000-0000B9070000}"/>
    <cellStyle name="Normal 7 6 6 10" xfId="10084" xr:uid="{9B121F16-A290-4197-B44F-6E69836089B0}"/>
    <cellStyle name="Normal 7 6 6 10 2" xfId="20464" xr:uid="{30DC266A-56CA-4C6B-A34D-80F0098443A0}"/>
    <cellStyle name="Normal 7 6 6 11" xfId="24361" xr:uid="{6410A27D-6B69-46D0-8F51-0ED5BF83BC57}"/>
    <cellStyle name="Normal 7 6 6 12" xfId="12648" xr:uid="{E9519333-2B6F-4A8D-856E-C824E5F393D6}"/>
    <cellStyle name="Normal 7 6 6 2" xfId="1505" xr:uid="{00000000-0005-0000-0000-0000BA070000}"/>
    <cellStyle name="Normal 7 6 6 2 2" xfId="1506" xr:uid="{00000000-0005-0000-0000-0000BB070000}"/>
    <cellStyle name="Normal 7 6 6 2 2 2" xfId="5504" xr:uid="{66B9D532-A4E6-42C2-84FA-23C65AFFCF31}"/>
    <cellStyle name="Normal 7 6 6 2 2 2 2" xfId="25084" xr:uid="{6B52F8F8-4313-4B80-9398-0AA11670A4A1}"/>
    <cellStyle name="Normal 7 6 6 2 2 2 3" xfId="26242" xr:uid="{84E34A4D-CE0E-4BF4-81D8-3BF44BBD6CCA}"/>
    <cellStyle name="Normal 7 6 6 2 2 2 4" xfId="14800" xr:uid="{E26BC03C-90D7-4629-8D61-133D401B09F6}"/>
    <cellStyle name="Normal 7 6 6 2 2 3" xfId="7253" xr:uid="{E8C4E03D-37ED-4BEB-8E4B-2F11686E682B}"/>
    <cellStyle name="Normal 7 6 6 2 2 3 2" xfId="27682" xr:uid="{65B0E04E-FBEA-48B1-9F0A-4B5EAF851E1F}"/>
    <cellStyle name="Normal 7 6 6 2 2 3 3" xfId="27640" xr:uid="{D0868920-65DE-48FA-BE3C-429C1847C4D3}"/>
    <cellStyle name="Normal 7 6 6 2 2 3 4" xfId="17633" xr:uid="{1605AD8E-97AD-4CF4-BDFA-4E6722E783FB}"/>
    <cellStyle name="Normal 7 6 6 2 2 4" xfId="10086" xr:uid="{D4EFA8F4-58C7-4071-B63C-6B349D4907A1}"/>
    <cellStyle name="Normal 7 6 6 2 2 4 2" xfId="29470" xr:uid="{9D218204-F3AE-4304-ACCF-308F57A75CDE}"/>
    <cellStyle name="Normal 7 6 6 2 2 4 3" xfId="20466" xr:uid="{D9DB5CF1-0839-47D2-9A8B-2EB8139606C1}"/>
    <cellStyle name="Normal 7 6 6 2 2 5" xfId="23187" xr:uid="{8F807369-CD25-4CCE-A376-550BCE61BF84}"/>
    <cellStyle name="Normal 7 6 6 2 2 6" xfId="14097" xr:uid="{A23A3A3E-B6FB-4F24-99A8-FF3721C11DFB}"/>
    <cellStyle name="Normal 7 6 6 2 2 7" xfId="30429" xr:uid="{A5DAC2FF-7264-4563-9A38-CC0D73525857}"/>
    <cellStyle name="Normal 7 6 6 2 3" xfId="2849" xr:uid="{00000000-0005-0000-0000-000027090000}"/>
    <cellStyle name="Normal 7 6 6 2 3 2" xfId="6062" xr:uid="{EC8937D3-ACD6-45B5-BB65-2C456B8FDA71}"/>
    <cellStyle name="Normal 7 6 6 2 3 2 2" xfId="26790" xr:uid="{3C319A9D-AB1A-4A43-AF91-B55E12066FFB}"/>
    <cellStyle name="Normal 7 6 6 2 3 2 3" xfId="15518" xr:uid="{54B92E17-B78D-4634-8730-CE48B4B24AAB}"/>
    <cellStyle name="Normal 7 6 6 2 3 3" xfId="7971" xr:uid="{AD8F4644-535B-4915-883A-88DC203AB579}"/>
    <cellStyle name="Normal 7 6 6 2 3 3 2" xfId="18351" xr:uid="{87FB52A6-6CE3-4283-BEB4-B7E4BFC29F79}"/>
    <cellStyle name="Normal 7 6 6 2 3 4" xfId="10804" xr:uid="{C3DD5877-10AA-4D2E-9371-104F91F5B5C6}"/>
    <cellStyle name="Normal 7 6 6 2 3 4 2" xfId="21184" xr:uid="{884396C8-AED6-46D9-A577-228829186CC5}"/>
    <cellStyle name="Normal 7 6 6 2 3 5" xfId="24224" xr:uid="{C9354425-C819-4EC8-8BD8-F1436EE5B4A5}"/>
    <cellStyle name="Normal 7 6 6 2 3 6" xfId="13331" xr:uid="{48A48117-C8D3-4B37-9DDF-316FB5CE0346}"/>
    <cellStyle name="Normal 7 6 6 2 4" xfId="4231" xr:uid="{96586672-87B1-4913-984A-17E53571DCBA}"/>
    <cellStyle name="Normal 7 6 6 2 4 2" xfId="9003" xr:uid="{7AE56A67-32F7-4039-AA29-2DF78912FDB0}"/>
    <cellStyle name="Normal 7 6 6 2 4 2 2" xfId="29078" xr:uid="{85A50398-B79F-4714-9769-7B93ABC37BED}"/>
    <cellStyle name="Normal 7 6 6 2 4 2 3" xfId="19383" xr:uid="{74EAF74C-BCFA-4DE5-8BD8-45CE8CE70AEB}"/>
    <cellStyle name="Normal 7 6 6 2 4 3" xfId="11836" xr:uid="{CCE31F3E-1130-444E-ACBD-CC971A255CB3}"/>
    <cellStyle name="Normal 7 6 6 2 4 3 2" xfId="22216" xr:uid="{7676A053-1EDB-4EE4-ADD5-287BA4D75F4C}"/>
    <cellStyle name="Normal 7 6 6 2 4 4" xfId="23141" xr:uid="{7DACF0CB-2FDB-41C4-AE40-507DD9740409}"/>
    <cellStyle name="Normal 7 6 6 2 4 5" xfId="16550" xr:uid="{72D1934E-2114-4BE2-80BA-195B8E688A8F}"/>
    <cellStyle name="Normal 7 6 6 2 5" xfId="5503" xr:uid="{60C0B025-1DC6-42ED-8C10-81AF1593DD4B}"/>
    <cellStyle name="Normal 7 6 6 2 5 2" xfId="28110" xr:uid="{BEA1BF45-6A94-4922-B8F9-A7D08A4CAD92}"/>
    <cellStyle name="Normal 7 6 6 2 5 3" xfId="14799" xr:uid="{8011D1AE-A096-49B3-A833-5A3211D0A05D}"/>
    <cellStyle name="Normal 7 6 6 2 5 4" xfId="30549" xr:uid="{24C08152-38F7-4E1C-984D-CE54F1C564AE}"/>
    <cellStyle name="Normal 7 6 6 2 6" xfId="7252" xr:uid="{7CF328A4-4908-44FA-B972-75D59A28DDA1}"/>
    <cellStyle name="Normal 7 6 6 2 6 2" xfId="17632" xr:uid="{2938AFDE-3D6F-4AFC-A431-0AFC23B4817B}"/>
    <cellStyle name="Normal 7 6 6 2 6 3" xfId="30291" xr:uid="{48A208E3-683D-445F-AF58-69217D088A4E}"/>
    <cellStyle name="Normal 7 6 6 2 6 4" xfId="30702" xr:uid="{7C21F515-8FCD-4178-A17A-0D0119225289}"/>
    <cellStyle name="Normal 7 6 6 2 7" xfId="10085" xr:uid="{B600220D-9330-452C-85B4-091C21D3E5D2}"/>
    <cellStyle name="Normal 7 6 6 2 7 2" xfId="20465" xr:uid="{1CF45A2F-4BDD-463E-8AE8-125CAD9CE958}"/>
    <cellStyle name="Normal 7 6 6 2 8" xfId="25387" xr:uid="{5569986E-846C-48E9-B343-C5A293E1820F}"/>
    <cellStyle name="Normal 7 6 6 2 9" xfId="12806" xr:uid="{C145EB29-7EE7-41FA-8EEE-0623BCB2FF8B}"/>
    <cellStyle name="Normal 7 6 6 3" xfId="1507" xr:uid="{00000000-0005-0000-0000-0000BC070000}"/>
    <cellStyle name="Normal 7 6 6 3 2" xfId="4610" xr:uid="{F14CE967-CAE8-4480-8105-4FCB90A37042}"/>
    <cellStyle name="Normal 7 6 6 3 2 2" xfId="9382" xr:uid="{C99E997D-08CD-4908-985C-5EC8E1428681}"/>
    <cellStyle name="Normal 7 6 6 3 2 2 2" xfId="29350" xr:uid="{8727CD08-8DE0-4178-8FAB-9EEDB235D22A}"/>
    <cellStyle name="Normal 7 6 6 3 2 2 3" xfId="19762" xr:uid="{06F669DE-4B87-41B7-8C2F-116D16D00B6F}"/>
    <cellStyle name="Normal 7 6 6 3 2 3" xfId="12215" xr:uid="{D7CCF65F-3506-4683-96F9-F5E823D11A84}"/>
    <cellStyle name="Normal 7 6 6 3 2 3 2" xfId="22595" xr:uid="{AAFEA359-EC7A-4C13-808A-D5B42C63E00B}"/>
    <cellStyle name="Normal 7 6 6 3 2 4" xfId="22979" xr:uid="{C7FDCBBD-6BCC-405C-A3A9-76D67F1E25D8}"/>
    <cellStyle name="Normal 7 6 6 3 2 5" xfId="16929" xr:uid="{4DC315E7-0311-4131-B8D5-1E08462052FA}"/>
    <cellStyle name="Normal 7 6 6 3 3" xfId="5505" xr:uid="{8522F306-649E-4170-97FC-7493F82F02D9}"/>
    <cellStyle name="Normal 7 6 6 3 3 2" xfId="26885" xr:uid="{01DA18E4-630B-407C-90D8-A91D7245FB40}"/>
    <cellStyle name="Normal 7 6 6 3 3 3" xfId="28169" xr:uid="{7C2D3BB2-4CDA-4B63-808A-80FBE4F1B9CF}"/>
    <cellStyle name="Normal 7 6 6 3 3 4" xfId="14801" xr:uid="{D8150843-5B72-4389-80BE-739888821749}"/>
    <cellStyle name="Normal 7 6 6 3 4" xfId="7254" xr:uid="{F509454B-227C-426F-970A-B489BD7153BC}"/>
    <cellStyle name="Normal 7 6 6 3 4 2" xfId="25901" xr:uid="{03B433BB-282D-4668-99EA-A3DFFEF34C56}"/>
    <cellStyle name="Normal 7 6 6 3 4 3" xfId="28640" xr:uid="{2FC4DC22-583C-4AE0-B574-3F4737361CF8}"/>
    <cellStyle name="Normal 7 6 6 3 4 4" xfId="17634" xr:uid="{632C8BC2-1B4E-4244-AC82-F2BB44834442}"/>
    <cellStyle name="Normal 7 6 6 3 5" xfId="10087" xr:uid="{33884DD8-7790-4C34-9D44-87B0B9071B03}"/>
    <cellStyle name="Normal 7 6 6 3 5 2" xfId="29471" xr:uid="{D657E74B-A85A-4BE1-B0EF-D68ABA591894}"/>
    <cellStyle name="Normal 7 6 6 3 5 3" xfId="20467" xr:uid="{17476645-C583-4B81-BAB9-3D431711E7D8}"/>
    <cellStyle name="Normal 7 6 6 3 6" xfId="24551" xr:uid="{7F04EA5A-7CA8-4E0F-A5D3-9DBD12856DA2}"/>
    <cellStyle name="Normal 7 6 6 3 7" xfId="14098" xr:uid="{2083B337-D404-4396-BEBD-396F3F4FB296}"/>
    <cellStyle name="Normal 7 6 6 4" xfId="1508" xr:uid="{00000000-0005-0000-0000-0000BD070000}"/>
    <cellStyle name="Normal 7 6 6 4 2" xfId="5506" xr:uid="{B1732BA7-F99E-4741-8EAB-B210D7C053B9}"/>
    <cellStyle name="Normal 7 6 6 4 2 2" xfId="24096" xr:uid="{FA1B13A7-D167-4EA2-A350-A98617B2D303}"/>
    <cellStyle name="Normal 7 6 6 4 2 3" xfId="28267" xr:uid="{56DBB3E1-308A-4947-82A4-B10BE50C8A1B}"/>
    <cellStyle name="Normal 7 6 6 4 2 4" xfId="14802" xr:uid="{7E7F5B2D-6716-44CD-94E9-DC067523BD92}"/>
    <cellStyle name="Normal 7 6 6 4 3" xfId="7255" xr:uid="{F8A11A8C-8BFF-48F3-A1FD-EF29614361A6}"/>
    <cellStyle name="Normal 7 6 6 4 3 2" xfId="28370" xr:uid="{FEF2D7E9-A34A-4940-8224-435FEFF01F1D}"/>
    <cellStyle name="Normal 7 6 6 4 3 3" xfId="17635" xr:uid="{4ED87E50-93AE-4538-9786-4F9D0E2789A3}"/>
    <cellStyle name="Normal 7 6 6 4 4" xfId="10088" xr:uid="{FEB4022C-F1E3-4EEA-BC90-D9D14035388A}"/>
    <cellStyle name="Normal 7 6 6 4 4 2" xfId="20468" xr:uid="{FF1819DC-C74B-4760-AC62-38CC67072738}"/>
    <cellStyle name="Normal 7 6 6 4 5" xfId="25459" xr:uid="{884E5F05-DE08-4D40-BA10-0149E35848F9}"/>
    <cellStyle name="Normal 7 6 6 4 6" xfId="13504" xr:uid="{FB128930-BA0C-4BB7-850E-07204CFDD584}"/>
    <cellStyle name="Normal 7 6 6 5" xfId="2580" xr:uid="{00000000-0005-0000-0000-00002A090000}"/>
    <cellStyle name="Normal 7 6 6 5 2" xfId="5845" xr:uid="{FC07E65B-AECC-4723-8B85-42B93FFCFF2A}"/>
    <cellStyle name="Normal 7 6 6 5 2 2" xfId="27772" xr:uid="{9518A7A9-2E88-4A12-8133-4CDBCE5423B9}"/>
    <cellStyle name="Normal 7 6 6 5 2 3" xfId="15252" xr:uid="{08C635A3-EA47-4E40-9C92-EBF23F30B52F}"/>
    <cellStyle name="Normal 7 6 6 5 3" xfId="7705" xr:uid="{0318551E-54D7-4162-BC80-5B7FEAC080D4}"/>
    <cellStyle name="Normal 7 6 6 5 3 2" xfId="18085" xr:uid="{AB883187-AEFB-401B-98C3-A91990143091}"/>
    <cellStyle name="Normal 7 6 6 5 4" xfId="10538" xr:uid="{623578DD-EDBB-4CB0-B8A4-201B6942FEDD}"/>
    <cellStyle name="Normal 7 6 6 5 4 2" xfId="20918" xr:uid="{30F4F925-14E5-44E2-A19C-94BA78423C76}"/>
    <cellStyle name="Normal 7 6 6 5 5" xfId="25131" xr:uid="{0B389366-22C8-49F9-AF34-069A9E312800}"/>
    <cellStyle name="Normal 7 6 6 5 6" xfId="12968" xr:uid="{797A1FFD-B612-440A-BE6B-1FFE202CD8F2}"/>
    <cellStyle name="Normal 7 6 6 6" xfId="2414" xr:uid="{00000000-0005-0000-0000-000024090000}"/>
    <cellStyle name="Normal 7 6 6 6 2" xfId="7541" xr:uid="{4FDC4E51-6D31-4A25-8512-CBBA185C9F63}"/>
    <cellStyle name="Normal 7 6 6 6 2 2" xfId="26820" xr:uid="{A4D45A25-76E5-4F37-89C4-1606FF657ECD}"/>
    <cellStyle name="Normal 7 6 6 6 2 3" xfId="17921" xr:uid="{D7558F3D-D4B8-467E-8F01-332C6031EECD}"/>
    <cellStyle name="Normal 7 6 6 6 3" xfId="10374" xr:uid="{EFA65DA9-A015-4BE6-BEA2-4A7A7C5A90AA}"/>
    <cellStyle name="Normal 7 6 6 6 3 2" xfId="20754" xr:uid="{48359B26-D60F-4260-833C-0AC33A063146}"/>
    <cellStyle name="Normal 7 6 6 6 4" xfId="24882" xr:uid="{817D6BB7-50E5-497B-B0F2-3248DEC74781}"/>
    <cellStyle name="Normal 7 6 6 6 5" xfId="15088" xr:uid="{BA3BE017-311B-43EA-8080-8C40EA3F788B}"/>
    <cellStyle name="Normal 7 6 6 7" xfId="4087" xr:uid="{AD82AA17-F863-4080-AE76-D5694A4D0A0D}"/>
    <cellStyle name="Normal 7 6 6 7 2" xfId="8864" xr:uid="{736F0F43-2BD4-47E7-955C-8BE517273D03}"/>
    <cellStyle name="Normal 7 6 6 7 2 2" xfId="19244" xr:uid="{C64B38B8-5287-4B1A-BE40-405A749A9673}"/>
    <cellStyle name="Normal 7 6 6 7 3" xfId="11697" xr:uid="{59C47437-3B8A-4A7D-8C7C-B854A9B0C1D9}"/>
    <cellStyle name="Normal 7 6 6 7 3 2" xfId="22077" xr:uid="{BBA0E55D-6FC3-47E8-A22A-86BC5E1155B7}"/>
    <cellStyle name="Normal 7 6 6 7 4" xfId="28090" xr:uid="{64006040-061F-4846-90B0-61C074CBA756}"/>
    <cellStyle name="Normal 7 6 6 7 5" xfId="16411" xr:uid="{89E87FA3-C5C8-4FE7-9FD5-82141A46A5F7}"/>
    <cellStyle name="Normal 7 6 6 8" xfId="5502" xr:uid="{8C2001EF-CE6E-4312-9B27-D4ED056D7F73}"/>
    <cellStyle name="Normal 7 6 6 8 2" xfId="14798" xr:uid="{AC29F6D8-C066-4EB8-8AAF-790769E45F74}"/>
    <cellStyle name="Normal 7 6 6 9" xfId="7251" xr:uid="{BCFA341F-BBF9-4B76-8716-B250CFC70BA2}"/>
    <cellStyle name="Normal 7 6 6 9 2" xfId="17631" xr:uid="{4A490468-A8E8-4FE8-9B9B-7E76C4A83845}"/>
    <cellStyle name="Normal 7 6 7" xfId="1509" xr:uid="{00000000-0005-0000-0000-0000BE070000}"/>
    <cellStyle name="Normal 7 6 7 10" xfId="12649" xr:uid="{6613BBB2-E1A1-4A0A-B1C4-F1A50DD76820}"/>
    <cellStyle name="Normal 7 6 7 2" xfId="1510" xr:uid="{00000000-0005-0000-0000-0000BF070000}"/>
    <cellStyle name="Normal 7 6 7 2 2" xfId="3003" xr:uid="{00000000-0005-0000-0000-00002D090000}"/>
    <cellStyle name="Normal 7 6 7 2 2 2" xfId="6152" xr:uid="{080ABE97-B2E2-4E61-8652-1A37699BBBF3}"/>
    <cellStyle name="Normal 7 6 7 2 2 2 2" xfId="27714" xr:uid="{27DD2297-39A5-4C35-A642-8D66ED12C58C}"/>
    <cellStyle name="Normal 7 6 7 2 2 2 3" xfId="28216" xr:uid="{6F8031B1-E034-4FD5-9844-F89DC6F10E87}"/>
    <cellStyle name="Normal 7 6 7 2 2 2 4" xfId="15630" xr:uid="{EFBAB4C5-27F5-4952-8540-ABD00479F2B5}"/>
    <cellStyle name="Normal 7 6 7 2 2 3" xfId="8083" xr:uid="{F1B62941-20EB-4DE6-8854-23C934EA88B7}"/>
    <cellStyle name="Normal 7 6 7 2 2 3 2" xfId="28773" xr:uid="{C802CC61-F50C-4C41-8073-E79A2A6DE01B}"/>
    <cellStyle name="Normal 7 6 7 2 2 3 3" xfId="18463" xr:uid="{192526C5-1B6C-409F-B402-201E9EAE43F4}"/>
    <cellStyle name="Normal 7 6 7 2 2 4" xfId="10916" xr:uid="{A810FF71-D6A1-4B30-B447-46D407037906}"/>
    <cellStyle name="Normal 7 6 7 2 2 4 2" xfId="21296" xr:uid="{EF98612A-D2AC-459E-AB5E-66F8C3EB41D6}"/>
    <cellStyle name="Normal 7 6 7 2 2 5" xfId="22732" xr:uid="{BDD1352B-9AF1-4EB1-839C-479DBC5D6CF0}"/>
    <cellStyle name="Normal 7 6 7 2 2 6" xfId="13505" xr:uid="{B40B867E-575C-48C2-96E2-8087B463203C}"/>
    <cellStyle name="Normal 7 6 7 2 3" xfId="5508" xr:uid="{0D1C3F98-7444-4796-9719-7935A150882F}"/>
    <cellStyle name="Normal 7 6 7 2 3 2" xfId="23507" xr:uid="{4B0EDB46-F5A1-417D-AA76-5E18DB7A653B}"/>
    <cellStyle name="Normal 7 6 7 2 3 3" xfId="26811" xr:uid="{A7DBD1A4-A307-40D4-A554-9B49C072DE4B}"/>
    <cellStyle name="Normal 7 6 7 2 3 4" xfId="14804" xr:uid="{6D8CDFE8-C924-40F1-BF4F-87F16F5C7BAF}"/>
    <cellStyle name="Normal 7 6 7 2 4" xfId="7257" xr:uid="{7B4AD736-9165-47FF-8869-95C08FC07855}"/>
    <cellStyle name="Normal 7 6 7 2 4 2" xfId="28089" xr:uid="{272CA894-78E3-437B-854F-B62209FDCA6A}"/>
    <cellStyle name="Normal 7 6 7 2 4 3" xfId="27580" xr:uid="{9381158D-9526-44F0-A16B-A01CC9FE2035}"/>
    <cellStyle name="Normal 7 6 7 2 4 4" xfId="17637" xr:uid="{4AB6D8D8-6B86-4136-BCAD-100867AD5B06}"/>
    <cellStyle name="Normal 7 6 7 2 5" xfId="10090" xr:uid="{5D942458-53FB-4B9E-9596-47BAB7BE0CC8}"/>
    <cellStyle name="Normal 7 6 7 2 5 2" xfId="29472" xr:uid="{E10E9DCB-37C1-4BED-B673-516D0B36DA47}"/>
    <cellStyle name="Normal 7 6 7 2 5 3" xfId="20470" xr:uid="{8CF82372-2F7F-460E-8D13-DE3A3C7EE63E}"/>
    <cellStyle name="Normal 7 6 7 2 5 4" xfId="30737" xr:uid="{98A5DE1F-FF65-4C3A-AA78-E7A9094D20C5}"/>
    <cellStyle name="Normal 7 6 7 2 6" xfId="24366" xr:uid="{F7B5B9B8-0479-469B-B68B-99E0D8F6747A}"/>
    <cellStyle name="Normal 7 6 7 2 7" xfId="12807" xr:uid="{8E4EE383-B604-480E-BBF7-9D69D7A8B6A6}"/>
    <cellStyle name="Normal 7 6 7 2 8" xfId="30359" xr:uid="{B36F8768-D6D3-4217-9F28-FA48E3E973E6}"/>
    <cellStyle name="Normal 7 6 7 3" xfId="1511" xr:uid="{00000000-0005-0000-0000-0000C0070000}"/>
    <cellStyle name="Normal 7 6 7 3 2" xfId="5509" xr:uid="{34F986F0-B558-46D8-92F7-4FB60422883D}"/>
    <cellStyle name="Normal 7 6 7 3 2 2" xfId="28509" xr:uid="{409834E1-969F-4E1F-9261-1088BCA14ED7}"/>
    <cellStyle name="Normal 7 6 7 3 2 3" xfId="26982" xr:uid="{5045E64F-960D-4A8E-BC82-D7ABA7EF7E8E}"/>
    <cellStyle name="Normal 7 6 7 3 2 4" xfId="14805" xr:uid="{739C2D90-EC90-404C-BA85-EC612F0D9090}"/>
    <cellStyle name="Normal 7 6 7 3 3" xfId="7258" xr:uid="{14C9598E-269D-4F8B-8BB0-669E07821B82}"/>
    <cellStyle name="Normal 7 6 7 3 3 2" xfId="26877" xr:uid="{4BB77D7B-DE4F-4C44-A3AE-A9B7983EA802}"/>
    <cellStyle name="Normal 7 6 7 3 3 3" xfId="27975" xr:uid="{F7BB6B8E-073F-4937-85E9-F14842BDE935}"/>
    <cellStyle name="Normal 7 6 7 3 3 4" xfId="17638" xr:uid="{9D70DA91-48F7-4CD0-9518-4D629D7B8D35}"/>
    <cellStyle name="Normal 7 6 7 3 4" xfId="10091" xr:uid="{136BE510-F66E-4D9E-AF0B-D21EEA11AD1F}"/>
    <cellStyle name="Normal 7 6 7 3 4 2" xfId="29473" xr:uid="{C620F071-D9C4-44CC-8F65-4810C8762C5A}"/>
    <cellStyle name="Normal 7 6 7 3 4 3" xfId="20471" xr:uid="{2E6C462F-8B17-467B-992A-2AFF6727BFD9}"/>
    <cellStyle name="Normal 7 6 7 3 5" xfId="22721" xr:uid="{9EADBDAF-129B-48A4-B542-9DBCA21F384E}"/>
    <cellStyle name="Normal 7 6 7 3 6" xfId="13332" xr:uid="{4C52449C-8F2A-4028-A5A3-3704AF93FD5B}"/>
    <cellStyle name="Normal 7 6 7 4" xfId="2415" xr:uid="{00000000-0005-0000-0000-00002B090000}"/>
    <cellStyle name="Normal 7 6 7 4 2" xfId="7542" xr:uid="{08EB01D6-AB8E-4775-A28B-1EAF80F723E8}"/>
    <cellStyle name="Normal 7 6 7 4 2 2" xfId="28436" xr:uid="{96CDC6F0-1E1B-4294-95F6-6B4B18CFCCA2}"/>
    <cellStyle name="Normal 7 6 7 4 2 3" xfId="17922" xr:uid="{B996FC26-B713-4B53-919A-06E3B34AA916}"/>
    <cellStyle name="Normal 7 6 7 4 3" xfId="10375" xr:uid="{C82718F1-4981-4C5B-8D4B-47DEC2D44FA2}"/>
    <cellStyle name="Normal 7 6 7 4 3 2" xfId="20755" xr:uid="{33A6C9FE-E2BB-4FE8-A69E-B999139845C0}"/>
    <cellStyle name="Normal 7 6 7 4 4" xfId="23925" xr:uid="{8962E17B-97F8-422A-A065-8D564CAC16D7}"/>
    <cellStyle name="Normal 7 6 7 4 5" xfId="15089" xr:uid="{801BA0D2-29DD-457B-A574-172CF5D56217}"/>
    <cellStyle name="Normal 7 6 7 5" xfId="4088" xr:uid="{5447E32B-0A0F-40AE-B370-2B5373924D12}"/>
    <cellStyle name="Normal 7 6 7 5 2" xfId="8865" xr:uid="{4DD92BC6-9875-4460-9CFF-95B3697BAE4B}"/>
    <cellStyle name="Normal 7 6 7 5 2 2" xfId="28999" xr:uid="{2B955F8C-32A2-49D6-BD12-923BA7BE86AD}"/>
    <cellStyle name="Normal 7 6 7 5 2 3" xfId="19245" xr:uid="{339F6D67-D6EB-4190-A170-28821FB76135}"/>
    <cellStyle name="Normal 7 6 7 5 3" xfId="11698" xr:uid="{F50B4B69-54DE-4CA3-8803-277F5240FACE}"/>
    <cellStyle name="Normal 7 6 7 5 3 2" xfId="22078" xr:uid="{4AEA814F-AA9D-4EBF-BD8A-3ADC1E179C3F}"/>
    <cellStyle name="Normal 7 6 7 5 4" xfId="24985" xr:uid="{651AFEB9-E3F7-485D-9E17-42CBD082B1A7}"/>
    <cellStyle name="Normal 7 6 7 5 5" xfId="16412" xr:uid="{5240F479-5ADC-4124-99F2-2DF6F521B8DC}"/>
    <cellStyle name="Normal 7 6 7 6" xfId="5507" xr:uid="{7D013370-A388-4364-BB0A-927C952754BD}"/>
    <cellStyle name="Normal 7 6 7 6 2" xfId="28187" xr:uid="{27220882-AE72-42F7-9892-2AA2D872B6D2}"/>
    <cellStyle name="Normal 7 6 7 6 3" xfId="26097" xr:uid="{B8C32442-4CEC-40FB-826C-CAF41DCA68B8}"/>
    <cellStyle name="Normal 7 6 7 6 4" xfId="14803" xr:uid="{F3ACB335-189C-4282-8A6E-887CA1DA89CE}"/>
    <cellStyle name="Normal 7 6 7 7" xfId="7256" xr:uid="{9A0C3AF1-1982-425A-A7D2-2271FF6BE6FC}"/>
    <cellStyle name="Normal 7 6 7 7 2" xfId="25968" xr:uid="{DB732E0C-CE5D-46CF-8221-5040249B02DE}"/>
    <cellStyle name="Normal 7 6 7 7 3" xfId="17636" xr:uid="{8BA47303-40CB-4C40-85AD-3D9AF7C28189}"/>
    <cellStyle name="Normal 7 6 7 8" xfId="10089" xr:uid="{761919A9-7EFF-4657-BDAA-1C96AFE884F4}"/>
    <cellStyle name="Normal 7 6 7 8 2" xfId="20469" xr:uid="{11FFC442-1C67-45F5-A45D-85E4A1F393F1}"/>
    <cellStyle name="Normal 7 6 7 9" xfId="23150" xr:uid="{5BF4DAFD-94AD-489C-A856-6462CEAE81AE}"/>
    <cellStyle name="Normal 7 6 8" xfId="1512" xr:uid="{00000000-0005-0000-0000-0000C1070000}"/>
    <cellStyle name="Normal 7 6 8 10" xfId="12650" xr:uid="{554EF0C8-2CAF-4171-8C8E-D3D4A4494C79}"/>
    <cellStyle name="Normal 7 6 8 2" xfId="1513" xr:uid="{00000000-0005-0000-0000-0000C2070000}"/>
    <cellStyle name="Normal 7 6 8 2 2" xfId="3004" xr:uid="{00000000-0005-0000-0000-000031090000}"/>
    <cellStyle name="Normal 7 6 8 2 2 2" xfId="6153" xr:uid="{CC140979-0A8B-4FC7-A6E0-1DA3F65E100B}"/>
    <cellStyle name="Normal 7 6 8 2 2 2 2" xfId="27239" xr:uid="{1F315FCD-6B19-4D94-8E5D-3756A45B62F6}"/>
    <cellStyle name="Normal 7 6 8 2 2 2 3" xfId="27516" xr:uid="{2DEB4296-D487-454C-93AA-17F127C0E66A}"/>
    <cellStyle name="Normal 7 6 8 2 2 2 4" xfId="15631" xr:uid="{205D61BA-E6B1-40F9-B3D7-75B50B0AAF82}"/>
    <cellStyle name="Normal 7 6 8 2 2 3" xfId="8084" xr:uid="{826BCC74-F38F-4FEC-A952-AC965578CD6B}"/>
    <cellStyle name="Normal 7 6 8 2 2 3 2" xfId="28774" xr:uid="{656A6E39-2F70-452E-9E11-6A870201D508}"/>
    <cellStyle name="Normal 7 6 8 2 2 3 3" xfId="18464" xr:uid="{17E9700F-9E8B-40A8-BDD6-D59C4AFEF4C9}"/>
    <cellStyle name="Normal 7 6 8 2 2 4" xfId="10917" xr:uid="{5784923F-C5DA-4ED9-96C9-C9E735129722}"/>
    <cellStyle name="Normal 7 6 8 2 2 4 2" xfId="21297" xr:uid="{E094762C-B45A-4663-BAA3-BF7302EC2FD6}"/>
    <cellStyle name="Normal 7 6 8 2 2 5" xfId="24590" xr:uid="{B7D3F56C-7CBC-40E0-8725-AD3257430DA5}"/>
    <cellStyle name="Normal 7 6 8 2 2 6" xfId="13506" xr:uid="{817E433A-E7F3-491F-83E8-97ED8CB429A3}"/>
    <cellStyle name="Normal 7 6 8 2 3" xfId="5511" xr:uid="{52CF00B2-7171-4170-A4FE-F6A5EE947A9D}"/>
    <cellStyle name="Normal 7 6 8 2 3 2" xfId="25044" xr:uid="{DC7F0F18-D9DC-47CB-BA79-F5EB7F822477}"/>
    <cellStyle name="Normal 7 6 8 2 3 3" xfId="27052" xr:uid="{A7714589-F090-46F3-9ABF-D91F8E2BAFD3}"/>
    <cellStyle name="Normal 7 6 8 2 3 4" xfId="14807" xr:uid="{62FC836F-55EE-49EC-A952-822D62A01DDC}"/>
    <cellStyle name="Normal 7 6 8 2 4" xfId="7260" xr:uid="{CD7CFFB2-EE8E-4FEC-B5F5-93CCF6AC1410}"/>
    <cellStyle name="Normal 7 6 8 2 4 2" xfId="27802" xr:uid="{72607EB8-5B14-491F-90F5-7C9C14E39708}"/>
    <cellStyle name="Normal 7 6 8 2 4 3" xfId="26951" xr:uid="{33E49809-0D74-482A-B4ED-F288A9708BA5}"/>
    <cellStyle name="Normal 7 6 8 2 4 4" xfId="17640" xr:uid="{9FC55906-7CB2-4561-8C40-99CC00785CB7}"/>
    <cellStyle name="Normal 7 6 8 2 5" xfId="10093" xr:uid="{789D05B8-2E3D-4ECC-A80D-2993A33489FB}"/>
    <cellStyle name="Normal 7 6 8 2 5 2" xfId="29474" xr:uid="{667EB77B-1A80-4318-AD74-42920ADC3936}"/>
    <cellStyle name="Normal 7 6 8 2 5 3" xfId="20473" xr:uid="{F5E30A7E-E2DF-4D4B-B6B6-CB117F302806}"/>
    <cellStyle name="Normal 7 6 8 2 5 4" xfId="30738" xr:uid="{0617FE9C-BD4B-4B41-8813-35A24FC85EDC}"/>
    <cellStyle name="Normal 7 6 8 2 6" xfId="25133" xr:uid="{9A77F4ED-6C9E-4E29-BFBB-3F66EA865EB2}"/>
    <cellStyle name="Normal 7 6 8 2 7" xfId="12808" xr:uid="{B7D3FC20-7E19-4C7C-84AB-95CECF16A3AC}"/>
    <cellStyle name="Normal 7 6 8 2 8" xfId="30360" xr:uid="{C35C16E5-3C79-486C-8338-FD748FD62D34}"/>
    <cellStyle name="Normal 7 6 8 3" xfId="1514" xr:uid="{00000000-0005-0000-0000-0000C3070000}"/>
    <cellStyle name="Normal 7 6 8 3 2" xfId="5512" xr:uid="{B72048B6-0134-4663-BD71-836DDABD42ED}"/>
    <cellStyle name="Normal 7 6 8 3 2 2" xfId="26432" xr:uid="{D360AD84-AB31-47D4-9B09-6CC34916B15E}"/>
    <cellStyle name="Normal 7 6 8 3 2 3" xfId="27465" xr:uid="{966EDC14-457F-4731-9E9E-9A7D295841F5}"/>
    <cellStyle name="Normal 7 6 8 3 2 4" xfId="14808" xr:uid="{4A3FC10F-15B4-4416-90A8-97C0218A902C}"/>
    <cellStyle name="Normal 7 6 8 3 3" xfId="7261" xr:uid="{DD2F54F9-01EF-41D5-8D71-BAEA5EB97AB2}"/>
    <cellStyle name="Normal 7 6 8 3 3 2" xfId="28732" xr:uid="{61D759C3-F0AF-4F79-8D32-4CD39E251A9F}"/>
    <cellStyle name="Normal 7 6 8 3 3 3" xfId="27144" xr:uid="{6079D208-AA83-4A3C-9F0C-DA77242C1108}"/>
    <cellStyle name="Normal 7 6 8 3 3 4" xfId="17641" xr:uid="{12C583DD-6D8F-43DD-81FA-89F597737CEB}"/>
    <cellStyle name="Normal 7 6 8 3 4" xfId="10094" xr:uid="{C6049051-5F2D-4558-9F0E-33787B49DD90}"/>
    <cellStyle name="Normal 7 6 8 3 4 2" xfId="29475" xr:uid="{C3490728-ADAD-44F7-9697-9906C012B277}"/>
    <cellStyle name="Normal 7 6 8 3 4 3" xfId="20474" xr:uid="{A75AB428-9466-42F3-B9BB-2CC6E5C59975}"/>
    <cellStyle name="Normal 7 6 8 3 5" xfId="22980" xr:uid="{F6DBF923-C9F4-4D49-9494-65B04710DE73}"/>
    <cellStyle name="Normal 7 6 8 3 6" xfId="13333" xr:uid="{1369D01F-A10E-49C7-82AB-9D1E5C89697F}"/>
    <cellStyle name="Normal 7 6 8 4" xfId="2416" xr:uid="{00000000-0005-0000-0000-00002F090000}"/>
    <cellStyle name="Normal 7 6 8 4 2" xfId="7543" xr:uid="{C11B5D9B-82E1-4B2F-A1E0-57C0FAA092D5}"/>
    <cellStyle name="Normal 7 6 8 4 2 2" xfId="26462" xr:uid="{99F765B3-02EF-448A-A5DE-D643F9456262}"/>
    <cellStyle name="Normal 7 6 8 4 2 3" xfId="17923" xr:uid="{5D816BAD-016A-4946-9938-937901AC8CE7}"/>
    <cellStyle name="Normal 7 6 8 4 3" xfId="10376" xr:uid="{2F18354F-5E69-4AA1-9CAE-C436E194D724}"/>
    <cellStyle name="Normal 7 6 8 4 3 2" xfId="20756" xr:uid="{69FD87EF-4DC7-4390-B4C4-2BFBBEBCC2CF}"/>
    <cellStyle name="Normal 7 6 8 4 4" xfId="24814" xr:uid="{604949DB-AF2B-489E-ADD6-7C677EF3D0E1}"/>
    <cellStyle name="Normal 7 6 8 4 5" xfId="15090" xr:uid="{5DED99FE-B5E4-4BD5-99B2-F71871C767A3}"/>
    <cellStyle name="Normal 7 6 8 5" xfId="4089" xr:uid="{D9041D1F-885D-434D-AAE9-9E4554E7130B}"/>
    <cellStyle name="Normal 7 6 8 5 2" xfId="8866" xr:uid="{227165F0-0C24-47CF-B5D0-CBC412E44D02}"/>
    <cellStyle name="Normal 7 6 8 5 2 2" xfId="29000" xr:uid="{E80C4487-2BB7-4CB7-86BD-0A5C32B56ADA}"/>
    <cellStyle name="Normal 7 6 8 5 2 3" xfId="19246" xr:uid="{0DACE2F1-CE37-44B0-A659-77EB73846BBE}"/>
    <cellStyle name="Normal 7 6 8 5 3" xfId="11699" xr:uid="{D90B6D2A-7125-4880-909F-BEC13BECF37D}"/>
    <cellStyle name="Normal 7 6 8 5 3 2" xfId="22079" xr:uid="{B07C2314-2E84-479C-95B7-AD9FAFB85B34}"/>
    <cellStyle name="Normal 7 6 8 5 4" xfId="22813" xr:uid="{62FF5670-8968-49EF-B138-03D58E0DC197}"/>
    <cellStyle name="Normal 7 6 8 5 5" xfId="16413" xr:uid="{D25DEB90-37FF-49D3-91CF-BEBF5CF42DB4}"/>
    <cellStyle name="Normal 7 6 8 6" xfId="5510" xr:uid="{158CAD52-D7BF-4F02-8F11-03D9841D0936}"/>
    <cellStyle name="Normal 7 6 8 6 2" xfId="27231" xr:uid="{C56D41CB-4D33-4319-B9D1-37B83C6813E8}"/>
    <cellStyle name="Normal 7 6 8 6 3" xfId="28506" xr:uid="{9A3C800A-03FC-41E2-9A02-1689263DA470}"/>
    <cellStyle name="Normal 7 6 8 6 4" xfId="14806" xr:uid="{7DE166AB-36BD-4CEF-B846-4F5428411E67}"/>
    <cellStyle name="Normal 7 6 8 7" xfId="7259" xr:uid="{6D67B509-3936-48F8-B3E7-C1597928E3DF}"/>
    <cellStyle name="Normal 7 6 8 7 2" xfId="26353" xr:uid="{14C69467-F8F7-4C34-9E1B-82A31847E70A}"/>
    <cellStyle name="Normal 7 6 8 7 3" xfId="17639" xr:uid="{E57FAD4F-7EDC-4D4A-85AE-C8312005B7E4}"/>
    <cellStyle name="Normal 7 6 8 8" xfId="10092" xr:uid="{81DB28D6-C3A6-426F-97FC-0A0E81209779}"/>
    <cellStyle name="Normal 7 6 8 8 2" xfId="20472" xr:uid="{5D1CE01E-DF35-4B11-8062-5C3761B2B427}"/>
    <cellStyle name="Normal 7 6 8 9" xfId="25388" xr:uid="{B3F5AD1B-E2A5-4545-A3E7-526CFA7A2F0B}"/>
    <cellStyle name="Normal 7 6 9" xfId="1515" xr:uid="{00000000-0005-0000-0000-0000C4070000}"/>
    <cellStyle name="Normal 7 7" xfId="1516" xr:uid="{00000000-0005-0000-0000-0000C5070000}"/>
    <cellStyle name="Normal 7 7 10" xfId="5513" xr:uid="{B65931B3-EFA4-461D-A169-E0EDDDD36F2D}"/>
    <cellStyle name="Normal 7 7 10 2" xfId="14809" xr:uid="{0644F959-A9B9-428F-B781-384083067488}"/>
    <cellStyle name="Normal 7 7 11" xfId="7262" xr:uid="{F781D481-6E98-44FC-931A-7A16F23FEF0F}"/>
    <cellStyle name="Normal 7 7 11 2" xfId="17642" xr:uid="{882EE3F5-913E-4D35-BF8A-106AC651D1DB}"/>
    <cellStyle name="Normal 7 7 12" xfId="10095" xr:uid="{0A216596-F8DE-459F-BF6E-75A6C3E8BDD6}"/>
    <cellStyle name="Normal 7 7 12 2" xfId="20475" xr:uid="{8091C60B-559A-4150-8F18-7605712FBE1A}"/>
    <cellStyle name="Normal 7 7 13" xfId="24127" xr:uid="{76ABBC37-BB4A-4EAE-8FEE-A63D322C2D72}"/>
    <cellStyle name="Normal 7 7 14" xfId="12417" xr:uid="{A1FE8148-2A66-4DAD-8241-526212D23733}"/>
    <cellStyle name="Normal 7 7 2" xfId="1517" xr:uid="{00000000-0005-0000-0000-0000C6070000}"/>
    <cellStyle name="Normal 7 7 2 10" xfId="7263" xr:uid="{5725BABE-2C86-4433-A52E-0A0E203CEAA2}"/>
    <cellStyle name="Normal 7 7 2 10 2" xfId="17643" xr:uid="{2CF5C8C6-EF94-41E7-AE84-942A241CE748}"/>
    <cellStyle name="Normal 7 7 2 11" xfId="10096" xr:uid="{503BA08A-61CD-4257-80A0-F8CED33380E4}"/>
    <cellStyle name="Normal 7 7 2 11 2" xfId="20476" xr:uid="{1CE5763B-B8A7-4049-AAB9-D0EFD31794BE}"/>
    <cellStyle name="Normal 7 7 2 12" xfId="23662" xr:uid="{203F4F39-A45F-4E4A-BC0F-0D7F44832D20}"/>
    <cellStyle name="Normal 7 7 2 13" xfId="12477" xr:uid="{FE7C9CD0-B5EC-4C63-98D6-58344E375680}"/>
    <cellStyle name="Normal 7 7 2 2" xfId="1518" xr:uid="{00000000-0005-0000-0000-0000C7070000}"/>
    <cellStyle name="Normal 7 7 2 2 10" xfId="13042" xr:uid="{68D862B1-D3A2-4966-8087-882C6E650677}"/>
    <cellStyle name="Normal 7 7 2 2 2" xfId="2852" xr:uid="{00000000-0005-0000-0000-000037090000}"/>
    <cellStyle name="Normal 7 7 2 2 2 2" xfId="3503" xr:uid="{00000000-0005-0000-0000-000038090000}"/>
    <cellStyle name="Normal 7 7 2 2 2 2 2" xfId="6555" xr:uid="{8A7F56BB-97F8-43CC-8A61-6B07154BC05C}"/>
    <cellStyle name="Normal 7 7 2 2 2 2 2 2" xfId="28595" xr:uid="{97BDA337-4F9D-4FD6-A3AC-7B1075FE8142}"/>
    <cellStyle name="Normal 7 7 2 2 2 2 2 3" xfId="16128" xr:uid="{749F2506-1275-4FE1-9B3C-CDBBA18209C4}"/>
    <cellStyle name="Normal 7 7 2 2 2 2 3" xfId="8581" xr:uid="{A27FDD61-B51F-4FF3-A34D-50C81E058EA0}"/>
    <cellStyle name="Normal 7 7 2 2 2 2 3 2" xfId="18961" xr:uid="{070E0826-5C0A-4EAC-A5D5-B9B8AE0D3F26}"/>
    <cellStyle name="Normal 7 7 2 2 2 2 4" xfId="11414" xr:uid="{AD85F889-70BF-4B6F-86E2-4CAF020A8D65}"/>
    <cellStyle name="Normal 7 7 2 2 2 2 4 2" xfId="21794" xr:uid="{666F27A8-083A-41CF-B434-33B854BF45B3}"/>
    <cellStyle name="Normal 7 7 2 2 2 2 5" xfId="23129" xr:uid="{1544CB35-C14E-4597-954C-49812D8BC5E9}"/>
    <cellStyle name="Normal 7 7 2 2 2 2 6" xfId="14101" xr:uid="{39E9F013-8260-4ABF-8905-3CF26F0B8C49}"/>
    <cellStyle name="Normal 7 7 2 2 2 3" xfId="4381" xr:uid="{85F90BBB-79EA-478E-BDB4-7E8FEF344D4D}"/>
    <cellStyle name="Normal 7 7 2 2 2 3 2" xfId="9153" xr:uid="{38B64029-21D7-4897-BA77-1B347FF4F390}"/>
    <cellStyle name="Normal 7 7 2 2 2 3 2 2" xfId="29196" xr:uid="{06DD33A1-CE5A-4EB3-BCBC-B5C0CA49173F}"/>
    <cellStyle name="Normal 7 7 2 2 2 3 2 3" xfId="19533" xr:uid="{A598D3CF-E9CF-409E-8B97-CC87BF0FF12F}"/>
    <cellStyle name="Normal 7 7 2 2 2 3 3" xfId="11986" xr:uid="{D373C97D-45CF-4BEF-A073-82DDB7413D83}"/>
    <cellStyle name="Normal 7 7 2 2 2 3 3 2" xfId="22366" xr:uid="{BEC795A3-CE18-4BE7-BBEC-62059D814D08}"/>
    <cellStyle name="Normal 7 7 2 2 2 3 4" xfId="25311" xr:uid="{1D2493A3-FDCA-495A-A00D-9054AC1C4C25}"/>
    <cellStyle name="Normal 7 7 2 2 2 3 5" xfId="16700" xr:uid="{BA564E98-3E95-425F-9FA4-5844E35C1F0A}"/>
    <cellStyle name="Normal 7 7 2 2 2 4" xfId="6065" xr:uid="{4913AD3F-20F7-4BDA-9BB3-4CE0BCC21811}"/>
    <cellStyle name="Normal 7 7 2 2 2 4 2" xfId="27103" xr:uid="{8A02BD49-AC21-4A59-ABA4-8342BADB1107}"/>
    <cellStyle name="Normal 7 7 2 2 2 4 3" xfId="15521" xr:uid="{EDB941BA-97FF-4D0B-8BF8-E415CA77F7C7}"/>
    <cellStyle name="Normal 7 7 2 2 2 5" xfId="7974" xr:uid="{83DC090E-6FEF-4203-A51F-15D01AE05D3E}"/>
    <cellStyle name="Normal 7 7 2 2 2 5 2" xfId="18354" xr:uid="{2B273C8A-00DB-48EA-81A1-692E752B9199}"/>
    <cellStyle name="Normal 7 7 2 2 2 6" xfId="10807" xr:uid="{ECE1C341-1B68-4022-8AEA-999CFBB31D2C}"/>
    <cellStyle name="Normal 7 7 2 2 2 6 2" xfId="21187" xr:uid="{2C6C8BF7-8425-4C9F-9CE3-1FD679234A8B}"/>
    <cellStyle name="Normal 7 7 2 2 2 7" xfId="22809" xr:uid="{9745E6A6-F7C5-449A-A002-2EFF8514DA9F}"/>
    <cellStyle name="Normal 7 7 2 2 2 8" xfId="13336" xr:uid="{F701AE6D-CFB1-425D-8A6E-47148B9CE4F5}"/>
    <cellStyle name="Normal 7 7 2 2 3" xfId="3504" xr:uid="{00000000-0005-0000-0000-000039090000}"/>
    <cellStyle name="Normal 7 7 2 2 3 2" xfId="4611" xr:uid="{CE2BAE83-4160-4C93-BE4F-5776AB29D064}"/>
    <cellStyle name="Normal 7 7 2 2 3 2 2" xfId="9383" xr:uid="{611FFDF8-3421-4D2D-8B18-059E921A591E}"/>
    <cellStyle name="Normal 7 7 2 2 3 2 2 2" xfId="19763" xr:uid="{60986F51-A049-4B2D-98B9-635DA865E423}"/>
    <cellStyle name="Normal 7 7 2 2 3 2 3" xfId="12216" xr:uid="{B849224E-1C69-47F9-A9C3-81F3BDC81132}"/>
    <cellStyle name="Normal 7 7 2 2 3 2 3 2" xfId="22596" xr:uid="{9A475CEB-EAD1-42D7-A212-781A1D748227}"/>
    <cellStyle name="Normal 7 7 2 2 3 2 4" xfId="27484" xr:uid="{2695481F-4E16-4567-94BC-F425171C3220}"/>
    <cellStyle name="Normal 7 7 2 2 3 2 5" xfId="16930" xr:uid="{CFFD335A-CFC9-483B-9AA9-8A636E873DAD}"/>
    <cellStyle name="Normal 7 7 2 2 3 3" xfId="6556" xr:uid="{6A997E21-21D9-4D28-BB9F-EFF44D1DEC54}"/>
    <cellStyle name="Normal 7 7 2 2 3 3 2" xfId="16129" xr:uid="{98EA32EC-176A-4F2A-A1E5-AB0855E7FDF9}"/>
    <cellStyle name="Normal 7 7 2 2 3 4" xfId="8582" xr:uid="{A94759A3-7CAD-458E-AFD5-E11467111F6E}"/>
    <cellStyle name="Normal 7 7 2 2 3 4 2" xfId="18962" xr:uid="{F67D37A4-7FAD-4B31-817F-AD4EC7DD8553}"/>
    <cellStyle name="Normal 7 7 2 2 3 5" xfId="11415" xr:uid="{4FDF9CA4-E128-44DD-9D8E-A74EA72AE15C}"/>
    <cellStyle name="Normal 7 7 2 2 3 5 2" xfId="21795" xr:uid="{2124FE84-72A1-4CA6-9CBA-212E6C07F703}"/>
    <cellStyle name="Normal 7 7 2 2 3 6" xfId="25125" xr:uid="{CA259301-9E2C-45FF-8833-2E2A107B0C1C}"/>
    <cellStyle name="Normal 7 7 2 2 3 7" xfId="14102" xr:uid="{05C014A3-96AE-4AB2-AC0C-ECF1386EEE7D}"/>
    <cellStyle name="Normal 7 7 2 2 4" xfId="3502" xr:uid="{00000000-0005-0000-0000-00003A090000}"/>
    <cellStyle name="Normal 7 7 2 2 4 2" xfId="6554" xr:uid="{B95E6696-FDC6-4E21-8239-05764AEE9548}"/>
    <cellStyle name="Normal 7 7 2 2 4 2 2" xfId="28430" xr:uid="{06B56C5B-3707-41FB-BA0C-C9CA506A321E}"/>
    <cellStyle name="Normal 7 7 2 2 4 2 3" xfId="16127" xr:uid="{EC1CB896-F84C-4D63-9AA4-FA793E838C91}"/>
    <cellStyle name="Normal 7 7 2 2 4 3" xfId="8580" xr:uid="{195E87B3-5AA1-4A48-A601-AD26DCC7C1F0}"/>
    <cellStyle name="Normal 7 7 2 2 4 3 2" xfId="18960" xr:uid="{F962E145-9005-4470-9F8D-C8C2B973C01D}"/>
    <cellStyle name="Normal 7 7 2 2 4 4" xfId="11413" xr:uid="{DA19A551-FC06-42D2-8792-781DC09997D7}"/>
    <cellStyle name="Normal 7 7 2 2 4 4 2" xfId="21793" xr:uid="{8174A278-1E41-4832-A302-CBBAE22B57A2}"/>
    <cellStyle name="Normal 7 7 2 2 4 5" xfId="22770" xr:uid="{A0C9C968-AA72-45F4-9E8F-B6D3CF0D4FC2}"/>
    <cellStyle name="Normal 7 7 2 2 4 6" xfId="14100" xr:uid="{353CAE13-8D4C-46D6-9905-B586747E12DF}"/>
    <cellStyle name="Normal 7 7 2 2 5" xfId="4243" xr:uid="{02C7555F-C4FD-492B-8F94-B1D216A041FD}"/>
    <cellStyle name="Normal 7 7 2 2 5 2" xfId="9015" xr:uid="{7DF9B4B5-E7FA-41F8-B2DB-8E3BC72C2903}"/>
    <cellStyle name="Normal 7 7 2 2 5 2 2" xfId="29086" xr:uid="{BBB082D7-D16D-4803-ABDB-876E5E068720}"/>
    <cellStyle name="Normal 7 7 2 2 5 2 3" xfId="19395" xr:uid="{F570B7DD-221F-47C6-9633-EBAF1981BB43}"/>
    <cellStyle name="Normal 7 7 2 2 5 3" xfId="11848" xr:uid="{76711169-FECD-4892-B761-A9AFAFC415D1}"/>
    <cellStyle name="Normal 7 7 2 2 5 3 2" xfId="22228" xr:uid="{4BB2516E-AEFA-4EA7-A252-4C1E062D57F0}"/>
    <cellStyle name="Normal 7 7 2 2 5 4" xfId="24416" xr:uid="{170A7A7D-C5AD-4006-AFF0-83ABD7F0A9D6}"/>
    <cellStyle name="Normal 7 7 2 2 5 5" xfId="16562" xr:uid="{25434C06-C725-4848-8B23-7CB867832F3D}"/>
    <cellStyle name="Normal 7 7 2 2 6" xfId="5515" xr:uid="{EA6BF84F-EF85-44FD-B505-0BD2CD2D6439}"/>
    <cellStyle name="Normal 7 7 2 2 6 2" xfId="26752" xr:uid="{535669B0-D7BE-4815-953A-A0E07F2ECAA3}"/>
    <cellStyle name="Normal 7 7 2 2 6 3" xfId="14811" xr:uid="{4A8885DF-14D8-480D-ABE4-644DA944A0A4}"/>
    <cellStyle name="Normal 7 7 2 2 7" xfId="7264" xr:uid="{AA3516CF-9252-4C9E-9A3F-AAC0CBFA7F80}"/>
    <cellStyle name="Normal 7 7 2 2 7 2" xfId="17644" xr:uid="{7FFE5E33-05BA-4D50-A39E-539BBC0007B4}"/>
    <cellStyle name="Normal 7 7 2 2 8" xfId="10097" xr:uid="{334158FD-A5F5-4E42-A86B-BA8B0A40062D}"/>
    <cellStyle name="Normal 7 7 2 2 8 2" xfId="20477" xr:uid="{9DE1F241-217F-4C6A-9172-1BFCA0E5912A}"/>
    <cellStyle name="Normal 7 7 2 2 9" xfId="22729" xr:uid="{BB04A600-8A16-4C3E-9E6F-DC38BB302AC7}"/>
    <cellStyle name="Normal 7 7 2 3" xfId="2851" xr:uid="{00000000-0005-0000-0000-00003B090000}"/>
    <cellStyle name="Normal 7 7 2 3 2" xfId="3505" xr:uid="{00000000-0005-0000-0000-00003C090000}"/>
    <cellStyle name="Normal 7 7 2 3 2 2" xfId="6557" xr:uid="{74C32873-4400-4FDE-BE43-EBFF4EB983DA}"/>
    <cellStyle name="Normal 7 7 2 3 2 2 2" xfId="28233" xr:uid="{CC7EF20A-BAF7-4373-81C4-99490C3B13DD}"/>
    <cellStyle name="Normal 7 7 2 3 2 2 3" xfId="16130" xr:uid="{C8D02C5F-17F1-4725-9205-7E487E442A5B}"/>
    <cellStyle name="Normal 7 7 2 3 2 3" xfId="8583" xr:uid="{75B88EDC-E732-4C87-8875-B89974FECFEF}"/>
    <cellStyle name="Normal 7 7 2 3 2 3 2" xfId="18963" xr:uid="{47FD6994-A31C-4DA0-826F-BB8704FBEB0B}"/>
    <cellStyle name="Normal 7 7 2 3 2 4" xfId="11416" xr:uid="{360655D1-6344-4F6B-BF55-EE289793D602}"/>
    <cellStyle name="Normal 7 7 2 3 2 4 2" xfId="21796" xr:uid="{2C9FEAA2-CA1A-4DDB-B8E3-59DB57CAF968}"/>
    <cellStyle name="Normal 7 7 2 3 2 5" xfId="24328" xr:uid="{E303D694-140B-447F-A192-9E37FB506793}"/>
    <cellStyle name="Normal 7 7 2 3 2 6" xfId="14103" xr:uid="{D99ABD0F-A978-4142-958A-BDD5E38D9E01}"/>
    <cellStyle name="Normal 7 7 2 3 3" xfId="4380" xr:uid="{11705BEB-5E02-4E11-AB5F-7A28B705A6EB}"/>
    <cellStyle name="Normal 7 7 2 3 3 2" xfId="9152" xr:uid="{DC88A757-CBE9-4871-98FB-470EF2AF4483}"/>
    <cellStyle name="Normal 7 7 2 3 3 2 2" xfId="29195" xr:uid="{CE364987-8BB2-408D-A423-FE4299C75767}"/>
    <cellStyle name="Normal 7 7 2 3 3 2 3" xfId="19532" xr:uid="{D6DF9143-5493-4087-869E-2B14BCB446BF}"/>
    <cellStyle name="Normal 7 7 2 3 3 3" xfId="11985" xr:uid="{441CD3BF-032E-462C-8A92-46A68399F7E4}"/>
    <cellStyle name="Normal 7 7 2 3 3 3 2" xfId="22365" xr:uid="{767C7C25-FFA2-4DD6-B662-D9ECA62A27F9}"/>
    <cellStyle name="Normal 7 7 2 3 3 4" xfId="23600" xr:uid="{6C98C5C0-C0B6-48E1-9DC3-5C7AFA9B2A2C}"/>
    <cellStyle name="Normal 7 7 2 3 3 5" xfId="16699" xr:uid="{26064FA9-A3CF-49E6-A2AE-E6CFDEF805AB}"/>
    <cellStyle name="Normal 7 7 2 3 4" xfId="6064" xr:uid="{910300EE-64A3-4AA8-9876-D5905525DDE7}"/>
    <cellStyle name="Normal 7 7 2 3 4 2" xfId="27193" xr:uid="{D6837CDE-3448-4E7A-8B46-01FF125A9F72}"/>
    <cellStyle name="Normal 7 7 2 3 4 3" xfId="15520" xr:uid="{ECF19E94-8C03-4482-B0B9-EDF99F2F95F9}"/>
    <cellStyle name="Normal 7 7 2 3 5" xfId="7973" xr:uid="{8D198D18-1126-4592-9441-15F49CA4550B}"/>
    <cellStyle name="Normal 7 7 2 3 5 2" xfId="18353" xr:uid="{4BB0996E-FB10-4A95-A636-B4C9250FCC36}"/>
    <cellStyle name="Normal 7 7 2 3 6" xfId="10806" xr:uid="{8AE028EE-40DB-4E3F-B2AC-45A6795FA071}"/>
    <cellStyle name="Normal 7 7 2 3 6 2" xfId="21186" xr:uid="{442527F8-D175-426B-8BCF-89A0BDD12D2A}"/>
    <cellStyle name="Normal 7 7 2 3 7" xfId="23250" xr:uid="{FE9FFA83-38C0-434F-9212-EDB55AC66800}"/>
    <cellStyle name="Normal 7 7 2 3 8" xfId="13335" xr:uid="{2AB79A17-E891-4166-B5A1-3B7735F0A94E}"/>
    <cellStyle name="Normal 7 7 2 4" xfId="3506" xr:uid="{00000000-0005-0000-0000-00003D090000}"/>
    <cellStyle name="Normal 7 7 2 4 2" xfId="4612" xr:uid="{18CAA640-6556-42AE-8F98-37BA36952E4C}"/>
    <cellStyle name="Normal 7 7 2 4 2 2" xfId="9384" xr:uid="{F93D302A-ABD3-47F5-ABAC-118282B8BA8D}"/>
    <cellStyle name="Normal 7 7 2 4 2 2 2" xfId="19764" xr:uid="{3BAB0E7C-A9A2-4610-B07F-49103E3E2BFF}"/>
    <cellStyle name="Normal 7 7 2 4 2 3" xfId="12217" xr:uid="{0290D4EB-95E3-4800-B034-DE84BE33121E}"/>
    <cellStyle name="Normal 7 7 2 4 2 3 2" xfId="22597" xr:uid="{63B5A958-CD44-4AA4-8665-DFA2B6927A0F}"/>
    <cellStyle name="Normal 7 7 2 4 2 4" xfId="26735" xr:uid="{83471AB3-1BEA-47B6-A89A-DC88358E0FC5}"/>
    <cellStyle name="Normal 7 7 2 4 2 5" xfId="16931" xr:uid="{01CBAAEA-9B2E-4411-A2DF-09E44DB7863D}"/>
    <cellStyle name="Normal 7 7 2 4 3" xfId="6558" xr:uid="{2C4972A3-539A-4EEF-81DF-322B26E56178}"/>
    <cellStyle name="Normal 7 7 2 4 3 2" xfId="16131" xr:uid="{7F54276A-4DED-4EE8-B380-72562D86ADE1}"/>
    <cellStyle name="Normal 7 7 2 4 4" xfId="8584" xr:uid="{02F6784B-F759-42E7-B1D2-3BF47A98356E}"/>
    <cellStyle name="Normal 7 7 2 4 4 2" xfId="18964" xr:uid="{5394B1FA-B686-44C9-AB3D-FD4E8C76B3BF}"/>
    <cellStyle name="Normal 7 7 2 4 5" xfId="11417" xr:uid="{78A4CAEC-81D6-4084-A8BB-60CCFA5D6450}"/>
    <cellStyle name="Normal 7 7 2 4 5 2" xfId="21797" xr:uid="{FB44EFB1-93E2-4525-8CD0-5B3A0590DE40}"/>
    <cellStyle name="Normal 7 7 2 4 6" xfId="25477" xr:uid="{FC04CEE0-1EF2-49D9-B678-B5E49C2DCCC7}"/>
    <cellStyle name="Normal 7 7 2 4 7" xfId="14104" xr:uid="{2DF58188-7F74-40DC-81D6-0BE8F5911262}"/>
    <cellStyle name="Normal 7 7 2 5" xfId="3501" xr:uid="{00000000-0005-0000-0000-00003E090000}"/>
    <cellStyle name="Normal 7 7 2 5 2" xfId="6553" xr:uid="{744E8FEC-BB66-403F-9219-1A9096D30CA3}"/>
    <cellStyle name="Normal 7 7 2 5 2 2" xfId="27447" xr:uid="{4318EE14-9EA5-4287-A009-C15F27EE49EF}"/>
    <cellStyle name="Normal 7 7 2 5 2 3" xfId="16126" xr:uid="{7CDE6C64-659F-4DE3-BD73-7B8A01EE1139}"/>
    <cellStyle name="Normal 7 7 2 5 3" xfId="8579" xr:uid="{4F0CB3D6-4986-472E-916C-8026CE28F1AA}"/>
    <cellStyle name="Normal 7 7 2 5 3 2" xfId="18959" xr:uid="{4A82204B-4A83-43F6-A1E7-B1AC6F7EF695}"/>
    <cellStyle name="Normal 7 7 2 5 4" xfId="11412" xr:uid="{2A46D254-9B3E-4597-946D-E560017E6407}"/>
    <cellStyle name="Normal 7 7 2 5 4 2" xfId="21792" xr:uid="{A75CC807-F6BC-48DB-9BFC-9CBCF0E393EB}"/>
    <cellStyle name="Normal 7 7 2 5 5" xfId="23077" xr:uid="{38185F1E-9A85-4922-ACD6-988073C3BE36}"/>
    <cellStyle name="Normal 7 7 2 5 6" xfId="14099" xr:uid="{AD4F087C-6797-4F8B-BC18-D91177481C8F}"/>
    <cellStyle name="Normal 7 7 2 6" xfId="2551" xr:uid="{00000000-0005-0000-0000-00003F090000}"/>
    <cellStyle name="Normal 7 7 2 6 2" xfId="5823" xr:uid="{55FDA0E5-B7A5-4C7D-A6AE-4E27236F019B}"/>
    <cellStyle name="Normal 7 7 2 6 2 2" xfId="26760" xr:uid="{FF5A90EE-9ED1-4201-8BAA-0570895F5DFD}"/>
    <cellStyle name="Normal 7 7 2 6 2 3" xfId="15223" xr:uid="{A1833B6B-45CB-4E2E-A29F-F98B210BA2AC}"/>
    <cellStyle name="Normal 7 7 2 6 3" xfId="7676" xr:uid="{0C046EB4-3079-4CF8-9250-B840841387EF}"/>
    <cellStyle name="Normal 7 7 2 6 3 2" xfId="18056" xr:uid="{A1819B08-C3E9-4709-9A61-311CE1A80C26}"/>
    <cellStyle name="Normal 7 7 2 6 4" xfId="10509" xr:uid="{E135B376-9EE0-4910-850C-9FF8DEC2F005}"/>
    <cellStyle name="Normal 7 7 2 6 4 2" xfId="20889" xr:uid="{D478F345-D789-4531-974D-0DB27AF6DCEE}"/>
    <cellStyle name="Normal 7 7 2 6 5" xfId="22829" xr:uid="{F828551F-C002-41D8-91B3-2456343F7AB8}"/>
    <cellStyle name="Normal 7 7 2 6 6" xfId="12939" xr:uid="{6466CFE4-7C87-4F70-A313-C28E5FA435CD}"/>
    <cellStyle name="Normal 7 7 2 7" xfId="2245" xr:uid="{00000000-0005-0000-0000-000035090000}"/>
    <cellStyle name="Normal 7 7 2 7 2" xfId="7372" xr:uid="{C90A7C76-9FBA-4F49-B74D-620A284E05B2}"/>
    <cellStyle name="Normal 7 7 2 7 2 2" xfId="17752" xr:uid="{214AC6BA-9E2E-4049-869A-D296B8488A81}"/>
    <cellStyle name="Normal 7 7 2 7 3" xfId="10205" xr:uid="{222B8ACB-F360-48CC-9C41-5C5F6E216311}"/>
    <cellStyle name="Normal 7 7 2 7 3 2" xfId="20585" xr:uid="{8EBA7DCE-D183-4FAA-B2B3-C3CAC029ADDA}"/>
    <cellStyle name="Normal 7 7 2 7 4" xfId="25370" xr:uid="{A2861691-64ED-4C59-A9EB-142B63F50E5A}"/>
    <cellStyle name="Normal 7 7 2 7 5" xfId="14919" xr:uid="{933DB0ED-1D3B-4955-BC4C-3152E12FEF4D}"/>
    <cellStyle name="Normal 7 7 2 8" xfId="3798" xr:uid="{E5E400FB-C358-4E4D-B459-DD38D66E6E48}"/>
    <cellStyle name="Normal 7 7 2 8 2" xfId="8634" xr:uid="{9C5CA804-3A2C-4EA5-A190-E58CF3A306D5}"/>
    <cellStyle name="Normal 7 7 2 8 2 2" xfId="19014" xr:uid="{DE7F16E4-AA72-4DC9-8C67-2B6F6F4E7487}"/>
    <cellStyle name="Normal 7 7 2 8 3" xfId="11467" xr:uid="{5F8BF3F2-0546-426E-919A-D58EB0D5EC30}"/>
    <cellStyle name="Normal 7 7 2 8 3 2" xfId="21847" xr:uid="{18DD9CC4-9F3D-449B-974E-5EA1558F48CB}"/>
    <cellStyle name="Normal 7 7 2 8 4" xfId="16181" xr:uid="{1695695F-2464-41D6-AAB1-EFDD296FE4A2}"/>
    <cellStyle name="Normal 7 7 2 9" xfId="5514" xr:uid="{67402623-62A7-484C-BBBD-29B0747A30AE}"/>
    <cellStyle name="Normal 7 7 2 9 2" xfId="14810" xr:uid="{C623544B-77DF-432D-98B2-3EFA6A5FBC1B}"/>
    <cellStyle name="Normal 7 7 3" xfId="1519" xr:uid="{00000000-0005-0000-0000-0000C8070000}"/>
    <cellStyle name="Normal 7 7 3 10" xfId="10098" xr:uid="{E889C744-B608-43B5-BB3E-ACFE2A4C50EA}"/>
    <cellStyle name="Normal 7 7 3 10 2" xfId="20478" xr:uid="{8D285B90-6549-4EE6-AB9F-079A362A9800}"/>
    <cellStyle name="Normal 7 7 3 11" xfId="22641" xr:uid="{A5951408-860D-411A-BD5F-CA66E2B35D51}"/>
    <cellStyle name="Normal 7 7 3 12" xfId="12651" xr:uid="{03EE881B-1C63-4E95-9385-147D60493E94}"/>
    <cellStyle name="Normal 7 7 3 2" xfId="2853" xr:uid="{00000000-0005-0000-0000-000041090000}"/>
    <cellStyle name="Normal 7 7 3 2 2" xfId="3508" xr:uid="{00000000-0005-0000-0000-000042090000}"/>
    <cellStyle name="Normal 7 7 3 2 2 2" xfId="6560" xr:uid="{2C71E10F-77E2-480D-992A-F093AC9F1BCE}"/>
    <cellStyle name="Normal 7 7 3 2 2 2 2" xfId="25912" xr:uid="{98416AC1-7510-4ECC-8DB9-CA572F2882A9}"/>
    <cellStyle name="Normal 7 7 3 2 2 2 3" xfId="16133" xr:uid="{D062C442-F187-4EAD-91F9-D04044821CDA}"/>
    <cellStyle name="Normal 7 7 3 2 2 3" xfId="8586" xr:uid="{B7C43149-46D8-4831-A649-740A5B6F2BDD}"/>
    <cellStyle name="Normal 7 7 3 2 2 3 2" xfId="18966" xr:uid="{E547BB34-0BE3-4C17-8AF5-1E2A567BE5AB}"/>
    <cellStyle name="Normal 7 7 3 2 2 4" xfId="11419" xr:uid="{FF2A3025-8A1F-441D-ACE8-64BDE0D1135C}"/>
    <cellStyle name="Normal 7 7 3 2 2 4 2" xfId="21799" xr:uid="{EA46ECA1-2BDF-4F03-977D-5861686BFB7C}"/>
    <cellStyle name="Normal 7 7 3 2 2 5" xfId="24043" xr:uid="{DE9FD3CB-5AE4-43AC-BED0-8D042F99DAA2}"/>
    <cellStyle name="Normal 7 7 3 2 2 6" xfId="14106" xr:uid="{759737F0-C4A8-4FBA-82DF-065AEDEA5EAA}"/>
    <cellStyle name="Normal 7 7 3 2 3" xfId="4382" xr:uid="{3C28BC18-1B7B-43C7-8BF0-93A4A445BB24}"/>
    <cellStyle name="Normal 7 7 3 2 3 2" xfId="9154" xr:uid="{2D561BC2-362F-450B-825F-BA789CCF5760}"/>
    <cellStyle name="Normal 7 7 3 2 3 2 2" xfId="29197" xr:uid="{A0E574BF-9E24-48E1-A271-0DFCAA34FABA}"/>
    <cellStyle name="Normal 7 7 3 2 3 2 3" xfId="19534" xr:uid="{ED971030-3520-4518-A462-0354BF77764C}"/>
    <cellStyle name="Normal 7 7 3 2 3 3" xfId="11987" xr:uid="{89053BC3-BE6D-4BA1-A02E-7C814AAD062A}"/>
    <cellStyle name="Normal 7 7 3 2 3 3 2" xfId="22367" xr:uid="{8FB6A495-6AAC-4A79-958E-26038FB2225B}"/>
    <cellStyle name="Normal 7 7 3 2 3 4" xfId="24519" xr:uid="{DABB4DE9-D7AF-438F-B64E-5FCAFC4C9344}"/>
    <cellStyle name="Normal 7 7 3 2 3 5" xfId="16701" xr:uid="{EC4484C3-4297-406D-8770-5C9C01B586CD}"/>
    <cellStyle name="Normal 7 7 3 2 4" xfId="6066" xr:uid="{6D51BC33-05C7-4AA0-91CE-E2E28C585877}"/>
    <cellStyle name="Normal 7 7 3 2 4 2" xfId="27251" xr:uid="{B1C0F13B-5457-42CF-BF0D-1810B67828FE}"/>
    <cellStyle name="Normal 7 7 3 2 4 3" xfId="15522" xr:uid="{3A80E960-9A1C-4E96-93ED-B76F8CFDB768}"/>
    <cellStyle name="Normal 7 7 3 2 5" xfId="7975" xr:uid="{DC3F4607-8FBF-4229-ABF0-992CE51C53E7}"/>
    <cellStyle name="Normal 7 7 3 2 5 2" xfId="18355" xr:uid="{FBCE5760-87AC-4838-A3E6-27D17E88049E}"/>
    <cellStyle name="Normal 7 7 3 2 6" xfId="10808" xr:uid="{33977F88-70FF-460E-B122-E4355F19D071}"/>
    <cellStyle name="Normal 7 7 3 2 6 2" xfId="21188" xr:uid="{CF81CA87-9367-4294-9F2C-D29238041B5A}"/>
    <cellStyle name="Normal 7 7 3 2 7" xfId="24268" xr:uid="{227AD105-8158-4CA4-8393-6C398F7799EA}"/>
    <cellStyle name="Normal 7 7 3 2 8" xfId="13337" xr:uid="{8548A3FC-6708-4D3D-8F1C-19F3CF3BD883}"/>
    <cellStyle name="Normal 7 7 3 3" xfId="3509" xr:uid="{00000000-0005-0000-0000-000043090000}"/>
    <cellStyle name="Normal 7 7 3 3 2" xfId="4613" xr:uid="{89F2C6BD-23ED-462B-BE28-A288060C0DFC}"/>
    <cellStyle name="Normal 7 7 3 3 2 2" xfId="9385" xr:uid="{6BD16B65-C7FD-4472-AF20-AED7BF8EB114}"/>
    <cellStyle name="Normal 7 7 3 3 2 2 2" xfId="29351" xr:uid="{CE945988-CE41-416F-9389-6C5A28DBEFB9}"/>
    <cellStyle name="Normal 7 7 3 3 2 2 3" xfId="19765" xr:uid="{4871CDDE-717F-4676-912F-B3C6676B08B2}"/>
    <cellStyle name="Normal 7 7 3 3 2 3" xfId="12218" xr:uid="{D5B51F42-3B77-4B7B-B20B-0F6862F78B2B}"/>
    <cellStyle name="Normal 7 7 3 3 2 3 2" xfId="22598" xr:uid="{DF955F6C-3FD3-4721-8986-CBB2F531CE8D}"/>
    <cellStyle name="Normal 7 7 3 3 2 4" xfId="22967" xr:uid="{B54F08A6-E4F0-4C15-9364-FFD55D32FD72}"/>
    <cellStyle name="Normal 7 7 3 3 2 5" xfId="16932" xr:uid="{7ED0E923-34C2-470F-8D78-EEDED3F9E55E}"/>
    <cellStyle name="Normal 7 7 3 3 3" xfId="6561" xr:uid="{C11160E3-667A-4FC9-A89C-BF99B699CA8C}"/>
    <cellStyle name="Normal 7 7 3 3 3 2" xfId="27298" xr:uid="{0C310A5A-8FD1-44F7-98A7-2D659CAC8830}"/>
    <cellStyle name="Normal 7 7 3 3 3 3" xfId="16134" xr:uid="{0AAD95AE-B8C3-43CD-AF1F-1564868FFB79}"/>
    <cellStyle name="Normal 7 7 3 3 4" xfId="8587" xr:uid="{E6D5297D-ED60-439D-AD45-2F6585040639}"/>
    <cellStyle name="Normal 7 7 3 3 4 2" xfId="18967" xr:uid="{88B25C48-3C6A-49D7-9A4F-506E5F76E153}"/>
    <cellStyle name="Normal 7 7 3 3 5" xfId="11420" xr:uid="{1429B78B-9DFC-4CD1-A4F4-38C8711203FD}"/>
    <cellStyle name="Normal 7 7 3 3 5 2" xfId="21800" xr:uid="{DD683835-E77C-4AFC-AD20-495BB7C4E235}"/>
    <cellStyle name="Normal 7 7 3 3 6" xfId="24142" xr:uid="{93DCECB9-975E-42C3-9907-5E74D5D2E8DB}"/>
    <cellStyle name="Normal 7 7 3 3 7" xfId="14107" xr:uid="{C4399ED8-7591-46FE-B310-02CB5B65204B}"/>
    <cellStyle name="Normal 7 7 3 4" xfId="3507" xr:uid="{00000000-0005-0000-0000-000044090000}"/>
    <cellStyle name="Normal 7 7 3 4 2" xfId="6559" xr:uid="{1984D6E0-282E-4076-8C31-6CB41BBB2BAF}"/>
    <cellStyle name="Normal 7 7 3 4 2 2" xfId="28593" xr:uid="{390798B3-EDAD-47F5-8E0D-7DF5B23894E0}"/>
    <cellStyle name="Normal 7 7 3 4 2 3" xfId="16132" xr:uid="{A16C6FA9-2BC2-409C-9085-BDEFC89B3A64}"/>
    <cellStyle name="Normal 7 7 3 4 3" xfId="8585" xr:uid="{F71AF641-77A0-4621-B5FD-59ADB04C380B}"/>
    <cellStyle name="Normal 7 7 3 4 3 2" xfId="18965" xr:uid="{20B68CA9-8F1E-4ABA-B033-087AE22CDEA6}"/>
    <cellStyle name="Normal 7 7 3 4 4" xfId="11418" xr:uid="{51AB0A02-1BA8-4DC5-968C-E30C5C243333}"/>
    <cellStyle name="Normal 7 7 3 4 4 2" xfId="21798" xr:uid="{C679DD6D-B400-4C98-A3D8-7480E708AAA5}"/>
    <cellStyle name="Normal 7 7 3 4 5" xfId="25215" xr:uid="{0D2936A6-6A59-4AD1-A31C-86CF60E30A99}"/>
    <cellStyle name="Normal 7 7 3 4 6" xfId="14105" xr:uid="{FB82D7A7-6D4D-4CCD-9DC5-6079FA52C303}"/>
    <cellStyle name="Normal 7 7 3 5" xfId="2594" xr:uid="{00000000-0005-0000-0000-000045090000}"/>
    <cellStyle name="Normal 7 7 3 5 2" xfId="5859" xr:uid="{65C0C5E9-B5FE-4B00-BB73-6D05B81BECA7}"/>
    <cellStyle name="Normal 7 7 3 5 2 2" xfId="27495" xr:uid="{8976DB23-6182-4E09-BB4E-85FDB6028B0E}"/>
    <cellStyle name="Normal 7 7 3 5 2 3" xfId="15266" xr:uid="{68F632A7-3E9A-4977-ACA3-0D0FB789A307}"/>
    <cellStyle name="Normal 7 7 3 5 3" xfId="7719" xr:uid="{9503F60A-FB99-424D-8528-B8769E72E29A}"/>
    <cellStyle name="Normal 7 7 3 5 3 2" xfId="18099" xr:uid="{A4130C95-0520-48FA-8FC7-9EB54D98CAC0}"/>
    <cellStyle name="Normal 7 7 3 5 4" xfId="10552" xr:uid="{CCC5433F-11C5-45BC-BBF3-AC5C8DDC16DB}"/>
    <cellStyle name="Normal 7 7 3 5 4 2" xfId="20932" xr:uid="{670411DC-1AAF-4A0F-9FCA-321B4DF9CB56}"/>
    <cellStyle name="Normal 7 7 3 5 5" xfId="23411" xr:uid="{12B9F687-3FC5-4F87-8D20-81FD6AA3783F}"/>
    <cellStyle name="Normal 7 7 3 5 6" xfId="12982" xr:uid="{1166DE3E-3C7B-42CF-B559-6D09ACE261F3}"/>
    <cellStyle name="Normal 7 7 3 6" xfId="2417" xr:uid="{00000000-0005-0000-0000-000040090000}"/>
    <cellStyle name="Normal 7 7 3 6 2" xfId="7544" xr:uid="{6B297C61-A426-42E2-BEFD-15D95033E98E}"/>
    <cellStyle name="Normal 7 7 3 6 2 2" xfId="17924" xr:uid="{2A0680CD-4EBA-46BD-9693-B834435C83CD}"/>
    <cellStyle name="Normal 7 7 3 6 3" xfId="10377" xr:uid="{AB717565-D3D4-4787-9882-274138B115C6}"/>
    <cellStyle name="Normal 7 7 3 6 3 2" xfId="20757" xr:uid="{62D5210C-DF24-409A-8CF5-423136382B68}"/>
    <cellStyle name="Normal 7 7 3 6 4" xfId="25473" xr:uid="{A8F125F6-B67B-425C-B4CD-736F07ADCDA6}"/>
    <cellStyle name="Normal 7 7 3 6 5" xfId="15091" xr:uid="{4EB859A2-46E3-428E-9E46-011564E713B6}"/>
    <cellStyle name="Normal 7 7 3 7" xfId="4110" xr:uid="{B189E86A-2154-44E9-9A33-0D9EF6B4E6B6}"/>
    <cellStyle name="Normal 7 7 3 7 2" xfId="8882" xr:uid="{43DA4BAD-E702-449B-8FA6-6CD0B1F3A39D}"/>
    <cellStyle name="Normal 7 7 3 7 2 2" xfId="19262" xr:uid="{2AEDCD54-9FC7-4366-9AB8-7514E84CF886}"/>
    <cellStyle name="Normal 7 7 3 7 3" xfId="11715" xr:uid="{C913724C-EE6F-4A03-9599-9950CD04EF4A}"/>
    <cellStyle name="Normal 7 7 3 7 3 2" xfId="22095" xr:uid="{261D23D1-D351-4F14-B881-34DEF734E131}"/>
    <cellStyle name="Normal 7 7 3 7 4" xfId="16429" xr:uid="{372E77CC-B278-4852-AA7D-CFAA1E13DB5F}"/>
    <cellStyle name="Normal 7 7 3 8" xfId="5516" xr:uid="{38CDE3D7-BD94-440F-BC4A-FFA35C9DF975}"/>
    <cellStyle name="Normal 7 7 3 8 2" xfId="14812" xr:uid="{2FD30E6F-6ED0-43C8-9631-418C3989C55B}"/>
    <cellStyle name="Normal 7 7 3 9" xfId="7265" xr:uid="{04B2EFA9-4445-41FD-8320-BF4E5323E45F}"/>
    <cellStyle name="Normal 7 7 3 9 2" xfId="17645" xr:uid="{6ACD7728-431E-47FD-8FFF-C9592A3F86FA}"/>
    <cellStyle name="Normal 7 7 4" xfId="1520" xr:uid="{00000000-0005-0000-0000-0000C9070000}"/>
    <cellStyle name="Normal 7 7 4 2" xfId="3510" xr:uid="{00000000-0005-0000-0000-000047090000}"/>
    <cellStyle name="Normal 7 7 4 2 2" xfId="6562" xr:uid="{5951E54E-719C-4037-AD11-C2C8F91FDB72}"/>
    <cellStyle name="Normal 7 7 4 2 2 2" xfId="27805" xr:uid="{DD56CBD4-AEC2-4087-8477-E394135DF909}"/>
    <cellStyle name="Normal 7 7 4 2 2 3" xfId="16135" xr:uid="{BD0338E6-F04C-4F98-B34C-AF7E98B7DEF8}"/>
    <cellStyle name="Normal 7 7 4 2 3" xfId="8588" xr:uid="{746314BD-1259-4FA7-9646-1C695E3C3E75}"/>
    <cellStyle name="Normal 7 7 4 2 3 2" xfId="18968" xr:uid="{B9FF924B-6B07-42E7-A558-E33F607CD720}"/>
    <cellStyle name="Normal 7 7 4 2 4" xfId="11421" xr:uid="{CDC3E7EF-FCED-47C5-9289-48FC29A3F926}"/>
    <cellStyle name="Normal 7 7 4 2 4 2" xfId="21801" xr:uid="{37B0ED64-278B-42A4-B264-31715841ADD8}"/>
    <cellStyle name="Normal 7 7 4 2 5" xfId="24849" xr:uid="{72FDC550-40FB-4880-A159-156CB101B6C4}"/>
    <cellStyle name="Normal 7 7 4 2 6" xfId="14108" xr:uid="{F3F1CB74-2384-47B2-9530-1C3EEAA9B51E}"/>
    <cellStyle name="Normal 7 7 4 3" xfId="2850" xr:uid="{00000000-0005-0000-0000-000048090000}"/>
    <cellStyle name="Normal 7 7 4 3 2" xfId="6063" xr:uid="{600D4439-761D-4C8F-B0E5-3E1CA5CB2EB5}"/>
    <cellStyle name="Normal 7 7 4 3 2 2" xfId="27962" xr:uid="{53570348-B679-4121-BCCE-C8F2FB6B97B7}"/>
    <cellStyle name="Normal 7 7 4 3 2 3" xfId="15519" xr:uid="{D2E905DC-110E-4CFC-A27D-AFBD9F6A5ACC}"/>
    <cellStyle name="Normal 7 7 4 3 3" xfId="7972" xr:uid="{6E0010E1-752C-4732-958B-C8C972E03978}"/>
    <cellStyle name="Normal 7 7 4 3 3 2" xfId="18352" xr:uid="{5C8CF515-945F-4F4F-A02D-D88D97E072F7}"/>
    <cellStyle name="Normal 7 7 4 3 4" xfId="10805" xr:uid="{2921DA33-5276-4965-97F6-DE9E839BA630}"/>
    <cellStyle name="Normal 7 7 4 3 4 2" xfId="21185" xr:uid="{7D8DC2DD-D5F1-4A0D-B41B-C5E71C854740}"/>
    <cellStyle name="Normal 7 7 4 3 5" xfId="24540" xr:uid="{C84E83C0-9320-4903-A72B-389578FC6790}"/>
    <cellStyle name="Normal 7 7 4 3 6" xfId="13334" xr:uid="{32DADDCA-2A3F-4968-9F75-3570127E37B7}"/>
    <cellStyle name="Normal 7 7 4 4" xfId="4232" xr:uid="{FED24733-1034-41B0-B4E3-3EAB52254506}"/>
    <cellStyle name="Normal 7 7 4 4 2" xfId="9004" xr:uid="{6DE852C9-6ECD-4166-B3D5-7D3FB8C76CB6}"/>
    <cellStyle name="Normal 7 7 4 4 2 2" xfId="19384" xr:uid="{AE2D6D5C-5F6E-4488-85D8-83AD15BFD4B8}"/>
    <cellStyle name="Normal 7 7 4 4 3" xfId="11837" xr:uid="{9D85BA2E-63D2-4AC6-9058-7570338D4AB8}"/>
    <cellStyle name="Normal 7 7 4 4 3 2" xfId="22217" xr:uid="{A11DE655-8593-432C-B1CE-9692FB6EBDE7}"/>
    <cellStyle name="Normal 7 7 4 4 4" xfId="22833" xr:uid="{3545043A-97C3-4BEB-9A86-224F9F340D6F}"/>
    <cellStyle name="Normal 7 7 4 4 5" xfId="16551" xr:uid="{A86AA6D0-CDE3-4675-9D71-9C1166E80231}"/>
    <cellStyle name="Normal 7 7 4 5" xfId="5517" xr:uid="{073EF0F5-9C31-416A-9755-CFE675F63728}"/>
    <cellStyle name="Normal 7 7 4 5 2" xfId="14813" xr:uid="{690DDAB2-3F10-4C76-8258-BAC99B58EFA9}"/>
    <cellStyle name="Normal 7 7 4 6" xfId="7266" xr:uid="{E72904BC-11DC-4089-A0A0-68665237A9C1}"/>
    <cellStyle name="Normal 7 7 4 6 2" xfId="17646" xr:uid="{5593957B-21CB-467A-A601-0DFB57B04A95}"/>
    <cellStyle name="Normal 7 7 4 7" xfId="10099" xr:uid="{6E160AC4-EE6C-4514-B4B6-94E8D49BF565}"/>
    <cellStyle name="Normal 7 7 4 7 2" xfId="20479" xr:uid="{7E63E60C-F133-4A48-A85B-351F15CEBEB1}"/>
    <cellStyle name="Normal 7 7 4 8" xfId="24255" xr:uid="{B4BBCC62-20CB-4D6D-9BA8-7EC9921C9202}"/>
    <cellStyle name="Normal 7 7 4 9" xfId="12809" xr:uid="{6248B075-03D7-4527-8BD0-355FE7F0EA73}"/>
    <cellStyle name="Normal 7 7 5" xfId="3511" xr:uid="{00000000-0005-0000-0000-000049090000}"/>
    <cellStyle name="Normal 7 7 5 2" xfId="4614" xr:uid="{AD7F6475-AC25-498F-97D9-95AEF50804B2}"/>
    <cellStyle name="Normal 7 7 5 2 2" xfId="9386" xr:uid="{8F7F0EAE-C9BE-4744-9F60-6386BF527B9E}"/>
    <cellStyle name="Normal 7 7 5 2 2 2" xfId="29352" xr:uid="{ECEBF970-57BF-4F36-B9D8-7772EBF484F1}"/>
    <cellStyle name="Normal 7 7 5 2 2 3" xfId="19766" xr:uid="{C0207E13-6EB3-430B-9E3B-7459000F30F7}"/>
    <cellStyle name="Normal 7 7 5 2 3" xfId="12219" xr:uid="{637C8A77-C2DA-41C7-B1C7-7452C0212BD0}"/>
    <cellStyle name="Normal 7 7 5 2 3 2" xfId="22599" xr:uid="{4642DD10-6988-4B16-8DC5-3B2E4EF5DFD9}"/>
    <cellStyle name="Normal 7 7 5 2 4" xfId="23409" xr:uid="{68B934D2-16B5-4574-930C-5F70319B41D6}"/>
    <cellStyle name="Normal 7 7 5 2 5" xfId="16933" xr:uid="{CD8851BF-4305-4276-A211-853AAEB2E18C}"/>
    <cellStyle name="Normal 7 7 5 3" xfId="6563" xr:uid="{D9F50B8A-EAE6-45D2-9757-96D41910DF33}"/>
    <cellStyle name="Normal 7 7 5 3 2" xfId="27705" xr:uid="{E24BC1D6-99A1-4DFF-A3D3-2E93013892F2}"/>
    <cellStyle name="Normal 7 7 5 3 3" xfId="16136" xr:uid="{982AD3F0-373E-4885-8FBF-EDF3A9C70E74}"/>
    <cellStyle name="Normal 7 7 5 4" xfId="8589" xr:uid="{1B986D95-9C6A-4E78-AC0F-DB0EAB511753}"/>
    <cellStyle name="Normal 7 7 5 4 2" xfId="18969" xr:uid="{054C9D3C-8909-4487-87C0-31393BA9DA6E}"/>
    <cellStyle name="Normal 7 7 5 5" xfId="11422" xr:uid="{37B2F39E-A31F-4EAB-87D8-22284A59451D}"/>
    <cellStyle name="Normal 7 7 5 5 2" xfId="21802" xr:uid="{90949D72-122E-4068-81F4-C737F6C36E51}"/>
    <cellStyle name="Normal 7 7 5 6" xfId="24024" xr:uid="{AC4AA60D-E46F-45B2-8D9C-0D4D1CE5B437}"/>
    <cellStyle name="Normal 7 7 5 7" xfId="14109" xr:uid="{5F579650-634B-44AB-A3C2-A2A1102691CD}"/>
    <cellStyle name="Normal 7 7 6" xfId="3005" xr:uid="{00000000-0005-0000-0000-00004A090000}"/>
    <cellStyle name="Normal 7 7 6 2" xfId="6154" xr:uid="{3F76595B-7A70-4313-AD98-64C64CE90066}"/>
    <cellStyle name="Normal 7 7 6 2 2" xfId="26632" xr:uid="{8EFD9527-C9BA-4589-9728-404461208850}"/>
    <cellStyle name="Normal 7 7 6 2 3" xfId="15632" xr:uid="{B92DC15A-9E26-41CE-9CF7-2BEEEA6C274F}"/>
    <cellStyle name="Normal 7 7 6 3" xfId="8085" xr:uid="{D3D83652-7AB7-46DC-88C3-874F8B321725}"/>
    <cellStyle name="Normal 7 7 6 3 2" xfId="18465" xr:uid="{9767A66B-EFCD-4145-A061-7C4934BCFCA5}"/>
    <cellStyle name="Normal 7 7 6 4" xfId="10918" xr:uid="{DB7ADFAE-CF2D-467F-807B-BA750E3358BE}"/>
    <cellStyle name="Normal 7 7 6 4 2" xfId="21298" xr:uid="{66578466-A08C-4AFA-B5BC-5E4E89791B6D}"/>
    <cellStyle name="Normal 7 7 6 5" xfId="22991" xr:uid="{816A3C82-EF97-4D9A-B226-C5314D42E218}"/>
    <cellStyle name="Normal 7 7 6 6" xfId="13507" xr:uid="{6E0DF169-7B30-43CB-8A82-A2C432D548E4}"/>
    <cellStyle name="Normal 7 7 7" xfId="2491" xr:uid="{00000000-0005-0000-0000-00004B090000}"/>
    <cellStyle name="Normal 7 7 7 2" xfId="5776" xr:uid="{615CF55C-5858-42D6-9029-1D0E586CDA6B}"/>
    <cellStyle name="Normal 7 7 7 2 2" xfId="28098" xr:uid="{769996D8-286A-491D-A186-0B38D0DFAC63}"/>
    <cellStyle name="Normal 7 7 7 2 3" xfId="15163" xr:uid="{C65C49A5-3E9C-4503-8446-C9AEC63DAC9E}"/>
    <cellStyle name="Normal 7 7 7 3" xfId="7616" xr:uid="{92F93284-4B3E-428B-B6C2-ED6E69337A90}"/>
    <cellStyle name="Normal 7 7 7 3 2" xfId="17996" xr:uid="{B72C03A7-4BE7-4FD8-9CD2-E00C8E50581D}"/>
    <cellStyle name="Normal 7 7 7 4" xfId="10449" xr:uid="{16A95490-056D-447E-A776-9D50F4B56E51}"/>
    <cellStyle name="Normal 7 7 7 4 2" xfId="20829" xr:uid="{885B6FAB-364E-4C48-8C9F-4A2E219AAB58}"/>
    <cellStyle name="Normal 7 7 7 5" xfId="23314" xr:uid="{D84AA36F-B8A6-41BB-B4EF-78ABA913D2CD}"/>
    <cellStyle name="Normal 7 7 7 6" xfId="12879" xr:uid="{51741595-A603-4C13-8BE4-D5040003A8A2}"/>
    <cellStyle name="Normal 7 7 8" xfId="2185" xr:uid="{00000000-0005-0000-0000-000034090000}"/>
    <cellStyle name="Normal 7 7 8 2" xfId="7312" xr:uid="{8A50AE7F-CCBF-4D2F-BFB9-C1DB2900D60F}"/>
    <cellStyle name="Normal 7 7 8 2 2" xfId="17692" xr:uid="{C0AD61CF-C327-4565-A0B7-69375C2AFFA1}"/>
    <cellStyle name="Normal 7 7 8 3" xfId="10145" xr:uid="{DA9A460A-D310-4A38-B03C-688489590AC9}"/>
    <cellStyle name="Normal 7 7 8 3 2" xfId="20525" xr:uid="{190AFA82-0FA9-45BA-8F06-D61F6BC89869}"/>
    <cellStyle name="Normal 7 7 8 4" xfId="25030" xr:uid="{92A3C3C0-6143-4185-B2A5-8EF3EAEDE877}"/>
    <cellStyle name="Normal 7 7 8 5" xfId="14859" xr:uid="{5BC75154-B7D6-411C-8490-0363E25D9F80}"/>
    <cellStyle name="Normal 7 7 9" xfId="4090" xr:uid="{E2D62470-0D7C-4BCF-8C41-AF626EEE8446}"/>
    <cellStyle name="Normal 7 7 9 2" xfId="8867" xr:uid="{CF944BA7-FF91-4800-BCE3-BDFB2D3CF169}"/>
    <cellStyle name="Normal 7 7 9 2 2" xfId="19247" xr:uid="{F6804887-5FD8-46C0-93BF-ABEB1F4B4B99}"/>
    <cellStyle name="Normal 7 7 9 3" xfId="11700" xr:uid="{DEF9A11B-AF1B-4FC1-8C44-FAF365916466}"/>
    <cellStyle name="Normal 7 7 9 3 2" xfId="22080" xr:uid="{6C9F6523-AC60-46B2-A5DC-FBC016E9FE01}"/>
    <cellStyle name="Normal 7 7 9 4" xfId="16414" xr:uid="{C660FAB7-D96F-4E6C-833A-6DA3D1214498}"/>
    <cellStyle name="Normal 7 8" xfId="1521" xr:uid="{00000000-0005-0000-0000-0000CA070000}"/>
    <cellStyle name="Normal 7 8 10" xfId="5518" xr:uid="{7981F872-048D-44EB-862C-1863490B0EF3}"/>
    <cellStyle name="Normal 7 8 10 2" xfId="14814" xr:uid="{B43B2494-97F5-4498-91B3-E36B565F3B59}"/>
    <cellStyle name="Normal 7 8 11" xfId="7267" xr:uid="{ED7C597E-FD30-4964-9838-BC946C5800E4}"/>
    <cellStyle name="Normal 7 8 11 2" xfId="17647" xr:uid="{CCE1DC93-0221-401E-AF5B-99672ED397DD}"/>
    <cellStyle name="Normal 7 8 12" xfId="10100" xr:uid="{AE0BFB9E-5501-4680-9948-5E84422DA893}"/>
    <cellStyle name="Normal 7 8 12 2" xfId="20480" xr:uid="{4A988483-51E0-412E-9E59-46CEE99C3B41}"/>
    <cellStyle name="Normal 7 8 13" xfId="23702" xr:uid="{BC4496E3-8A18-485B-A7D4-66FE424DFB75}"/>
    <cellStyle name="Normal 7 8 14" xfId="12451" xr:uid="{245E7DAD-1C66-4C24-A686-F0D68E215EC8}"/>
    <cellStyle name="Normal 7 8 2" xfId="1522" xr:uid="{00000000-0005-0000-0000-0000CB070000}"/>
    <cellStyle name="Normal 7 8 2 10" xfId="10101" xr:uid="{98E6AF7D-E713-489B-BFB7-2D85F6E3108B}"/>
    <cellStyle name="Normal 7 8 2 10 2" xfId="20481" xr:uid="{EB056CE6-575B-4DD8-9AFC-FBB7EE22E1AB}"/>
    <cellStyle name="Normal 7 8 2 11" xfId="22984" xr:uid="{45D0F1E6-4DB8-4B08-A92C-FB3701D67A71}"/>
    <cellStyle name="Normal 7 8 2 12" xfId="12652" xr:uid="{1E636B80-57F4-4836-93F8-5F92C02DB4FD}"/>
    <cellStyle name="Normal 7 8 2 2" xfId="1523" xr:uid="{00000000-0005-0000-0000-0000CC070000}"/>
    <cellStyle name="Normal 7 8 2 2 2" xfId="3513" xr:uid="{00000000-0005-0000-0000-00004F090000}"/>
    <cellStyle name="Normal 7 8 2 2 2 2" xfId="6565" xr:uid="{EB11A89A-2A16-486D-9877-94B0133CC7BB}"/>
    <cellStyle name="Normal 7 8 2 2 2 2 2" xfId="27807" xr:uid="{D4D9D707-88A0-4231-85BB-C83530677E72}"/>
    <cellStyle name="Normal 7 8 2 2 2 2 3" xfId="27972" xr:uid="{0E38C2FA-C142-40C2-AC01-E3CDFBC457DD}"/>
    <cellStyle name="Normal 7 8 2 2 2 2 4" xfId="16138" xr:uid="{775AB728-5859-44E1-B041-0F14552B37AC}"/>
    <cellStyle name="Normal 7 8 2 2 2 3" xfId="8591" xr:uid="{C295360B-1DD4-49F9-A210-3E30A3B4ADA7}"/>
    <cellStyle name="Normal 7 8 2 2 2 3 2" xfId="28956" xr:uid="{A96E8B5A-B5E3-4393-A017-1CF35E2FEC4F}"/>
    <cellStyle name="Normal 7 8 2 2 2 3 3" xfId="18971" xr:uid="{69662BF9-DE8D-4BE4-884F-6374471AD8D6}"/>
    <cellStyle name="Normal 7 8 2 2 2 4" xfId="11424" xr:uid="{A392603C-B2DC-4FBE-8CDC-44E8105A13FA}"/>
    <cellStyle name="Normal 7 8 2 2 2 4 2" xfId="21804" xr:uid="{5E996602-E6E7-481C-8178-70C4707EBA3B}"/>
    <cellStyle name="Normal 7 8 2 2 2 5" xfId="23015" xr:uid="{DCD7C034-9A83-4037-97BF-2FD1AA3ACAE2}"/>
    <cellStyle name="Normal 7 8 2 2 2 6" xfId="14111" xr:uid="{F9FEBBAB-0B1B-47DF-9D61-26E2BD920E60}"/>
    <cellStyle name="Normal 7 8 2 2 3" xfId="4384" xr:uid="{181487C5-ED9A-4A37-894D-630747EF6A82}"/>
    <cellStyle name="Normal 7 8 2 2 3 2" xfId="9156" xr:uid="{B92BA703-193B-443E-B6AF-1260F9C458B3}"/>
    <cellStyle name="Normal 7 8 2 2 3 2 2" xfId="29199" xr:uid="{FC43AD86-1E18-423C-B688-0218500738C7}"/>
    <cellStyle name="Normal 7 8 2 2 3 2 3" xfId="19536" xr:uid="{0FE7F98E-D0D4-4966-A9D9-4239B84E8749}"/>
    <cellStyle name="Normal 7 8 2 2 3 3" xfId="11989" xr:uid="{B856DF8E-EF2D-498F-84DC-D1432C8127B4}"/>
    <cellStyle name="Normal 7 8 2 2 3 3 2" xfId="22369" xr:uid="{2358B23F-1DEE-4F07-B59D-A3292C0A2663}"/>
    <cellStyle name="Normal 7 8 2 2 3 4" xfId="23074" xr:uid="{F1BD4026-BDBC-4F07-91C3-4E30BDC3DF85}"/>
    <cellStyle name="Normal 7 8 2 2 3 5" xfId="16703" xr:uid="{FD13EB93-12BC-4106-97A5-C49FF5588DA9}"/>
    <cellStyle name="Normal 7 8 2 2 4" xfId="5520" xr:uid="{EB844901-5740-434A-ABC2-996F0C577A1A}"/>
    <cellStyle name="Normal 7 8 2 2 4 2" xfId="26187" xr:uid="{7FA8E3E1-04EC-4115-A9E7-91413201C243}"/>
    <cellStyle name="Normal 7 8 2 2 4 3" xfId="14816" xr:uid="{DCF72E2C-A73D-4F52-94E9-921263AA7C3D}"/>
    <cellStyle name="Normal 7 8 2 2 5" xfId="7269" xr:uid="{1F8FFE9A-266A-4C02-A0C9-CB629DCE7BAD}"/>
    <cellStyle name="Normal 7 8 2 2 5 2" xfId="17649" xr:uid="{0801D49D-F350-43B3-85F7-61957A26FD37}"/>
    <cellStyle name="Normal 7 8 2 2 6" xfId="10102" xr:uid="{CF486B53-1EF7-4F7D-B81D-F3F7AA9623BB}"/>
    <cellStyle name="Normal 7 8 2 2 6 2" xfId="20482" xr:uid="{80E59977-4A31-44FE-85B3-9C47708D4A4C}"/>
    <cellStyle name="Normal 7 8 2 2 7" xfId="23683" xr:uid="{0F8BCB19-1DD6-48E6-9826-552942CAF682}"/>
    <cellStyle name="Normal 7 8 2 2 8" xfId="13339" xr:uid="{BE9509A6-58F3-4D8C-80F0-E71C155159CC}"/>
    <cellStyle name="Normal 7 8 2 3" xfId="3514" xr:uid="{00000000-0005-0000-0000-000050090000}"/>
    <cellStyle name="Normal 7 8 2 3 2" xfId="4615" xr:uid="{5A62E504-BFEF-479B-8457-B6A288D1F681}"/>
    <cellStyle name="Normal 7 8 2 3 2 2" xfId="9387" xr:uid="{DD36251F-A545-494E-9EB8-8B904ACA1F5C}"/>
    <cellStyle name="Normal 7 8 2 3 2 2 2" xfId="29353" xr:uid="{705B83BD-F576-4B59-AA3B-6007ABF9EC06}"/>
    <cellStyle name="Normal 7 8 2 3 2 2 3" xfId="19767" xr:uid="{A8D76510-D2B7-4243-943D-05D55F002E54}"/>
    <cellStyle name="Normal 7 8 2 3 2 3" xfId="12220" xr:uid="{DBCF99F1-5F0F-4C40-BA23-FA3AD5209E84}"/>
    <cellStyle name="Normal 7 8 2 3 2 3 2" xfId="22600" xr:uid="{FD9CC561-FB12-4D75-9BE3-1579F0A75E0E}"/>
    <cellStyle name="Normal 7 8 2 3 2 4" xfId="25439" xr:uid="{00CB64E5-E46F-41F4-BAA8-8E628BDE07F1}"/>
    <cellStyle name="Normal 7 8 2 3 2 5" xfId="16934" xr:uid="{62A17E90-746E-4F3A-8C7B-70DBF6036AF8}"/>
    <cellStyle name="Normal 7 8 2 3 3" xfId="6566" xr:uid="{27986DCB-B1DC-40F6-A174-53689B211438}"/>
    <cellStyle name="Normal 7 8 2 3 3 2" xfId="26977" xr:uid="{84F835E7-00DF-47D1-8CAE-1B42976D3EDF}"/>
    <cellStyle name="Normal 7 8 2 3 3 3" xfId="16139" xr:uid="{5206AF1D-AFCA-4ECA-BBF7-E6417F40CA01}"/>
    <cellStyle name="Normal 7 8 2 3 4" xfId="8592" xr:uid="{E3CDF305-8586-426D-9FF9-0AFA0D1F449F}"/>
    <cellStyle name="Normal 7 8 2 3 4 2" xfId="18972" xr:uid="{C0408242-D425-4401-968C-5AD5688825AE}"/>
    <cellStyle name="Normal 7 8 2 3 5" xfId="11425" xr:uid="{9E6A4A17-DB2E-4A2A-A3D6-F787EBD6A00B}"/>
    <cellStyle name="Normal 7 8 2 3 5 2" xfId="21805" xr:uid="{89D1F1E4-DBBB-482E-BFF2-27141B03EE8C}"/>
    <cellStyle name="Normal 7 8 2 3 6" xfId="23663" xr:uid="{4B1DE66C-64F1-41DA-91DC-73742ADDC37F}"/>
    <cellStyle name="Normal 7 8 2 3 7" xfId="14112" xr:uid="{17E11527-AF05-4F78-8691-C27919B2D701}"/>
    <cellStyle name="Normal 7 8 2 4" xfId="3512" xr:uid="{00000000-0005-0000-0000-000051090000}"/>
    <cellStyle name="Normal 7 8 2 4 2" xfId="6564" xr:uid="{A6D4913D-5879-467B-A280-0C48BB6872C3}"/>
    <cellStyle name="Normal 7 8 2 4 2 2" xfId="27381" xr:uid="{38B4BD07-92A6-42D7-AAD5-D9D8C7CF672E}"/>
    <cellStyle name="Normal 7 8 2 4 2 3" xfId="16137" xr:uid="{020DC34B-CADE-4C90-993B-F559A47C1798}"/>
    <cellStyle name="Normal 7 8 2 4 3" xfId="8590" xr:uid="{18B383CC-7CD2-4F2C-9F70-5A3D988943B0}"/>
    <cellStyle name="Normal 7 8 2 4 3 2" xfId="18970" xr:uid="{7949896A-5AB4-4936-8AF7-98E234A13FBA}"/>
    <cellStyle name="Normal 7 8 2 4 4" xfId="11423" xr:uid="{2760F4C4-2CCD-4E6E-ADEA-FDBBC7FFEAB8}"/>
    <cellStyle name="Normal 7 8 2 4 4 2" xfId="21803" xr:uid="{C91E5146-3111-48B7-AC29-114C970974AA}"/>
    <cellStyle name="Normal 7 8 2 4 5" xfId="24267" xr:uid="{05B3E0F6-BC97-4AC7-9F0E-E28B1BE63821}"/>
    <cellStyle name="Normal 7 8 2 4 6" xfId="14110" xr:uid="{AF3D29FE-8396-43E5-86B9-0CC7B8E94F3A}"/>
    <cellStyle name="Normal 7 8 2 5" xfId="2525" xr:uid="{00000000-0005-0000-0000-000052090000}"/>
    <cellStyle name="Normal 7 8 2 5 2" xfId="5802" xr:uid="{B5E01D43-3B65-45FA-A334-039D61490BF7}"/>
    <cellStyle name="Normal 7 8 2 5 2 2" xfId="27361" xr:uid="{860D3B7A-9709-4DE5-A844-0E7D2CDA4383}"/>
    <cellStyle name="Normal 7 8 2 5 2 3" xfId="15197" xr:uid="{92547474-EEB8-4256-AB79-31E1D271515A}"/>
    <cellStyle name="Normal 7 8 2 5 3" xfId="7650" xr:uid="{F5A21145-6AA2-46FC-B6FF-81E2D06AC58C}"/>
    <cellStyle name="Normal 7 8 2 5 3 2" xfId="18030" xr:uid="{C28AEDC6-7965-4FB7-B0D8-88E2ECAA28CF}"/>
    <cellStyle name="Normal 7 8 2 5 4" xfId="10483" xr:uid="{A3AF72E2-FBA7-47F0-B7EC-992385FAF200}"/>
    <cellStyle name="Normal 7 8 2 5 4 2" xfId="20863" xr:uid="{CAAB38BC-F8F5-4C05-A3B4-F1F3DAE5FC85}"/>
    <cellStyle name="Normal 7 8 2 5 5" xfId="23630" xr:uid="{91EAADE9-98CE-48E2-9C65-3474F363B367}"/>
    <cellStyle name="Normal 7 8 2 5 6" xfId="12913" xr:uid="{D53D1181-2B21-4600-962D-26238A4D91B1}"/>
    <cellStyle name="Normal 7 8 2 6" xfId="2418" xr:uid="{00000000-0005-0000-0000-00004D090000}"/>
    <cellStyle name="Normal 7 8 2 6 2" xfId="7545" xr:uid="{4BBDB844-567D-4F2C-918E-588DED154556}"/>
    <cellStyle name="Normal 7 8 2 6 2 2" xfId="17925" xr:uid="{1E5AD033-D5DB-41D3-AC15-3E4616AAABCD}"/>
    <cellStyle name="Normal 7 8 2 6 3" xfId="10378" xr:uid="{A80789FB-8635-4088-8FB8-1F154118F636}"/>
    <cellStyle name="Normal 7 8 2 6 3 2" xfId="20758" xr:uid="{F3D022AC-844C-4D9A-BCC4-9E246CB032AA}"/>
    <cellStyle name="Normal 7 8 2 6 4" xfId="22927" xr:uid="{72711CE9-B1EE-440C-B2C6-02F2ADAE74D3}"/>
    <cellStyle name="Normal 7 8 2 6 5" xfId="15092" xr:uid="{59E52D30-B7AF-4FE1-9D2D-00F8595557E6}"/>
    <cellStyle name="Normal 7 8 2 7" xfId="4111" xr:uid="{A481A10B-6E2C-4D73-8310-D857334E757C}"/>
    <cellStyle name="Normal 7 8 2 7 2" xfId="8883" xr:uid="{9F4FE084-34DE-42B7-880E-5C144E9AF5DE}"/>
    <cellStyle name="Normal 7 8 2 7 2 2" xfId="19263" xr:uid="{1594C506-60B3-4F43-BDCD-E05CFA137F95}"/>
    <cellStyle name="Normal 7 8 2 7 3" xfId="11716" xr:uid="{221CF922-AADE-46AC-8510-BF7EF408F268}"/>
    <cellStyle name="Normal 7 8 2 7 3 2" xfId="22096" xr:uid="{754F14C5-F2C0-4DC5-9C13-87EB84D1F0E1}"/>
    <cellStyle name="Normal 7 8 2 7 4" xfId="16430" xr:uid="{BBA87A2A-AE38-4409-81BF-80B51726EA15}"/>
    <cellStyle name="Normal 7 8 2 8" xfId="5519" xr:uid="{262D6E35-57B3-4303-BEF9-07EB06D78BCE}"/>
    <cellStyle name="Normal 7 8 2 8 2" xfId="14815" xr:uid="{BD40D288-C787-445D-8DD7-A64D12806929}"/>
    <cellStyle name="Normal 7 8 2 9" xfId="7268" xr:uid="{3AD3D8CB-D44E-45C6-BA13-F38440D6FD94}"/>
    <cellStyle name="Normal 7 8 2 9 2" xfId="17648" xr:uid="{5393AD59-4FE1-414E-AEA6-1176CD8E42A3}"/>
    <cellStyle name="Normal 7 8 3" xfId="1524" xr:uid="{00000000-0005-0000-0000-0000CD070000}"/>
    <cellStyle name="Normal 7 8 3 10" xfId="24306" xr:uid="{8C96402B-7A63-440D-9D79-E19639779125}"/>
    <cellStyle name="Normal 7 8 3 11" xfId="12810" xr:uid="{DB3E63EC-B741-4DAA-97A4-C7A717BB0536}"/>
    <cellStyle name="Normal 7 8 3 2" xfId="2854" xr:uid="{00000000-0005-0000-0000-000054090000}"/>
    <cellStyle name="Normal 7 8 3 2 2" xfId="3516" xr:uid="{00000000-0005-0000-0000-000055090000}"/>
    <cellStyle name="Normal 7 8 3 2 2 2" xfId="6568" xr:uid="{5F679275-388E-4DF5-A8C1-F368856D0BE9}"/>
    <cellStyle name="Normal 7 8 3 2 2 2 2" xfId="27418" xr:uid="{EA4A2A04-CA1C-4799-8E31-F36759F6D1EB}"/>
    <cellStyle name="Normal 7 8 3 2 2 2 3" xfId="16141" xr:uid="{AE97444A-3633-4376-9F42-1EF7704EE280}"/>
    <cellStyle name="Normal 7 8 3 2 2 3" xfId="8594" xr:uid="{D94C4494-9D51-476C-B06F-86FD219070DF}"/>
    <cellStyle name="Normal 7 8 3 2 2 3 2" xfId="18974" xr:uid="{86417FD9-8B80-42FD-8C16-BECDA3492506}"/>
    <cellStyle name="Normal 7 8 3 2 2 4" xfId="11427" xr:uid="{F321C522-BC0B-4F7F-9F94-B7DD28CE0DAA}"/>
    <cellStyle name="Normal 7 8 3 2 2 4 2" xfId="21807" xr:uid="{0491B24F-58A0-4377-91A8-0057DE8B8BA6}"/>
    <cellStyle name="Normal 7 8 3 2 2 5" xfId="23669" xr:uid="{4A3BB38C-4BD3-4D97-A6F2-6AF8C60051A1}"/>
    <cellStyle name="Normal 7 8 3 2 2 6" xfId="14114" xr:uid="{262A541D-2908-49D0-AE47-9CFEB11EA45E}"/>
    <cellStyle name="Normal 7 8 3 2 3" xfId="4385" xr:uid="{447CA688-1CB5-4488-9688-F0FC39F457E7}"/>
    <cellStyle name="Normal 7 8 3 2 3 2" xfId="9157" xr:uid="{9472ADC6-5FA7-43C5-8E8A-FC179E3C965A}"/>
    <cellStyle name="Normal 7 8 3 2 3 2 2" xfId="29200" xr:uid="{29046802-CC24-4D7A-97D1-C3E5B361E82A}"/>
    <cellStyle name="Normal 7 8 3 2 3 2 3" xfId="19537" xr:uid="{78C00EF1-E993-453F-A9DF-3151A693D284}"/>
    <cellStyle name="Normal 7 8 3 2 3 3" xfId="11990" xr:uid="{F27D3773-2AA8-43BA-B778-7D928EBDAE17}"/>
    <cellStyle name="Normal 7 8 3 2 3 3 2" xfId="22370" xr:uid="{39E55BE9-DC07-48E4-938A-830D20F99EC9}"/>
    <cellStyle name="Normal 7 8 3 2 3 4" xfId="25251" xr:uid="{72DB413B-53DF-4302-A428-E119E4495B88}"/>
    <cellStyle name="Normal 7 8 3 2 3 5" xfId="16704" xr:uid="{F6B356A3-9255-4D6C-9E61-6390C91C9D69}"/>
    <cellStyle name="Normal 7 8 3 2 4" xfId="6067" xr:uid="{F968D605-7D64-40BF-8CCB-FB2DAB6C391A}"/>
    <cellStyle name="Normal 7 8 3 2 4 2" xfId="26985" xr:uid="{01D9B581-A7A8-4BAB-A7E1-FCE3D2974942}"/>
    <cellStyle name="Normal 7 8 3 2 4 3" xfId="15523" xr:uid="{42C00365-0F2D-4BAB-842E-0E709346EBA4}"/>
    <cellStyle name="Normal 7 8 3 2 5" xfId="7976" xr:uid="{95BC407F-F74C-4E3D-9938-50C2F949768F}"/>
    <cellStyle name="Normal 7 8 3 2 5 2" xfId="18356" xr:uid="{DCE5B817-D74A-4CD3-8147-595558D089EF}"/>
    <cellStyle name="Normal 7 8 3 2 6" xfId="10809" xr:uid="{B8C225DB-6078-4482-AA5C-1C70A3895AF3}"/>
    <cellStyle name="Normal 7 8 3 2 6 2" xfId="21189" xr:uid="{7A6018B2-F374-4CED-9AAA-90AC3E99C4C4}"/>
    <cellStyle name="Normal 7 8 3 2 7" xfId="24730" xr:uid="{3DEB3E29-5202-498B-9D0F-C835644731F1}"/>
    <cellStyle name="Normal 7 8 3 2 8" xfId="13340" xr:uid="{45B8B451-7B5F-44E6-A86D-77E56F8D188B}"/>
    <cellStyle name="Normal 7 8 3 3" xfId="3517" xr:uid="{00000000-0005-0000-0000-000056090000}"/>
    <cellStyle name="Normal 7 8 3 3 2" xfId="4616" xr:uid="{545C96D4-53A4-49FE-9E61-2C15736C90CB}"/>
    <cellStyle name="Normal 7 8 3 3 2 2" xfId="9388" xr:uid="{79A5723C-07FD-4F6D-8631-A40327F1065A}"/>
    <cellStyle name="Normal 7 8 3 3 2 2 2" xfId="29354" xr:uid="{FA4ED228-F7FE-4F02-BF64-E3A775127185}"/>
    <cellStyle name="Normal 7 8 3 3 2 2 3" xfId="19768" xr:uid="{7A33493D-C470-49B0-B617-A56BDBDEA11A}"/>
    <cellStyle name="Normal 7 8 3 3 2 3" xfId="12221" xr:uid="{B4894758-74D8-4921-A4D7-B66873D171CA}"/>
    <cellStyle name="Normal 7 8 3 3 2 3 2" xfId="22601" xr:uid="{6B41FE89-1689-48EF-BE8F-8A3D18258DE4}"/>
    <cellStyle name="Normal 7 8 3 3 2 4" xfId="25784" xr:uid="{4A8C765C-CE60-4E05-BCBA-80F518920950}"/>
    <cellStyle name="Normal 7 8 3 3 2 5" xfId="16935" xr:uid="{EBEF5521-10CD-46EA-A47F-0CA96F92D68D}"/>
    <cellStyle name="Normal 7 8 3 3 3" xfId="6569" xr:uid="{8E31F363-C67B-425F-A763-46AC5E51AADC}"/>
    <cellStyle name="Normal 7 8 3 3 3 2" xfId="28445" xr:uid="{24FD860C-ACFE-4DA1-8D63-3D4E4A5ACE6D}"/>
    <cellStyle name="Normal 7 8 3 3 3 3" xfId="16142" xr:uid="{D01109C0-C637-4BA0-BF8C-67A36E087A4C}"/>
    <cellStyle name="Normal 7 8 3 3 4" xfId="8595" xr:uid="{21B59F37-7245-4146-91DC-8214B393B363}"/>
    <cellStyle name="Normal 7 8 3 3 4 2" xfId="18975" xr:uid="{D4EF6D4B-8CA2-4100-B044-8B08F70C3AA3}"/>
    <cellStyle name="Normal 7 8 3 3 5" xfId="11428" xr:uid="{6BA334D7-A339-4E1C-A101-90B4533033C5}"/>
    <cellStyle name="Normal 7 8 3 3 5 2" xfId="21808" xr:uid="{B14DC5FE-3B6E-4953-8326-7B0E87E8BE07}"/>
    <cellStyle name="Normal 7 8 3 3 6" xfId="25436" xr:uid="{F714C0B9-5AF8-4523-95D8-0AF3A974EF37}"/>
    <cellStyle name="Normal 7 8 3 3 7" xfId="14115" xr:uid="{571135B5-1290-4B03-B84F-33EE4686B6E3}"/>
    <cellStyle name="Normal 7 8 3 4" xfId="3515" xr:uid="{00000000-0005-0000-0000-000057090000}"/>
    <cellStyle name="Normal 7 8 3 4 2" xfId="6567" xr:uid="{0A120DE1-A606-42C0-B188-7FF0CEB52057}"/>
    <cellStyle name="Normal 7 8 3 4 2 2" xfId="27834" xr:uid="{CB827B41-6E34-4485-ADF1-2424F31EE4F3}"/>
    <cellStyle name="Normal 7 8 3 4 2 3" xfId="16140" xr:uid="{87A7B19C-47C8-4535-9ECA-16F61EDCFC87}"/>
    <cellStyle name="Normal 7 8 3 4 3" xfId="8593" xr:uid="{2AD1F471-9932-47D3-B35E-0B1E1456D63B}"/>
    <cellStyle name="Normal 7 8 3 4 3 2" xfId="18973" xr:uid="{17DBC5E4-D4A5-4CBF-9C48-6D8177A2F7FD}"/>
    <cellStyle name="Normal 7 8 3 4 4" xfId="11426" xr:uid="{A5A26F8D-83E1-4ED5-B907-64DBEFD8ECEC}"/>
    <cellStyle name="Normal 7 8 3 4 4 2" xfId="21806" xr:uid="{2B10B68B-EEA4-4EF7-9927-FB2122CB3644}"/>
    <cellStyle name="Normal 7 8 3 4 5" xfId="23154" xr:uid="{96A3161C-7C39-4EF4-9CBE-677777A6DA38}"/>
    <cellStyle name="Normal 7 8 3 4 6" xfId="14113" xr:uid="{F3F77F57-0BEA-4D8A-864B-0CCC9678FEBF}"/>
    <cellStyle name="Normal 7 8 3 5" xfId="2628" xr:uid="{00000000-0005-0000-0000-000058090000}"/>
    <cellStyle name="Normal 7 8 3 5 2" xfId="5890" xr:uid="{10DE449B-772F-403E-B53E-8F527E3E956C}"/>
    <cellStyle name="Normal 7 8 3 5 2 2" xfId="27199" xr:uid="{6AC8801F-B639-4F85-919C-F455858033E1}"/>
    <cellStyle name="Normal 7 8 3 5 2 3" xfId="15300" xr:uid="{6EB7D2AB-226F-4261-B766-566EE5A8D4DE}"/>
    <cellStyle name="Normal 7 8 3 5 3" xfId="7753" xr:uid="{B4427FDC-18D8-4BF0-9AA9-3DCBE6FB5CB6}"/>
    <cellStyle name="Normal 7 8 3 5 3 2" xfId="18133" xr:uid="{E05F336D-BAC6-4831-9BD5-5EF0C803FCAF}"/>
    <cellStyle name="Normal 7 8 3 5 4" xfId="10586" xr:uid="{E35B07AF-51EB-49EB-8D64-5176635FF471}"/>
    <cellStyle name="Normal 7 8 3 5 4 2" xfId="20966" xr:uid="{D9107844-D4B9-4D7C-BB1D-5797A487AD57}"/>
    <cellStyle name="Normal 7 8 3 5 5" xfId="23743" xr:uid="{9BF79791-BE4B-4383-B162-A69EE8B513CC}"/>
    <cellStyle name="Normal 7 8 3 5 6" xfId="13016" xr:uid="{ED86C5AD-79C9-48EC-B39F-81359DA56D05}"/>
    <cellStyle name="Normal 7 8 3 6" xfId="4233" xr:uid="{59BA6427-845F-4501-AB9A-91D75CDD42EA}"/>
    <cellStyle name="Normal 7 8 3 6 2" xfId="9005" xr:uid="{D698A893-5EAB-4217-B9C3-E2C0C41057C9}"/>
    <cellStyle name="Normal 7 8 3 6 2 2" xfId="19385" xr:uid="{0F0FA002-57F2-45EE-83D3-ECFD5AF5B1AF}"/>
    <cellStyle name="Normal 7 8 3 6 3" xfId="11838" xr:uid="{5F2CCC17-7C1C-4996-8E38-7FCD9236367C}"/>
    <cellStyle name="Normal 7 8 3 6 3 2" xfId="22218" xr:uid="{E03DF7B2-2269-4CD3-9101-3E3AA292BE16}"/>
    <cellStyle name="Normal 7 8 3 6 4" xfId="24182" xr:uid="{B644EC93-CDF4-401E-82A2-1272E92688F2}"/>
    <cellStyle name="Normal 7 8 3 6 5" xfId="16552" xr:uid="{26DEA9EB-1A5A-4FBB-9ADB-0ADCAAD6F035}"/>
    <cellStyle name="Normal 7 8 3 7" xfId="5521" xr:uid="{1255BA54-6F4F-4228-B965-919623B1C04F}"/>
    <cellStyle name="Normal 7 8 3 7 2" xfId="14817" xr:uid="{B74EE7AC-B2ED-4026-9452-F278D7571678}"/>
    <cellStyle name="Normal 7 8 3 8" xfId="7270" xr:uid="{9E615E01-71BB-4B3F-9E38-5297BC321302}"/>
    <cellStyle name="Normal 7 8 3 8 2" xfId="17650" xr:uid="{98EB6D51-3516-4C0D-AD2E-2AD1BC33568F}"/>
    <cellStyle name="Normal 7 8 3 9" xfId="10103" xr:uid="{A57FA0DA-9FD7-4CA6-9CB7-82C9D1601774}"/>
    <cellStyle name="Normal 7 8 3 9 2" xfId="20483" xr:uid="{0A58600F-6701-41B4-8111-EC37D917DB22}"/>
    <cellStyle name="Normal 7 8 4" xfId="1525" xr:uid="{00000000-0005-0000-0000-0000CE070000}"/>
    <cellStyle name="Normal 7 8 4 2" xfId="3518" xr:uid="{00000000-0005-0000-0000-00005A090000}"/>
    <cellStyle name="Normal 7 8 4 2 2" xfId="6570" xr:uid="{2D3B1732-C0C4-4184-9529-9D3397680CCF}"/>
    <cellStyle name="Normal 7 8 4 2 2 2" xfId="26341" xr:uid="{18BA798C-1CAB-4154-8A00-6F8B20C7677C}"/>
    <cellStyle name="Normal 7 8 4 2 2 3" xfId="16143" xr:uid="{2EC925BB-FC79-43F7-9189-F3E0AEB2AAC6}"/>
    <cellStyle name="Normal 7 8 4 2 3" xfId="8596" xr:uid="{E889EDAF-AC51-4E64-B90A-68E56389DFF1}"/>
    <cellStyle name="Normal 7 8 4 2 3 2" xfId="18976" xr:uid="{CF1ED609-EDFD-4B74-BCFC-93DB78C9BEE4}"/>
    <cellStyle name="Normal 7 8 4 2 4" xfId="11429" xr:uid="{C14DD82C-EB00-41EA-81C7-986D104E753A}"/>
    <cellStyle name="Normal 7 8 4 2 4 2" xfId="21809" xr:uid="{28EDE53E-4E23-4C8E-803B-8CF54ADE71C3}"/>
    <cellStyle name="Normal 7 8 4 2 5" xfId="23870" xr:uid="{DAF8F0C6-D633-4834-AF21-6EB4864E869F}"/>
    <cellStyle name="Normal 7 8 4 2 6" xfId="14116" xr:uid="{FC4B95CA-7630-4D5E-9F99-47E4DE000F79}"/>
    <cellStyle name="Normal 7 8 4 3" xfId="4383" xr:uid="{DDDC4B48-D8E9-4CFF-BC48-3733A2D9C0DB}"/>
    <cellStyle name="Normal 7 8 4 3 2" xfId="9155" xr:uid="{88E149B4-AEE7-4B2B-8FC2-3B3D63800B72}"/>
    <cellStyle name="Normal 7 8 4 3 2 2" xfId="29198" xr:uid="{13EE9B69-83F2-4861-9BB9-B19C3E5A5F7A}"/>
    <cellStyle name="Normal 7 8 4 3 2 3" xfId="19535" xr:uid="{146A8993-573F-4BA9-938B-F93667F4DF6B}"/>
    <cellStyle name="Normal 7 8 4 3 3" xfId="11988" xr:uid="{D8F0375E-D6EF-4256-9453-2256BA4E9CE2}"/>
    <cellStyle name="Normal 7 8 4 3 3 2" xfId="22368" xr:uid="{7BB54D95-9672-4655-A145-127DD140A5F0}"/>
    <cellStyle name="Normal 7 8 4 3 4" xfId="25004" xr:uid="{97038F17-365A-4DF1-A989-2DB0119DA142}"/>
    <cellStyle name="Normal 7 8 4 3 5" xfId="16702" xr:uid="{15D63064-F809-4432-A947-3CD3660D0709}"/>
    <cellStyle name="Normal 7 8 4 4" xfId="5522" xr:uid="{12700FF1-E859-4A50-834D-53FEE56265D2}"/>
    <cellStyle name="Normal 7 8 4 4 2" xfId="27927" xr:uid="{7C539E13-FE66-4E42-80B7-588329FD1E86}"/>
    <cellStyle name="Normal 7 8 4 4 3" xfId="14818" xr:uid="{3BC6BBA6-D823-4391-BFF5-F62FFCA43906}"/>
    <cellStyle name="Normal 7 8 4 5" xfId="7271" xr:uid="{09E4D0D4-DD47-4C28-BA61-BC050682ED6E}"/>
    <cellStyle name="Normal 7 8 4 5 2" xfId="17651" xr:uid="{3B1BE631-D436-4B36-A9FC-9578B0B4D703}"/>
    <cellStyle name="Normal 7 8 4 6" xfId="10104" xr:uid="{6EC9376E-3E00-4354-AE8C-26D2158FBB93}"/>
    <cellStyle name="Normal 7 8 4 6 2" xfId="20484" xr:uid="{4470BBFB-6868-457E-AF5E-D56EEAF443BE}"/>
    <cellStyle name="Normal 7 8 4 7" xfId="24922" xr:uid="{5C022206-BF20-4DB4-ACFA-19E9DD733230}"/>
    <cellStyle name="Normal 7 8 4 8" xfId="13338" xr:uid="{C03A58B5-F03B-40CC-8671-B10B50CF5463}"/>
    <cellStyle name="Normal 7 8 5" xfId="3519" xr:uid="{00000000-0005-0000-0000-00005B090000}"/>
    <cellStyle name="Normal 7 8 5 2" xfId="4617" xr:uid="{6FE2DECE-CF5D-4EA3-B482-2923A49B0CAE}"/>
    <cellStyle name="Normal 7 8 5 2 2" xfId="9389" xr:uid="{EB7FA5EB-7F5C-4DD4-ACB2-AEAB0F7C18F4}"/>
    <cellStyle name="Normal 7 8 5 2 2 2" xfId="29355" xr:uid="{7E7B8F39-C9D1-4B60-9B39-DF7E143DCFA4}"/>
    <cellStyle name="Normal 7 8 5 2 2 3" xfId="19769" xr:uid="{B159F4FE-C009-45E2-A5B6-8C6524487467}"/>
    <cellStyle name="Normal 7 8 5 2 3" xfId="12222" xr:uid="{C7BAC334-97E7-456D-B63A-44008174535C}"/>
    <cellStyle name="Normal 7 8 5 2 3 2" xfId="22602" xr:uid="{33603211-998B-4CBE-AD4A-461612197449}"/>
    <cellStyle name="Normal 7 8 5 2 4" xfId="24638" xr:uid="{16505472-9B54-4E8E-A907-73F926F8CEBC}"/>
    <cellStyle name="Normal 7 8 5 2 5" xfId="16936" xr:uid="{F45452EC-FE44-479B-9E32-60AB2B62D4E2}"/>
    <cellStyle name="Normal 7 8 5 3" xfId="6571" xr:uid="{5C36BBD4-913A-4277-A9D3-4A7F6C8E6197}"/>
    <cellStyle name="Normal 7 8 5 3 2" xfId="28510" xr:uid="{56C0E03D-EDAC-4478-B152-E33DFB8842C2}"/>
    <cellStyle name="Normal 7 8 5 3 3" xfId="16144" xr:uid="{7CA00030-135D-4E3B-9825-4467B971B465}"/>
    <cellStyle name="Normal 7 8 5 4" xfId="8597" xr:uid="{3EF1D7D6-C217-49AF-9C72-2054E589F6B3}"/>
    <cellStyle name="Normal 7 8 5 4 2" xfId="18977" xr:uid="{72959006-9EC3-463A-9313-2524A79B09CD}"/>
    <cellStyle name="Normal 7 8 5 5" xfId="11430" xr:uid="{685EB8FE-A462-4983-B49D-13FB883C5612}"/>
    <cellStyle name="Normal 7 8 5 5 2" xfId="21810" xr:uid="{80E81E97-8C0A-4EBE-BAF1-B83D64823B71}"/>
    <cellStyle name="Normal 7 8 5 6" xfId="24439" xr:uid="{560FF643-4B9B-4EF0-A996-EBF2BE331482}"/>
    <cellStyle name="Normal 7 8 5 7" xfId="14117" xr:uid="{889DBCD3-4D9D-4D56-AED3-0D3D13B08F28}"/>
    <cellStyle name="Normal 7 8 6" xfId="3006" xr:uid="{00000000-0005-0000-0000-00005C090000}"/>
    <cellStyle name="Normal 7 8 6 2" xfId="6155" xr:uid="{ECB7BE2F-F1BF-4158-969C-F9ECBA07135F}"/>
    <cellStyle name="Normal 7 8 6 2 2" xfId="28652" xr:uid="{80419F36-A086-4067-833D-EBD603F8F0E4}"/>
    <cellStyle name="Normal 7 8 6 2 3" xfId="15633" xr:uid="{CF2628DF-893E-4F73-A427-DA1C36416A14}"/>
    <cellStyle name="Normal 7 8 6 3" xfId="8086" xr:uid="{9B558696-2698-4280-A3BA-786C8B9EB28D}"/>
    <cellStyle name="Normal 7 8 6 3 2" xfId="18466" xr:uid="{539FCDB9-9685-4A12-88FB-F7D5E54DEA17}"/>
    <cellStyle name="Normal 7 8 6 4" xfId="10919" xr:uid="{BBA3631A-F5B5-4D2E-BC5C-476E2AEBE074}"/>
    <cellStyle name="Normal 7 8 6 4 2" xfId="21299" xr:uid="{8243ADB7-0152-45E1-BCEC-7B4C35B31788}"/>
    <cellStyle name="Normal 7 8 6 5" xfId="23926" xr:uid="{5248020E-73F8-4BD7-B357-541AFA29F228}"/>
    <cellStyle name="Normal 7 8 6 6" xfId="13508" xr:uid="{8526138E-9324-496C-AED5-8C55EE1A18A0}"/>
    <cellStyle name="Normal 7 8 7" xfId="2465" xr:uid="{00000000-0005-0000-0000-00005D090000}"/>
    <cellStyle name="Normal 7 8 7 2" xfId="5756" xr:uid="{C11A75DA-8194-440B-9B8C-0D34AA248DDB}"/>
    <cellStyle name="Normal 7 8 7 2 2" xfId="26766" xr:uid="{807FB85F-D401-4E4D-B3E3-50260B76AA88}"/>
    <cellStyle name="Normal 7 8 7 2 3" xfId="15137" xr:uid="{74DEED31-889A-4695-836C-C5D98706DCF3}"/>
    <cellStyle name="Normal 7 8 7 3" xfId="7590" xr:uid="{542CD4D7-15E3-43F7-8EAA-FCF5E44DFBDF}"/>
    <cellStyle name="Normal 7 8 7 3 2" xfId="17970" xr:uid="{F90E9161-0A68-425A-8227-C2EF28C4EE8A}"/>
    <cellStyle name="Normal 7 8 7 4" xfId="10423" xr:uid="{EC31E704-79D0-40EA-8D9C-CD2D93D13E36}"/>
    <cellStyle name="Normal 7 8 7 4 2" xfId="20803" xr:uid="{9C889ABF-4886-479A-BA81-31468C2AB18D}"/>
    <cellStyle name="Normal 7 8 7 5" xfId="23211" xr:uid="{E84ED942-BD3F-4A1B-980D-B708E4354395}"/>
    <cellStyle name="Normal 7 8 7 6" xfId="12853" xr:uid="{FA02A863-7404-4A05-B219-E910A08E343C}"/>
    <cellStyle name="Normal 7 8 8" xfId="2219" xr:uid="{00000000-0005-0000-0000-00004C090000}"/>
    <cellStyle name="Normal 7 8 8 2" xfId="7346" xr:uid="{61DDE688-2A70-4F2A-B6EE-DE4DE9B40FD2}"/>
    <cellStyle name="Normal 7 8 8 2 2" xfId="17726" xr:uid="{F547AF6E-3139-4C19-B29C-9F548C32EF0D}"/>
    <cellStyle name="Normal 7 8 8 3" xfId="10179" xr:uid="{CF8ECEF6-1BD3-423E-8735-1B48A9AC7EBF}"/>
    <cellStyle name="Normal 7 8 8 3 2" xfId="20559" xr:uid="{760FCA6F-6B42-44AB-B086-38F9E5CE5D2F}"/>
    <cellStyle name="Normal 7 8 8 4" xfId="24356" xr:uid="{59B7BEB4-E380-44D7-965B-F4AE71DC9ECA}"/>
    <cellStyle name="Normal 7 8 8 5" xfId="14893" xr:uid="{4FAD8375-0A0D-4BB1-BDA6-9363022E60FB}"/>
    <cellStyle name="Normal 7 8 9" xfId="4091" xr:uid="{FEACF0C8-3B18-49F1-89D3-9F76FFBE9C2B}"/>
    <cellStyle name="Normal 7 8 9 2" xfId="8868" xr:uid="{044108D4-921D-454F-BC77-7FEBD8D9F1BE}"/>
    <cellStyle name="Normal 7 8 9 2 2" xfId="19248" xr:uid="{3963D2D1-7D47-4D3F-8EEF-DFA1EBBFAD56}"/>
    <cellStyle name="Normal 7 8 9 3" xfId="11701" xr:uid="{7CC49168-E851-4172-8B55-2E2123A2E074}"/>
    <cellStyle name="Normal 7 8 9 3 2" xfId="22081" xr:uid="{1F00B042-48FB-473F-BBE8-03A7A9D3718B}"/>
    <cellStyle name="Normal 7 8 9 4" xfId="16415" xr:uid="{9ECAB39F-081A-4BCF-91F5-E4AF0193581E}"/>
    <cellStyle name="Normal 7 9" xfId="1526" xr:uid="{00000000-0005-0000-0000-0000CF070000}"/>
    <cellStyle name="Normal 7 9 10" xfId="7272" xr:uid="{76B76404-D632-40A0-BB9A-59637784038A}"/>
    <cellStyle name="Normal 7 9 10 2" xfId="17652" xr:uid="{9FC1061D-EC27-4D99-933D-B09A5D9C7F27}"/>
    <cellStyle name="Normal 7 9 11" xfId="10105" xr:uid="{D870EB85-AD4D-4FEB-92BD-E2F68463C43F}"/>
    <cellStyle name="Normal 7 9 11 2" xfId="20485" xr:uid="{B025CEB8-359C-41A1-95E0-E003A49FD9C1}"/>
    <cellStyle name="Normal 7 9 12" xfId="24207" xr:uid="{69CE26CE-3A4C-454E-8F2D-CB9244761167}"/>
    <cellStyle name="Normal 7 9 13" xfId="12434" xr:uid="{AC04919D-675B-4B08-8270-6BD19B73D1B5}"/>
    <cellStyle name="Normal 7 9 2" xfId="1527" xr:uid="{00000000-0005-0000-0000-0000D0070000}"/>
    <cellStyle name="Normal 7 9 2 10" xfId="10106" xr:uid="{E8C46142-E8B2-4D5F-8EE2-1212BE095953}"/>
    <cellStyle name="Normal 7 9 2 10 2" xfId="20486" xr:uid="{3961B3AA-27FD-4F2D-81A3-D6F4042000D3}"/>
    <cellStyle name="Normal 7 9 2 11" xfId="24031" xr:uid="{47681A00-42C3-4ED8-88C1-F08154E55A54}"/>
    <cellStyle name="Normal 7 9 2 12" xfId="12653" xr:uid="{8C56996B-E01D-467A-82C7-7D82C4130E86}"/>
    <cellStyle name="Normal 7 9 2 2" xfId="1528" xr:uid="{00000000-0005-0000-0000-0000D1070000}"/>
    <cellStyle name="Normal 7 9 2 2 2" xfId="3521" xr:uid="{00000000-0005-0000-0000-000061090000}"/>
    <cellStyle name="Normal 7 9 2 2 2 2" xfId="6573" xr:uid="{08851B5F-A0C6-4173-92C6-3E7000C8619F}"/>
    <cellStyle name="Normal 7 9 2 2 2 2 2" xfId="27105" xr:uid="{CEE07C7C-3E03-42D2-943B-38879DADD3F3}"/>
    <cellStyle name="Normal 7 9 2 2 2 2 3" xfId="26806" xr:uid="{D5E4D8DD-3FA5-4219-8507-710DA5DB159F}"/>
    <cellStyle name="Normal 7 9 2 2 2 2 4" xfId="16146" xr:uid="{F0204F73-FBE0-4809-A492-AAEF4FFB1D37}"/>
    <cellStyle name="Normal 7 9 2 2 2 3" xfId="8599" xr:uid="{89A1D3EC-64C2-4849-B353-0D2924A8D8FC}"/>
    <cellStyle name="Normal 7 9 2 2 2 3 2" xfId="28957" xr:uid="{5F917D48-4F1B-4B93-A25D-AD1D9110EBB6}"/>
    <cellStyle name="Normal 7 9 2 2 2 3 3" xfId="18979" xr:uid="{5F01B0CE-0AEF-40AE-8AF6-6394A42860FE}"/>
    <cellStyle name="Normal 7 9 2 2 2 4" xfId="11432" xr:uid="{5B92965B-4502-425D-8343-5002168817EF}"/>
    <cellStyle name="Normal 7 9 2 2 2 4 2" xfId="21812" xr:uid="{EC4382FD-FB15-4D27-8555-27EFDA1B470C}"/>
    <cellStyle name="Normal 7 9 2 2 2 5" xfId="25293" xr:uid="{99CC8E3D-D4B8-4B8A-BCE4-EDCA6176E377}"/>
    <cellStyle name="Normal 7 9 2 2 2 6" xfId="14119" xr:uid="{57595528-7EB4-4445-8F59-1E354DAFFCE0}"/>
    <cellStyle name="Normal 7 9 2 2 3" xfId="4386" xr:uid="{EB528A48-2B64-4BDC-8BAB-0FE57D1C1D8E}"/>
    <cellStyle name="Normal 7 9 2 2 3 2" xfId="9158" xr:uid="{E8D964A0-F164-4946-80DB-AB8D069D5C9F}"/>
    <cellStyle name="Normal 7 9 2 2 3 2 2" xfId="29201" xr:uid="{D58B8F9A-5BDF-468E-8C95-FE715D3C18B6}"/>
    <cellStyle name="Normal 7 9 2 2 3 2 3" xfId="19538" xr:uid="{C3ACBE5E-39B4-4333-B2B5-F5429CC797E6}"/>
    <cellStyle name="Normal 7 9 2 2 3 3" xfId="11991" xr:uid="{0D94B800-EF91-4226-824B-57DB58AA52C0}"/>
    <cellStyle name="Normal 7 9 2 2 3 3 2" xfId="22371" xr:uid="{A565410B-6B4B-47B2-A417-B3C674410799}"/>
    <cellStyle name="Normal 7 9 2 2 3 4" xfId="25317" xr:uid="{EA531831-9B22-4B41-ACD8-704165E0FA10}"/>
    <cellStyle name="Normal 7 9 2 2 3 5" xfId="16705" xr:uid="{9C4EFBA3-6C6E-49BD-AC85-870512FC7371}"/>
    <cellStyle name="Normal 7 9 2 2 4" xfId="5525" xr:uid="{18BC8DA5-668A-4E08-B837-D6E5D5825294}"/>
    <cellStyle name="Normal 7 9 2 2 4 2" xfId="28167" xr:uid="{389B0291-07E3-4E2E-9500-1F54470578F6}"/>
    <cellStyle name="Normal 7 9 2 2 4 3" xfId="14821" xr:uid="{4A15D896-DA51-48D9-8AAD-A328E02E30F3}"/>
    <cellStyle name="Normal 7 9 2 2 5" xfId="7274" xr:uid="{02FE9ED2-AE5C-4F82-AC53-CE84C785F709}"/>
    <cellStyle name="Normal 7 9 2 2 5 2" xfId="17654" xr:uid="{E1DCDE85-C82F-40FA-9E8E-32D8F09DF505}"/>
    <cellStyle name="Normal 7 9 2 2 6" xfId="10107" xr:uid="{9A763DA3-65C7-470B-B90A-0B57D73D284E}"/>
    <cellStyle name="Normal 7 9 2 2 6 2" xfId="20487" xr:uid="{491B9786-B64D-46A4-9AB6-CF8D6286570A}"/>
    <cellStyle name="Normal 7 9 2 2 7" xfId="25342" xr:uid="{E73C036E-A05A-4DA2-9D76-D70653EB3182}"/>
    <cellStyle name="Normal 7 9 2 2 8" xfId="13342" xr:uid="{E35BAE62-FA84-42DC-B6E0-509D12519BE2}"/>
    <cellStyle name="Normal 7 9 2 3" xfId="3522" xr:uid="{00000000-0005-0000-0000-000062090000}"/>
    <cellStyle name="Normal 7 9 2 3 2" xfId="4618" xr:uid="{3CBC5E3B-62D7-4DB8-815F-3B4712A8F13D}"/>
    <cellStyle name="Normal 7 9 2 3 2 2" xfId="9390" xr:uid="{7AABAB45-D7FE-46BE-9046-290BB631FB24}"/>
    <cellStyle name="Normal 7 9 2 3 2 2 2" xfId="29356" xr:uid="{324F7A9F-FE78-4615-8C4D-FF47E462CCC9}"/>
    <cellStyle name="Normal 7 9 2 3 2 2 3" xfId="19770" xr:uid="{F5587A6F-B2B0-4149-839D-414E408BA8D0}"/>
    <cellStyle name="Normal 7 9 2 3 2 3" xfId="12223" xr:uid="{B475D31E-70F6-438B-8C9E-ECB57843A29A}"/>
    <cellStyle name="Normal 7 9 2 3 2 3 2" xfId="22603" xr:uid="{BADAC9A4-43D9-4F92-BD81-0DADED5F81E3}"/>
    <cellStyle name="Normal 7 9 2 3 2 4" xfId="22801" xr:uid="{FCC204BA-D332-4134-B6DB-AEF25B42614C}"/>
    <cellStyle name="Normal 7 9 2 3 2 5" xfId="16937" xr:uid="{CCB1FEA2-2B68-4F1C-9FD9-C4B2B1D7B967}"/>
    <cellStyle name="Normal 7 9 2 3 3" xfId="6574" xr:uid="{71E69CFC-40E7-4104-BFBA-4DBE33C2F82D}"/>
    <cellStyle name="Normal 7 9 2 3 3 2" xfId="26624" xr:uid="{F58E0E78-8ECE-42E0-96CB-0D7D2E1A5464}"/>
    <cellStyle name="Normal 7 9 2 3 3 3" xfId="16147" xr:uid="{8D530DF0-F5EF-41BD-A2D4-B3FC36911876}"/>
    <cellStyle name="Normal 7 9 2 3 4" xfId="8600" xr:uid="{CDA5547D-2F80-4A49-B0B1-AB2FA1B1084B}"/>
    <cellStyle name="Normal 7 9 2 3 4 2" xfId="18980" xr:uid="{2236DDA7-9D03-4C60-B54C-5924CE083B3C}"/>
    <cellStyle name="Normal 7 9 2 3 5" xfId="11433" xr:uid="{9791950E-AE78-4758-9E42-C1AECEDCC64D}"/>
    <cellStyle name="Normal 7 9 2 3 5 2" xfId="21813" xr:uid="{83B9B04D-4243-406B-ABFC-78F92A017694}"/>
    <cellStyle name="Normal 7 9 2 3 6" xfId="23914" xr:uid="{E58699ED-2530-462B-88C0-F1DA833FB6D3}"/>
    <cellStyle name="Normal 7 9 2 3 7" xfId="14120" xr:uid="{2D4AAA1A-2B8B-40C1-9A1E-00B7BC6FC7D8}"/>
    <cellStyle name="Normal 7 9 2 4" xfId="3520" xr:uid="{00000000-0005-0000-0000-000063090000}"/>
    <cellStyle name="Normal 7 9 2 4 2" xfId="6572" xr:uid="{0678E052-A05D-47FC-9CF2-7856977E5B03}"/>
    <cellStyle name="Normal 7 9 2 4 2 2" xfId="27945" xr:uid="{3A9EC0DA-80EC-450F-9518-A60478D3153D}"/>
    <cellStyle name="Normal 7 9 2 4 2 3" xfId="16145" xr:uid="{35D206DD-1A1E-4F56-BB7A-53C0916F54B3}"/>
    <cellStyle name="Normal 7 9 2 4 3" xfId="8598" xr:uid="{CDC1C0DC-7ED4-43F3-A6D6-B09549999CB6}"/>
    <cellStyle name="Normal 7 9 2 4 3 2" xfId="18978" xr:uid="{CC7E147F-2D79-4243-B86F-0A56D99A4F7D}"/>
    <cellStyle name="Normal 7 9 2 4 4" xfId="11431" xr:uid="{780E7390-0FB8-4182-9798-6692B3F5C71A}"/>
    <cellStyle name="Normal 7 9 2 4 4 2" xfId="21811" xr:uid="{B7712B30-F3F0-4E71-95FB-C62553CC3BDF}"/>
    <cellStyle name="Normal 7 9 2 4 5" xfId="24357" xr:uid="{8A7F2BD6-0CA8-4A18-9356-1337DE2860AA}"/>
    <cellStyle name="Normal 7 9 2 4 6" xfId="14118" xr:uid="{0AE5AA18-0D24-4CE0-A9B1-8E4BFA177CD5}"/>
    <cellStyle name="Normal 7 9 2 5" xfId="2611" xr:uid="{00000000-0005-0000-0000-000064090000}"/>
    <cellStyle name="Normal 7 9 2 5 2" xfId="5875" xr:uid="{02EC3617-103E-479F-BD91-557718149D0F}"/>
    <cellStyle name="Normal 7 9 2 5 2 2" xfId="27174" xr:uid="{B13239FD-9AD8-4D87-BD9B-30459B012047}"/>
    <cellStyle name="Normal 7 9 2 5 2 3" xfId="15283" xr:uid="{525DCEDE-148E-4FA1-9F80-FA1DD04D1FD9}"/>
    <cellStyle name="Normal 7 9 2 5 3" xfId="7736" xr:uid="{205D57FB-2FDB-4E35-995D-6CAC7E85399C}"/>
    <cellStyle name="Normal 7 9 2 5 3 2" xfId="18116" xr:uid="{5EB5B4F1-ADC4-4B88-A39E-84C73F0E9D54}"/>
    <cellStyle name="Normal 7 9 2 5 4" xfId="10569" xr:uid="{4D04A9D9-B538-4A30-9770-CDF7E0117AE7}"/>
    <cellStyle name="Normal 7 9 2 5 4 2" xfId="20949" xr:uid="{18912B82-CF5D-4537-98C1-8DAAB5D0F50B}"/>
    <cellStyle name="Normal 7 9 2 5 5" xfId="24968" xr:uid="{2F0DDD04-8A76-43E6-BA13-A08E98458436}"/>
    <cellStyle name="Normal 7 9 2 5 6" xfId="12999" xr:uid="{C487D90F-46AF-4631-AB02-F6BE425059FA}"/>
    <cellStyle name="Normal 7 9 2 6" xfId="2419" xr:uid="{00000000-0005-0000-0000-00005F090000}"/>
    <cellStyle name="Normal 7 9 2 6 2" xfId="7546" xr:uid="{F30F222B-9441-437C-A6E0-AB2324CAF431}"/>
    <cellStyle name="Normal 7 9 2 6 2 2" xfId="17926" xr:uid="{D512FE79-C220-4CDE-BC43-6B9FBDDEB87F}"/>
    <cellStyle name="Normal 7 9 2 6 3" xfId="10379" xr:uid="{D89C89ED-B3E0-4384-BC77-325D7C4FD9B0}"/>
    <cellStyle name="Normal 7 9 2 6 3 2" xfId="20759" xr:uid="{2474CED3-A43B-4BE4-8430-346C113529AC}"/>
    <cellStyle name="Normal 7 9 2 6 4" xfId="24961" xr:uid="{550406FD-A150-47E6-9976-E76297CE33A1}"/>
    <cellStyle name="Normal 7 9 2 6 5" xfId="15093" xr:uid="{C83A44F1-13EB-40E5-8915-4667757BAC52}"/>
    <cellStyle name="Normal 7 9 2 7" xfId="4112" xr:uid="{36B8797F-B026-4C66-AFCC-B9C1561C0C3E}"/>
    <cellStyle name="Normal 7 9 2 7 2" xfId="8884" xr:uid="{43CDC3D9-BA1E-48A2-A621-662AA63CF995}"/>
    <cellStyle name="Normal 7 9 2 7 2 2" xfId="19264" xr:uid="{E3962313-9FA7-4DD6-996F-E16BB0636A3E}"/>
    <cellStyle name="Normal 7 9 2 7 3" xfId="11717" xr:uid="{4161F892-B5CC-433F-905F-6E4810BBB2DC}"/>
    <cellStyle name="Normal 7 9 2 7 3 2" xfId="22097" xr:uid="{90F7AEA4-E403-4901-A36D-A8A0F46E7D5C}"/>
    <cellStyle name="Normal 7 9 2 7 4" xfId="16431" xr:uid="{E259559B-E094-468A-B09B-CD3885E79875}"/>
    <cellStyle name="Normal 7 9 2 8" xfId="5524" xr:uid="{98E0A974-EB5B-4BF5-B155-2665B9E0977B}"/>
    <cellStyle name="Normal 7 9 2 8 2" xfId="14820" xr:uid="{6E89D7F4-0805-46B7-9E60-9A344E5140B1}"/>
    <cellStyle name="Normal 7 9 2 9" xfId="7273" xr:uid="{D2DBE619-47FE-4865-9554-1EE6952CBB47}"/>
    <cellStyle name="Normal 7 9 2 9 2" xfId="17653" xr:uid="{F78EBC94-14F7-4DF1-8ADE-C5E769662C9F}"/>
    <cellStyle name="Normal 7 9 3" xfId="1529" xr:uid="{00000000-0005-0000-0000-0000D2070000}"/>
    <cellStyle name="Normal 7 9 3 2" xfId="3523" xr:uid="{00000000-0005-0000-0000-000066090000}"/>
    <cellStyle name="Normal 7 9 3 2 2" xfId="6575" xr:uid="{9F0A2FA7-3928-4EB9-A863-E47676CD7690}"/>
    <cellStyle name="Normal 7 9 3 2 2 2" xfId="25687" xr:uid="{7C940A72-1C14-4D0A-B528-F3F82AED5172}"/>
    <cellStyle name="Normal 7 9 3 2 2 3" xfId="26416" xr:uid="{0CC7C559-802F-4B94-AA77-4C0A16656359}"/>
    <cellStyle name="Normal 7 9 3 2 2 4" xfId="16148" xr:uid="{49D0CC1E-D9B2-48D9-8085-08641E1A7354}"/>
    <cellStyle name="Normal 7 9 3 2 3" xfId="8601" xr:uid="{5D1E7105-FCF4-4747-80CD-AAF0B5E4D8EC}"/>
    <cellStyle name="Normal 7 9 3 2 3 2" xfId="28958" xr:uid="{32FBB707-5394-4C92-83F9-7C9EF9C45FD5}"/>
    <cellStyle name="Normal 7 9 3 2 3 3" xfId="18981" xr:uid="{E4638DAA-1718-4007-9964-207D65BA3D50}"/>
    <cellStyle name="Normal 7 9 3 2 4" xfId="11434" xr:uid="{8F06EF70-C52F-4EE6-A142-976E630723EC}"/>
    <cellStyle name="Normal 7 9 3 2 4 2" xfId="21814" xr:uid="{5E25D8AD-D880-4A1C-A626-6B9B0DB887FF}"/>
    <cellStyle name="Normal 7 9 3 2 5" xfId="24038" xr:uid="{B900FF44-0CD6-47EE-BE3E-92F621776826}"/>
    <cellStyle name="Normal 7 9 3 2 6" xfId="14121" xr:uid="{92C9E29A-A929-4803-9480-90B080FCCAA0}"/>
    <cellStyle name="Normal 7 9 3 3" xfId="2855" xr:uid="{00000000-0005-0000-0000-000067090000}"/>
    <cellStyle name="Normal 7 9 3 3 2" xfId="6068" xr:uid="{552C9DB8-F2FE-4DB7-87DD-2637543458B4}"/>
    <cellStyle name="Normal 7 9 3 3 2 2" xfId="27100" xr:uid="{C305AF17-1FC2-42EB-9385-6EB7FB692611}"/>
    <cellStyle name="Normal 7 9 3 3 2 3" xfId="15524" xr:uid="{00B05003-6DAD-46AB-8D7A-3081755121F7}"/>
    <cellStyle name="Normal 7 9 3 3 3" xfId="7977" xr:uid="{96CEEA5A-E54D-4FE3-8D32-B1F5FE07FF7E}"/>
    <cellStyle name="Normal 7 9 3 3 3 2" xfId="18357" xr:uid="{C2185AB7-E1D9-4136-A3D8-3FE27D6DAC9A}"/>
    <cellStyle name="Normal 7 9 3 3 4" xfId="10810" xr:uid="{56A3599A-7953-459B-A1A3-4A71B18D1E50}"/>
    <cellStyle name="Normal 7 9 3 3 4 2" xfId="21190" xr:uid="{04356900-E566-4A9B-AB64-9298087B8874}"/>
    <cellStyle name="Normal 7 9 3 3 5" xfId="22978" xr:uid="{80DE1E42-C673-47AD-B52E-CA9A21F5EB24}"/>
    <cellStyle name="Normal 7 9 3 3 6" xfId="13341" xr:uid="{2EBF2D73-5A9B-4896-A377-105375220801}"/>
    <cellStyle name="Normal 7 9 3 4" xfId="4234" xr:uid="{009F3A9E-D472-4C57-A8C3-6EC8071C48E8}"/>
    <cellStyle name="Normal 7 9 3 4 2" xfId="9006" xr:uid="{89A1C875-00DB-4A28-BCFE-966AC653E27C}"/>
    <cellStyle name="Normal 7 9 3 4 2 2" xfId="29079" xr:uid="{3407352C-E7D0-44FC-BE36-DC3434CC1F7E}"/>
    <cellStyle name="Normal 7 9 3 4 2 3" xfId="19386" xr:uid="{6A467CD1-AD66-4DE1-A7EC-FE546128C4B6}"/>
    <cellStyle name="Normal 7 9 3 4 3" xfId="11839" xr:uid="{94A68735-F083-4BB4-A6F2-891A9D3076A4}"/>
    <cellStyle name="Normal 7 9 3 4 3 2" xfId="22219" xr:uid="{DF5D69F8-067E-4B5B-9C60-25DFF1B221CF}"/>
    <cellStyle name="Normal 7 9 3 4 4" xfId="25302" xr:uid="{A333E4D4-8266-4CAC-9652-DF09A9050DE2}"/>
    <cellStyle name="Normal 7 9 3 4 5" xfId="16553" xr:uid="{BA17A702-172F-4B25-A816-765D2D3BF28F}"/>
    <cellStyle name="Normal 7 9 3 5" xfId="5526" xr:uid="{E23AF0C2-CA43-438E-8DB3-48A5553C1FFF}"/>
    <cellStyle name="Normal 7 9 3 5 2" xfId="26742" xr:uid="{9A010853-80A8-43CE-9504-53BB5BD6511A}"/>
    <cellStyle name="Normal 7 9 3 5 3" xfId="14822" xr:uid="{EBC047F0-F2C2-4A19-B843-85B9C3176CDD}"/>
    <cellStyle name="Normal 7 9 3 6" xfId="7275" xr:uid="{270FBFB5-488C-4813-B979-BE8050EF08E5}"/>
    <cellStyle name="Normal 7 9 3 6 2" xfId="17655" xr:uid="{380EE030-134D-4F2D-B8F3-937D0548DDD5}"/>
    <cellStyle name="Normal 7 9 3 7" xfId="10108" xr:uid="{AACECB7E-D3E8-45EC-9BA8-3B9034382EBF}"/>
    <cellStyle name="Normal 7 9 3 7 2" xfId="20488" xr:uid="{FF0948E6-3860-47FA-8C35-5FB7EBF99BE8}"/>
    <cellStyle name="Normal 7 9 3 8" xfId="25237" xr:uid="{2B26FE36-D5EB-49E0-8D5B-041DA3CE7730}"/>
    <cellStyle name="Normal 7 9 3 9" xfId="12811" xr:uid="{1E100D0D-8A53-490A-AD82-5F618450BFD0}"/>
    <cellStyle name="Normal 7 9 4" xfId="1530" xr:uid="{00000000-0005-0000-0000-0000D3070000}"/>
    <cellStyle name="Normal 7 9 4 2" xfId="4619" xr:uid="{D8ADD1F9-5E09-4A26-B899-6466160604EE}"/>
    <cellStyle name="Normal 7 9 4 2 2" xfId="9391" xr:uid="{AC745180-8B0D-4883-BD43-41C6A6499E9B}"/>
    <cellStyle name="Normal 7 9 4 2 2 2" xfId="29357" xr:uid="{BDA279B8-AB6C-4947-86E1-AE57EF99F92E}"/>
    <cellStyle name="Normal 7 9 4 2 2 3" xfId="19771" xr:uid="{7EB3FA25-948C-443D-B0D2-DD14CCA3A367}"/>
    <cellStyle name="Normal 7 9 4 2 3" xfId="12224" xr:uid="{538A9DFF-DB48-4A6F-A5FB-46A052E34D48}"/>
    <cellStyle name="Normal 7 9 4 2 3 2" xfId="22604" xr:uid="{47F9D50A-E47B-4A77-9DE0-3A0EF4481ACF}"/>
    <cellStyle name="Normal 7 9 4 2 4" xfId="23200" xr:uid="{93A2BE3E-37AB-4CCA-9D02-CC359A5B0EFC}"/>
    <cellStyle name="Normal 7 9 4 2 5" xfId="16938" xr:uid="{F6F170E3-636C-4A4C-B98C-D8444EF2B468}"/>
    <cellStyle name="Normal 7 9 4 3" xfId="5527" xr:uid="{A396F996-239A-445A-A6F4-F14DAC58772C}"/>
    <cellStyle name="Normal 7 9 4 3 2" xfId="26860" xr:uid="{5FCF35A9-5BF2-4855-B4E3-941F78CE0889}"/>
    <cellStyle name="Normal 7 9 4 3 3" xfId="14823" xr:uid="{E3A07064-7A3C-4C6B-9FE2-6C6913CA03C8}"/>
    <cellStyle name="Normal 7 9 4 4" xfId="7276" xr:uid="{99717AD7-F2BA-465A-A409-687E2EDF3698}"/>
    <cellStyle name="Normal 7 9 4 4 2" xfId="17656" xr:uid="{89BFB8D1-6EF1-45D4-AEBC-6E948CAC5C3F}"/>
    <cellStyle name="Normal 7 9 4 5" xfId="10109" xr:uid="{9C473F4B-F41A-4FED-8117-317196EB172E}"/>
    <cellStyle name="Normal 7 9 4 5 2" xfId="20489" xr:uid="{548150CA-1959-42AD-A8A0-4CD85AEC1CF9}"/>
    <cellStyle name="Normal 7 9 4 6" xfId="23318" xr:uid="{90438584-0BBD-4922-A6AD-5FA93D3E3B84}"/>
    <cellStyle name="Normal 7 9 4 7" xfId="14122" xr:uid="{8BCF2BE3-836B-4051-A553-2CD533FD4E0B}"/>
    <cellStyle name="Normal 7 9 5" xfId="3007" xr:uid="{00000000-0005-0000-0000-000069090000}"/>
    <cellStyle name="Normal 7 9 5 2" xfId="6156" xr:uid="{B6FA53FF-BD14-4883-9FCA-C451B43DC22F}"/>
    <cellStyle name="Normal 7 9 5 2 2" xfId="23782" xr:uid="{AB3A175D-8D8C-4590-9045-6040641ADC6E}"/>
    <cellStyle name="Normal 7 9 5 2 3" xfId="26294" xr:uid="{86D19EBE-A986-4E9E-846A-05B5E7E4364F}"/>
    <cellStyle name="Normal 7 9 5 2 4" xfId="15634" xr:uid="{C77432AA-AAAE-413F-A7F0-44CCC9BE276F}"/>
    <cellStyle name="Normal 7 9 5 3" xfId="8087" xr:uid="{E12B3A7A-1B5F-471C-BAD1-6D27964F06D5}"/>
    <cellStyle name="Normal 7 9 5 3 2" xfId="28775" xr:uid="{4F86F4A4-BA89-4E1F-88FD-EB8406010FEF}"/>
    <cellStyle name="Normal 7 9 5 3 3" xfId="18467" xr:uid="{BAD2C3DC-50E5-46F3-9397-9944D636B453}"/>
    <cellStyle name="Normal 7 9 5 4" xfId="10920" xr:uid="{03CEEDD0-8ED3-4A45-AB13-ECADDFE2B3DF}"/>
    <cellStyle name="Normal 7 9 5 4 2" xfId="21300" xr:uid="{72734BA9-5ED0-4982-AA4B-8F25F03ECF4B}"/>
    <cellStyle name="Normal 7 9 5 5" xfId="25231" xr:uid="{90B76BFE-3D6B-4351-9FA1-CED203962F0C}"/>
    <cellStyle name="Normal 7 9 5 6" xfId="13509" xr:uid="{DED0737A-E3B6-4662-88E6-FA3B4431B0EB}"/>
    <cellStyle name="Normal 7 9 6" xfId="2448" xr:uid="{00000000-0005-0000-0000-00006A090000}"/>
    <cellStyle name="Normal 7 9 6 2" xfId="5742" xr:uid="{A21802D7-3AEA-4613-B0DA-95F88FA7F82F}"/>
    <cellStyle name="Normal 7 9 6 2 2" xfId="27499" xr:uid="{5D6EAF00-91E5-4FB9-8357-3EC29A50CE84}"/>
    <cellStyle name="Normal 7 9 6 2 3" xfId="15120" xr:uid="{99DD2ACB-D84D-48D7-812C-0B64F51EBC04}"/>
    <cellStyle name="Normal 7 9 6 3" xfId="7573" xr:uid="{3B84B987-E9BD-47E8-8E0B-76567E116218}"/>
    <cellStyle name="Normal 7 9 6 3 2" xfId="17953" xr:uid="{6450F13B-32CA-46A3-876C-9C17F54CA193}"/>
    <cellStyle name="Normal 7 9 6 4" xfId="10406" xr:uid="{111254B1-4478-47D7-BFD6-1CC71E53BAB8}"/>
    <cellStyle name="Normal 7 9 6 4 2" xfId="20786" xr:uid="{BE947B0F-D3ED-4B4B-A0F9-7A3F338B9393}"/>
    <cellStyle name="Normal 7 9 6 5" xfId="25509" xr:uid="{EC12210C-C328-4352-AEFD-0D3884467429}"/>
    <cellStyle name="Normal 7 9 6 6" xfId="12836" xr:uid="{141FE04E-C5AC-4063-B82F-950C701F3659}"/>
    <cellStyle name="Normal 7 9 7" xfId="2202" xr:uid="{00000000-0005-0000-0000-00005E090000}"/>
    <cellStyle name="Normal 7 9 7 2" xfId="7329" xr:uid="{8B458AC3-BF4E-4537-BF0E-72146AA9668A}"/>
    <cellStyle name="Normal 7 9 7 2 2" xfId="17709" xr:uid="{43837D5F-C8CE-4C8C-86D5-A7E1C7E81EFA}"/>
    <cellStyle name="Normal 7 9 7 3" xfId="10162" xr:uid="{E2615F79-4C90-46EC-895F-F2469CD45BB7}"/>
    <cellStyle name="Normal 7 9 7 3 2" xfId="20542" xr:uid="{0B6BD076-43E3-4F2B-BF44-4B8152ACA325}"/>
    <cellStyle name="Normal 7 9 7 4" xfId="25162" xr:uid="{5C574672-E70C-4BCA-AD6E-EB39F0C3BE09}"/>
    <cellStyle name="Normal 7 9 7 5" xfId="14876" xr:uid="{E7A8736D-B587-49E7-8DDE-5C8B07073C9C}"/>
    <cellStyle name="Normal 7 9 8" xfId="4092" xr:uid="{48F81BFA-E56C-457E-B821-421005CE6B7E}"/>
    <cellStyle name="Normal 7 9 8 2" xfId="8869" xr:uid="{59624F85-188A-4DC5-A973-CF535F1C3006}"/>
    <cellStyle name="Normal 7 9 8 2 2" xfId="19249" xr:uid="{CDB4CDA9-5A88-4F7A-8E89-E6070286E791}"/>
    <cellStyle name="Normal 7 9 8 3" xfId="11702" xr:uid="{40C1D1E6-17D1-4C02-B55F-22DC85EC4E61}"/>
    <cellStyle name="Normal 7 9 8 3 2" xfId="22082" xr:uid="{3EE5F332-23BB-4E00-9F4E-A0451E045FBC}"/>
    <cellStyle name="Normal 7 9 8 4" xfId="16416" xr:uid="{EF23CB9C-EB5D-4D45-A085-DAB83BF58FDF}"/>
    <cellStyle name="Normal 7 9 9" xfId="5523" xr:uid="{F22B49DA-465D-43F1-B44D-B8C43A47CDDB}"/>
    <cellStyle name="Normal 7 9 9 2" xfId="14819" xr:uid="{91B81AB7-D6D7-4DD6-8F25-8A293600F6FB}"/>
    <cellStyle name="Normal 8" xfId="1531" xr:uid="{00000000-0005-0000-0000-0000D4070000}"/>
    <cellStyle name="Normal 8 2" xfId="29582" xr:uid="{642610B3-64E9-42AF-815C-4FE869EEE9E0}"/>
    <cellStyle name="Normal 8 3" xfId="29581"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8" xr:uid="{4AB69308-8C32-4387-B887-18F04195A9A2}"/>
    <cellStyle name="Normal 9 3 10 2" xfId="14824" xr:uid="{A568E98C-0400-4732-81B2-5DA889B4ECC9}"/>
    <cellStyle name="Normal 9 3 11" xfId="7277" xr:uid="{9C31A94E-E47B-4C4E-AA50-31C830FC9793}"/>
    <cellStyle name="Normal 9 3 11 2" xfId="17657" xr:uid="{67475792-A064-4C8D-8F2B-D3C95F0869EB}"/>
    <cellStyle name="Normal 9 3 12" xfId="10110" xr:uid="{DF1350DD-95C6-4B0B-A47F-46C905C02413}"/>
    <cellStyle name="Normal 9 3 12 2" xfId="20490" xr:uid="{9E81BCD6-4B82-4560-9838-C4DA59AE953D}"/>
    <cellStyle name="Normal 9 3 13" xfId="23746" xr:uid="{EFC3CC01-DF8D-4E46-A1DC-29C2FC1E6D88}"/>
    <cellStyle name="Normal 9 3 14" xfId="12453" xr:uid="{7C092815-7879-4DBB-9138-F2CA8A4D8BC0}"/>
    <cellStyle name="Normal 9 3 2" xfId="1535" xr:uid="{00000000-0005-0000-0000-0000D8070000}"/>
    <cellStyle name="Normal 9 3 2 10" xfId="10111" xr:uid="{1BC54D58-FAE8-4CA5-A215-072C3D163546}"/>
    <cellStyle name="Normal 9 3 2 10 2" xfId="20491" xr:uid="{500DC43B-85D7-41C4-B7B1-5C329AD74604}"/>
    <cellStyle name="Normal 9 3 2 11" xfId="24688" xr:uid="{5DEB5EAF-D9A4-4538-8400-0E86CE3B6390}"/>
    <cellStyle name="Normal 9 3 2 12" xfId="12654" xr:uid="{AF7FA52A-556F-406A-9630-C99BE17F1F57}"/>
    <cellStyle name="Normal 9 3 2 2" xfId="1536" xr:uid="{00000000-0005-0000-0000-0000D9070000}"/>
    <cellStyle name="Normal 9 3 2 2 2" xfId="3525" xr:uid="{00000000-0005-0000-0000-000071090000}"/>
    <cellStyle name="Normal 9 3 2 2 2 2" xfId="6577" xr:uid="{61E38F25-4671-45E7-BD26-CC1FC625D228}"/>
    <cellStyle name="Normal 9 3 2 2 2 2 2" xfId="26592" xr:uid="{F0803882-E7BA-4ACA-BBDF-86736E543627}"/>
    <cellStyle name="Normal 9 3 2 2 2 2 3" xfId="26570" xr:uid="{0351A92C-BD2E-4958-9C3A-F12228850566}"/>
    <cellStyle name="Normal 9 3 2 2 2 2 4" xfId="16150" xr:uid="{9C18D614-3BE3-4ED2-B560-BC5AE95B75E3}"/>
    <cellStyle name="Normal 9 3 2 2 2 3" xfId="8603" xr:uid="{BE65C509-C0C6-4A1F-A374-1EE3062AE055}"/>
    <cellStyle name="Normal 9 3 2 2 2 3 2" xfId="28959" xr:uid="{F5C6AB54-623F-423B-8FEB-05CC38DA7056}"/>
    <cellStyle name="Normal 9 3 2 2 2 3 3" xfId="18983" xr:uid="{58225118-F29B-45F9-AD0C-8AC1797B9542}"/>
    <cellStyle name="Normal 9 3 2 2 2 4" xfId="11436" xr:uid="{0754E3CA-D1D0-46A2-922E-A5798C8C4CDC}"/>
    <cellStyle name="Normal 9 3 2 2 2 4 2" xfId="21816" xr:uid="{8A7075DA-2E26-4DA4-AD72-161C96E19338}"/>
    <cellStyle name="Normal 9 3 2 2 2 5" xfId="22768" xr:uid="{473C9031-F318-43FC-8658-85A28AA83484}"/>
    <cellStyle name="Normal 9 3 2 2 2 6" xfId="14124" xr:uid="{36C99B2C-4255-4078-A427-390C0CBB97A7}"/>
    <cellStyle name="Normal 9 3 2 2 3" xfId="4388" xr:uid="{E27B2987-F417-471D-AC9A-5B85DC1F6FAF}"/>
    <cellStyle name="Normal 9 3 2 2 3 2" xfId="9160" xr:uid="{C9B63629-3B96-4B96-B02A-E368C9D52F0A}"/>
    <cellStyle name="Normal 9 3 2 2 3 2 2" xfId="29203" xr:uid="{C689CD34-05DE-485A-9208-CBE8032D66E4}"/>
    <cellStyle name="Normal 9 3 2 2 3 2 3" xfId="19540" xr:uid="{69A4B702-2460-4A63-A202-6E5DC53D42CC}"/>
    <cellStyle name="Normal 9 3 2 2 3 3" xfId="11993" xr:uid="{A64A7DEC-A52B-478E-A0CF-B335B93A1206}"/>
    <cellStyle name="Normal 9 3 2 2 3 3 2" xfId="22373" xr:uid="{BE7DD643-6BFB-4834-8244-F58057CE6FFB}"/>
    <cellStyle name="Normal 9 3 2 2 3 4" xfId="25577" xr:uid="{885E0AA7-5309-4C8F-8AFC-41E170CCFB76}"/>
    <cellStyle name="Normal 9 3 2 2 3 5" xfId="16707" xr:uid="{B11F47EB-650E-41F7-8C7F-DC0E51B318B7}"/>
    <cellStyle name="Normal 9 3 2 2 4" xfId="5530" xr:uid="{CEE07FD4-DFF8-429E-A5B3-76FBAA538174}"/>
    <cellStyle name="Normal 9 3 2 2 4 2" xfId="25911" xr:uid="{A8A7DD7F-D3B1-452D-9F03-130165BDB4E3}"/>
    <cellStyle name="Normal 9 3 2 2 4 3" xfId="14826" xr:uid="{96E8603D-D717-4175-B56A-2F95F56301C6}"/>
    <cellStyle name="Normal 9 3 2 2 5" xfId="7279" xr:uid="{6B92E09E-A16F-4BB5-B821-2619DD7E833B}"/>
    <cellStyle name="Normal 9 3 2 2 5 2" xfId="17659" xr:uid="{40A4B931-8544-4AA6-B9D8-6EC501CF4EFF}"/>
    <cellStyle name="Normal 9 3 2 2 6" xfId="10112" xr:uid="{EF10A58C-DD50-4A43-9814-8E6A895118D0}"/>
    <cellStyle name="Normal 9 3 2 2 6 2" xfId="20492" xr:uid="{4B3C97CB-024F-4C41-913F-4A34ED604898}"/>
    <cellStyle name="Normal 9 3 2 2 7" xfId="23431" xr:uid="{FEBA0127-C05C-429D-AF95-30B2175C1BAB}"/>
    <cellStyle name="Normal 9 3 2 2 8" xfId="13344" xr:uid="{35E799C1-7A84-46DF-95C6-B6E06589CD95}"/>
    <cellStyle name="Normal 9 3 2 3" xfId="3526" xr:uid="{00000000-0005-0000-0000-000072090000}"/>
    <cellStyle name="Normal 9 3 2 3 2" xfId="4620" xr:uid="{6FF08757-DE2A-4275-8283-E148E5712689}"/>
    <cellStyle name="Normal 9 3 2 3 2 2" xfId="9392" xr:uid="{6E7266DC-E246-460E-B844-E5ADFCFCE88E}"/>
    <cellStyle name="Normal 9 3 2 3 2 2 2" xfId="29358" xr:uid="{5546639A-11D4-45FA-8D46-304C4BA7C982}"/>
    <cellStyle name="Normal 9 3 2 3 2 2 3" xfId="19772" xr:uid="{83DCD948-8322-471E-96D6-2BE36C0E0B8B}"/>
    <cellStyle name="Normal 9 3 2 3 2 3" xfId="12225" xr:uid="{77152B59-0C8D-4D29-819F-1C430B6F5E84}"/>
    <cellStyle name="Normal 9 3 2 3 2 3 2" xfId="22605" xr:uid="{859336DA-A2E4-4CC5-94C0-330CB1E77B4A}"/>
    <cellStyle name="Normal 9 3 2 3 2 4" xfId="25153" xr:uid="{95F16352-F41C-487A-A8FE-E650FFA413CA}"/>
    <cellStyle name="Normal 9 3 2 3 2 5" xfId="16939" xr:uid="{FD0F13F0-0D44-4D21-AD6D-D0F8848807FB}"/>
    <cellStyle name="Normal 9 3 2 3 3" xfId="6578" xr:uid="{6FB8331A-94A3-4B8A-A948-FAF3E56A6F2D}"/>
    <cellStyle name="Normal 9 3 2 3 3 2" xfId="27115" xr:uid="{59108EC7-E465-4179-9BF7-F9579AE7F628}"/>
    <cellStyle name="Normal 9 3 2 3 3 3" xfId="16151" xr:uid="{B93DD648-8961-4474-98DC-0C4F16FFF4F4}"/>
    <cellStyle name="Normal 9 3 2 3 4" xfId="8604" xr:uid="{AFAEEE0F-E538-4F57-B2EA-299EB1BD6D4B}"/>
    <cellStyle name="Normal 9 3 2 3 4 2" xfId="18984" xr:uid="{033BDA48-367F-4178-97F8-450D1D9264C1}"/>
    <cellStyle name="Normal 9 3 2 3 5" xfId="11437" xr:uid="{5DE2EA4C-89F2-457B-B198-E2D1412814EB}"/>
    <cellStyle name="Normal 9 3 2 3 5 2" xfId="21817" xr:uid="{F4386B4F-BCED-4175-8B61-A3CB71AA11DC}"/>
    <cellStyle name="Normal 9 3 2 3 6" xfId="25319" xr:uid="{3B006FC9-8001-4A77-A9E7-4CB5D00079BA}"/>
    <cellStyle name="Normal 9 3 2 3 7" xfId="14125" xr:uid="{903689EE-9658-42CF-8D49-606DEBCAB0F4}"/>
    <cellStyle name="Normal 9 3 2 4" xfId="3524" xr:uid="{00000000-0005-0000-0000-000073090000}"/>
    <cellStyle name="Normal 9 3 2 4 2" xfId="6576" xr:uid="{5283ABC6-868A-4872-8CDA-0E032B3FEECC}"/>
    <cellStyle name="Normal 9 3 2 4 2 2" xfId="27314" xr:uid="{E759B78A-09C9-4956-A608-A54D9F15E544}"/>
    <cellStyle name="Normal 9 3 2 4 2 3" xfId="16149" xr:uid="{BAD269DF-945F-48A2-BC0C-885B2C589E9B}"/>
    <cellStyle name="Normal 9 3 2 4 3" xfId="8602" xr:uid="{A128BC4B-7B2D-4134-BAC5-8B8F05D5B6C9}"/>
    <cellStyle name="Normal 9 3 2 4 3 2" xfId="18982" xr:uid="{1B2054EF-017C-4DB4-8B36-266285B1A17F}"/>
    <cellStyle name="Normal 9 3 2 4 4" xfId="11435" xr:uid="{1392F5DF-4C3A-43B1-867F-D9F3C38BC9C7}"/>
    <cellStyle name="Normal 9 3 2 4 4 2" xfId="21815" xr:uid="{46AB251A-BBC9-4859-9035-7B6C9672AB9D}"/>
    <cellStyle name="Normal 9 3 2 4 5" xfId="24522" xr:uid="{3293725D-68A0-49DF-AB13-9B5C3649138B}"/>
    <cellStyle name="Normal 9 3 2 4 6" xfId="14123" xr:uid="{3C7EE531-5917-4876-A99E-9E763E08FA1E}"/>
    <cellStyle name="Normal 9 3 2 5" xfId="2527" xr:uid="{00000000-0005-0000-0000-000074090000}"/>
    <cellStyle name="Normal 9 3 2 5 2" xfId="5804" xr:uid="{BA1FC189-CC32-4908-A6F3-449251551132}"/>
    <cellStyle name="Normal 9 3 2 5 2 2" xfId="26281" xr:uid="{746CC66A-430C-40AA-B33E-C96387308F6A}"/>
    <cellStyle name="Normal 9 3 2 5 2 3" xfId="15199" xr:uid="{4FBAA3F0-9E8D-4249-BAF6-0A3B738BE1A0}"/>
    <cellStyle name="Normal 9 3 2 5 3" xfId="7652" xr:uid="{723FC09F-28D5-4033-B6C5-1ED5C325B9E9}"/>
    <cellStyle name="Normal 9 3 2 5 3 2" xfId="18032" xr:uid="{6EC2B81E-B5EB-49D3-B1B1-55455B5CEDED}"/>
    <cellStyle name="Normal 9 3 2 5 4" xfId="10485" xr:uid="{8F39D43A-086C-4288-82CB-BD83698E7AE9}"/>
    <cellStyle name="Normal 9 3 2 5 4 2" xfId="20865" xr:uid="{C0432212-6FE0-47AA-B2CE-E034E93B3709}"/>
    <cellStyle name="Normal 9 3 2 5 5" xfId="24004" xr:uid="{E0BC0D57-DAEB-4749-9ABE-7C74061882A6}"/>
    <cellStyle name="Normal 9 3 2 5 6" xfId="12915" xr:uid="{64F7EB20-D3DD-4F99-A29B-F99DA7E032F6}"/>
    <cellStyle name="Normal 9 3 2 6" xfId="2420" xr:uid="{00000000-0005-0000-0000-00006F090000}"/>
    <cellStyle name="Normal 9 3 2 6 2" xfId="7547" xr:uid="{18E3346C-DEEB-42CA-B8E8-FCF6F9B5D706}"/>
    <cellStyle name="Normal 9 3 2 6 2 2" xfId="17927" xr:uid="{7B14F1E8-5CB3-4D04-88DC-62867B25823F}"/>
    <cellStyle name="Normal 9 3 2 6 3" xfId="10380" xr:uid="{984BA9BD-FA5A-4052-8DEC-195A1F1B88F9}"/>
    <cellStyle name="Normal 9 3 2 6 3 2" xfId="20760" xr:uid="{11D5DB19-4C6B-4B78-8B41-7C409A0D3D62}"/>
    <cellStyle name="Normal 9 3 2 6 4" xfId="24072" xr:uid="{7366DBB6-5278-4923-BE64-761B236DD20F}"/>
    <cellStyle name="Normal 9 3 2 6 5" xfId="15094" xr:uid="{E7F115EA-2FDE-49DD-BF05-7ADE10036302}"/>
    <cellStyle name="Normal 9 3 2 7" xfId="4113" xr:uid="{9374BC6B-CD1E-475B-9BAB-2BFD3E7E9320}"/>
    <cellStyle name="Normal 9 3 2 7 2" xfId="8885" xr:uid="{A61FC122-8D78-4D4A-A33E-86158FD08CBC}"/>
    <cellStyle name="Normal 9 3 2 7 2 2" xfId="19265" xr:uid="{1095D0D4-4003-49DA-BD17-D1D71DD9D6E1}"/>
    <cellStyle name="Normal 9 3 2 7 3" xfId="11718" xr:uid="{B616AC3F-9AD3-40AF-B637-9B5A4397BAC2}"/>
    <cellStyle name="Normal 9 3 2 7 3 2" xfId="22098" xr:uid="{5405AB12-6C71-49A2-B6DB-AC19F94DA733}"/>
    <cellStyle name="Normal 9 3 2 7 4" xfId="16432" xr:uid="{AFD7D77D-6E71-4609-A560-60461BEFFA16}"/>
    <cellStyle name="Normal 9 3 2 8" xfId="5529" xr:uid="{0786BECE-6A31-42EE-9331-D7C14B15827F}"/>
    <cellStyle name="Normal 9 3 2 8 2" xfId="14825" xr:uid="{E8AC801E-8E0D-4CA7-87D8-B60EB549F231}"/>
    <cellStyle name="Normal 9 3 2 9" xfId="7278" xr:uid="{1517974F-697C-4760-A4F0-3C47F1C94A8B}"/>
    <cellStyle name="Normal 9 3 2 9 2" xfId="17658" xr:uid="{DE31666C-6B51-4798-B538-A1ABF840A24C}"/>
    <cellStyle name="Normal 9 3 3" xfId="1537" xr:uid="{00000000-0005-0000-0000-0000DA070000}"/>
    <cellStyle name="Normal 9 3 3 10" xfId="23616" xr:uid="{3BCD0679-C73A-4CA7-8DE7-B52FB445084D}"/>
    <cellStyle name="Normal 9 3 3 11" xfId="12812" xr:uid="{91C452CE-9E4D-4EF8-A993-3020E53F17F0}"/>
    <cellStyle name="Normal 9 3 3 2" xfId="2856" xr:uid="{00000000-0005-0000-0000-000076090000}"/>
    <cellStyle name="Normal 9 3 3 2 2" xfId="3528" xr:uid="{00000000-0005-0000-0000-000077090000}"/>
    <cellStyle name="Normal 9 3 3 2 2 2" xfId="6580" xr:uid="{6A7723EB-2EE4-437A-8B50-4F26B4D25813}"/>
    <cellStyle name="Normal 9 3 3 2 2 2 2" xfId="28289" xr:uid="{C4EC20E2-D990-42AC-B93B-D209FF6FEB0F}"/>
    <cellStyle name="Normal 9 3 3 2 2 2 3" xfId="16153" xr:uid="{401485D3-4685-42AC-835E-069DAD9B283F}"/>
    <cellStyle name="Normal 9 3 3 2 2 3" xfId="8606" xr:uid="{0C64DCB0-EE00-4330-BBAE-C4CE09C45F48}"/>
    <cellStyle name="Normal 9 3 3 2 2 3 2" xfId="18986" xr:uid="{A28F260C-89A8-4BBE-8768-F7AE6E940DD9}"/>
    <cellStyle name="Normal 9 3 3 2 2 4" xfId="11439" xr:uid="{97552286-2148-433B-9FBC-0665C2AECA65}"/>
    <cellStyle name="Normal 9 3 3 2 2 4 2" xfId="21819" xr:uid="{B2C393DF-8126-4368-8AF7-6BAB65457DA5}"/>
    <cellStyle name="Normal 9 3 3 2 2 5" xfId="24589" xr:uid="{5D40A031-63C9-4338-852D-AF4630FDA4FF}"/>
    <cellStyle name="Normal 9 3 3 2 2 6" xfId="14127" xr:uid="{07C518C0-D482-4303-96F0-A414A911B97B}"/>
    <cellStyle name="Normal 9 3 3 2 3" xfId="4389" xr:uid="{7079911C-0C35-4207-B5B1-461F08CE444F}"/>
    <cellStyle name="Normal 9 3 3 2 3 2" xfId="9161" xr:uid="{8C61F030-3F54-425F-A2A5-C40BE4F638EE}"/>
    <cellStyle name="Normal 9 3 3 2 3 2 2" xfId="29204" xr:uid="{DCFE6330-5348-45C4-B582-53E0DB2D0B19}"/>
    <cellStyle name="Normal 9 3 3 2 3 2 3" xfId="19541" xr:uid="{FE6B35BA-54CE-4622-8426-109FA0FA5207}"/>
    <cellStyle name="Normal 9 3 3 2 3 3" xfId="11994" xr:uid="{ED1873BC-6981-4881-89FB-BD30409C6329}"/>
    <cellStyle name="Normal 9 3 3 2 3 3 2" xfId="22374" xr:uid="{162DB640-D77F-4109-AF1E-262506AA9E85}"/>
    <cellStyle name="Normal 9 3 3 2 3 4" xfId="25061" xr:uid="{66680072-9919-429B-ACF2-AF257A99BC67}"/>
    <cellStyle name="Normal 9 3 3 2 3 5" xfId="16708" xr:uid="{C9C36FF6-9680-46A2-AA4D-72745ECFA321}"/>
    <cellStyle name="Normal 9 3 3 2 4" xfId="6069" xr:uid="{C7D4C911-8DBF-4141-A340-0094E99D177D}"/>
    <cellStyle name="Normal 9 3 3 2 4 2" xfId="27296" xr:uid="{072A35AE-ABC6-4E9A-9C1B-874A8ADCBB4C}"/>
    <cellStyle name="Normal 9 3 3 2 4 3" xfId="15525" xr:uid="{37A679C5-8311-4444-AD4B-839E1F2D428B}"/>
    <cellStyle name="Normal 9 3 3 2 5" xfId="7978" xr:uid="{E4E488D4-1900-442E-AFBB-C17D9C705538}"/>
    <cellStyle name="Normal 9 3 3 2 5 2" xfId="18358" xr:uid="{D806CCE6-CF6D-4315-A9BB-79F329C2469C}"/>
    <cellStyle name="Normal 9 3 3 2 6" xfId="10811" xr:uid="{631596A9-0A5E-4D26-BCE7-24E9DA7E79A5}"/>
    <cellStyle name="Normal 9 3 3 2 6 2" xfId="21191" xr:uid="{F54E663C-D6B0-4EF9-AA89-265B5A63BF3B}"/>
    <cellStyle name="Normal 9 3 3 2 7" xfId="23446" xr:uid="{E60959EF-B8BB-45A7-95F4-1FB49FFDAA73}"/>
    <cellStyle name="Normal 9 3 3 2 8" xfId="13345" xr:uid="{39DA5A5E-22FB-4B11-ACBA-4E41FDC0A999}"/>
    <cellStyle name="Normal 9 3 3 3" xfId="3529" xr:uid="{00000000-0005-0000-0000-000078090000}"/>
    <cellStyle name="Normal 9 3 3 3 2" xfId="4621" xr:uid="{A374713D-A901-4599-B10D-CC13D0931DCA}"/>
    <cellStyle name="Normal 9 3 3 3 2 2" xfId="9393" xr:uid="{E8D76548-7D73-46DB-A5A0-6DC7BA80E6E2}"/>
    <cellStyle name="Normal 9 3 3 3 2 2 2" xfId="29359" xr:uid="{F0A4D047-D002-44BB-82E4-05B84B3C58C8}"/>
    <cellStyle name="Normal 9 3 3 3 2 2 3" xfId="19773" xr:uid="{BC25623B-F10B-4611-B5CF-A3E12B2FBA57}"/>
    <cellStyle name="Normal 9 3 3 3 2 3" xfId="12226" xr:uid="{21171A98-E1A8-42D9-8F95-452F268B3DE5}"/>
    <cellStyle name="Normal 9 3 3 3 2 3 2" xfId="22606" xr:uid="{761E940A-93EF-4AEE-83CB-2887B5D13FC0}"/>
    <cellStyle name="Normal 9 3 3 3 2 4" xfId="25731" xr:uid="{B3DB446E-A3A6-46D2-93D1-79729B4EBD9F}"/>
    <cellStyle name="Normal 9 3 3 3 2 5" xfId="16940" xr:uid="{3BAA9BC5-FBD5-4756-B541-8C68EC70EE18}"/>
    <cellStyle name="Normal 9 3 3 3 3" xfId="6581" xr:uid="{3E7C5B49-26A9-48A0-B1EB-16F952ADCD21}"/>
    <cellStyle name="Normal 9 3 3 3 3 2" xfId="25830" xr:uid="{E0F86C41-413C-4405-922C-2D186646B34A}"/>
    <cellStyle name="Normal 9 3 3 3 3 3" xfId="16154" xr:uid="{2EDC2F1D-8FA1-4642-A8EE-6DAC4CCBF49E}"/>
    <cellStyle name="Normal 9 3 3 3 4" xfId="8607" xr:uid="{F937617A-9866-491A-B80D-DB7D52A01824}"/>
    <cellStyle name="Normal 9 3 3 3 4 2" xfId="18987" xr:uid="{B8F9D273-24C4-42BD-8DBA-C9018E0BEE6C}"/>
    <cellStyle name="Normal 9 3 3 3 5" xfId="11440" xr:uid="{9CA05CAF-3CD2-48F9-B804-794FAF97446E}"/>
    <cellStyle name="Normal 9 3 3 3 5 2" xfId="21820" xr:uid="{2E2C7C76-5401-45E5-A16C-D2728241448A}"/>
    <cellStyle name="Normal 9 3 3 3 6" xfId="23585" xr:uid="{BB0FC48A-7D4A-4E9B-8CE6-1551AE6EB1FC}"/>
    <cellStyle name="Normal 9 3 3 3 7" xfId="14128" xr:uid="{4B0D0024-DEEB-48B1-B208-10492BB7113C}"/>
    <cellStyle name="Normal 9 3 3 4" xfId="3527" xr:uid="{00000000-0005-0000-0000-000079090000}"/>
    <cellStyle name="Normal 9 3 3 4 2" xfId="6579" xr:uid="{B99FA865-11BE-4BF6-BBC8-756C3A205319}"/>
    <cellStyle name="Normal 9 3 3 4 2 2" xfId="28344" xr:uid="{255980EA-8183-4AB3-B002-61989B34E296}"/>
    <cellStyle name="Normal 9 3 3 4 2 3" xfId="16152" xr:uid="{825A0061-CBCC-474E-B12E-DA3C9AB8FBF2}"/>
    <cellStyle name="Normal 9 3 3 4 3" xfId="8605" xr:uid="{EDDD3162-4000-4AE7-973B-6E814B25B586}"/>
    <cellStyle name="Normal 9 3 3 4 3 2" xfId="18985" xr:uid="{C81C4BA2-C32B-4BDD-9579-A162C733A1ED}"/>
    <cellStyle name="Normal 9 3 3 4 4" xfId="11438" xr:uid="{59CDEEBF-B28F-4680-AA15-E4B8A46F1528}"/>
    <cellStyle name="Normal 9 3 3 4 4 2" xfId="21818" xr:uid="{5D778F1D-331E-4609-B2CB-01422938D893}"/>
    <cellStyle name="Normal 9 3 3 4 5" xfId="25561" xr:uid="{C4D7C70A-92D1-4DEE-85EB-A1D347E35E09}"/>
    <cellStyle name="Normal 9 3 3 4 6" xfId="14126" xr:uid="{D0A22D98-2F19-4B82-AAF8-8359C1431143}"/>
    <cellStyle name="Normal 9 3 3 5" xfId="2630" xr:uid="{00000000-0005-0000-0000-00007A090000}"/>
    <cellStyle name="Normal 9 3 3 5 2" xfId="5892" xr:uid="{88BF2432-3F36-40FA-B829-CF5311DE77F1}"/>
    <cellStyle name="Normal 9 3 3 5 2 2" xfId="26856" xr:uid="{65B3474F-6278-4006-986D-74975B630A93}"/>
    <cellStyle name="Normal 9 3 3 5 2 3" xfId="15302" xr:uid="{0A366597-C1E7-4064-87CC-260111B3960F}"/>
    <cellStyle name="Normal 9 3 3 5 3" xfId="7755" xr:uid="{22F62663-0F23-4A14-91C2-BFBBD697CB34}"/>
    <cellStyle name="Normal 9 3 3 5 3 2" xfId="18135" xr:uid="{455D1F9B-F69D-4F20-9E78-421711729582}"/>
    <cellStyle name="Normal 9 3 3 5 4" xfId="10588" xr:uid="{BFC508BD-8161-43A4-8CD8-B80A7CEA27E2}"/>
    <cellStyle name="Normal 9 3 3 5 4 2" xfId="20968" xr:uid="{11BD6D2A-ED19-4EB5-B3C4-F1E1A93EEDDE}"/>
    <cellStyle name="Normal 9 3 3 5 5" xfId="23964" xr:uid="{66C40D62-EBD9-453C-A9DF-FB0F8B1F16A3}"/>
    <cellStyle name="Normal 9 3 3 5 6" xfId="13018" xr:uid="{C00C63F8-2BB6-4530-9D62-B489A284E5D0}"/>
    <cellStyle name="Normal 9 3 3 6" xfId="4235" xr:uid="{6130F00F-D701-47E5-9461-A7C38D95DFA6}"/>
    <cellStyle name="Normal 9 3 3 6 2" xfId="9007" xr:uid="{326D6A19-844C-489C-A912-5995F1D3F882}"/>
    <cellStyle name="Normal 9 3 3 6 2 2" xfId="19387" xr:uid="{0FB3103F-2348-46D2-B545-2D7F78A74AF5}"/>
    <cellStyle name="Normal 9 3 3 6 3" xfId="11840" xr:uid="{D0C765B0-48B7-42CB-A26F-BABDE2B59E11}"/>
    <cellStyle name="Normal 9 3 3 6 3 2" xfId="22220" xr:uid="{A64476FE-4E13-49DE-8F6E-7D4162D156D4}"/>
    <cellStyle name="Normal 9 3 3 6 4" xfId="23586" xr:uid="{B7A254AC-A05C-4494-B184-D878765317A4}"/>
    <cellStyle name="Normal 9 3 3 6 5" xfId="16554" xr:uid="{038AEEBE-F885-47B6-A792-E217C67B6AEA}"/>
    <cellStyle name="Normal 9 3 3 7" xfId="5531" xr:uid="{5B1B14C9-728F-47BA-BD19-6F296FF658F2}"/>
    <cellStyle name="Normal 9 3 3 7 2" xfId="14827" xr:uid="{0A3CCF14-7F2C-41A5-AB8F-21D6E5C1D48B}"/>
    <cellStyle name="Normal 9 3 3 8" xfId="7280" xr:uid="{A1DF4FDA-E667-42CF-991A-0A657BDCEB46}"/>
    <cellStyle name="Normal 9 3 3 8 2" xfId="17660" xr:uid="{75F396C0-A791-40C5-A302-1571062B9FC2}"/>
    <cellStyle name="Normal 9 3 3 9" xfId="10113" xr:uid="{364D286D-7AB8-4007-B051-3D51C398A02C}"/>
    <cellStyle name="Normal 9 3 3 9 2" xfId="20493" xr:uid="{66761F25-9FCD-4048-B0B9-B2827AD20A95}"/>
    <cellStyle name="Normal 9 3 4" xfId="1538" xr:uid="{00000000-0005-0000-0000-0000DB070000}"/>
    <cellStyle name="Normal 9 3 4 2" xfId="3530" xr:uid="{00000000-0005-0000-0000-00007C090000}"/>
    <cellStyle name="Normal 9 3 4 2 2" xfId="6582" xr:uid="{6618A356-247C-4E38-9B22-E35761120F33}"/>
    <cellStyle name="Normal 9 3 4 2 2 2" xfId="27410" xr:uid="{78283C58-4337-4F5E-907A-0C476131C0BF}"/>
    <cellStyle name="Normal 9 3 4 2 2 3" xfId="16155" xr:uid="{2736BC23-EBD6-494B-BC06-DC7599348600}"/>
    <cellStyle name="Normal 9 3 4 2 3" xfId="8608" xr:uid="{70E87402-024E-4EC9-A648-4CFA0ED01C13}"/>
    <cellStyle name="Normal 9 3 4 2 3 2" xfId="18988" xr:uid="{507C455B-7F40-4F63-81C1-077921D7A82C}"/>
    <cellStyle name="Normal 9 3 4 2 4" xfId="11441" xr:uid="{63D1F73F-52EC-4844-8785-319593B8E85F}"/>
    <cellStyle name="Normal 9 3 4 2 4 2" xfId="21821" xr:uid="{46D59E82-2D72-480A-A5AD-36E85DD9249E}"/>
    <cellStyle name="Normal 9 3 4 2 5" xfId="25191" xr:uid="{C6729B1C-FC30-45DA-A21B-A0D61000CEB8}"/>
    <cellStyle name="Normal 9 3 4 2 6" xfId="14129" xr:uid="{C2699CD7-6B3E-4A9F-8538-CB1683DF136C}"/>
    <cellStyle name="Normal 9 3 4 3" xfId="4387" xr:uid="{E6133B2D-CC91-48B6-BB07-FC4ACA204A72}"/>
    <cellStyle name="Normal 9 3 4 3 2" xfId="9159" xr:uid="{DE2B3788-700E-4C20-94EF-E7D0047DE05E}"/>
    <cellStyle name="Normal 9 3 4 3 2 2" xfId="29202" xr:uid="{2EA7EC9F-15F6-4560-AE9E-92AC68F3E8C4}"/>
    <cellStyle name="Normal 9 3 4 3 2 3" xfId="19539" xr:uid="{6EF1E229-03CC-40CE-BC98-C572DE27BE5E}"/>
    <cellStyle name="Normal 9 3 4 3 3" xfId="11992" xr:uid="{6D9DF767-2519-46C5-A8B7-009C6DDC4BEE}"/>
    <cellStyle name="Normal 9 3 4 3 3 2" xfId="22372" xr:uid="{A793C49A-AB2D-4151-9A2F-5E8F4F2622A3}"/>
    <cellStyle name="Normal 9 3 4 3 4" xfId="24330" xr:uid="{05EE09B5-D67A-468D-BD24-8274E3F53B07}"/>
    <cellStyle name="Normal 9 3 4 3 5" xfId="16706" xr:uid="{C7A8FF0B-26B8-49E9-906D-A257E258E1AE}"/>
    <cellStyle name="Normal 9 3 4 4" xfId="5532" xr:uid="{0541E45C-8FA8-4DDC-AE4A-41D7FFE6877C}"/>
    <cellStyle name="Normal 9 3 4 4 2" xfId="27431" xr:uid="{84F37593-CBFE-4E8E-B4F1-411DCAD0099F}"/>
    <cellStyle name="Normal 9 3 4 4 3" xfId="14828" xr:uid="{987CC3D6-F372-40DF-A5F3-F1E86B3E8B00}"/>
    <cellStyle name="Normal 9 3 4 5" xfId="7281" xr:uid="{32543468-66E4-471F-AE4B-E7E193DBEB6F}"/>
    <cellStyle name="Normal 9 3 4 5 2" xfId="17661" xr:uid="{A022FE02-CBFE-458D-9750-6AC33CDBDB46}"/>
    <cellStyle name="Normal 9 3 4 6" xfId="10114" xr:uid="{AF1CF284-68BC-4F89-BE24-6E00240B38C1}"/>
    <cellStyle name="Normal 9 3 4 6 2" xfId="20494" xr:uid="{A0814FDF-3321-4CD0-9762-8390657455AC}"/>
    <cellStyle name="Normal 9 3 4 7" xfId="25420" xr:uid="{53DD34F4-6E1E-4BAD-A36D-8B7DB8B0E752}"/>
    <cellStyle name="Normal 9 3 4 8" xfId="13343" xr:uid="{54E7A648-BD0A-4B30-993A-CDA43B2594E3}"/>
    <cellStyle name="Normal 9 3 5" xfId="3531" xr:uid="{00000000-0005-0000-0000-00007D090000}"/>
    <cellStyle name="Normal 9 3 5 2" xfId="4622" xr:uid="{77812157-224D-45F5-93B2-E96BD36A1BA0}"/>
    <cellStyle name="Normal 9 3 5 2 2" xfId="9394" xr:uid="{10B53018-6FBC-432D-8766-9B422C21813C}"/>
    <cellStyle name="Normal 9 3 5 2 2 2" xfId="29360" xr:uid="{F055EF98-3209-46D1-AE84-48E8181D908B}"/>
    <cellStyle name="Normal 9 3 5 2 2 3" xfId="19774" xr:uid="{8A20CDC1-FB1F-4637-BACB-B97C86074575}"/>
    <cellStyle name="Normal 9 3 5 2 3" xfId="12227" xr:uid="{C2ED2A5B-91C3-4DAF-9974-55BB288E53A6}"/>
    <cellStyle name="Normal 9 3 5 2 3 2" xfId="22607" xr:uid="{4C031065-FB13-4C84-AD3A-1B27143EB162}"/>
    <cellStyle name="Normal 9 3 5 2 4" xfId="24339" xr:uid="{12F339D8-5AD8-487E-B250-98D8D91C16C9}"/>
    <cellStyle name="Normal 9 3 5 2 5" xfId="16941" xr:uid="{3A761E34-DAF9-4CED-83FC-4540602E74DE}"/>
    <cellStyle name="Normal 9 3 5 3" xfId="6583" xr:uid="{DECD6082-9101-4607-A2E7-14D2E794CBA9}"/>
    <cellStyle name="Normal 9 3 5 3 2" xfId="26282" xr:uid="{2993EB5D-11BC-49F0-8510-C414E8F6ECE9}"/>
    <cellStyle name="Normal 9 3 5 3 3" xfId="16156" xr:uid="{C2337744-4461-4ED3-B6AA-FC0C1A4E1915}"/>
    <cellStyle name="Normal 9 3 5 4" xfId="8609" xr:uid="{62BBD5CF-7534-4D9A-9840-8F76C126DB91}"/>
    <cellStyle name="Normal 9 3 5 4 2" xfId="18989" xr:uid="{02DB4911-7863-4885-9B08-853F465CA199}"/>
    <cellStyle name="Normal 9 3 5 5" xfId="11442" xr:uid="{428BA9B7-F100-4B4E-B08E-96470F79D5BA}"/>
    <cellStyle name="Normal 9 3 5 5 2" xfId="21822" xr:uid="{57264222-481F-4F5C-AB3D-0E06FAD98777}"/>
    <cellStyle name="Normal 9 3 5 6" xfId="24373" xr:uid="{6D4ADB58-0721-42B1-99CD-86F58DAD93B1}"/>
    <cellStyle name="Normal 9 3 5 7" xfId="14130" xr:uid="{C8F30E62-F610-4007-A2DA-B3480F141DB2}"/>
    <cellStyle name="Normal 9 3 6" xfId="3008" xr:uid="{00000000-0005-0000-0000-00007E090000}"/>
    <cellStyle name="Normal 9 3 6 2" xfId="6157" xr:uid="{9C45F147-66EA-4E13-94CB-38655C13975F}"/>
    <cellStyle name="Normal 9 3 6 2 2" xfId="28126" xr:uid="{23CFD813-EE69-42B4-886F-DFABA93A796B}"/>
    <cellStyle name="Normal 9 3 6 2 3" xfId="15635" xr:uid="{FF4C76BB-6578-4299-BB68-6B46DD022FD6}"/>
    <cellStyle name="Normal 9 3 6 3" xfId="8088" xr:uid="{E4AAC665-37B2-497C-80B5-C23BC286C7CD}"/>
    <cellStyle name="Normal 9 3 6 3 2" xfId="18468" xr:uid="{94C97AE5-BB0B-4EC7-A03E-4D8D2DF6FC05}"/>
    <cellStyle name="Normal 9 3 6 4" xfId="10921" xr:uid="{1037EB35-D0C9-42D9-B72A-2F803B1A017A}"/>
    <cellStyle name="Normal 9 3 6 4 2" xfId="21301" xr:uid="{3CFE98F6-067C-4A66-91A1-728AA89A1B71}"/>
    <cellStyle name="Normal 9 3 6 5" xfId="23699" xr:uid="{7FB9F765-203E-4736-826D-44E4730F78DD}"/>
    <cellStyle name="Normal 9 3 6 6" xfId="13510" xr:uid="{B57CFD8E-4187-4A8C-B2CF-DF71A32E6823}"/>
    <cellStyle name="Normal 9 3 7" xfId="2467" xr:uid="{00000000-0005-0000-0000-00007F090000}"/>
    <cellStyle name="Normal 9 3 7 2" xfId="5758" xr:uid="{569E96DD-23FD-481A-908C-50469D669620}"/>
    <cellStyle name="Normal 9 3 7 2 2" xfId="28183" xr:uid="{52F279E6-152A-44BE-B450-9847EC2309EC}"/>
    <cellStyle name="Normal 9 3 7 2 3" xfId="15139" xr:uid="{E3699AD2-E742-48D2-8485-D72C90EBFEAB}"/>
    <cellStyle name="Normal 9 3 7 3" xfId="7592" xr:uid="{939704D8-5B53-4363-B96A-1DA334751AAB}"/>
    <cellStyle name="Normal 9 3 7 3 2" xfId="17972" xr:uid="{FC42FABC-9E0F-410E-BA3D-0DA334F1C74D}"/>
    <cellStyle name="Normal 9 3 7 4" xfId="10425" xr:uid="{6C3B0F93-4814-4F9B-8837-F31D6CE056B3}"/>
    <cellStyle name="Normal 9 3 7 4 2" xfId="20805" xr:uid="{F493829E-B27F-44E4-BDBF-D66BC7A523DB}"/>
    <cellStyle name="Normal 9 3 7 5" xfId="23329" xr:uid="{B5630A65-5BA8-46C9-A5DF-849BB1290C7C}"/>
    <cellStyle name="Normal 9 3 7 6" xfId="12855" xr:uid="{F1ACAA21-BC64-430B-ACC4-4D0028349B68}"/>
    <cellStyle name="Normal 9 3 8" xfId="2221" xr:uid="{00000000-0005-0000-0000-00006E090000}"/>
    <cellStyle name="Normal 9 3 8 2" xfId="7348" xr:uid="{4776B0CF-F1CC-4D89-9B9B-C508F402A5C3}"/>
    <cellStyle name="Normal 9 3 8 2 2" xfId="17728" xr:uid="{7FD9AC9E-A715-4E52-8EB3-5C2C40F4751E}"/>
    <cellStyle name="Normal 9 3 8 3" xfId="10181" xr:uid="{4CC6BF7A-1BE1-47BE-8AAF-62DEB16BCB7A}"/>
    <cellStyle name="Normal 9 3 8 3 2" xfId="20561" xr:uid="{080DD240-E808-4722-983E-3AB8D009BDD6}"/>
    <cellStyle name="Normal 9 3 8 4" xfId="23892" xr:uid="{171F2FA1-5D4C-406B-833D-DFB00D65D768}"/>
    <cellStyle name="Normal 9 3 8 5" xfId="14895" xr:uid="{7356630E-D98B-4216-B074-DEC366CBA58A}"/>
    <cellStyle name="Normal 9 3 9" xfId="4094" xr:uid="{076910DF-66FE-4541-83E0-1A0956D1291F}"/>
    <cellStyle name="Normal 9 3 9 2" xfId="8870" xr:uid="{C2ACD1ED-B023-42D5-AF41-0C96372140AE}"/>
    <cellStyle name="Normal 9 3 9 2 2" xfId="19250" xr:uid="{13DEB002-6083-4612-9E49-28F9B7EB2AE0}"/>
    <cellStyle name="Normal 9 3 9 3" xfId="11703" xr:uid="{8F58AB11-B0E1-4BB2-87AA-B4E2343A2256}"/>
    <cellStyle name="Normal 9 3 9 3 2" xfId="22083" xr:uid="{CB52BA86-C3D5-4CA1-8F40-0F09AB796200}"/>
    <cellStyle name="Normal 9 3 9 4" xfId="16417" xr:uid="{F437114A-E6D1-4130-B857-2CE3D3FDCB68}"/>
    <cellStyle name="Normal 9 4" xfId="1539" xr:uid="{00000000-0005-0000-0000-0000DC070000}"/>
    <cellStyle name="Normal 9 4 2" xfId="2857" xr:uid="{00000000-0005-0000-0000-000081090000}"/>
    <cellStyle name="Normal 9 4 2 2" xfId="3533" xr:uid="{00000000-0005-0000-0000-000082090000}"/>
    <cellStyle name="Normal 9 4 2 2 2" xfId="6585" xr:uid="{E29B9B1D-1AD6-42A2-86E7-830394F8818E}"/>
    <cellStyle name="Normal 9 4 2 2 2 2" xfId="28550" xr:uid="{7E8091FA-6537-4814-BB50-815C53B35F3E}"/>
    <cellStyle name="Normal 9 4 2 2 2 3" xfId="16158" xr:uid="{68EAE550-2833-4B1B-9561-27A74019172E}"/>
    <cellStyle name="Normal 9 4 2 2 3" xfId="8611" xr:uid="{D4D5D2DB-A568-4677-8500-323E9E76F7E7}"/>
    <cellStyle name="Normal 9 4 2 2 3 2" xfId="18991" xr:uid="{CF544657-DB90-4EC1-A633-658F6188756B}"/>
    <cellStyle name="Normal 9 4 2 2 4" xfId="11444" xr:uid="{E90DFABB-EB7F-4463-95A3-5082A18775C7}"/>
    <cellStyle name="Normal 9 4 2 2 4 2" xfId="21824" xr:uid="{E3F0DDC7-7141-40CF-A664-EE78E4B143C8}"/>
    <cellStyle name="Normal 9 4 2 2 5" xfId="25183" xr:uid="{90A3BB10-2CBE-468F-80E1-6D316882A40B}"/>
    <cellStyle name="Normal 9 4 2 2 6" xfId="14132" xr:uid="{DEA28F99-AEAA-4092-8E98-5C414B0A7DD3}"/>
    <cellStyle name="Normal 9 4 2 3" xfId="4390" xr:uid="{07075F1E-01E6-4D0C-B391-9162DCDDF969}"/>
    <cellStyle name="Normal 9 4 2 3 2" xfId="9162" xr:uid="{61C44C21-F9C7-4592-8DE1-28ACF0AD7970}"/>
    <cellStyle name="Normal 9 4 2 3 2 2" xfId="29205" xr:uid="{20157DB5-E4FD-460F-8D9C-3C66C356EBAB}"/>
    <cellStyle name="Normal 9 4 2 3 2 3" xfId="19542" xr:uid="{BEDB3A65-284C-4FCC-8DD7-711F7D69AAC3}"/>
    <cellStyle name="Normal 9 4 2 3 3" xfId="11995" xr:uid="{49FBB677-3959-4801-9455-58A2D2992D3E}"/>
    <cellStyle name="Normal 9 4 2 3 3 2" xfId="22375" xr:uid="{A4F36E1C-51CA-4E51-9FCD-B388BDBDFEEA}"/>
    <cellStyle name="Normal 9 4 2 3 4" xfId="23397" xr:uid="{EE8C1EAD-7862-4C19-A73C-98F1DE6D3216}"/>
    <cellStyle name="Normal 9 4 2 3 5" xfId="16709" xr:uid="{1BEFCD68-25D3-4729-A79F-22F731E8623F}"/>
    <cellStyle name="Normal 9 4 2 4" xfId="6070" xr:uid="{23A6C24C-7435-4415-BDC0-9CACA59FFAD6}"/>
    <cellStyle name="Normal 9 4 2 4 2" xfId="26202" xr:uid="{9A77DDE7-0937-4318-94E7-91B7D3CD1DF3}"/>
    <cellStyle name="Normal 9 4 2 4 3" xfId="15526" xr:uid="{B7B84202-B49A-4A59-B8E8-820B2C6013AC}"/>
    <cellStyle name="Normal 9 4 2 5" xfId="7979" xr:uid="{6CABEF68-FF64-4814-9C4F-D93616B5818F}"/>
    <cellStyle name="Normal 9 4 2 5 2" xfId="18359" xr:uid="{EEAC1F81-E8DE-4CD8-A142-1E5B0FCF912B}"/>
    <cellStyle name="Normal 9 4 2 6" xfId="10812" xr:uid="{66E2AE31-DC49-401E-862E-EF55F2D57FD5}"/>
    <cellStyle name="Normal 9 4 2 6 2" xfId="21192" xr:uid="{ACB740FB-80D5-43B8-AA7E-81335ACBBFB8}"/>
    <cellStyle name="Normal 9 4 2 7" xfId="25329" xr:uid="{80166A66-FA97-4A93-B534-A81FBC2CBC28}"/>
    <cellStyle name="Normal 9 4 2 8" xfId="13346" xr:uid="{DEC932F2-654D-480C-9DED-25B8C8C5EDC1}"/>
    <cellStyle name="Normal 9 4 3" xfId="3534" xr:uid="{00000000-0005-0000-0000-000083090000}"/>
    <cellStyle name="Normal 9 4 3 2" xfId="4623" xr:uid="{0F182935-658F-4F03-8638-E4AE160D2422}"/>
    <cellStyle name="Normal 9 4 3 2 2" xfId="9395" xr:uid="{A23C8947-DC44-4783-901A-1B726957A919}"/>
    <cellStyle name="Normal 9 4 3 2 2 2" xfId="29361" xr:uid="{72AF473C-70E8-41E2-B7C2-BF736021ABF5}"/>
    <cellStyle name="Normal 9 4 3 2 2 3" xfId="19775" xr:uid="{7AE12526-BB9F-43B4-817E-E725FEA740FB}"/>
    <cellStyle name="Normal 9 4 3 2 3" xfId="12228" xr:uid="{F9831BBB-A824-4598-9C55-0495E94FAF97}"/>
    <cellStyle name="Normal 9 4 3 2 3 2" xfId="22608" xr:uid="{C9B6B6FA-8C30-4523-A241-ADB70A96337F}"/>
    <cellStyle name="Normal 9 4 3 2 4" xfId="26259" xr:uid="{D7C51A85-EB7B-4A9C-AC0A-4D85AC1FC5DC}"/>
    <cellStyle name="Normal 9 4 3 2 5" xfId="16942" xr:uid="{62A1CEC6-12B5-4A67-98AB-A960BF8D525A}"/>
    <cellStyle name="Normal 9 4 3 3" xfId="6586" xr:uid="{709A4854-25AE-4DE8-92A4-7CDF8CA896BA}"/>
    <cellStyle name="Normal 9 4 3 3 2" xfId="28750" xr:uid="{DEAB3929-7210-4AAD-AB6C-72A5C3E8B772}"/>
    <cellStyle name="Normal 9 4 3 3 3" xfId="16159" xr:uid="{41D23587-A1CD-42E3-8D10-541F28A4120E}"/>
    <cellStyle name="Normal 9 4 3 4" xfId="8612" xr:uid="{EF433E80-920F-475E-9879-EBBBA3AFB382}"/>
    <cellStyle name="Normal 9 4 3 4 2" xfId="18992" xr:uid="{8DA7551E-BC45-4076-88A8-EADD931B634A}"/>
    <cellStyle name="Normal 9 4 3 5" xfId="11445" xr:uid="{3C7C2363-AF15-4A02-B5AC-FCE10678717B}"/>
    <cellStyle name="Normal 9 4 3 5 2" xfId="21825" xr:uid="{D563CF46-009F-498D-AD28-F52900BD44D6}"/>
    <cellStyle name="Normal 9 4 3 6" xfId="24828" xr:uid="{55EB0F15-01F9-49BA-99A2-5F2C73CA7093}"/>
    <cellStyle name="Normal 9 4 3 7" xfId="14133" xr:uid="{FCB1673D-2BA0-4D6E-A953-52829FDA7918}"/>
    <cellStyle name="Normal 9 4 4" xfId="3532" xr:uid="{00000000-0005-0000-0000-000084090000}"/>
    <cellStyle name="Normal 9 4 4 2" xfId="6584" xr:uid="{BD004F5F-C7C6-40CC-A6AE-7410E5D1A824}"/>
    <cellStyle name="Normal 9 4 4 2 2" xfId="26565" xr:uid="{445DCF4F-D88D-420F-AE39-77F1659F1003}"/>
    <cellStyle name="Normal 9 4 4 2 3" xfId="16157" xr:uid="{F00361A1-2E19-4EE4-B64E-6C311B0B4E5D}"/>
    <cellStyle name="Normal 9 4 4 3" xfId="8610" xr:uid="{EEB1AF0B-4B36-47EE-ACA1-CA21E2921727}"/>
    <cellStyle name="Normal 9 4 4 3 2" xfId="18990" xr:uid="{CF05D4AB-D75A-434F-B8CB-23591E79271E}"/>
    <cellStyle name="Normal 9 4 4 4" xfId="11443" xr:uid="{17DE6266-DB80-4203-9B2E-3E7A583B49CC}"/>
    <cellStyle name="Normal 9 4 4 4 2" xfId="21823" xr:uid="{17782EB0-D8ED-4B60-A071-E6371DA60D49}"/>
    <cellStyle name="Normal 9 4 4 5" xfId="23697" xr:uid="{977B99C4-6963-49D3-88DE-5E769C99F825}"/>
    <cellStyle name="Normal 9 4 4 6" xfId="14131" xr:uid="{9575704D-7B07-42B9-97F4-5DC8C68AC4C3}"/>
    <cellStyle name="Normal 9 4 5" xfId="2570" xr:uid="{00000000-0005-0000-0000-000080090000}"/>
    <cellStyle name="Normal 9 4 5 2" xfId="7695" xr:uid="{D3AB3A06-0A8D-4FE5-8592-ACFC5D61747F}"/>
    <cellStyle name="Normal 9 4 5 2 2" xfId="26223" xr:uid="{3DFDD03D-6021-4EFC-9A07-AF272C31E3D5}"/>
    <cellStyle name="Normal 9 4 5 2 3" xfId="18075" xr:uid="{8424DDCB-D3D6-4610-84D0-4AB218E6028A}"/>
    <cellStyle name="Normal 9 4 5 3" xfId="10528" xr:uid="{59D689A0-63B1-4B27-8D36-A398DF463194}"/>
    <cellStyle name="Normal 9 4 5 3 2" xfId="20908" xr:uid="{CC1D84D3-2ADD-4ACB-806D-5A2C8AB189D3}"/>
    <cellStyle name="Normal 9 4 5 4" xfId="22723" xr:uid="{A8FA1EA3-74A6-44A7-B153-321F80FAF260}"/>
    <cellStyle name="Normal 9 4 5 5" xfId="15242" xr:uid="{6923A4FE-DFFE-42DE-BCFB-95F4205F91B0}"/>
    <cellStyle name="Normal 9 4 6" xfId="4093" xr:uid="{4C828E4D-4894-4E57-99BB-5A30CE109BA9}"/>
    <cellStyle name="Normal 9 4 6 2" xfId="30049" xr:uid="{E73CFE73-D51E-41F7-9186-3AB6A1AACA0C}"/>
    <cellStyle name="Normal 9 4 7" xfId="5533" xr:uid="{046B55AD-73C4-4E32-BA01-C1D2261765B1}"/>
    <cellStyle name="Normal 9 4 7 2" xfId="30334" xr:uid="{3D71EA27-F6B1-457D-967D-0DFC056F2219}"/>
    <cellStyle name="Normal 9 4 8" xfId="24875" xr:uid="{01617755-5A5A-4FF4-9CDD-9B8F02E162F4}"/>
    <cellStyle name="Normal 9 4 9" xfId="12958" xr:uid="{56E10DEF-E986-4612-85AD-C89FCA2318C8}"/>
    <cellStyle name="Normal 9 5" xfId="2161" xr:uid="{00000000-0005-0000-0000-00006C090000}"/>
    <cellStyle name="Normal 9 5 2" xfId="7288" xr:uid="{48B1AB87-07EC-4708-A87F-BFEE6D70400C}"/>
    <cellStyle name="Normal 9 5 2 2" xfId="17668" xr:uid="{99750353-F84F-41CC-9D12-E9DF9791E743}"/>
    <cellStyle name="Normal 9 5 3" xfId="10121" xr:uid="{7B1C32B0-D64A-48CC-AB10-9CBEFF18AC64}"/>
    <cellStyle name="Normal 9 5 3 2" xfId="20501" xr:uid="{E2A9CE1F-D70C-49E0-92BC-8C975A13128A}"/>
    <cellStyle name="Normal 9 5 4" xfId="22654" xr:uid="{FAD6C661-6B02-49D5-B470-1B52C90F26FA}"/>
    <cellStyle name="Normal 9 5 5" xfId="14835" xr:uid="{A9414641-2CAD-449B-8E34-2988A3AFB52A}"/>
    <cellStyle name="Normal 9 6" xfId="3786" xr:uid="{7F99DCEA-5481-4BF7-BFA1-F0B9667711FC}"/>
    <cellStyle name="Normal 9 6 2" xfId="8625" xr:uid="{04644E91-D4F2-4E90-802A-D4BE1DA78842}"/>
    <cellStyle name="Normal 9 6 2 2" xfId="19005" xr:uid="{98C3F4B8-94E7-4ECF-8817-1842479D7328}"/>
    <cellStyle name="Normal 9 6 3" xfId="11458" xr:uid="{50C24F86-DFBA-48D7-B0FD-CC68BF9E68F3}"/>
    <cellStyle name="Normal 9 6 3 2" xfId="21838" xr:uid="{2BE6A829-53DF-4DAA-B27E-D543C2800171}"/>
    <cellStyle name="Normal 9 6 4" xfId="16172" xr:uid="{62E24887-F48C-495C-93BD-ED141F1E8F38}"/>
    <cellStyle name="Normal 9 7" xfId="25343" xr:uid="{A5091A5E-C58C-46C0-B0F2-F1E868FE7B1F}"/>
    <cellStyle name="Normal 9 8" xfId="12393" xr:uid="{2F324892-497B-4106-B928-7477EEF26617}"/>
    <cellStyle name="Normal_98AFRCOU" xfId="1540" xr:uid="{00000000-0005-0000-0000-0000DD070000}"/>
    <cellStyle name="Note" xfId="29485" builtinId="10" customBuiltin="1"/>
    <cellStyle name="Note 2" xfId="1541" xr:uid="{00000000-0005-0000-0000-0000DE070000}"/>
    <cellStyle name="Note 3" xfId="1542" xr:uid="{00000000-0005-0000-0000-0000DF070000}"/>
    <cellStyle name="Note 4" xfId="1543" xr:uid="{00000000-0005-0000-0000-0000E0070000}"/>
    <cellStyle name="Note 4 2" xfId="1544" xr:uid="{00000000-0005-0000-0000-0000E1070000}"/>
    <cellStyle name="Note 4 2 2" xfId="3536" xr:uid="{00000000-0005-0000-0000-00008A090000}"/>
    <cellStyle name="Note 4 2 3" xfId="3535" xr:uid="{00000000-0005-0000-0000-00008B090000}"/>
    <cellStyle name="Note 4 2 4" xfId="3769" xr:uid="{00000000-0005-0000-0000-0000E60E0000}"/>
    <cellStyle name="Note 4 2 4 2" xfId="4802" xr:uid="{E4762291-6E3E-40C0-B2A3-FBA7791D5340}"/>
    <cellStyle name="Note 4 3" xfId="1545" xr:uid="{00000000-0005-0000-0000-0000E2070000}"/>
    <cellStyle name="Note 4 4" xfId="2073" xr:uid="{00000000-0005-0000-0000-000049030000}"/>
    <cellStyle name="Note 4 4 2" xfId="4791" xr:uid="{EAC7EE03-6B36-4A5D-889D-B815EC9F9048}"/>
    <cellStyle name="Note 4 5" xfId="29583" xr:uid="{24FEBD0B-5ABA-49D8-AC25-4DA966B23BF8}"/>
    <cellStyle name="Note 5" xfId="12255" xr:uid="{E1364BB4-A0A2-46F5-BB38-05901CCE3206}"/>
    <cellStyle name="Note 5 2" xfId="22634" xr:uid="{E297CF68-B359-40C9-8CC6-73BC50F6502C}"/>
    <cellStyle name="Output" xfId="4834" builtinId="21" customBuiltin="1"/>
    <cellStyle name="Output 2" xfId="1546" xr:uid="{00000000-0005-0000-0000-0000E3070000}"/>
    <cellStyle name="Output 3" xfId="1547" xr:uid="{00000000-0005-0000-0000-0000E4070000}"/>
    <cellStyle name="Output 4" xfId="29584" xr:uid="{21477E6D-748E-44EB-8B95-20ACDB027665}"/>
    <cellStyle name="Percent" xfId="4688" builtinId="5"/>
    <cellStyle name="Percent 2" xfId="1548" xr:uid="{00000000-0005-0000-0000-0000E5070000}"/>
    <cellStyle name="Percent 2 2" xfId="1549" xr:uid="{00000000-0005-0000-0000-0000E6070000}"/>
    <cellStyle name="Percent 2 3" xfId="29585" xr:uid="{8FB87725-886D-4A62-BBA8-4FA9FB880D61}"/>
    <cellStyle name="Percent 3" xfId="1550" xr:uid="{00000000-0005-0000-0000-0000E7070000}"/>
    <cellStyle name="Percent 3 2" xfId="2034" xr:uid="{00000000-0005-0000-0000-0000E8070000}"/>
    <cellStyle name="Percent 3 2 2" xfId="24401" xr:uid="{D0B85497-BCB7-44B3-90B9-F34C3207B46F}"/>
    <cellStyle name="Percent 3 2 2 2" xfId="30002" xr:uid="{677ACDE4-A1A9-4889-9CC9-309E26C46BF6}"/>
    <cellStyle name="Percent 3 2 2 3" xfId="29706" xr:uid="{5CE6F476-3BC3-428F-B4DA-C529E4F40758}"/>
    <cellStyle name="Percent 3 2 3" xfId="24242" xr:uid="{2ACE85BF-3B3C-4EA3-8A82-C46C5C94E5DC}"/>
    <cellStyle name="Percent 3 3" xfId="2035" xr:uid="{00000000-0005-0000-0000-0000E9070000}"/>
    <cellStyle name="Percent 3 4" xfId="2033" xr:uid="{00000000-0005-0000-0000-0000EA070000}"/>
    <cellStyle name="Percent 4" xfId="1551" xr:uid="{00000000-0005-0000-0000-0000EB070000}"/>
    <cellStyle name="Percent 4 2" xfId="2037" xr:uid="{00000000-0005-0000-0000-0000EC070000}"/>
    <cellStyle name="Percent 4 2 2" xfId="23974" xr:uid="{3D5953F1-0414-4A51-AC1F-E6AE4C07AB66}"/>
    <cellStyle name="Percent 4 2 2 2" xfId="29815" xr:uid="{B93921AA-65FC-496C-999F-484B7941BAB4}"/>
    <cellStyle name="Percent 4 2 3" xfId="24013" xr:uid="{9AB4939D-81EC-45A0-9E96-F84B5E767B13}"/>
    <cellStyle name="Percent 4 2 3 2" xfId="26254" xr:uid="{612B2D42-1583-4D21-9F42-EDA025DC0AD4}"/>
    <cellStyle name="Percent 4 2 4" xfId="26987" xr:uid="{DFB60D8F-26B9-473A-B2A8-273B02C7C121}"/>
    <cellStyle name="Percent 4 2 4 2" xfId="30434" xr:uid="{909EAD56-437B-47F5-85D7-24E0717B4F82}"/>
    <cellStyle name="Percent 4 2 5" xfId="29719" xr:uid="{26059F30-8C31-4914-8B85-7A837108A8D3}"/>
    <cellStyle name="Percent 4 3" xfId="2038" xr:uid="{00000000-0005-0000-0000-0000ED070000}"/>
    <cellStyle name="Percent 4 3 2" xfId="29896" xr:uid="{6A6503BF-F319-42FA-AA4D-B54106967E4B}"/>
    <cellStyle name="Percent 4 3 3" xfId="30155" xr:uid="{6F09348F-EA4B-42E3-8740-D38156FEABDC}"/>
    <cellStyle name="Percent 4 3 4" xfId="30509" xr:uid="{6DF16544-90BB-47B6-A2A5-9CA0D9BD3D60}"/>
    <cellStyle name="Percent 4 3 5" xfId="29791" xr:uid="{C3BC5959-F93D-4D69-87FA-D61E38009D8C}"/>
    <cellStyle name="Percent 4 4" xfId="2036" xr:uid="{00000000-0005-0000-0000-0000EE070000}"/>
    <cellStyle name="Percent 4 4 2" xfId="29957" xr:uid="{61629F60-B092-48BD-A119-0D428FB2AC0C}"/>
    <cellStyle name="Percent 4 4 3" xfId="30229" xr:uid="{DD0627A6-6DA1-43EC-A018-EF2D346AA204}"/>
    <cellStyle name="Percent 4 4 4" xfId="30623" xr:uid="{A28D2105-AD36-42BF-B3E4-36883983C4EB}"/>
    <cellStyle name="Percent 4 4 5" xfId="29749" xr:uid="{5E73C768-6C8F-454F-BA2A-D94138F46914}"/>
    <cellStyle name="Percent 4 5" xfId="7282" xr:uid="{8AFD0532-DAAC-4CC5-8537-37606C82DB78}"/>
    <cellStyle name="Percent 4 5 2" xfId="25891" xr:uid="{1A8E5282-CE1D-4D4E-85FD-913D5186C1AC}"/>
    <cellStyle name="Percent 4 5 2 2" xfId="30003" xr:uid="{EAB29349-5543-4967-96BA-F59E55699CF3}"/>
    <cellStyle name="Percent 4 5 3" xfId="25884" xr:uid="{AA898F48-4AB1-40ED-BED1-55205C40C2A5}"/>
    <cellStyle name="Percent 4 5 4" xfId="17662" xr:uid="{0AADF521-5DF8-4311-9F60-1E2176D34492}"/>
    <cellStyle name="Percent 4 6" xfId="10115" xr:uid="{4A3FF93C-FD9D-4025-A9D7-7CEA5C104B48}"/>
    <cellStyle name="Percent 4 6 2" xfId="20495" xr:uid="{6790D28D-0042-4B4F-9DF6-8B322E2586BC}"/>
    <cellStyle name="Percent 4 7" xfId="24050" xr:uid="{7CECC7AA-AA51-4FB3-B6EC-E3317F803511}"/>
    <cellStyle name="Percent 4 8" xfId="14829" xr:uid="{1951CFB1-FCD7-40D5-B863-4C9853147FBB}"/>
    <cellStyle name="Percent 5" xfId="28299" xr:uid="{72E839A7-A148-448C-A765-AC2E6CA59B2F}"/>
    <cellStyle name="Percent 5 2" xfId="26976" xr:uid="{2C5C650A-5D15-4675-9FCC-99B898ECCC9D}"/>
    <cellStyle name="Percent 5 3" xfId="28139" xr:uid="{D1DC45A5-B040-4E5C-A556-A2D33FF6D90B}"/>
    <cellStyle name="Percent 6" xfId="25979" xr:uid="{A1FF1390-0FA3-4008-B473-9B82672BD5AC}"/>
    <cellStyle name="ReportHeaderRowCol.*" xfId="12347" xr:uid="{C5553A5B-9BB7-4BBD-A560-40C47E9C3BBD}"/>
    <cellStyle name="ReportHeaderRowCol.1" xfId="12348" xr:uid="{D08F8B86-DD1D-4AE6-BFA1-285E019C4777}"/>
    <cellStyle name="ReportHeaderRowCol.2" xfId="12349" xr:uid="{245F5C6F-625E-4B32-AA42-D06EFDBE8C8D}"/>
    <cellStyle name="ReportHeaderRowCol.Date" xfId="12350" xr:uid="{2F4FB8EC-EED6-4387-9B41-152B112A05DC}"/>
    <cellStyle name="Sheet Title" xfId="1552" xr:uid="{00000000-0005-0000-0000-0000EF070000}"/>
    <cellStyle name="Style 1" xfId="1553" xr:uid="{00000000-0005-0000-0000-0000F0070000}"/>
    <cellStyle name="Style 1 2" xfId="1554" xr:uid="{00000000-0005-0000-0000-0000F1070000}"/>
    <cellStyle name="Style 1 2 2" xfId="2040" xr:uid="{00000000-0005-0000-0000-0000F2070000}"/>
    <cellStyle name="Style 1 2 2 2" xfId="25790" xr:uid="{A12F3BA5-19BE-4578-A78D-C3AD0942838D}"/>
    <cellStyle name="Style 1 2 2 2 2" xfId="30004" xr:uid="{869BAC76-B3B8-404F-AD3D-0D29604BC4C0}"/>
    <cellStyle name="Style 1 2 2 2 3" xfId="29790" xr:uid="{8DA51DE2-022C-4327-900C-125FEB141317}"/>
    <cellStyle name="Style 1 2 2 3" xfId="25778" xr:uid="{C9F19B91-F5E5-4CD7-BE8E-78C05D2BCD6F}"/>
    <cellStyle name="Style 1 2 3" xfId="2041" xr:uid="{00000000-0005-0000-0000-0000F3070000}"/>
    <cellStyle name="Style 1 2 4" xfId="2039" xr:uid="{00000000-0005-0000-0000-0000F4070000}"/>
    <cellStyle name="Style 1 3" xfId="1555" xr:uid="{00000000-0005-0000-0000-0000F5070000}"/>
    <cellStyle name="Style 1 4" xfId="2042" xr:uid="{00000000-0005-0000-0000-0000F6070000}"/>
    <cellStyle name="Style 1 4 2" xfId="24410" xr:uid="{ED030EBF-D663-412E-B3DF-AF45BED2AFE5}"/>
    <cellStyle name="Style 1 4 2 2" xfId="29710" xr:uid="{6F13F53A-318B-4148-B982-0366A632B36F}"/>
    <cellStyle name="Style 1 4 3" xfId="25651" xr:uid="{8568525C-B3AA-4170-9749-B4F90608AC98}"/>
    <cellStyle name="SubgroupSectionHeaderRowBalanceCol" xfId="12351" xr:uid="{2486F5B8-EF2C-4F49-B7A9-6FE34665450E}"/>
    <cellStyle name="SubgroupSectionHeaderRowDescCol" xfId="12352" xr:uid="{EB63FB77-6717-4B2A-8483-32BC8EF761CB}"/>
    <cellStyle name="SubgroupSectionHeaderRowNameCol" xfId="12353" xr:uid="{133E4BCF-AEFE-4D67-8FAE-84F36222B17A}"/>
    <cellStyle name="SubGroupSelectionHeaderRowJERefCol" xfId="12354" xr:uid="{023FCD31-332C-4B91-B5C7-3A04E2EC629E}"/>
    <cellStyle name="SubgroupSubtotalRowBalanceCol" xfId="12355" xr:uid="{FC50FD76-B8D2-41F3-9A56-186D7D35B0DB}"/>
    <cellStyle name="SubgroupSubtotalRowDescCol" xfId="12356" xr:uid="{51DA7A1D-81F0-484C-85DF-0B8D98A0C317}"/>
    <cellStyle name="SubgroupSubtotalRowJERefCol" xfId="12357" xr:uid="{A22CF7F1-55DA-4319-BF62-5115CCBDE54C}"/>
    <cellStyle name="SubgroupSubtotalRowNameCol" xfId="12358" xr:uid="{4BA6961C-F727-43FD-B8E8-D5977B74A43F}"/>
    <cellStyle name="SubgroupSubtotalRowVarPectCol" xfId="12359" xr:uid="{C4DA33E5-1A1C-4237-9C31-25A90021DA8F}"/>
    <cellStyle name="SubgroupSubtotalRowWPRefCol" xfId="12360" xr:uid="{7D6FD639-BAA3-434B-86C1-FD6A5966D36C}"/>
    <cellStyle name="SumAccountGroupsRowBalanceCol" xfId="12361" xr:uid="{D309FDF4-9D10-423F-B0C9-B787392FEB2C}"/>
    <cellStyle name="SumAccountGroupsRowDescCol" xfId="12362" xr:uid="{A455F51D-B791-4F0C-84FB-C6EB4385F2F6}"/>
    <cellStyle name="SumAccountGroupsRowJERefCol" xfId="12363" xr:uid="{9E0B1F97-5F81-4AC9-A03F-E58A52D8DEAB}"/>
    <cellStyle name="SumAccountGroupsRowNameCol" xfId="12364" xr:uid="{ECFB7BB2-DE4A-49ED-A01B-E4EC23C3AEEA}"/>
    <cellStyle name="SumAccountGroupsRowVarPectCol" xfId="12365" xr:uid="{2CB09599-6046-4A6D-AD9A-5879A6ECD17F}"/>
    <cellStyle name="SumAccountGroupsRowWPRefCol" xfId="12366" xr:uid="{E9832BA7-7D80-4557-8BF2-BA3E154AEFBA}"/>
    <cellStyle name="Title 2" xfId="29586" xr:uid="{520977F4-FB37-4751-810D-2DC604BEDA25}"/>
    <cellStyle name="Total" xfId="4839" builtinId="25" customBuiltin="1"/>
    <cellStyle name="Total 2" xfId="1556" xr:uid="{00000000-0005-0000-0000-0000F7070000}"/>
    <cellStyle name="Total 2 2" xfId="28407" xr:uid="{C9725059-9506-467C-9DA8-A5570A6EB449}"/>
    <cellStyle name="Total 3" xfId="1557" xr:uid="{00000000-0005-0000-0000-0000F8070000}"/>
    <cellStyle name="Total 3 2" xfId="28515" xr:uid="{E0842ADF-D23F-4EB4-A4B0-ABA700B8C9AA}"/>
    <cellStyle name="Total 4" xfId="29587" xr:uid="{04D27A19-760A-42F6-B7D4-EDC80EAEB7D4}"/>
    <cellStyle name="TotalRow" xfId="12367" xr:uid="{368DF3C5-E2E3-458E-8DC0-01E474DBC9D4}"/>
    <cellStyle name="TotalRowCreditCol" xfId="12368" xr:uid="{354CA086-73FA-40BD-B53D-F97A90D9F4C8}"/>
    <cellStyle name="TotalRowDebitCol" xfId="12369" xr:uid="{B9DDDD89-057C-46A7-A1DA-948D864BD18F}"/>
    <cellStyle name="TransactionRowAcctDescCol" xfId="12370" xr:uid="{B23A5ACB-5A6A-4F40-A185-FA9DBCC6D402}"/>
    <cellStyle name="TransactionRowAcctNumCol" xfId="12371" xr:uid="{D046DBB7-B681-4901-804F-F53E917D0FFB}"/>
    <cellStyle name="TransactionRowCreditCol" xfId="12372" xr:uid="{1C803F8A-FF28-47CD-B0D6-39C8B54BE3DE}"/>
    <cellStyle name="TransactionRowDateCol" xfId="12373" xr:uid="{B31CE901-7BEE-41DB-B77F-E4CB513C6E1B}"/>
    <cellStyle name="TransactionRowDebitCol" xfId="12374" xr:uid="{3BF7116B-D56D-4029-99D4-28960EA3D0C6}"/>
    <cellStyle name="TransactionRowRefCol" xfId="12375" xr:uid="{BB2D8ADD-87CF-4830-91B2-E70C82C8EAB2}"/>
    <cellStyle name="TransactionRowTransactionCol" xfId="12376" xr:uid="{4C57D201-3FD2-4DD9-9771-9A294954D155}"/>
    <cellStyle name="UnclassifiedTotalRowBalanceCol" xfId="12377" xr:uid="{87BFD706-C80F-429A-8641-626203E9372F}"/>
    <cellStyle name="UnclassifiedTotalRowDescCol" xfId="12378" xr:uid="{77546543-8240-44AD-890C-EA95558E2181}"/>
    <cellStyle name="UnclassifiedTotalRowJERefCol" xfId="12379" xr:uid="{4D713AA6-1BB7-453F-94AA-9E3900AB6601}"/>
    <cellStyle name="UnclassifiedTotalRowNameCol" xfId="12380" xr:uid="{B7782CED-7BF6-41F9-A4DC-98F8F8371F3B}"/>
    <cellStyle name="UnclassifiedTotalRowVarPectCol" xfId="12381" xr:uid="{7679CCCA-11A6-43F8-BF3E-0EE82B70C712}"/>
    <cellStyle name="UnclassifiedTotalRowWPRefCol" xfId="12382" xr:uid="{C305EFCB-FF5E-4A3A-AE0E-14DFF20EC04A}"/>
    <cellStyle name="Warning Text" xfId="4838" builtinId="11" customBuiltin="1"/>
    <cellStyle name="Warning Text 2" xfId="1558" xr:uid="{00000000-0005-0000-0000-0000F9070000}"/>
    <cellStyle name="Warning Text 2 2" xfId="28175" xr:uid="{9077D266-AF6F-45FE-8FA8-56E0DF6405C7}"/>
    <cellStyle name="Warning Text 3" xfId="1559" xr:uid="{00000000-0005-0000-0000-0000FA070000}"/>
    <cellStyle name="Warning Text 3 2" xfId="26321" xr:uid="{863219B2-3F6B-42C2-9293-5ECE21D108FD}"/>
    <cellStyle name="Warning Text 4" xfId="29588" xr:uid="{FACD3194-E29A-43C7-BDFC-8831BAA9308A}"/>
  </cellStyles>
  <dxfs count="70">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82" formatCode=";;;"/>
    </dxf>
    <dxf>
      <numFmt numFmtId="182" formatCode=";;;"/>
    </dxf>
    <dxf>
      <numFmt numFmtId="182" formatCode=";;;"/>
    </dxf>
    <dxf>
      <numFmt numFmtId="182" formatCode=";;;"/>
    </dxf>
    <dxf>
      <numFmt numFmtId="182" formatCode=";;;"/>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99"/>
        </patternFill>
      </fill>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69"/>
      <tableStyleElement type="headerRow" dxfId="68"/>
      <tableStyleElement type="firstRowStripe" dxfId="67"/>
    </tableStyle>
  </tableStyles>
  <colors>
    <mruColors>
      <color rgb="FFFFFFCC"/>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state-and-local-government-finance-division/local-government-commission/submitting-your-audit"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lib/item/north-carolina-water-and-wastewater-rates-dashboard"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file:///\\dst-flsp4A\Share\LGC\publish\AFIRProduction\CCH_Upload" TargetMode="External"/><Relationship Id="rId1" Type="http://schemas.openxmlformats.org/officeDocument/2006/relationships/hyperlink" Target="file:///\\dst-flsp4A\Share\lgc\publish\AFIRTest\CCH_UploadTes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6830A-55C2-4DE3-BDFB-F46B1D84D4BC}">
  <dimension ref="A1:D41"/>
  <sheetViews>
    <sheetView tabSelected="1" zoomScaleNormal="100" workbookViewId="0">
      <selection activeCell="B2" sqref="B2"/>
    </sheetView>
  </sheetViews>
  <sheetFormatPr defaultRowHeight="15" x14ac:dyDescent="0.25"/>
  <cols>
    <col min="1" max="1" width="1.7109375" style="594" customWidth="1"/>
    <col min="2" max="2" width="159.7109375" style="594" customWidth="1"/>
    <col min="3" max="4" width="9.140625" style="594" hidden="1" customWidth="1"/>
    <col min="5" max="5" width="2.28515625" style="594" customWidth="1"/>
    <col min="6" max="7" width="8.140625" style="594" customWidth="1"/>
    <col min="8" max="16384" width="9.140625" style="594"/>
  </cols>
  <sheetData>
    <row r="1" spans="2:2" ht="15.75" customHeight="1" thickBot="1" x14ac:dyDescent="0.3">
      <c r="B1" s="801"/>
    </row>
    <row r="2" spans="2:2" ht="53.25" customHeight="1" thickBot="1" x14ac:dyDescent="0.3">
      <c r="B2" s="802" t="s">
        <v>1034</v>
      </c>
    </row>
    <row r="3" spans="2:2" ht="91.5" customHeight="1" x14ac:dyDescent="0.25">
      <c r="B3" s="863" t="s">
        <v>1035</v>
      </c>
    </row>
    <row r="4" spans="2:2" ht="48" customHeight="1" x14ac:dyDescent="0.25">
      <c r="B4" s="803" t="s">
        <v>1036</v>
      </c>
    </row>
    <row r="5" spans="2:2" ht="31.5" customHeight="1" x14ac:dyDescent="0.25">
      <c r="B5" s="804" t="s">
        <v>1037</v>
      </c>
    </row>
    <row r="6" spans="2:2" ht="15.75" customHeight="1" x14ac:dyDescent="0.25">
      <c r="B6" s="801"/>
    </row>
    <row r="7" spans="2:2" ht="31.5" x14ac:dyDescent="0.25">
      <c r="B7" s="805" t="s">
        <v>1038</v>
      </c>
    </row>
    <row r="8" spans="2:2" ht="15.75" customHeight="1" x14ac:dyDescent="0.25">
      <c r="B8" s="801"/>
    </row>
    <row r="9" spans="2:2" ht="31.5" x14ac:dyDescent="0.25">
      <c r="B9" s="805" t="s">
        <v>1039</v>
      </c>
    </row>
    <row r="10" spans="2:2" x14ac:dyDescent="0.25">
      <c r="B10" s="801"/>
    </row>
    <row r="11" spans="2:2" ht="33" customHeight="1" x14ac:dyDescent="0.25">
      <c r="B11" s="804" t="s">
        <v>1040</v>
      </c>
    </row>
    <row r="12" spans="2:2" x14ac:dyDescent="0.25">
      <c r="B12" s="801"/>
    </row>
    <row r="13" spans="2:2" ht="15.75" x14ac:dyDescent="0.25">
      <c r="B13" s="806" t="s">
        <v>1041</v>
      </c>
    </row>
    <row r="14" spans="2:2" x14ac:dyDescent="0.25">
      <c r="B14" s="801"/>
    </row>
    <row r="15" spans="2:2" ht="39" customHeight="1" x14ac:dyDescent="0.25">
      <c r="B15" s="807" t="s">
        <v>1053</v>
      </c>
    </row>
    <row r="16" spans="2:2" ht="11.25" customHeight="1" x14ac:dyDescent="0.25">
      <c r="B16" s="807"/>
    </row>
    <row r="17" spans="1:4" ht="53.25" customHeight="1" x14ac:dyDescent="0.25">
      <c r="B17" s="807" t="s">
        <v>1058</v>
      </c>
    </row>
    <row r="18" spans="1:4" ht="15" customHeight="1" x14ac:dyDescent="0.25">
      <c r="B18" s="864" t="s">
        <v>1059</v>
      </c>
    </row>
    <row r="19" spans="1:4" x14ac:dyDescent="0.25">
      <c r="B19" s="801"/>
    </row>
    <row r="20" spans="1:4" ht="47.25" x14ac:dyDescent="0.25">
      <c r="B20" s="805" t="s">
        <v>1042</v>
      </c>
    </row>
    <row r="21" spans="1:4" x14ac:dyDescent="0.25">
      <c r="B21" s="801"/>
    </row>
    <row r="22" spans="1:4" ht="32.450000000000003" customHeight="1" x14ac:dyDescent="0.25">
      <c r="B22" s="808" t="s">
        <v>1043</v>
      </c>
    </row>
    <row r="23" spans="1:4" ht="15.75" customHeight="1" x14ac:dyDescent="0.25">
      <c r="A23" s="801"/>
      <c r="B23" s="801"/>
      <c r="C23" s="801"/>
      <c r="D23" s="801"/>
    </row>
    <row r="24" spans="1:4" x14ac:dyDescent="0.25">
      <c r="B24" s="809" t="s">
        <v>41</v>
      </c>
    </row>
    <row r="25" spans="1:4" x14ac:dyDescent="0.25">
      <c r="B25" s="810" t="s">
        <v>644</v>
      </c>
    </row>
    <row r="26" spans="1:4" ht="15.75" customHeight="1" x14ac:dyDescent="0.25">
      <c r="B26" s="801"/>
    </row>
    <row r="27" spans="1:4" x14ac:dyDescent="0.25">
      <c r="B27" s="809" t="s">
        <v>42</v>
      </c>
    </row>
    <row r="28" spans="1:4" x14ac:dyDescent="0.25">
      <c r="B28" s="811" t="s">
        <v>632</v>
      </c>
    </row>
    <row r="29" spans="1:4" ht="15.75" customHeight="1" x14ac:dyDescent="0.25">
      <c r="B29" s="801"/>
    </row>
    <row r="30" spans="1:4" ht="32.450000000000003" customHeight="1" x14ac:dyDescent="0.25">
      <c r="B30" s="812" t="s">
        <v>1044</v>
      </c>
    </row>
    <row r="31" spans="1:4" ht="63" x14ac:dyDescent="0.25">
      <c r="B31" s="805" t="s">
        <v>1045</v>
      </c>
    </row>
    <row r="32" spans="1:4" ht="24" customHeight="1" x14ac:dyDescent="0.25">
      <c r="B32" s="801"/>
    </row>
    <row r="33" spans="2:2" ht="87" customHeight="1" x14ac:dyDescent="0.25">
      <c r="B33" s="805" t="s">
        <v>779</v>
      </c>
    </row>
    <row r="34" spans="2:2" ht="15.75" customHeight="1" x14ac:dyDescent="0.25">
      <c r="B34" s="801"/>
    </row>
    <row r="35" spans="2:2" ht="78" customHeight="1" x14ac:dyDescent="0.25">
      <c r="B35" s="805" t="s">
        <v>1046</v>
      </c>
    </row>
    <row r="36" spans="2:2" ht="15.75" customHeight="1" x14ac:dyDescent="0.25">
      <c r="B36" s="805"/>
    </row>
    <row r="37" spans="2:2" ht="21.75" customHeight="1" x14ac:dyDescent="0.25">
      <c r="B37" s="813" t="s">
        <v>1047</v>
      </c>
    </row>
    <row r="39" spans="2:2" ht="15.75" x14ac:dyDescent="0.25">
      <c r="B39" s="36"/>
    </row>
    <row r="40" spans="2:2" ht="15.75" x14ac:dyDescent="0.25">
      <c r="B40" s="36"/>
    </row>
    <row r="41" spans="2:2" ht="15.75" x14ac:dyDescent="0.25">
      <c r="B41" s="36"/>
    </row>
  </sheetData>
  <sheetProtection algorithmName="SHA-512" hashValue="r6eL1yclMj/6ttj0ymjRk1npV+xerrvfoegQg7g/FGYj+4H/ozusuY1wjsyA/+jJrQMXQaqFa8otO1+EmBTl5A==" saltValue="QB4VlYxioVgsp7JYBK38bg==" spinCount="100000" sheet="1" formatCells="0" formatColumns="0" formatRows="0"/>
  <hyperlinks>
    <hyperlink ref="B25" r:id="rId1" xr:uid="{518D8232-7CC3-480E-8D6D-7FA5AB767353}"/>
    <hyperlink ref="B28" r:id="rId2" xr:uid="{1FF78673-7ED5-4F38-A3E4-97642DD06185}"/>
    <hyperlink ref="B18" r:id="rId3" xr:uid="{D3DCC40E-8637-4AA2-8DB9-94F24228E06F}"/>
  </hyperlinks>
  <pageMargins left="0.7" right="0.7" top="0.75" bottom="0.75" header="0.3" footer="0.3"/>
  <pageSetup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17550-04E5-49D9-B446-DDF9728A8EC8}">
  <sheetPr codeName="Sheet10"/>
  <dimension ref="A1:BB224"/>
  <sheetViews>
    <sheetView workbookViewId="0">
      <pane xSplit="4" ySplit="2" topLeftCell="R186" activePane="bottomRight" state="frozen"/>
      <selection pane="topRight" activeCell="E1" sqref="E1"/>
      <selection pane="bottomLeft" activeCell="A3" sqref="A3"/>
      <selection pane="bottomRight" activeCell="R248" sqref="R248"/>
    </sheetView>
  </sheetViews>
  <sheetFormatPr defaultRowHeight="15" x14ac:dyDescent="0.25"/>
  <cols>
    <col min="2" max="2" width="10.28515625" customWidth="1"/>
    <col min="3" max="3" width="32.5703125" customWidth="1"/>
    <col min="4" max="4" width="44.85546875" customWidth="1"/>
    <col min="5" max="5" width="16.85546875" bestFit="1" customWidth="1"/>
    <col min="6" max="6" width="17" bestFit="1" customWidth="1"/>
    <col min="7" max="7" width="15.85546875" bestFit="1" customWidth="1"/>
    <col min="8" max="8" width="17.140625" bestFit="1" customWidth="1"/>
    <col min="9" max="9" width="14.85546875" bestFit="1" customWidth="1"/>
    <col min="10" max="10" width="16" bestFit="1" customWidth="1"/>
    <col min="11" max="11" width="17.140625" bestFit="1" customWidth="1"/>
    <col min="12" max="12" width="16" bestFit="1" customWidth="1"/>
    <col min="13" max="13" width="19" bestFit="1" customWidth="1"/>
    <col min="14" max="14" width="13" bestFit="1" customWidth="1"/>
    <col min="15" max="15" width="17.140625" bestFit="1" customWidth="1"/>
    <col min="16" max="16" width="16" bestFit="1" customWidth="1"/>
    <col min="17" max="17" width="17.140625" bestFit="1" customWidth="1"/>
    <col min="18" max="18" width="19" bestFit="1" customWidth="1"/>
    <col min="19" max="19" width="12.5703125" bestFit="1" customWidth="1"/>
    <col min="20" max="20" width="16" bestFit="1" customWidth="1"/>
    <col min="21" max="21" width="17.140625" bestFit="1" customWidth="1"/>
    <col min="22" max="23" width="16" bestFit="1" customWidth="1"/>
    <col min="24" max="24" width="14.85546875" bestFit="1" customWidth="1"/>
    <col min="25" max="25" width="17.140625" bestFit="1" customWidth="1"/>
    <col min="26" max="28" width="16" bestFit="1" customWidth="1"/>
    <col min="29" max="29" width="17.140625" bestFit="1" customWidth="1"/>
    <col min="30" max="31" width="16" bestFit="1" customWidth="1"/>
    <col min="32" max="33" width="14.85546875" bestFit="1" customWidth="1"/>
    <col min="34" max="35" width="17.140625" bestFit="1" customWidth="1"/>
    <col min="36" max="36" width="16" bestFit="1" customWidth="1"/>
    <col min="37" max="37" width="17.140625" bestFit="1" customWidth="1"/>
    <col min="38" max="38" width="13.7109375" bestFit="1" customWidth="1"/>
    <col min="39" max="39" width="14.85546875" bestFit="1" customWidth="1"/>
    <col min="40" max="40" width="17.140625" bestFit="1" customWidth="1"/>
    <col min="41" max="41" width="16" bestFit="1" customWidth="1"/>
    <col min="42" max="42" width="17.140625" bestFit="1" customWidth="1"/>
    <col min="43" max="43" width="14.85546875" bestFit="1" customWidth="1"/>
    <col min="44" max="47" width="16" bestFit="1" customWidth="1"/>
    <col min="48" max="48" width="12.5703125" bestFit="1" customWidth="1"/>
    <col min="49" max="49" width="17.140625" bestFit="1" customWidth="1"/>
    <col min="50" max="50" width="16" bestFit="1" customWidth="1"/>
    <col min="51" max="51" width="17.140625" bestFit="1" customWidth="1"/>
    <col min="52" max="53" width="14.85546875" bestFit="1" customWidth="1"/>
    <col min="54" max="54" width="16" bestFit="1" customWidth="1"/>
    <col min="55" max="55" width="15.7109375" bestFit="1" customWidth="1"/>
    <col min="56" max="56" width="14.5703125" bestFit="1" customWidth="1"/>
    <col min="57" max="57" width="15.7109375" bestFit="1" customWidth="1"/>
    <col min="58" max="58" width="16.85546875" bestFit="1" customWidth="1"/>
    <col min="59" max="60" width="15.7109375" bestFit="1" customWidth="1"/>
    <col min="61" max="61" width="16.85546875" bestFit="1" customWidth="1"/>
    <col min="62" max="63" width="15.7109375" bestFit="1" customWidth="1"/>
    <col min="64" max="64" width="14.5703125" bestFit="1" customWidth="1"/>
    <col min="65" max="67" width="15.7109375" bestFit="1" customWidth="1"/>
    <col min="68" max="68" width="16.85546875" bestFit="1" customWidth="1"/>
    <col min="69" max="69" width="18.7109375" bestFit="1" customWidth="1"/>
    <col min="70" max="71" width="16.85546875" bestFit="1" customWidth="1"/>
  </cols>
  <sheetData>
    <row r="1" spans="1:54" x14ac:dyDescent="0.25">
      <c r="A1" t="s">
        <v>911</v>
      </c>
      <c r="B1" t="s">
        <v>912</v>
      </c>
      <c r="F1" t="s">
        <v>913</v>
      </c>
      <c r="G1" t="s">
        <v>914</v>
      </c>
      <c r="H1" t="s">
        <v>915</v>
      </c>
      <c r="I1" t="s">
        <v>916</v>
      </c>
      <c r="J1" t="s">
        <v>917</v>
      </c>
      <c r="K1" t="s">
        <v>918</v>
      </c>
      <c r="L1" t="s">
        <v>919</v>
      </c>
      <c r="M1" t="s">
        <v>920</v>
      </c>
      <c r="N1" t="s">
        <v>1016</v>
      </c>
      <c r="O1" t="s">
        <v>921</v>
      </c>
      <c r="P1" t="s">
        <v>922</v>
      </c>
      <c r="Q1" t="s">
        <v>923</v>
      </c>
      <c r="R1" t="s">
        <v>924</v>
      </c>
      <c r="S1" t="s">
        <v>925</v>
      </c>
      <c r="T1" t="s">
        <v>926</v>
      </c>
      <c r="U1" t="s">
        <v>927</v>
      </c>
      <c r="V1" t="s">
        <v>928</v>
      </c>
      <c r="W1" t="s">
        <v>929</v>
      </c>
      <c r="X1" t="s">
        <v>930</v>
      </c>
      <c r="Y1" t="s">
        <v>931</v>
      </c>
      <c r="Z1" t="s">
        <v>932</v>
      </c>
      <c r="AA1" t="s">
        <v>933</v>
      </c>
      <c r="AB1" t="s">
        <v>934</v>
      </c>
      <c r="AC1" t="s">
        <v>935</v>
      </c>
      <c r="AD1" t="s">
        <v>936</v>
      </c>
      <c r="AE1" t="s">
        <v>937</v>
      </c>
      <c r="AF1" t="s">
        <v>938</v>
      </c>
      <c r="AG1" t="s">
        <v>939</v>
      </c>
      <c r="AH1" t="s">
        <v>940</v>
      </c>
      <c r="AI1" t="s">
        <v>941</v>
      </c>
      <c r="AJ1" t="s">
        <v>942</v>
      </c>
      <c r="AK1" t="s">
        <v>943</v>
      </c>
      <c r="AL1" t="s">
        <v>944</v>
      </c>
      <c r="AM1" t="s">
        <v>945</v>
      </c>
      <c r="AN1" t="s">
        <v>946</v>
      </c>
      <c r="AO1" t="s">
        <v>947</v>
      </c>
      <c r="AP1" t="s">
        <v>948</v>
      </c>
      <c r="AQ1" t="s">
        <v>949</v>
      </c>
      <c r="AR1" t="s">
        <v>950</v>
      </c>
      <c r="AS1" t="s">
        <v>951</v>
      </c>
      <c r="AT1" t="s">
        <v>952</v>
      </c>
      <c r="AU1" t="s">
        <v>953</v>
      </c>
      <c r="AV1" t="s">
        <v>954</v>
      </c>
      <c r="AW1" t="s">
        <v>955</v>
      </c>
      <c r="AX1" t="s">
        <v>956</v>
      </c>
      <c r="AY1" t="s">
        <v>957</v>
      </c>
      <c r="AZ1" t="s">
        <v>958</v>
      </c>
      <c r="BA1" t="s">
        <v>959</v>
      </c>
      <c r="BB1" t="s">
        <v>960</v>
      </c>
    </row>
    <row r="2" spans="1:54" x14ac:dyDescent="0.25">
      <c r="F2">
        <v>591706</v>
      </c>
      <c r="G2">
        <v>591600</v>
      </c>
      <c r="H2">
        <v>592152</v>
      </c>
      <c r="I2">
        <v>591612</v>
      </c>
      <c r="J2">
        <v>591752</v>
      </c>
      <c r="K2">
        <v>591715</v>
      </c>
      <c r="L2">
        <v>592388</v>
      </c>
      <c r="M2">
        <v>591603</v>
      </c>
      <c r="N2">
        <v>591604</v>
      </c>
      <c r="O2">
        <v>591721</v>
      </c>
      <c r="P2">
        <v>591605</v>
      </c>
      <c r="Q2">
        <v>591632</v>
      </c>
      <c r="R2">
        <v>594150</v>
      </c>
      <c r="S2">
        <v>591606</v>
      </c>
      <c r="T2">
        <v>592181</v>
      </c>
      <c r="U2">
        <v>591607</v>
      </c>
      <c r="V2">
        <v>591608</v>
      </c>
      <c r="W2">
        <v>591737</v>
      </c>
      <c r="X2">
        <v>591609</v>
      </c>
      <c r="Y2">
        <v>591610</v>
      </c>
      <c r="Z2">
        <v>591611</v>
      </c>
      <c r="AA2">
        <v>591749</v>
      </c>
      <c r="AB2">
        <v>591613</v>
      </c>
      <c r="AC2">
        <v>592396</v>
      </c>
      <c r="AD2">
        <v>591614</v>
      </c>
      <c r="AE2">
        <v>592180</v>
      </c>
      <c r="AF2">
        <v>591615</v>
      </c>
      <c r="AG2">
        <v>591616</v>
      </c>
      <c r="AH2">
        <v>592158</v>
      </c>
      <c r="AI2">
        <v>591759</v>
      </c>
      <c r="AJ2">
        <v>591762</v>
      </c>
      <c r="AK2">
        <v>591618</v>
      </c>
      <c r="AL2">
        <v>591619</v>
      </c>
      <c r="AM2">
        <v>591770</v>
      </c>
      <c r="AN2">
        <v>591620</v>
      </c>
      <c r="AO2">
        <v>592357</v>
      </c>
      <c r="AP2">
        <v>59713</v>
      </c>
      <c r="AQ2">
        <v>591622</v>
      </c>
      <c r="AR2">
        <v>591623</v>
      </c>
      <c r="AS2">
        <v>591624</v>
      </c>
      <c r="AT2">
        <v>592368</v>
      </c>
      <c r="AU2">
        <v>592155</v>
      </c>
      <c r="AV2">
        <v>591633</v>
      </c>
      <c r="AW2">
        <v>591768</v>
      </c>
      <c r="AX2">
        <v>591634</v>
      </c>
      <c r="AY2">
        <v>591627</v>
      </c>
      <c r="AZ2">
        <v>591628</v>
      </c>
      <c r="BA2">
        <v>591629</v>
      </c>
      <c r="BB2">
        <v>591636</v>
      </c>
    </row>
    <row r="3" spans="1:54" x14ac:dyDescent="0.25">
      <c r="A3">
        <v>4</v>
      </c>
      <c r="B3">
        <v>4</v>
      </c>
      <c r="C3">
        <v>4</v>
      </c>
      <c r="D3" t="s">
        <v>610</v>
      </c>
      <c r="E3" t="s">
        <v>377</v>
      </c>
      <c r="F3" s="673">
        <v>0</v>
      </c>
      <c r="G3" s="673">
        <v>0</v>
      </c>
      <c r="H3" s="673">
        <v>0</v>
      </c>
      <c r="I3" s="673">
        <v>0</v>
      </c>
      <c r="J3" s="673">
        <v>0</v>
      </c>
      <c r="K3" s="673">
        <v>0</v>
      </c>
      <c r="L3" s="673">
        <v>0</v>
      </c>
      <c r="M3" s="673">
        <v>0</v>
      </c>
      <c r="N3" s="603">
        <v>0</v>
      </c>
      <c r="O3" s="603">
        <v>0</v>
      </c>
      <c r="P3" s="603">
        <v>0</v>
      </c>
      <c r="Q3" s="603">
        <v>0</v>
      </c>
      <c r="R3" s="603">
        <v>0</v>
      </c>
      <c r="S3" s="603">
        <v>0</v>
      </c>
      <c r="T3" s="603">
        <v>0</v>
      </c>
      <c r="U3" s="603">
        <v>0</v>
      </c>
      <c r="V3" s="603">
        <v>0</v>
      </c>
      <c r="W3" s="603">
        <v>0</v>
      </c>
      <c r="X3" s="603">
        <v>0</v>
      </c>
      <c r="Y3" s="603">
        <v>0</v>
      </c>
      <c r="Z3" s="603">
        <v>0</v>
      </c>
      <c r="AA3" s="603">
        <v>0</v>
      </c>
      <c r="AB3" s="603">
        <v>0</v>
      </c>
      <c r="AC3" s="603">
        <v>0</v>
      </c>
      <c r="AD3" s="603">
        <v>0</v>
      </c>
      <c r="AE3" s="603">
        <v>0</v>
      </c>
      <c r="AF3" s="603">
        <v>0</v>
      </c>
      <c r="AG3" s="603">
        <v>0</v>
      </c>
      <c r="AH3" s="603">
        <v>0</v>
      </c>
      <c r="AI3" s="603">
        <v>0</v>
      </c>
      <c r="AJ3" s="603">
        <v>0</v>
      </c>
      <c r="AK3" s="603">
        <v>20396</v>
      </c>
      <c r="AL3" s="603">
        <v>0</v>
      </c>
      <c r="AM3" s="603">
        <v>0</v>
      </c>
      <c r="AN3" s="603">
        <v>0</v>
      </c>
      <c r="AO3" s="603">
        <v>0</v>
      </c>
      <c r="AP3" s="603">
        <v>0</v>
      </c>
      <c r="AQ3" s="603">
        <v>0</v>
      </c>
      <c r="AR3" s="603">
        <v>0</v>
      </c>
      <c r="AS3" s="603">
        <v>0</v>
      </c>
      <c r="AT3" s="603">
        <v>0</v>
      </c>
      <c r="AU3" s="603">
        <v>0</v>
      </c>
      <c r="AV3" s="603">
        <v>0</v>
      </c>
      <c r="AW3" s="603">
        <v>0</v>
      </c>
      <c r="AX3" s="603">
        <v>0</v>
      </c>
      <c r="AY3" s="603">
        <v>0</v>
      </c>
      <c r="AZ3" s="603">
        <v>0</v>
      </c>
      <c r="BA3" s="603">
        <v>0</v>
      </c>
      <c r="BB3" s="603">
        <v>0</v>
      </c>
    </row>
    <row r="4" spans="1:54" x14ac:dyDescent="0.25">
      <c r="A4">
        <v>5</v>
      </c>
      <c r="B4">
        <v>5</v>
      </c>
      <c r="C4">
        <v>5</v>
      </c>
      <c r="D4" t="s">
        <v>143</v>
      </c>
      <c r="E4" t="s">
        <v>378</v>
      </c>
      <c r="F4" s="673">
        <v>0</v>
      </c>
      <c r="G4" s="673">
        <v>0</v>
      </c>
      <c r="H4" s="673">
        <v>0</v>
      </c>
      <c r="I4" s="673">
        <v>0</v>
      </c>
      <c r="J4" s="673">
        <v>0</v>
      </c>
      <c r="K4" s="673">
        <v>0</v>
      </c>
      <c r="L4" s="673">
        <v>0</v>
      </c>
      <c r="M4" s="673">
        <v>0</v>
      </c>
      <c r="N4" s="603">
        <v>0</v>
      </c>
      <c r="O4" s="603">
        <v>0</v>
      </c>
      <c r="P4" s="603">
        <v>0</v>
      </c>
      <c r="Q4" s="603">
        <v>0</v>
      </c>
      <c r="R4" s="603">
        <v>0</v>
      </c>
      <c r="S4" s="603">
        <v>0</v>
      </c>
      <c r="T4" s="603">
        <v>0</v>
      </c>
      <c r="U4" s="603">
        <v>0</v>
      </c>
      <c r="V4" s="603">
        <v>0</v>
      </c>
      <c r="W4" s="603">
        <v>0</v>
      </c>
      <c r="X4" s="603">
        <v>0</v>
      </c>
      <c r="Y4" s="603">
        <v>0</v>
      </c>
      <c r="Z4" s="603">
        <v>0</v>
      </c>
      <c r="AA4" s="603">
        <v>0</v>
      </c>
      <c r="AB4" s="603">
        <v>0</v>
      </c>
      <c r="AC4" s="603">
        <v>0</v>
      </c>
      <c r="AD4" s="603">
        <v>0</v>
      </c>
      <c r="AE4" s="603">
        <v>0</v>
      </c>
      <c r="AF4" s="603">
        <v>0</v>
      </c>
      <c r="AG4" s="603">
        <v>0</v>
      </c>
      <c r="AH4" s="603">
        <v>0</v>
      </c>
      <c r="AI4" s="603">
        <v>0</v>
      </c>
      <c r="AJ4" s="603">
        <v>0</v>
      </c>
      <c r="AK4" s="603">
        <v>0</v>
      </c>
      <c r="AL4" s="603">
        <v>0</v>
      </c>
      <c r="AM4" s="603">
        <v>0</v>
      </c>
      <c r="AN4" s="603">
        <v>0</v>
      </c>
      <c r="AO4" s="603">
        <v>0</v>
      </c>
      <c r="AP4" s="603">
        <v>0</v>
      </c>
      <c r="AQ4" s="603">
        <v>0</v>
      </c>
      <c r="AR4" s="603">
        <v>0</v>
      </c>
      <c r="AS4" s="603">
        <v>0</v>
      </c>
      <c r="AT4" s="603">
        <v>0</v>
      </c>
      <c r="AU4" s="603">
        <v>0</v>
      </c>
      <c r="AV4" s="603">
        <v>0</v>
      </c>
      <c r="AW4" s="603">
        <v>0</v>
      </c>
      <c r="AX4" s="603">
        <v>0</v>
      </c>
      <c r="AY4" s="603">
        <v>0</v>
      </c>
      <c r="AZ4" s="603">
        <v>0</v>
      </c>
      <c r="BA4" s="603">
        <v>0</v>
      </c>
      <c r="BB4" s="603">
        <v>0</v>
      </c>
    </row>
    <row r="5" spans="1:54" x14ac:dyDescent="0.25">
      <c r="A5">
        <v>6</v>
      </c>
      <c r="B5">
        <v>6</v>
      </c>
      <c r="C5">
        <v>6</v>
      </c>
      <c r="D5" t="s">
        <v>346</v>
      </c>
      <c r="E5" t="s">
        <v>379</v>
      </c>
      <c r="F5" s="673">
        <v>0</v>
      </c>
      <c r="G5" s="673">
        <v>0</v>
      </c>
      <c r="H5" s="673">
        <v>0</v>
      </c>
      <c r="I5" s="673">
        <v>0</v>
      </c>
      <c r="J5" s="673">
        <v>0</v>
      </c>
      <c r="K5" s="673">
        <v>0</v>
      </c>
      <c r="L5" s="673">
        <v>0</v>
      </c>
      <c r="M5" s="673">
        <v>0</v>
      </c>
      <c r="N5" s="603">
        <v>0</v>
      </c>
      <c r="O5" s="603">
        <v>0</v>
      </c>
      <c r="P5" s="603">
        <v>0</v>
      </c>
      <c r="Q5" s="603">
        <v>0</v>
      </c>
      <c r="R5" s="603">
        <v>0</v>
      </c>
      <c r="S5" s="603">
        <v>0</v>
      </c>
      <c r="T5" s="603">
        <v>0</v>
      </c>
      <c r="U5" s="603">
        <v>0</v>
      </c>
      <c r="V5" s="603">
        <v>0</v>
      </c>
      <c r="W5" s="603">
        <v>0</v>
      </c>
      <c r="X5" s="603">
        <v>0</v>
      </c>
      <c r="Y5" s="603">
        <v>0</v>
      </c>
      <c r="Z5" s="603">
        <v>0</v>
      </c>
      <c r="AA5" s="603">
        <v>0</v>
      </c>
      <c r="AB5" s="603">
        <v>0</v>
      </c>
      <c r="AC5" s="603">
        <v>0</v>
      </c>
      <c r="AD5" s="603">
        <v>0</v>
      </c>
      <c r="AE5" s="603">
        <v>0</v>
      </c>
      <c r="AF5" s="603">
        <v>0</v>
      </c>
      <c r="AG5" s="603">
        <v>0</v>
      </c>
      <c r="AH5" s="603">
        <v>0</v>
      </c>
      <c r="AI5" s="603">
        <v>0</v>
      </c>
      <c r="AJ5" s="603">
        <v>0</v>
      </c>
      <c r="AK5" s="603">
        <v>0</v>
      </c>
      <c r="AL5" s="603">
        <v>0</v>
      </c>
      <c r="AM5" s="603">
        <v>0</v>
      </c>
      <c r="AN5" s="603">
        <v>0</v>
      </c>
      <c r="AO5" s="603">
        <v>0</v>
      </c>
      <c r="AP5" s="603">
        <v>0</v>
      </c>
      <c r="AQ5" s="603">
        <v>0</v>
      </c>
      <c r="AR5" s="603">
        <v>0</v>
      </c>
      <c r="AS5" s="603">
        <v>0</v>
      </c>
      <c r="AT5" s="603">
        <v>0</v>
      </c>
      <c r="AU5" s="603">
        <v>0</v>
      </c>
      <c r="AV5" s="603">
        <v>0</v>
      </c>
      <c r="AW5" s="603">
        <v>0</v>
      </c>
      <c r="AX5" s="603">
        <v>0</v>
      </c>
      <c r="AY5" s="603">
        <v>0</v>
      </c>
      <c r="AZ5" s="603">
        <v>0</v>
      </c>
      <c r="BA5" s="603">
        <v>0</v>
      </c>
      <c r="BB5" s="603">
        <v>0</v>
      </c>
    </row>
    <row r="6" spans="1:54" x14ac:dyDescent="0.25">
      <c r="A6">
        <v>7</v>
      </c>
      <c r="B6">
        <v>7</v>
      </c>
      <c r="C6">
        <v>7</v>
      </c>
      <c r="D6" t="s">
        <v>282</v>
      </c>
      <c r="E6" t="s">
        <v>380</v>
      </c>
      <c r="F6" s="673">
        <v>0</v>
      </c>
      <c r="G6" s="673">
        <v>0</v>
      </c>
      <c r="H6" s="673">
        <v>0</v>
      </c>
      <c r="I6" s="673">
        <v>0</v>
      </c>
      <c r="J6" s="673">
        <v>0</v>
      </c>
      <c r="K6" s="673">
        <v>0</v>
      </c>
      <c r="L6" s="673">
        <v>0</v>
      </c>
      <c r="M6" s="673">
        <v>0</v>
      </c>
      <c r="N6" s="603">
        <v>0</v>
      </c>
      <c r="O6" s="603">
        <v>0</v>
      </c>
      <c r="P6" s="603">
        <v>0</v>
      </c>
      <c r="Q6" s="603">
        <v>0</v>
      </c>
      <c r="R6" s="603">
        <v>0</v>
      </c>
      <c r="S6" s="603">
        <v>0</v>
      </c>
      <c r="T6" s="603">
        <v>0</v>
      </c>
      <c r="U6" s="603">
        <v>0</v>
      </c>
      <c r="V6" s="603">
        <v>0</v>
      </c>
      <c r="W6" s="603">
        <v>0</v>
      </c>
      <c r="X6" s="603">
        <v>0</v>
      </c>
      <c r="Y6" s="603">
        <v>0</v>
      </c>
      <c r="Z6" s="603">
        <v>0</v>
      </c>
      <c r="AA6" s="603">
        <v>0</v>
      </c>
      <c r="AB6" s="603">
        <v>0</v>
      </c>
      <c r="AC6" s="603">
        <v>0</v>
      </c>
      <c r="AD6" s="603">
        <v>0</v>
      </c>
      <c r="AE6" s="603">
        <v>0</v>
      </c>
      <c r="AF6" s="603">
        <v>0</v>
      </c>
      <c r="AG6" s="603">
        <v>0</v>
      </c>
      <c r="AH6" s="603">
        <v>0</v>
      </c>
      <c r="AI6" s="603">
        <v>0</v>
      </c>
      <c r="AJ6" s="603">
        <v>0</v>
      </c>
      <c r="AK6" s="603">
        <v>0</v>
      </c>
      <c r="AL6" s="603">
        <v>0</v>
      </c>
      <c r="AM6" s="603">
        <v>0</v>
      </c>
      <c r="AN6" s="603">
        <v>0</v>
      </c>
      <c r="AO6" s="603">
        <v>0</v>
      </c>
      <c r="AP6" s="603">
        <v>0</v>
      </c>
      <c r="AQ6" s="603">
        <v>0</v>
      </c>
      <c r="AR6" s="603">
        <v>0</v>
      </c>
      <c r="AS6" s="603">
        <v>0</v>
      </c>
      <c r="AT6" s="603">
        <v>0</v>
      </c>
      <c r="AU6" s="603">
        <v>0</v>
      </c>
      <c r="AV6" s="603">
        <v>0</v>
      </c>
      <c r="AW6" s="603">
        <v>0</v>
      </c>
      <c r="AX6" s="603">
        <v>0</v>
      </c>
      <c r="AY6" s="603">
        <v>0</v>
      </c>
      <c r="AZ6" s="603">
        <v>0</v>
      </c>
      <c r="BA6" s="603">
        <v>0</v>
      </c>
      <c r="BB6" s="603">
        <v>0</v>
      </c>
    </row>
    <row r="7" spans="1:54" x14ac:dyDescent="0.25">
      <c r="A7">
        <v>9</v>
      </c>
      <c r="B7">
        <v>9</v>
      </c>
      <c r="C7">
        <v>9</v>
      </c>
      <c r="D7" t="s">
        <v>284</v>
      </c>
      <c r="E7" t="s">
        <v>381</v>
      </c>
      <c r="F7" s="673">
        <v>0</v>
      </c>
      <c r="G7" s="673">
        <v>0</v>
      </c>
      <c r="H7" s="673">
        <v>0</v>
      </c>
      <c r="I7" s="673">
        <v>0</v>
      </c>
      <c r="J7" s="673">
        <v>0</v>
      </c>
      <c r="K7" s="673">
        <v>0</v>
      </c>
      <c r="L7" s="673">
        <v>0</v>
      </c>
      <c r="M7" s="673">
        <v>0</v>
      </c>
      <c r="N7" s="603">
        <v>0</v>
      </c>
      <c r="O7" s="603">
        <v>0</v>
      </c>
      <c r="P7" s="603">
        <v>0</v>
      </c>
      <c r="Q7" s="603">
        <v>0</v>
      </c>
      <c r="R7" s="603">
        <v>0</v>
      </c>
      <c r="S7" s="603">
        <v>0</v>
      </c>
      <c r="T7" s="603">
        <v>0</v>
      </c>
      <c r="U7" s="603">
        <v>0</v>
      </c>
      <c r="V7" s="603">
        <v>0</v>
      </c>
      <c r="W7" s="603">
        <v>0</v>
      </c>
      <c r="X7" s="603">
        <v>0</v>
      </c>
      <c r="Y7" s="603">
        <v>0</v>
      </c>
      <c r="Z7" s="603">
        <v>0</v>
      </c>
      <c r="AA7" s="603">
        <v>0</v>
      </c>
      <c r="AB7" s="603">
        <v>0</v>
      </c>
      <c r="AC7" s="603">
        <v>0</v>
      </c>
      <c r="AD7" s="603">
        <v>0</v>
      </c>
      <c r="AE7" s="603">
        <v>0</v>
      </c>
      <c r="AF7" s="603">
        <v>0</v>
      </c>
      <c r="AG7" s="603">
        <v>0</v>
      </c>
      <c r="AH7" s="603">
        <v>0</v>
      </c>
      <c r="AI7" s="603">
        <v>0</v>
      </c>
      <c r="AJ7" s="603">
        <v>0</v>
      </c>
      <c r="AK7" s="603">
        <v>518580</v>
      </c>
      <c r="AL7" s="603">
        <v>0</v>
      </c>
      <c r="AM7" s="603">
        <v>0</v>
      </c>
      <c r="AN7" s="603">
        <v>0</v>
      </c>
      <c r="AO7" s="603">
        <v>0</v>
      </c>
      <c r="AP7" s="603">
        <v>0</v>
      </c>
      <c r="AQ7" s="603">
        <v>0</v>
      </c>
      <c r="AR7" s="603">
        <v>0</v>
      </c>
      <c r="AS7" s="603">
        <v>0</v>
      </c>
      <c r="AT7" s="603">
        <v>0</v>
      </c>
      <c r="AU7" s="603">
        <v>0</v>
      </c>
      <c r="AV7" s="603">
        <v>0</v>
      </c>
      <c r="AW7" s="603">
        <v>0</v>
      </c>
      <c r="AX7" s="603">
        <v>0</v>
      </c>
      <c r="AY7" s="603">
        <v>0</v>
      </c>
      <c r="AZ7" s="603">
        <v>0</v>
      </c>
      <c r="BA7" s="603">
        <v>0</v>
      </c>
      <c r="BB7" s="603">
        <v>0</v>
      </c>
    </row>
    <row r="8" spans="1:54" x14ac:dyDescent="0.25">
      <c r="C8">
        <v>11</v>
      </c>
      <c r="D8" t="s">
        <v>283</v>
      </c>
      <c r="E8" t="s">
        <v>382</v>
      </c>
      <c r="F8" s="673">
        <v>0</v>
      </c>
      <c r="G8" s="673">
        <v>0</v>
      </c>
      <c r="H8" s="673">
        <v>0</v>
      </c>
      <c r="I8" s="673">
        <v>0</v>
      </c>
      <c r="J8" s="673">
        <v>0</v>
      </c>
      <c r="K8" s="673">
        <v>0</v>
      </c>
      <c r="L8" s="673">
        <v>0</v>
      </c>
      <c r="M8" s="673">
        <v>0</v>
      </c>
      <c r="N8" s="603">
        <v>0</v>
      </c>
      <c r="O8" s="603">
        <v>0</v>
      </c>
      <c r="P8" s="603">
        <v>0</v>
      </c>
      <c r="Q8" s="603">
        <v>0</v>
      </c>
      <c r="R8" s="603">
        <v>0</v>
      </c>
      <c r="S8" s="603">
        <v>0</v>
      </c>
      <c r="T8" s="603">
        <v>0</v>
      </c>
      <c r="U8" s="603">
        <v>0</v>
      </c>
      <c r="V8" s="603">
        <v>0</v>
      </c>
      <c r="W8" s="603">
        <v>0</v>
      </c>
      <c r="X8" s="603">
        <v>0</v>
      </c>
      <c r="Y8" s="603">
        <v>0</v>
      </c>
      <c r="Z8" s="603">
        <v>0</v>
      </c>
      <c r="AA8" s="603">
        <v>0</v>
      </c>
      <c r="AB8" s="603">
        <v>0</v>
      </c>
      <c r="AC8" s="603">
        <v>0</v>
      </c>
      <c r="AD8" s="603">
        <v>0</v>
      </c>
      <c r="AE8" s="603">
        <v>0</v>
      </c>
      <c r="AF8" s="603">
        <v>0</v>
      </c>
      <c r="AG8" s="603">
        <v>0</v>
      </c>
      <c r="AH8" s="603">
        <v>0</v>
      </c>
      <c r="AI8" s="603">
        <v>0</v>
      </c>
      <c r="AJ8" s="603">
        <v>0</v>
      </c>
      <c r="AK8" s="603">
        <v>0</v>
      </c>
      <c r="AL8" s="603">
        <v>0</v>
      </c>
      <c r="AM8" s="603">
        <v>0</v>
      </c>
      <c r="AN8" s="603">
        <v>0</v>
      </c>
      <c r="AO8" s="603">
        <v>0</v>
      </c>
      <c r="AP8" s="603">
        <v>0</v>
      </c>
      <c r="AQ8" s="603">
        <v>0</v>
      </c>
      <c r="AR8" s="603">
        <v>0</v>
      </c>
      <c r="AS8" s="603">
        <v>0</v>
      </c>
      <c r="AT8" s="603">
        <v>0</v>
      </c>
      <c r="AU8" s="603">
        <v>0</v>
      </c>
      <c r="AV8" s="603">
        <v>0</v>
      </c>
      <c r="AW8" s="603">
        <v>0</v>
      </c>
      <c r="AX8" s="603">
        <v>0</v>
      </c>
      <c r="AY8" s="603">
        <v>0</v>
      </c>
      <c r="AZ8" s="603">
        <v>0</v>
      </c>
      <c r="BA8" s="603">
        <v>0</v>
      </c>
      <c r="BB8" s="603">
        <v>0</v>
      </c>
    </row>
    <row r="9" spans="1:54" x14ac:dyDescent="0.25">
      <c r="A9">
        <v>16</v>
      </c>
      <c r="B9">
        <v>16</v>
      </c>
      <c r="C9">
        <v>16</v>
      </c>
      <c r="D9" t="s">
        <v>286</v>
      </c>
      <c r="E9" t="s">
        <v>383</v>
      </c>
      <c r="F9" s="673">
        <v>0</v>
      </c>
      <c r="G9" s="673">
        <v>0</v>
      </c>
      <c r="H9" s="673">
        <v>0</v>
      </c>
      <c r="I9" s="673">
        <v>0</v>
      </c>
      <c r="J9" s="673">
        <v>0</v>
      </c>
      <c r="K9" s="673">
        <v>0</v>
      </c>
      <c r="L9" s="673">
        <v>0</v>
      </c>
      <c r="M9" s="673">
        <v>0</v>
      </c>
      <c r="N9" s="603">
        <v>0</v>
      </c>
      <c r="O9" s="603">
        <v>0</v>
      </c>
      <c r="P9" s="603">
        <v>0</v>
      </c>
      <c r="Q9" s="603">
        <v>0</v>
      </c>
      <c r="R9" s="603">
        <v>0</v>
      </c>
      <c r="S9" s="603">
        <v>0</v>
      </c>
      <c r="T9" s="603">
        <v>0</v>
      </c>
      <c r="U9" s="603">
        <v>0</v>
      </c>
      <c r="V9" s="603">
        <v>0</v>
      </c>
      <c r="W9" s="603">
        <v>0</v>
      </c>
      <c r="X9" s="603">
        <v>0</v>
      </c>
      <c r="Y9" s="603">
        <v>0</v>
      </c>
      <c r="Z9" s="603">
        <v>0</v>
      </c>
      <c r="AA9" s="603">
        <v>0</v>
      </c>
      <c r="AB9" s="603">
        <v>0</v>
      </c>
      <c r="AC9" s="603">
        <v>0</v>
      </c>
      <c r="AD9" s="603">
        <v>0</v>
      </c>
      <c r="AE9" s="603">
        <v>0</v>
      </c>
      <c r="AF9" s="603">
        <v>0</v>
      </c>
      <c r="AG9" s="603">
        <v>0</v>
      </c>
      <c r="AH9" s="603">
        <v>0</v>
      </c>
      <c r="AI9" s="603">
        <v>0</v>
      </c>
      <c r="AJ9" s="603">
        <v>0</v>
      </c>
      <c r="AK9" s="603">
        <v>82099</v>
      </c>
      <c r="AL9" s="603">
        <v>0</v>
      </c>
      <c r="AM9" s="603">
        <v>0</v>
      </c>
      <c r="AN9" s="603">
        <v>0</v>
      </c>
      <c r="AO9" s="603">
        <v>0</v>
      </c>
      <c r="AP9" s="603">
        <v>0</v>
      </c>
      <c r="AQ9" s="603">
        <v>0</v>
      </c>
      <c r="AR9" s="603">
        <v>0</v>
      </c>
      <c r="AS9" s="603">
        <v>0</v>
      </c>
      <c r="AT9" s="603">
        <v>0</v>
      </c>
      <c r="AU9" s="603">
        <v>0</v>
      </c>
      <c r="AV9" s="603">
        <v>0</v>
      </c>
      <c r="AW9" s="603">
        <v>0</v>
      </c>
      <c r="AX9" s="603">
        <v>0</v>
      </c>
      <c r="AY9" s="603">
        <v>0</v>
      </c>
      <c r="AZ9" s="603">
        <v>0</v>
      </c>
      <c r="BA9" s="603">
        <v>0</v>
      </c>
      <c r="BB9" s="603">
        <v>0</v>
      </c>
    </row>
    <row r="10" spans="1:54" x14ac:dyDescent="0.25">
      <c r="A10">
        <v>17</v>
      </c>
      <c r="B10">
        <v>17</v>
      </c>
      <c r="C10">
        <v>17</v>
      </c>
      <c r="D10" t="s">
        <v>289</v>
      </c>
      <c r="E10" t="s">
        <v>384</v>
      </c>
      <c r="F10" s="673">
        <v>0</v>
      </c>
      <c r="G10" s="673">
        <v>0</v>
      </c>
      <c r="H10" s="673">
        <v>0</v>
      </c>
      <c r="I10" s="673">
        <v>0</v>
      </c>
      <c r="J10" s="673">
        <v>0</v>
      </c>
      <c r="K10" s="673">
        <v>0</v>
      </c>
      <c r="L10" s="673">
        <v>0</v>
      </c>
      <c r="M10" s="673">
        <v>0</v>
      </c>
      <c r="N10" s="603">
        <v>0</v>
      </c>
      <c r="O10" s="603">
        <v>0</v>
      </c>
      <c r="P10" s="603">
        <v>0</v>
      </c>
      <c r="Q10" s="603">
        <v>0</v>
      </c>
      <c r="R10" s="603">
        <v>0</v>
      </c>
      <c r="S10" s="603">
        <v>0</v>
      </c>
      <c r="T10" s="603">
        <v>0</v>
      </c>
      <c r="U10" s="603">
        <v>0</v>
      </c>
      <c r="V10" s="603">
        <v>0</v>
      </c>
      <c r="W10" s="603">
        <v>0</v>
      </c>
      <c r="X10" s="603">
        <v>0</v>
      </c>
      <c r="Y10" s="603">
        <v>0</v>
      </c>
      <c r="Z10" s="603">
        <v>0</v>
      </c>
      <c r="AA10" s="603">
        <v>0</v>
      </c>
      <c r="AB10" s="603">
        <v>0</v>
      </c>
      <c r="AC10" s="603">
        <v>0</v>
      </c>
      <c r="AD10" s="603">
        <v>0</v>
      </c>
      <c r="AE10" s="603">
        <v>0</v>
      </c>
      <c r="AF10" s="603">
        <v>0</v>
      </c>
      <c r="AG10" s="603">
        <v>0</v>
      </c>
      <c r="AH10" s="603">
        <v>0</v>
      </c>
      <c r="AI10" s="603">
        <v>0</v>
      </c>
      <c r="AJ10" s="603">
        <v>0</v>
      </c>
      <c r="AK10" s="603">
        <v>0</v>
      </c>
      <c r="AL10" s="603">
        <v>0</v>
      </c>
      <c r="AM10" s="603">
        <v>0</v>
      </c>
      <c r="AN10" s="603">
        <v>0</v>
      </c>
      <c r="AO10" s="603">
        <v>0</v>
      </c>
      <c r="AP10" s="603">
        <v>0</v>
      </c>
      <c r="AQ10" s="603">
        <v>0</v>
      </c>
      <c r="AR10" s="603">
        <v>0</v>
      </c>
      <c r="AS10" s="603">
        <v>0</v>
      </c>
      <c r="AT10" s="603">
        <v>0</v>
      </c>
      <c r="AU10" s="603">
        <v>0</v>
      </c>
      <c r="AV10" s="603">
        <v>0</v>
      </c>
      <c r="AW10" s="603">
        <v>0</v>
      </c>
      <c r="AX10" s="603">
        <v>0</v>
      </c>
      <c r="AY10" s="603">
        <v>0</v>
      </c>
      <c r="AZ10" s="603">
        <v>0</v>
      </c>
      <c r="BA10" s="603">
        <v>0</v>
      </c>
      <c r="BB10" s="603">
        <v>0</v>
      </c>
    </row>
    <row r="11" spans="1:54" x14ac:dyDescent="0.25">
      <c r="A11">
        <v>20</v>
      </c>
      <c r="B11">
        <v>20</v>
      </c>
      <c r="C11">
        <v>20</v>
      </c>
      <c r="D11" t="s">
        <v>290</v>
      </c>
      <c r="E11" t="s">
        <v>385</v>
      </c>
      <c r="F11" s="673">
        <v>0</v>
      </c>
      <c r="G11" s="673">
        <v>0</v>
      </c>
      <c r="H11" s="673">
        <v>0</v>
      </c>
      <c r="I11" s="673">
        <v>0</v>
      </c>
      <c r="J11" s="673">
        <v>0</v>
      </c>
      <c r="K11" s="673">
        <v>0</v>
      </c>
      <c r="L11" s="673">
        <v>0</v>
      </c>
      <c r="M11" s="673">
        <v>0</v>
      </c>
      <c r="N11" s="603">
        <v>0</v>
      </c>
      <c r="O11" s="603">
        <v>0</v>
      </c>
      <c r="P11" s="603">
        <v>0</v>
      </c>
      <c r="Q11" s="603">
        <v>0</v>
      </c>
      <c r="R11" s="603">
        <v>0</v>
      </c>
      <c r="S11" s="603">
        <v>0</v>
      </c>
      <c r="T11" s="603">
        <v>0</v>
      </c>
      <c r="U11" s="603">
        <v>0</v>
      </c>
      <c r="V11" s="603">
        <v>0</v>
      </c>
      <c r="W11" s="603">
        <v>0</v>
      </c>
      <c r="X11" s="603">
        <v>0</v>
      </c>
      <c r="Y11" s="603">
        <v>0</v>
      </c>
      <c r="Z11" s="603">
        <v>0</v>
      </c>
      <c r="AA11" s="603">
        <v>0</v>
      </c>
      <c r="AB11" s="603">
        <v>0</v>
      </c>
      <c r="AC11" s="603">
        <v>0</v>
      </c>
      <c r="AD11" s="603">
        <v>0</v>
      </c>
      <c r="AE11" s="603">
        <v>0</v>
      </c>
      <c r="AF11" s="603">
        <v>0</v>
      </c>
      <c r="AG11" s="603">
        <v>0</v>
      </c>
      <c r="AH11" s="603">
        <v>0</v>
      </c>
      <c r="AI11" s="603">
        <v>0</v>
      </c>
      <c r="AJ11" s="603">
        <v>0</v>
      </c>
      <c r="AK11" s="603">
        <v>0</v>
      </c>
      <c r="AL11" s="603">
        <v>0</v>
      </c>
      <c r="AM11" s="603">
        <v>0</v>
      </c>
      <c r="AN11" s="603">
        <v>0</v>
      </c>
      <c r="AO11" s="603">
        <v>0</v>
      </c>
      <c r="AP11" s="603">
        <v>0</v>
      </c>
      <c r="AQ11" s="603">
        <v>0</v>
      </c>
      <c r="AR11" s="603">
        <v>0</v>
      </c>
      <c r="AS11" s="603">
        <v>0</v>
      </c>
      <c r="AT11" s="603">
        <v>0</v>
      </c>
      <c r="AU11" s="603">
        <v>0</v>
      </c>
      <c r="AV11" s="603">
        <v>0</v>
      </c>
      <c r="AW11" s="603">
        <v>0</v>
      </c>
      <c r="AX11" s="603">
        <v>0</v>
      </c>
      <c r="AY11" s="603">
        <v>0</v>
      </c>
      <c r="AZ11" s="603">
        <v>0</v>
      </c>
      <c r="BA11" s="603">
        <v>0</v>
      </c>
      <c r="BB11" s="603">
        <v>0</v>
      </c>
    </row>
    <row r="12" spans="1:54" x14ac:dyDescent="0.25">
      <c r="A12">
        <v>22</v>
      </c>
      <c r="B12">
        <v>22</v>
      </c>
      <c r="C12">
        <v>22</v>
      </c>
      <c r="D12" t="s">
        <v>292</v>
      </c>
      <c r="E12" t="s">
        <v>386</v>
      </c>
      <c r="F12" s="673">
        <v>0</v>
      </c>
      <c r="G12" s="673">
        <v>0</v>
      </c>
      <c r="H12" s="673">
        <v>0</v>
      </c>
      <c r="I12" s="673">
        <v>0</v>
      </c>
      <c r="J12" s="673">
        <v>0</v>
      </c>
      <c r="K12" s="673">
        <v>0</v>
      </c>
      <c r="L12" s="673">
        <v>0</v>
      </c>
      <c r="M12" s="673">
        <v>0</v>
      </c>
      <c r="N12" s="603">
        <v>0</v>
      </c>
      <c r="O12" s="603">
        <v>0</v>
      </c>
      <c r="P12" s="603">
        <v>0</v>
      </c>
      <c r="Q12" s="603">
        <v>0</v>
      </c>
      <c r="R12" s="603">
        <v>0</v>
      </c>
      <c r="S12" s="603">
        <v>0</v>
      </c>
      <c r="T12" s="603">
        <v>0</v>
      </c>
      <c r="U12" s="603">
        <v>0</v>
      </c>
      <c r="V12" s="603">
        <v>0</v>
      </c>
      <c r="W12" s="603">
        <v>0</v>
      </c>
      <c r="X12" s="603">
        <v>0</v>
      </c>
      <c r="Y12" s="603">
        <v>0</v>
      </c>
      <c r="Z12" s="603">
        <v>0</v>
      </c>
      <c r="AA12" s="603">
        <v>0</v>
      </c>
      <c r="AB12" s="603">
        <v>0</v>
      </c>
      <c r="AC12" s="603">
        <v>0</v>
      </c>
      <c r="AD12" s="603">
        <v>0</v>
      </c>
      <c r="AE12" s="603">
        <v>0</v>
      </c>
      <c r="AF12" s="603">
        <v>0</v>
      </c>
      <c r="AG12" s="603">
        <v>0</v>
      </c>
      <c r="AH12" s="603">
        <v>0</v>
      </c>
      <c r="AI12" s="603">
        <v>0</v>
      </c>
      <c r="AJ12" s="603">
        <v>0</v>
      </c>
      <c r="AK12" s="603">
        <v>0</v>
      </c>
      <c r="AL12" s="603">
        <v>0</v>
      </c>
      <c r="AM12" s="603">
        <v>0</v>
      </c>
      <c r="AN12" s="603">
        <v>0</v>
      </c>
      <c r="AO12" s="603">
        <v>0</v>
      </c>
      <c r="AP12" s="603">
        <v>0</v>
      </c>
      <c r="AQ12" s="603">
        <v>0</v>
      </c>
      <c r="AR12" s="603">
        <v>0</v>
      </c>
      <c r="AS12" s="603">
        <v>0</v>
      </c>
      <c r="AT12" s="603">
        <v>0</v>
      </c>
      <c r="AU12" s="603">
        <v>0</v>
      </c>
      <c r="AV12" s="603">
        <v>0</v>
      </c>
      <c r="AW12" s="603">
        <v>0</v>
      </c>
      <c r="AX12" s="603">
        <v>0</v>
      </c>
      <c r="AY12" s="603">
        <v>0</v>
      </c>
      <c r="AZ12" s="603">
        <v>0</v>
      </c>
      <c r="BA12" s="603">
        <v>0</v>
      </c>
      <c r="BB12" s="603">
        <v>0</v>
      </c>
    </row>
    <row r="13" spans="1:54" x14ac:dyDescent="0.25">
      <c r="A13">
        <v>23</v>
      </c>
      <c r="B13">
        <v>23</v>
      </c>
      <c r="C13">
        <v>23</v>
      </c>
      <c r="D13" t="s">
        <v>295</v>
      </c>
      <c r="E13" t="s">
        <v>387</v>
      </c>
      <c r="F13" s="673">
        <v>0</v>
      </c>
      <c r="G13" s="673">
        <v>0</v>
      </c>
      <c r="H13" s="673">
        <v>0</v>
      </c>
      <c r="I13" s="673">
        <v>0</v>
      </c>
      <c r="J13" s="673">
        <v>0</v>
      </c>
      <c r="K13" s="673">
        <v>0</v>
      </c>
      <c r="L13" s="673">
        <v>0</v>
      </c>
      <c r="M13" s="673">
        <v>0</v>
      </c>
      <c r="N13" s="603">
        <v>0</v>
      </c>
      <c r="O13" s="603">
        <v>0</v>
      </c>
      <c r="P13" s="603">
        <v>0</v>
      </c>
      <c r="Q13" s="603">
        <v>0</v>
      </c>
      <c r="R13" s="603">
        <v>0</v>
      </c>
      <c r="S13" s="603">
        <v>0</v>
      </c>
      <c r="T13" s="603">
        <v>0</v>
      </c>
      <c r="U13" s="603">
        <v>0</v>
      </c>
      <c r="V13" s="603">
        <v>0</v>
      </c>
      <c r="W13" s="603">
        <v>0</v>
      </c>
      <c r="X13" s="603">
        <v>0</v>
      </c>
      <c r="Y13" s="603">
        <v>0</v>
      </c>
      <c r="Z13" s="603">
        <v>0</v>
      </c>
      <c r="AA13" s="603">
        <v>0</v>
      </c>
      <c r="AB13" s="603">
        <v>0</v>
      </c>
      <c r="AC13" s="603">
        <v>0</v>
      </c>
      <c r="AD13" s="603">
        <v>0</v>
      </c>
      <c r="AE13" s="603">
        <v>0</v>
      </c>
      <c r="AF13" s="603">
        <v>0</v>
      </c>
      <c r="AG13" s="603">
        <v>0</v>
      </c>
      <c r="AH13" s="603">
        <v>0</v>
      </c>
      <c r="AI13" s="603">
        <v>0</v>
      </c>
      <c r="AJ13" s="603">
        <v>0</v>
      </c>
      <c r="AK13" s="603">
        <v>6951</v>
      </c>
      <c r="AL13" s="603">
        <v>0</v>
      </c>
      <c r="AM13" s="603">
        <v>0</v>
      </c>
      <c r="AN13" s="603">
        <v>0</v>
      </c>
      <c r="AO13" s="603">
        <v>0</v>
      </c>
      <c r="AP13" s="603">
        <v>0</v>
      </c>
      <c r="AQ13" s="603">
        <v>0</v>
      </c>
      <c r="AR13" s="603">
        <v>0</v>
      </c>
      <c r="AS13" s="603">
        <v>0</v>
      </c>
      <c r="AT13" s="603">
        <v>0</v>
      </c>
      <c r="AU13" s="603">
        <v>0</v>
      </c>
      <c r="AV13" s="603">
        <v>0</v>
      </c>
      <c r="AW13" s="603">
        <v>0</v>
      </c>
      <c r="AX13" s="603">
        <v>0</v>
      </c>
      <c r="AY13" s="603">
        <v>0</v>
      </c>
      <c r="AZ13" s="603">
        <v>0</v>
      </c>
      <c r="BA13" s="603">
        <v>0</v>
      </c>
      <c r="BB13" s="603">
        <v>0</v>
      </c>
    </row>
    <row r="14" spans="1:54" x14ac:dyDescent="0.25">
      <c r="A14">
        <v>44</v>
      </c>
      <c r="B14">
        <v>44</v>
      </c>
      <c r="C14">
        <v>44</v>
      </c>
      <c r="D14" t="s">
        <v>611</v>
      </c>
      <c r="E14" t="s">
        <v>388</v>
      </c>
      <c r="F14" s="673">
        <v>1735599</v>
      </c>
      <c r="G14" s="673">
        <v>5600294</v>
      </c>
      <c r="H14" s="673">
        <v>8535001</v>
      </c>
      <c r="I14" s="673">
        <v>12710108</v>
      </c>
      <c r="J14" s="673">
        <v>72682112</v>
      </c>
      <c r="K14" s="673">
        <v>21103895</v>
      </c>
      <c r="L14" s="673">
        <v>126789173</v>
      </c>
      <c r="M14" s="673">
        <v>7647891</v>
      </c>
      <c r="N14" s="603">
        <v>0</v>
      </c>
      <c r="O14" s="603">
        <v>2982298</v>
      </c>
      <c r="P14" s="603">
        <v>4859927</v>
      </c>
      <c r="Q14" s="603">
        <v>182209</v>
      </c>
      <c r="R14" s="603">
        <v>61028250</v>
      </c>
      <c r="S14" s="603">
        <v>1590313</v>
      </c>
      <c r="T14" s="603">
        <v>509118</v>
      </c>
      <c r="U14" s="603">
        <v>7839834</v>
      </c>
      <c r="V14" s="603">
        <v>1648534</v>
      </c>
      <c r="W14" s="603">
        <v>22441983</v>
      </c>
      <c r="X14" s="603">
        <v>3277498</v>
      </c>
      <c r="Y14" s="603">
        <v>1032581</v>
      </c>
      <c r="Z14" s="603">
        <v>3588677</v>
      </c>
      <c r="AA14" s="603">
        <v>3842229</v>
      </c>
      <c r="AB14" s="603">
        <v>1468481</v>
      </c>
      <c r="AC14" s="603">
        <v>2193752</v>
      </c>
      <c r="AD14" s="603">
        <v>1042578</v>
      </c>
      <c r="AE14" s="603">
        <v>11003350</v>
      </c>
      <c r="AF14" s="603">
        <v>1966584</v>
      </c>
      <c r="AG14" s="603">
        <v>736679</v>
      </c>
      <c r="AH14" s="603">
        <v>47740847</v>
      </c>
      <c r="AI14" s="603">
        <v>22105195</v>
      </c>
      <c r="AJ14" s="603">
        <v>16888348</v>
      </c>
      <c r="AK14" s="603">
        <v>273052</v>
      </c>
      <c r="AL14" s="603">
        <v>14000240</v>
      </c>
      <c r="AM14" s="603">
        <v>568971</v>
      </c>
      <c r="AN14" s="603">
        <v>1433585</v>
      </c>
      <c r="AO14" s="603">
        <v>32506303</v>
      </c>
      <c r="AP14" s="603">
        <v>3391971</v>
      </c>
      <c r="AQ14" s="603">
        <v>6867532</v>
      </c>
      <c r="AR14" s="603">
        <v>2133166</v>
      </c>
      <c r="AS14" s="603">
        <v>1234636</v>
      </c>
      <c r="AT14" s="603">
        <v>101700</v>
      </c>
      <c r="AU14" s="603">
        <v>199253</v>
      </c>
      <c r="AV14" s="603">
        <v>186131</v>
      </c>
      <c r="AW14" s="603">
        <v>14597616</v>
      </c>
      <c r="AX14" s="603">
        <v>0</v>
      </c>
      <c r="AY14" s="603">
        <v>39981</v>
      </c>
      <c r="AZ14" s="603">
        <v>34157</v>
      </c>
      <c r="BA14" s="603">
        <v>3805347</v>
      </c>
      <c r="BB14" s="603">
        <v>2201147</v>
      </c>
    </row>
    <row r="15" spans="1:54" x14ac:dyDescent="0.25">
      <c r="A15">
        <v>45</v>
      </c>
      <c r="B15">
        <v>45</v>
      </c>
      <c r="C15">
        <v>45</v>
      </c>
      <c r="D15" t="s">
        <v>612</v>
      </c>
      <c r="E15" t="s">
        <v>389</v>
      </c>
      <c r="F15" s="673">
        <v>267633</v>
      </c>
      <c r="G15" s="673">
        <v>492353</v>
      </c>
      <c r="H15" s="673">
        <v>2623329</v>
      </c>
      <c r="I15" s="673">
        <v>2031496</v>
      </c>
      <c r="J15" s="673">
        <v>3882039</v>
      </c>
      <c r="K15" s="673">
        <v>3359965</v>
      </c>
      <c r="L15" s="673">
        <v>33965513</v>
      </c>
      <c r="M15" s="673">
        <v>1615352</v>
      </c>
      <c r="N15" s="603">
        <v>0</v>
      </c>
      <c r="O15" s="603">
        <v>522980</v>
      </c>
      <c r="P15" s="603">
        <v>1559908</v>
      </c>
      <c r="Q15" s="603">
        <v>11350</v>
      </c>
      <c r="R15" s="603">
        <v>30813989</v>
      </c>
      <c r="S15" s="603">
        <v>212314</v>
      </c>
      <c r="T15" s="603">
        <v>503322</v>
      </c>
      <c r="U15" s="603">
        <v>446591</v>
      </c>
      <c r="V15" s="603">
        <v>1309573</v>
      </c>
      <c r="W15" s="603">
        <v>8198465</v>
      </c>
      <c r="X15" s="603">
        <v>1115872</v>
      </c>
      <c r="Y15" s="603">
        <v>45595</v>
      </c>
      <c r="Z15" s="603">
        <v>750723</v>
      </c>
      <c r="AA15" s="603">
        <v>2074698</v>
      </c>
      <c r="AB15" s="603">
        <v>388454</v>
      </c>
      <c r="AC15" s="603">
        <v>326367</v>
      </c>
      <c r="AD15" s="603">
        <v>15579</v>
      </c>
      <c r="AE15" s="603">
        <v>2845080</v>
      </c>
      <c r="AF15" s="603">
        <v>362232</v>
      </c>
      <c r="AG15" s="603">
        <v>147595</v>
      </c>
      <c r="AH15" s="603">
        <v>10727439</v>
      </c>
      <c r="AI15" s="603">
        <v>12227515</v>
      </c>
      <c r="AJ15" s="603">
        <v>2050827</v>
      </c>
      <c r="AK15" s="603">
        <v>39266</v>
      </c>
      <c r="AL15" s="603">
        <v>1098348</v>
      </c>
      <c r="AM15" s="603">
        <v>122235</v>
      </c>
      <c r="AN15" s="603">
        <v>8163</v>
      </c>
      <c r="AO15" s="603">
        <v>3606939</v>
      </c>
      <c r="AP15" s="603">
        <v>276103</v>
      </c>
      <c r="AQ15" s="603">
        <v>497226</v>
      </c>
      <c r="AR15" s="603">
        <v>44404</v>
      </c>
      <c r="AS15" s="603">
        <v>155195</v>
      </c>
      <c r="AT15" s="603">
        <v>790049</v>
      </c>
      <c r="AU15" s="603">
        <v>1370</v>
      </c>
      <c r="AV15" s="603">
        <v>16750</v>
      </c>
      <c r="AW15" s="603">
        <v>396825</v>
      </c>
      <c r="AX15" s="603">
        <v>0</v>
      </c>
      <c r="AY15" s="603">
        <v>6386</v>
      </c>
      <c r="AZ15" s="603">
        <v>682</v>
      </c>
      <c r="BA15" s="603">
        <v>311384</v>
      </c>
      <c r="BB15" s="603">
        <v>713785</v>
      </c>
    </row>
    <row r="16" spans="1:54" x14ac:dyDescent="0.25">
      <c r="A16">
        <v>47</v>
      </c>
      <c r="B16">
        <v>47</v>
      </c>
      <c r="C16">
        <v>47</v>
      </c>
      <c r="D16" t="s">
        <v>613</v>
      </c>
      <c r="E16" t="s">
        <v>390</v>
      </c>
      <c r="F16" s="673">
        <v>0</v>
      </c>
      <c r="G16" s="673">
        <v>0</v>
      </c>
      <c r="H16" s="673">
        <v>0</v>
      </c>
      <c r="I16" s="673">
        <v>0</v>
      </c>
      <c r="J16" s="673">
        <v>0</v>
      </c>
      <c r="K16" s="673">
        <v>0</v>
      </c>
      <c r="L16" s="673">
        <v>0</v>
      </c>
      <c r="M16" s="673">
        <v>0</v>
      </c>
      <c r="N16" s="603">
        <v>0</v>
      </c>
      <c r="O16" s="603">
        <v>0</v>
      </c>
      <c r="P16" s="603">
        <v>0</v>
      </c>
      <c r="Q16" s="603">
        <v>0</v>
      </c>
      <c r="R16" s="603">
        <v>138383825</v>
      </c>
      <c r="S16" s="603">
        <v>0</v>
      </c>
      <c r="T16" s="603">
        <v>0</v>
      </c>
      <c r="U16" s="603">
        <v>0</v>
      </c>
      <c r="V16" s="603">
        <v>0</v>
      </c>
      <c r="W16" s="603">
        <v>75414737</v>
      </c>
      <c r="X16" s="603">
        <v>0</v>
      </c>
      <c r="Y16" s="603">
        <v>0</v>
      </c>
      <c r="Z16" s="603">
        <v>0</v>
      </c>
      <c r="AA16" s="603">
        <v>0</v>
      </c>
      <c r="AB16" s="603">
        <v>0</v>
      </c>
      <c r="AC16" s="603">
        <v>0</v>
      </c>
      <c r="AD16" s="603">
        <v>0</v>
      </c>
      <c r="AE16" s="603">
        <v>0</v>
      </c>
      <c r="AF16" s="603">
        <v>0</v>
      </c>
      <c r="AG16" s="603">
        <v>0</v>
      </c>
      <c r="AH16" s="603">
        <v>0</v>
      </c>
      <c r="AI16" s="603">
        <v>0</v>
      </c>
      <c r="AJ16" s="603">
        <v>0</v>
      </c>
      <c r="AK16" s="603">
        <v>0</v>
      </c>
      <c r="AL16" s="603">
        <v>0</v>
      </c>
      <c r="AM16" s="603">
        <v>0</v>
      </c>
      <c r="AN16" s="603">
        <v>0</v>
      </c>
      <c r="AO16" s="603">
        <v>0</v>
      </c>
      <c r="AP16" s="603">
        <v>0</v>
      </c>
      <c r="AQ16" s="603">
        <v>0</v>
      </c>
      <c r="AR16" s="603">
        <v>0</v>
      </c>
      <c r="AS16" s="603">
        <v>0</v>
      </c>
      <c r="AT16" s="603">
        <v>0</v>
      </c>
      <c r="AU16" s="603">
        <v>0</v>
      </c>
      <c r="AV16" s="603">
        <v>0</v>
      </c>
      <c r="AW16" s="603">
        <v>0</v>
      </c>
      <c r="AX16" s="603">
        <v>0</v>
      </c>
      <c r="AY16" s="603">
        <v>0</v>
      </c>
      <c r="AZ16" s="603">
        <v>0</v>
      </c>
      <c r="BA16" s="603">
        <v>0</v>
      </c>
      <c r="BB16" s="603">
        <v>0</v>
      </c>
    </row>
    <row r="17" spans="1:54" x14ac:dyDescent="0.25">
      <c r="A17">
        <v>48</v>
      </c>
      <c r="B17">
        <v>48</v>
      </c>
      <c r="C17">
        <v>48</v>
      </c>
      <c r="D17" t="s">
        <v>146</v>
      </c>
      <c r="E17" t="s">
        <v>391</v>
      </c>
      <c r="F17" s="673">
        <v>0</v>
      </c>
      <c r="G17" s="673">
        <v>0</v>
      </c>
      <c r="H17" s="673">
        <v>0</v>
      </c>
      <c r="I17" s="673">
        <v>0</v>
      </c>
      <c r="J17" s="673">
        <v>0</v>
      </c>
      <c r="K17" s="673">
        <v>0</v>
      </c>
      <c r="L17" s="673">
        <v>0</v>
      </c>
      <c r="M17" s="673">
        <v>0</v>
      </c>
      <c r="N17" s="603">
        <v>0</v>
      </c>
      <c r="O17" s="603">
        <v>0</v>
      </c>
      <c r="P17" s="603">
        <v>0</v>
      </c>
      <c r="Q17" s="603">
        <v>0</v>
      </c>
      <c r="R17" s="603">
        <v>19526644</v>
      </c>
      <c r="S17" s="603">
        <v>0</v>
      </c>
      <c r="T17" s="603">
        <v>0</v>
      </c>
      <c r="U17" s="603">
        <v>0</v>
      </c>
      <c r="V17" s="603">
        <v>0</v>
      </c>
      <c r="W17" s="603">
        <v>17819410</v>
      </c>
      <c r="X17" s="603">
        <v>0</v>
      </c>
      <c r="Y17" s="603">
        <v>0</v>
      </c>
      <c r="Z17" s="603">
        <v>0</v>
      </c>
      <c r="AA17" s="603">
        <v>0</v>
      </c>
      <c r="AB17" s="603">
        <v>0</v>
      </c>
      <c r="AC17" s="603">
        <v>0</v>
      </c>
      <c r="AD17" s="603">
        <v>0</v>
      </c>
      <c r="AE17" s="603">
        <v>0</v>
      </c>
      <c r="AF17" s="603">
        <v>0</v>
      </c>
      <c r="AG17" s="603">
        <v>0</v>
      </c>
      <c r="AH17" s="603">
        <v>0</v>
      </c>
      <c r="AI17" s="603">
        <v>0</v>
      </c>
      <c r="AJ17" s="603">
        <v>0</v>
      </c>
      <c r="AK17" s="603">
        <v>0</v>
      </c>
      <c r="AL17" s="603">
        <v>0</v>
      </c>
      <c r="AM17" s="603">
        <v>0</v>
      </c>
      <c r="AN17" s="603">
        <v>0</v>
      </c>
      <c r="AO17" s="603">
        <v>0</v>
      </c>
      <c r="AP17" s="603">
        <v>0</v>
      </c>
      <c r="AQ17" s="603">
        <v>0</v>
      </c>
      <c r="AR17" s="603">
        <v>0</v>
      </c>
      <c r="AS17" s="603">
        <v>0</v>
      </c>
      <c r="AT17" s="603">
        <v>0</v>
      </c>
      <c r="AU17" s="603">
        <v>0</v>
      </c>
      <c r="AV17" s="603">
        <v>0</v>
      </c>
      <c r="AW17" s="603">
        <v>0</v>
      </c>
      <c r="AX17" s="603">
        <v>0</v>
      </c>
      <c r="AY17" s="603">
        <v>0</v>
      </c>
      <c r="AZ17" s="603">
        <v>0</v>
      </c>
      <c r="BA17" s="603">
        <v>0</v>
      </c>
      <c r="BB17" s="603">
        <v>0</v>
      </c>
    </row>
    <row r="18" spans="1:54" x14ac:dyDescent="0.25">
      <c r="A18">
        <v>49</v>
      </c>
      <c r="B18">
        <v>49</v>
      </c>
      <c r="C18">
        <v>49</v>
      </c>
      <c r="D18" t="s">
        <v>308</v>
      </c>
      <c r="E18" t="s">
        <v>392</v>
      </c>
      <c r="F18" s="673">
        <v>660160</v>
      </c>
      <c r="G18" s="673">
        <v>662248</v>
      </c>
      <c r="H18" s="673">
        <v>1595235</v>
      </c>
      <c r="I18" s="673">
        <v>88245</v>
      </c>
      <c r="J18" s="673">
        <v>10659346</v>
      </c>
      <c r="K18" s="673">
        <v>6396603</v>
      </c>
      <c r="L18" s="673">
        <v>22864858</v>
      </c>
      <c r="M18" s="673">
        <v>1467827</v>
      </c>
      <c r="N18" s="603">
        <v>0</v>
      </c>
      <c r="O18" s="603">
        <v>854920</v>
      </c>
      <c r="P18" s="603">
        <v>890770</v>
      </c>
      <c r="Q18" s="603">
        <v>83185</v>
      </c>
      <c r="R18" s="603">
        <v>25068167</v>
      </c>
      <c r="S18" s="603">
        <v>191659</v>
      </c>
      <c r="T18" s="603">
        <v>164317</v>
      </c>
      <c r="U18" s="603">
        <v>691553</v>
      </c>
      <c r="V18" s="603">
        <v>136190</v>
      </c>
      <c r="W18" s="603">
        <v>10103900</v>
      </c>
      <c r="X18" s="603">
        <v>621166</v>
      </c>
      <c r="Y18" s="603">
        <v>102910</v>
      </c>
      <c r="Z18" s="603">
        <v>297841</v>
      </c>
      <c r="AA18" s="603">
        <v>1593099</v>
      </c>
      <c r="AB18" s="603">
        <v>351346</v>
      </c>
      <c r="AC18" s="603">
        <v>1068676</v>
      </c>
      <c r="AD18" s="603">
        <v>79190</v>
      </c>
      <c r="AE18" s="603">
        <v>3446955</v>
      </c>
      <c r="AF18" s="603">
        <v>278850</v>
      </c>
      <c r="AG18" s="603">
        <v>253758</v>
      </c>
      <c r="AH18" s="603">
        <v>5749775</v>
      </c>
      <c r="AI18" s="603">
        <v>9558087</v>
      </c>
      <c r="AJ18" s="603">
        <v>3297809</v>
      </c>
      <c r="AK18" s="603">
        <v>12003</v>
      </c>
      <c r="AL18" s="603">
        <v>2129609</v>
      </c>
      <c r="AM18" s="603">
        <v>152156</v>
      </c>
      <c r="AN18" s="603">
        <v>43783</v>
      </c>
      <c r="AO18" s="603">
        <v>2021940</v>
      </c>
      <c r="AP18" s="603">
        <v>489439</v>
      </c>
      <c r="AQ18" s="603">
        <v>683697</v>
      </c>
      <c r="AR18" s="603">
        <v>246579</v>
      </c>
      <c r="AS18" s="603">
        <v>221883</v>
      </c>
      <c r="AT18" s="603">
        <v>321208</v>
      </c>
      <c r="AU18" s="603">
        <v>31601</v>
      </c>
      <c r="AV18" s="603">
        <v>85626</v>
      </c>
      <c r="AW18" s="603">
        <v>1613956</v>
      </c>
      <c r="AX18" s="603">
        <v>55622</v>
      </c>
      <c r="AY18" s="603">
        <v>3565</v>
      </c>
      <c r="AZ18" s="603">
        <v>4970</v>
      </c>
      <c r="BA18" s="603">
        <v>257759</v>
      </c>
      <c r="BB18" s="603">
        <v>687497</v>
      </c>
    </row>
    <row r="19" spans="1:54" x14ac:dyDescent="0.25">
      <c r="A19">
        <v>50</v>
      </c>
      <c r="B19">
        <v>50</v>
      </c>
      <c r="C19">
        <v>50</v>
      </c>
      <c r="D19" t="s">
        <v>123</v>
      </c>
      <c r="E19" t="s">
        <v>393</v>
      </c>
      <c r="F19" s="673">
        <v>-446664</v>
      </c>
      <c r="G19" s="673">
        <v>1338477</v>
      </c>
      <c r="H19" s="673">
        <v>2233288</v>
      </c>
      <c r="I19" s="673">
        <v>6693261</v>
      </c>
      <c r="J19" s="673">
        <v>20109330</v>
      </c>
      <c r="K19" s="673">
        <v>4754082</v>
      </c>
      <c r="L19" s="673">
        <v>23676942</v>
      </c>
      <c r="M19" s="673">
        <v>1960304</v>
      </c>
      <c r="N19" s="603">
        <v>0</v>
      </c>
      <c r="O19" s="603">
        <v>-30414</v>
      </c>
      <c r="P19" s="603">
        <v>492480</v>
      </c>
      <c r="Q19" s="603">
        <v>-95428</v>
      </c>
      <c r="R19" s="603">
        <v>34809710</v>
      </c>
      <c r="S19" s="603">
        <v>225690</v>
      </c>
      <c r="T19" s="603">
        <v>-98339</v>
      </c>
      <c r="U19" s="603">
        <v>1187298</v>
      </c>
      <c r="V19" s="603">
        <v>20187</v>
      </c>
      <c r="W19" s="603">
        <v>9036450</v>
      </c>
      <c r="X19" s="603">
        <v>1607590</v>
      </c>
      <c r="Y19" s="603">
        <v>169219</v>
      </c>
      <c r="Z19" s="603">
        <v>578609</v>
      </c>
      <c r="AA19" s="603">
        <v>96165</v>
      </c>
      <c r="AB19" s="603">
        <v>186921</v>
      </c>
      <c r="AC19" s="603">
        <v>-760883</v>
      </c>
      <c r="AD19" s="603">
        <v>-6673</v>
      </c>
      <c r="AE19" s="603">
        <v>706326</v>
      </c>
      <c r="AF19" s="603">
        <v>582866</v>
      </c>
      <c r="AG19" s="603">
        <v>-247305</v>
      </c>
      <c r="AH19" s="603">
        <v>7769700</v>
      </c>
      <c r="AI19" s="603">
        <v>7531609</v>
      </c>
      <c r="AJ19" s="603">
        <v>826806</v>
      </c>
      <c r="AK19" s="603">
        <v>-119066</v>
      </c>
      <c r="AL19" s="603">
        <v>1093902</v>
      </c>
      <c r="AM19" s="603">
        <v>45537</v>
      </c>
      <c r="AN19" s="603">
        <v>-25065</v>
      </c>
      <c r="AO19" s="603">
        <v>5798133</v>
      </c>
      <c r="AP19" s="603">
        <v>183922</v>
      </c>
      <c r="AQ19" s="603">
        <v>402621</v>
      </c>
      <c r="AR19" s="603">
        <v>-3555</v>
      </c>
      <c r="AS19" s="603">
        <v>204168</v>
      </c>
      <c r="AT19" s="603">
        <v>-76213</v>
      </c>
      <c r="AU19" s="603">
        <v>43487</v>
      </c>
      <c r="AV19" s="603">
        <v>-105770</v>
      </c>
      <c r="AW19" s="603">
        <v>254071</v>
      </c>
      <c r="AX19" s="603">
        <v>-55622</v>
      </c>
      <c r="AY19" s="603">
        <v>1656</v>
      </c>
      <c r="AZ19" s="603">
        <v>1926</v>
      </c>
      <c r="BA19" s="603">
        <v>70411</v>
      </c>
      <c r="BB19" s="603">
        <v>581606</v>
      </c>
    </row>
    <row r="20" spans="1:54" x14ac:dyDescent="0.25">
      <c r="A20">
        <v>51</v>
      </c>
      <c r="B20">
        <v>51</v>
      </c>
      <c r="C20">
        <v>51</v>
      </c>
      <c r="D20" t="s">
        <v>326</v>
      </c>
      <c r="E20" t="s">
        <v>394</v>
      </c>
      <c r="F20" s="673">
        <v>259000</v>
      </c>
      <c r="G20" s="673">
        <v>1159331</v>
      </c>
      <c r="H20" s="673">
        <v>4260969</v>
      </c>
      <c r="I20" s="673">
        <v>4411340</v>
      </c>
      <c r="J20" s="673">
        <v>27832967</v>
      </c>
      <c r="K20" s="673">
        <v>6154720</v>
      </c>
      <c r="L20" s="673">
        <v>37477099</v>
      </c>
      <c r="M20" s="673">
        <v>1404194</v>
      </c>
      <c r="N20" s="603">
        <v>0</v>
      </c>
      <c r="O20" s="603">
        <v>1047902</v>
      </c>
      <c r="P20" s="603">
        <v>1176896</v>
      </c>
      <c r="Q20" s="603">
        <v>-101196</v>
      </c>
      <c r="R20" s="603">
        <v>45334845</v>
      </c>
      <c r="S20" s="603">
        <v>370410</v>
      </c>
      <c r="T20" s="603">
        <v>107748</v>
      </c>
      <c r="U20" s="603">
        <v>677683</v>
      </c>
      <c r="V20" s="603">
        <v>144559</v>
      </c>
      <c r="W20" s="603">
        <v>17159860</v>
      </c>
      <c r="X20" s="603">
        <v>1236134</v>
      </c>
      <c r="Y20" s="603">
        <v>277785</v>
      </c>
      <c r="Z20" s="603">
        <v>448160</v>
      </c>
      <c r="AA20" s="603">
        <v>1112256</v>
      </c>
      <c r="AB20" s="603">
        <v>591762</v>
      </c>
      <c r="AC20" s="603">
        <v>790583</v>
      </c>
      <c r="AD20" s="603">
        <v>57218</v>
      </c>
      <c r="AE20" s="603">
        <v>6752323</v>
      </c>
      <c r="AF20" s="603">
        <v>725180</v>
      </c>
      <c r="AG20" s="603">
        <v>35407</v>
      </c>
      <c r="AH20" s="603">
        <v>6154014</v>
      </c>
      <c r="AI20" s="603">
        <v>16583993</v>
      </c>
      <c r="AJ20" s="603">
        <v>4405461</v>
      </c>
      <c r="AK20" s="603">
        <v>-71853</v>
      </c>
      <c r="AL20" s="603">
        <v>2856889</v>
      </c>
      <c r="AM20" s="603">
        <v>213380</v>
      </c>
      <c r="AN20" s="603">
        <v>-136561</v>
      </c>
      <c r="AO20" s="603">
        <v>7472827</v>
      </c>
      <c r="AP20" s="603">
        <v>767032</v>
      </c>
      <c r="AQ20" s="603">
        <v>969049</v>
      </c>
      <c r="AR20" s="603">
        <v>325908</v>
      </c>
      <c r="AS20" s="603">
        <v>135518</v>
      </c>
      <c r="AT20" s="603">
        <v>460998</v>
      </c>
      <c r="AU20" s="603">
        <v>47805</v>
      </c>
      <c r="AV20" s="603">
        <v>-20043</v>
      </c>
      <c r="AW20" s="603">
        <v>2040843</v>
      </c>
      <c r="AX20" s="603">
        <v>0</v>
      </c>
      <c r="AY20" s="603">
        <v>10447</v>
      </c>
      <c r="AZ20" s="603">
        <v>4247</v>
      </c>
      <c r="BA20" s="603">
        <v>-2530</v>
      </c>
      <c r="BB20" s="603">
        <v>963135</v>
      </c>
    </row>
    <row r="21" spans="1:54" x14ac:dyDescent="0.25">
      <c r="A21">
        <v>52</v>
      </c>
      <c r="B21">
        <v>52</v>
      </c>
      <c r="C21">
        <v>52</v>
      </c>
      <c r="D21" t="s">
        <v>319</v>
      </c>
      <c r="E21" t="s">
        <v>395</v>
      </c>
      <c r="F21" s="673">
        <v>0</v>
      </c>
      <c r="G21" s="673">
        <v>0</v>
      </c>
      <c r="H21" s="673">
        <v>0</v>
      </c>
      <c r="I21" s="673">
        <v>0</v>
      </c>
      <c r="J21" s="673">
        <v>0</v>
      </c>
      <c r="K21" s="673">
        <v>0</v>
      </c>
      <c r="L21" s="673">
        <v>0</v>
      </c>
      <c r="M21" s="673">
        <v>0</v>
      </c>
      <c r="N21" s="603">
        <v>0</v>
      </c>
      <c r="O21" s="603">
        <v>0</v>
      </c>
      <c r="P21" s="603">
        <v>0</v>
      </c>
      <c r="Q21" s="603">
        <v>0</v>
      </c>
      <c r="R21" s="603">
        <v>16864662</v>
      </c>
      <c r="S21" s="603">
        <v>0</v>
      </c>
      <c r="T21" s="603">
        <v>0</v>
      </c>
      <c r="U21" s="603">
        <v>0</v>
      </c>
      <c r="V21" s="603">
        <v>0</v>
      </c>
      <c r="W21" s="603">
        <v>9725679</v>
      </c>
      <c r="X21" s="603">
        <v>0</v>
      </c>
      <c r="Y21" s="603">
        <v>0</v>
      </c>
      <c r="Z21" s="603">
        <v>0</v>
      </c>
      <c r="AA21" s="603">
        <v>0</v>
      </c>
      <c r="AB21" s="603">
        <v>0</v>
      </c>
      <c r="AC21" s="603">
        <v>0</v>
      </c>
      <c r="AD21" s="603">
        <v>0</v>
      </c>
      <c r="AE21" s="603">
        <v>0</v>
      </c>
      <c r="AF21" s="603">
        <v>0</v>
      </c>
      <c r="AG21" s="603">
        <v>0</v>
      </c>
      <c r="AH21" s="603">
        <v>0</v>
      </c>
      <c r="AI21" s="603">
        <v>0</v>
      </c>
      <c r="AJ21" s="603">
        <v>0</v>
      </c>
      <c r="AK21" s="603">
        <v>0</v>
      </c>
      <c r="AL21" s="603">
        <v>0</v>
      </c>
      <c r="AM21" s="603">
        <v>0</v>
      </c>
      <c r="AN21" s="603">
        <v>0</v>
      </c>
      <c r="AO21" s="603">
        <v>0</v>
      </c>
      <c r="AP21" s="603">
        <v>0</v>
      </c>
      <c r="AQ21" s="603">
        <v>0</v>
      </c>
      <c r="AR21" s="603">
        <v>0</v>
      </c>
      <c r="AS21" s="603">
        <v>0</v>
      </c>
      <c r="AT21" s="603">
        <v>0</v>
      </c>
      <c r="AU21" s="603">
        <v>0</v>
      </c>
      <c r="AV21" s="603">
        <v>0</v>
      </c>
      <c r="AW21" s="603">
        <v>0</v>
      </c>
      <c r="AX21" s="603">
        <v>0</v>
      </c>
      <c r="AY21" s="603">
        <v>0</v>
      </c>
      <c r="AZ21" s="603">
        <v>0</v>
      </c>
      <c r="BA21" s="603">
        <v>0</v>
      </c>
      <c r="BB21" s="603">
        <v>0</v>
      </c>
    </row>
    <row r="22" spans="1:54" x14ac:dyDescent="0.25">
      <c r="A22">
        <v>53</v>
      </c>
      <c r="B22">
        <v>53</v>
      </c>
      <c r="C22">
        <v>53</v>
      </c>
      <c r="D22" t="s">
        <v>961</v>
      </c>
      <c r="E22" t="s">
        <v>396</v>
      </c>
      <c r="F22" s="673">
        <v>0</v>
      </c>
      <c r="G22" s="673">
        <v>0</v>
      </c>
      <c r="H22" s="673">
        <v>0</v>
      </c>
      <c r="I22" s="673">
        <v>0</v>
      </c>
      <c r="J22" s="673">
        <v>0</v>
      </c>
      <c r="K22" s="673">
        <v>0</v>
      </c>
      <c r="L22" s="673">
        <v>0</v>
      </c>
      <c r="M22" s="673">
        <v>0</v>
      </c>
      <c r="N22" s="603">
        <v>0</v>
      </c>
      <c r="O22" s="603">
        <v>0</v>
      </c>
      <c r="P22" s="603">
        <v>0</v>
      </c>
      <c r="Q22" s="603">
        <v>0</v>
      </c>
      <c r="R22" s="603">
        <v>14399170</v>
      </c>
      <c r="S22" s="603">
        <v>0</v>
      </c>
      <c r="T22" s="603">
        <v>0</v>
      </c>
      <c r="U22" s="603">
        <v>0</v>
      </c>
      <c r="V22" s="603">
        <v>0</v>
      </c>
      <c r="W22" s="603">
        <v>7762187</v>
      </c>
      <c r="X22" s="603">
        <v>0</v>
      </c>
      <c r="Y22" s="603">
        <v>0</v>
      </c>
      <c r="Z22" s="603">
        <v>0</v>
      </c>
      <c r="AA22" s="603">
        <v>0</v>
      </c>
      <c r="AB22" s="603">
        <v>0</v>
      </c>
      <c r="AC22" s="603">
        <v>0</v>
      </c>
      <c r="AD22" s="603">
        <v>0</v>
      </c>
      <c r="AE22" s="603">
        <v>0</v>
      </c>
      <c r="AF22" s="603">
        <v>0</v>
      </c>
      <c r="AG22" s="603">
        <v>0</v>
      </c>
      <c r="AH22" s="603">
        <v>0</v>
      </c>
      <c r="AI22" s="603">
        <v>0</v>
      </c>
      <c r="AJ22" s="603">
        <v>0</v>
      </c>
      <c r="AK22" s="603">
        <v>0</v>
      </c>
      <c r="AL22" s="603">
        <v>0</v>
      </c>
      <c r="AM22" s="603">
        <v>0</v>
      </c>
      <c r="AN22" s="603">
        <v>0</v>
      </c>
      <c r="AO22" s="603">
        <v>0</v>
      </c>
      <c r="AP22" s="603">
        <v>0</v>
      </c>
      <c r="AQ22" s="603">
        <v>0</v>
      </c>
      <c r="AR22" s="603">
        <v>0</v>
      </c>
      <c r="AS22" s="603">
        <v>0</v>
      </c>
      <c r="AT22" s="603">
        <v>0</v>
      </c>
      <c r="AU22" s="603">
        <v>0</v>
      </c>
      <c r="AV22" s="603">
        <v>0</v>
      </c>
      <c r="AW22" s="603">
        <v>0</v>
      </c>
      <c r="AX22" s="603">
        <v>0</v>
      </c>
      <c r="AY22" s="603">
        <v>0</v>
      </c>
      <c r="AZ22" s="603">
        <v>0</v>
      </c>
      <c r="BA22" s="603">
        <v>0</v>
      </c>
      <c r="BB22" s="603">
        <v>0</v>
      </c>
    </row>
    <row r="23" spans="1:54" x14ac:dyDescent="0.25">
      <c r="A23">
        <v>55</v>
      </c>
      <c r="B23">
        <v>55</v>
      </c>
      <c r="C23">
        <v>55</v>
      </c>
      <c r="D23" t="s">
        <v>329</v>
      </c>
      <c r="E23" t="s">
        <v>397</v>
      </c>
      <c r="F23" s="673">
        <v>0</v>
      </c>
      <c r="G23" s="673">
        <v>0</v>
      </c>
      <c r="H23" s="673">
        <v>0</v>
      </c>
      <c r="I23" s="673">
        <v>0</v>
      </c>
      <c r="J23" s="673">
        <v>0</v>
      </c>
      <c r="K23" s="673">
        <v>0</v>
      </c>
      <c r="L23" s="673">
        <v>0</v>
      </c>
      <c r="M23" s="673">
        <v>0</v>
      </c>
      <c r="N23" s="603">
        <v>0</v>
      </c>
      <c r="O23" s="603">
        <v>0</v>
      </c>
      <c r="P23" s="603">
        <v>0</v>
      </c>
      <c r="Q23" s="603">
        <v>0</v>
      </c>
      <c r="R23" s="603">
        <v>32166892</v>
      </c>
      <c r="S23" s="603">
        <v>0</v>
      </c>
      <c r="T23" s="603">
        <v>0</v>
      </c>
      <c r="U23" s="603">
        <v>0</v>
      </c>
      <c r="V23" s="603">
        <v>0</v>
      </c>
      <c r="W23" s="603">
        <v>19597380</v>
      </c>
      <c r="X23" s="603">
        <v>0</v>
      </c>
      <c r="Y23" s="603">
        <v>0</v>
      </c>
      <c r="Z23" s="603">
        <v>0</v>
      </c>
      <c r="AA23" s="603">
        <v>0</v>
      </c>
      <c r="AB23" s="603">
        <v>0</v>
      </c>
      <c r="AC23" s="603">
        <v>0</v>
      </c>
      <c r="AD23" s="603">
        <v>0</v>
      </c>
      <c r="AE23" s="603">
        <v>0</v>
      </c>
      <c r="AF23" s="603">
        <v>0</v>
      </c>
      <c r="AG23" s="603">
        <v>0</v>
      </c>
      <c r="AH23" s="603">
        <v>0</v>
      </c>
      <c r="AI23" s="603">
        <v>0</v>
      </c>
      <c r="AJ23" s="603">
        <v>0</v>
      </c>
      <c r="AK23" s="603">
        <v>0</v>
      </c>
      <c r="AL23" s="603">
        <v>0</v>
      </c>
      <c r="AM23" s="603">
        <v>0</v>
      </c>
      <c r="AN23" s="603">
        <v>0</v>
      </c>
      <c r="AO23" s="603">
        <v>0</v>
      </c>
      <c r="AP23" s="603">
        <v>0</v>
      </c>
      <c r="AQ23" s="603">
        <v>0</v>
      </c>
      <c r="AR23" s="603">
        <v>0</v>
      </c>
      <c r="AS23" s="603">
        <v>0</v>
      </c>
      <c r="AT23" s="603">
        <v>0</v>
      </c>
      <c r="AU23" s="603">
        <v>0</v>
      </c>
      <c r="AV23" s="603">
        <v>0</v>
      </c>
      <c r="AW23" s="603">
        <v>0</v>
      </c>
      <c r="AX23" s="603">
        <v>0</v>
      </c>
      <c r="AY23" s="603">
        <v>0</v>
      </c>
      <c r="AZ23" s="603">
        <v>0</v>
      </c>
      <c r="BA23" s="603">
        <v>0</v>
      </c>
      <c r="BB23" s="603">
        <v>0</v>
      </c>
    </row>
    <row r="24" spans="1:54" x14ac:dyDescent="0.25">
      <c r="A24">
        <v>61</v>
      </c>
      <c r="B24">
        <v>61</v>
      </c>
      <c r="C24">
        <v>61</v>
      </c>
      <c r="D24" t="s">
        <v>349</v>
      </c>
      <c r="E24" t="s">
        <v>398</v>
      </c>
      <c r="F24" s="673">
        <v>0</v>
      </c>
      <c r="G24" s="673">
        <v>0</v>
      </c>
      <c r="H24" s="673">
        <v>0</v>
      </c>
      <c r="I24" s="673">
        <v>0</v>
      </c>
      <c r="J24" s="673">
        <v>0</v>
      </c>
      <c r="K24" s="673">
        <v>0</v>
      </c>
      <c r="L24" s="673">
        <v>0</v>
      </c>
      <c r="M24" s="673">
        <v>97.67</v>
      </c>
      <c r="N24" s="603">
        <v>0</v>
      </c>
      <c r="O24" s="603">
        <v>0</v>
      </c>
      <c r="P24" s="603">
        <v>0</v>
      </c>
      <c r="Q24" s="603">
        <v>0</v>
      </c>
      <c r="R24" s="603">
        <v>0</v>
      </c>
      <c r="S24" s="603">
        <v>0</v>
      </c>
      <c r="T24" s="603">
        <v>0</v>
      </c>
      <c r="U24" s="603">
        <v>0</v>
      </c>
      <c r="V24" s="603">
        <v>0</v>
      </c>
      <c r="W24" s="603">
        <v>0</v>
      </c>
      <c r="X24" s="603">
        <v>0</v>
      </c>
      <c r="Y24" s="603">
        <v>0</v>
      </c>
      <c r="Z24" s="603">
        <v>98.8</v>
      </c>
      <c r="AA24" s="603">
        <v>0</v>
      </c>
      <c r="AB24" s="603">
        <v>0</v>
      </c>
      <c r="AC24" s="603">
        <v>0</v>
      </c>
      <c r="AD24" s="603">
        <v>0</v>
      </c>
      <c r="AE24" s="603">
        <v>0</v>
      </c>
      <c r="AF24" s="603">
        <v>0</v>
      </c>
      <c r="AG24" s="603">
        <v>0</v>
      </c>
      <c r="AH24" s="603">
        <v>0</v>
      </c>
      <c r="AI24" s="603">
        <v>0</v>
      </c>
      <c r="AJ24" s="603">
        <v>0</v>
      </c>
      <c r="AK24" s="603">
        <v>99.9</v>
      </c>
      <c r="AL24" s="603">
        <v>0</v>
      </c>
      <c r="AM24" s="603">
        <v>0</v>
      </c>
      <c r="AN24" s="603">
        <v>99.7</v>
      </c>
      <c r="AO24" s="603">
        <v>0</v>
      </c>
      <c r="AP24" s="603">
        <v>0</v>
      </c>
      <c r="AQ24" s="603">
        <v>0</v>
      </c>
      <c r="AR24" s="603">
        <v>0</v>
      </c>
      <c r="AS24" s="603">
        <v>0</v>
      </c>
      <c r="AT24" s="603">
        <v>0</v>
      </c>
      <c r="AU24" s="603">
        <v>0</v>
      </c>
      <c r="AV24" s="603">
        <v>0</v>
      </c>
      <c r="AW24" s="603">
        <v>0</v>
      </c>
      <c r="AX24" s="603">
        <v>0</v>
      </c>
      <c r="AY24" s="603">
        <v>100</v>
      </c>
      <c r="AZ24" s="603">
        <v>0</v>
      </c>
      <c r="BA24" s="603">
        <v>0</v>
      </c>
      <c r="BB24" s="603">
        <v>0</v>
      </c>
    </row>
    <row r="25" spans="1:54" x14ac:dyDescent="0.25">
      <c r="A25">
        <v>80</v>
      </c>
      <c r="B25">
        <v>80</v>
      </c>
      <c r="C25">
        <v>80</v>
      </c>
      <c r="D25" t="s">
        <v>298</v>
      </c>
      <c r="E25" t="s">
        <v>399</v>
      </c>
      <c r="F25" s="673">
        <v>1230920</v>
      </c>
      <c r="G25" s="673">
        <v>5266799</v>
      </c>
      <c r="H25" s="673">
        <v>7406056</v>
      </c>
      <c r="I25" s="673">
        <v>10413334</v>
      </c>
      <c r="J25" s="673">
        <v>64944344</v>
      </c>
      <c r="K25" s="673">
        <v>19248628</v>
      </c>
      <c r="L25" s="673">
        <v>81631169</v>
      </c>
      <c r="M25" s="673">
        <v>5226658</v>
      </c>
      <c r="N25" s="603">
        <v>0</v>
      </c>
      <c r="O25" s="603">
        <v>2764010</v>
      </c>
      <c r="P25" s="603">
        <v>4243222</v>
      </c>
      <c r="Q25" s="603">
        <v>46176</v>
      </c>
      <c r="R25" s="603">
        <v>37038684</v>
      </c>
      <c r="S25" s="603">
        <v>1360009</v>
      </c>
      <c r="T25" s="603">
        <v>471360</v>
      </c>
      <c r="U25" s="603">
        <v>6847528</v>
      </c>
      <c r="V25" s="603">
        <v>1532042</v>
      </c>
      <c r="W25" s="603">
        <v>14107167</v>
      </c>
      <c r="X25" s="603">
        <v>2756729</v>
      </c>
      <c r="Y25" s="603">
        <v>981190</v>
      </c>
      <c r="Z25" s="603">
        <v>2759001</v>
      </c>
      <c r="AA25" s="603">
        <v>3387154</v>
      </c>
      <c r="AB25" s="603">
        <v>1168942</v>
      </c>
      <c r="AC25" s="603">
        <v>1405180</v>
      </c>
      <c r="AD25" s="603">
        <v>987440</v>
      </c>
      <c r="AE25" s="603">
        <v>10982302</v>
      </c>
      <c r="AF25" s="603">
        <v>1790814</v>
      </c>
      <c r="AG25" s="603">
        <v>621211</v>
      </c>
      <c r="AH25" s="603">
        <v>42209473</v>
      </c>
      <c r="AI25" s="603">
        <v>16162754</v>
      </c>
      <c r="AJ25" s="603">
        <v>16303753</v>
      </c>
      <c r="AK25" s="603">
        <v>269573</v>
      </c>
      <c r="AL25" s="603">
        <v>13103972</v>
      </c>
      <c r="AM25" s="603">
        <v>471589</v>
      </c>
      <c r="AN25" s="603">
        <v>1412947</v>
      </c>
      <c r="AO25" s="603">
        <v>30408444</v>
      </c>
      <c r="AP25" s="603">
        <v>3203616</v>
      </c>
      <c r="AQ25" s="603">
        <v>6243680</v>
      </c>
      <c r="AR25" s="603">
        <v>1793273</v>
      </c>
      <c r="AS25" s="603">
        <v>905772</v>
      </c>
      <c r="AT25" s="603">
        <v>0</v>
      </c>
      <c r="AU25" s="603">
        <v>198467</v>
      </c>
      <c r="AV25" s="603">
        <v>152862</v>
      </c>
      <c r="AW25" s="603">
        <v>13789258</v>
      </c>
      <c r="AX25" s="603">
        <v>0</v>
      </c>
      <c r="AY25" s="603">
        <v>39328</v>
      </c>
      <c r="AZ25" s="603">
        <v>32476</v>
      </c>
      <c r="BA25" s="603">
        <v>3416268</v>
      </c>
      <c r="BB25" s="603">
        <v>1084722</v>
      </c>
    </row>
    <row r="26" spans="1:54" x14ac:dyDescent="0.25">
      <c r="A26">
        <v>81</v>
      </c>
      <c r="B26">
        <v>81</v>
      </c>
      <c r="C26">
        <v>81</v>
      </c>
      <c r="D26" t="s">
        <v>299</v>
      </c>
      <c r="E26" t="s">
        <v>400</v>
      </c>
      <c r="F26" s="673">
        <v>349495</v>
      </c>
      <c r="G26" s="673">
        <v>302740</v>
      </c>
      <c r="H26" s="673">
        <v>941533</v>
      </c>
      <c r="I26" s="673">
        <v>2073577</v>
      </c>
      <c r="J26" s="673">
        <v>6733286</v>
      </c>
      <c r="K26" s="673">
        <v>1406558</v>
      </c>
      <c r="L26" s="673">
        <v>15787208</v>
      </c>
      <c r="M26" s="673">
        <v>977974</v>
      </c>
      <c r="N26" s="603">
        <v>0</v>
      </c>
      <c r="O26" s="603">
        <v>54599</v>
      </c>
      <c r="P26" s="603">
        <v>402862</v>
      </c>
      <c r="Q26" s="603">
        <v>116932</v>
      </c>
      <c r="R26" s="603">
        <v>20793198</v>
      </c>
      <c r="S26" s="603">
        <v>138293</v>
      </c>
      <c r="T26" s="603">
        <v>27837</v>
      </c>
      <c r="U26" s="603">
        <v>297337</v>
      </c>
      <c r="V26" s="603">
        <v>82587</v>
      </c>
      <c r="W26" s="603">
        <v>5525739</v>
      </c>
      <c r="X26" s="603">
        <v>496466</v>
      </c>
      <c r="Y26" s="603">
        <v>43030</v>
      </c>
      <c r="Z26" s="603">
        <v>368219</v>
      </c>
      <c r="AA26" s="603">
        <v>454352</v>
      </c>
      <c r="AB26" s="603">
        <v>188975</v>
      </c>
      <c r="AC26" s="603">
        <v>0</v>
      </c>
      <c r="AD26" s="603">
        <v>55138</v>
      </c>
      <c r="AE26" s="603">
        <v>20888</v>
      </c>
      <c r="AF26" s="603">
        <v>168228</v>
      </c>
      <c r="AG26" s="603">
        <v>66349</v>
      </c>
      <c r="AH26" s="603">
        <v>4508962</v>
      </c>
      <c r="AI26" s="603">
        <v>3411381</v>
      </c>
      <c r="AJ26" s="603">
        <v>477030</v>
      </c>
      <c r="AK26" s="603">
        <v>3479</v>
      </c>
      <c r="AL26" s="603">
        <v>517907</v>
      </c>
      <c r="AM26" s="603">
        <v>93600</v>
      </c>
      <c r="AN26" s="603">
        <v>16124</v>
      </c>
      <c r="AO26" s="603">
        <v>1631059</v>
      </c>
      <c r="AP26" s="603">
        <v>170783</v>
      </c>
      <c r="AQ26" s="603">
        <v>509738</v>
      </c>
      <c r="AR26" s="603">
        <v>143298</v>
      </c>
      <c r="AS26" s="603">
        <v>99852</v>
      </c>
      <c r="AT26" s="603">
        <v>101508</v>
      </c>
      <c r="AU26" s="603">
        <v>786</v>
      </c>
      <c r="AV26" s="603">
        <v>19305</v>
      </c>
      <c r="AW26" s="603">
        <v>713798</v>
      </c>
      <c r="AX26" s="603">
        <v>0</v>
      </c>
      <c r="AY26" s="603">
        <v>653</v>
      </c>
      <c r="AZ26" s="603">
        <v>1681</v>
      </c>
      <c r="BA26" s="603">
        <v>281293</v>
      </c>
      <c r="BB26" s="603">
        <v>641228</v>
      </c>
    </row>
    <row r="27" spans="1:54" x14ac:dyDescent="0.25">
      <c r="A27">
        <v>82</v>
      </c>
      <c r="B27">
        <v>82</v>
      </c>
      <c r="C27">
        <v>82</v>
      </c>
      <c r="D27" t="s">
        <v>572</v>
      </c>
      <c r="E27" t="s">
        <v>401</v>
      </c>
      <c r="F27" s="673">
        <v>3656493</v>
      </c>
      <c r="G27" s="673">
        <v>6000333</v>
      </c>
      <c r="H27" s="673">
        <v>14964166</v>
      </c>
      <c r="I27" s="673">
        <v>5115873</v>
      </c>
      <c r="J27" s="673">
        <v>111137457</v>
      </c>
      <c r="K27" s="673">
        <v>8954083</v>
      </c>
      <c r="L27" s="673">
        <v>273305468</v>
      </c>
      <c r="M27" s="673">
        <v>1953711</v>
      </c>
      <c r="N27" s="603">
        <v>0</v>
      </c>
      <c r="O27" s="603">
        <v>14711000</v>
      </c>
      <c r="P27" s="603">
        <v>6906422</v>
      </c>
      <c r="Q27" s="603">
        <v>0</v>
      </c>
      <c r="R27" s="603">
        <v>314824596</v>
      </c>
      <c r="S27" s="603">
        <v>1212547</v>
      </c>
      <c r="T27" s="603">
        <v>0</v>
      </c>
      <c r="U27" s="603">
        <v>3705305</v>
      </c>
      <c r="V27" s="603">
        <v>1411738</v>
      </c>
      <c r="W27" s="603">
        <v>84298015</v>
      </c>
      <c r="X27" s="603">
        <v>12819372</v>
      </c>
      <c r="Y27" s="603">
        <v>392557</v>
      </c>
      <c r="Z27" s="603">
        <v>3625334</v>
      </c>
      <c r="AA27" s="603">
        <v>22821495</v>
      </c>
      <c r="AB27" s="603">
        <v>3625334</v>
      </c>
      <c r="AC27" s="603">
        <v>17418049</v>
      </c>
      <c r="AD27" s="603">
        <v>0</v>
      </c>
      <c r="AE27" s="603">
        <v>76090509</v>
      </c>
      <c r="AF27" s="603">
        <v>3713924</v>
      </c>
      <c r="AG27" s="603">
        <v>1919776</v>
      </c>
      <c r="AH27" s="603">
        <v>74451504</v>
      </c>
      <c r="AI27" s="603">
        <v>66500207</v>
      </c>
      <c r="AJ27" s="603">
        <v>16102876</v>
      </c>
      <c r="AK27" s="603">
        <v>91230</v>
      </c>
      <c r="AL27" s="603">
        <v>9871593</v>
      </c>
      <c r="AM27" s="603">
        <v>1756597</v>
      </c>
      <c r="AN27" s="603">
        <v>0</v>
      </c>
      <c r="AO27" s="603">
        <v>39920882</v>
      </c>
      <c r="AP27" s="603">
        <v>4740425</v>
      </c>
      <c r="AQ27" s="603">
        <v>7154799</v>
      </c>
      <c r="AR27" s="603">
        <v>0</v>
      </c>
      <c r="AS27" s="603">
        <v>710792</v>
      </c>
      <c r="AT27" s="603">
        <v>7045000</v>
      </c>
      <c r="AU27" s="603">
        <v>0</v>
      </c>
      <c r="AV27" s="603">
        <v>0</v>
      </c>
      <c r="AW27" s="603">
        <v>10586256</v>
      </c>
      <c r="AX27" s="603">
        <v>0</v>
      </c>
      <c r="AY27" s="603">
        <v>72000</v>
      </c>
      <c r="AZ27" s="603">
        <v>0</v>
      </c>
      <c r="BA27" s="603">
        <v>10066</v>
      </c>
      <c r="BB27" s="603">
        <v>5376553</v>
      </c>
    </row>
    <row r="28" spans="1:54" x14ac:dyDescent="0.25">
      <c r="A28">
        <v>83</v>
      </c>
      <c r="B28">
        <v>83</v>
      </c>
      <c r="C28">
        <v>83</v>
      </c>
      <c r="D28" t="s">
        <v>125</v>
      </c>
      <c r="E28" t="s">
        <v>402</v>
      </c>
      <c r="F28" s="673">
        <v>11115795</v>
      </c>
      <c r="G28" s="673">
        <v>18598487</v>
      </c>
      <c r="H28" s="673">
        <v>24610405</v>
      </c>
      <c r="I28" s="673">
        <v>11549868</v>
      </c>
      <c r="J28" s="673">
        <v>414119981</v>
      </c>
      <c r="K28" s="673">
        <v>148732878</v>
      </c>
      <c r="L28" s="673">
        <v>566528416</v>
      </c>
      <c r="M28" s="673">
        <v>38753861</v>
      </c>
      <c r="N28" s="603">
        <v>0</v>
      </c>
      <c r="O28" s="603">
        <v>16290982</v>
      </c>
      <c r="P28" s="603">
        <v>22161316</v>
      </c>
      <c r="Q28" s="603">
        <v>3302429</v>
      </c>
      <c r="R28" s="603">
        <v>521083331</v>
      </c>
      <c r="S28" s="603">
        <v>3101075</v>
      </c>
      <c r="T28" s="603">
        <v>2631974</v>
      </c>
      <c r="U28" s="603">
        <v>22666975</v>
      </c>
      <c r="V28" s="603">
        <v>1811408</v>
      </c>
      <c r="W28" s="603">
        <v>190767864</v>
      </c>
      <c r="X28" s="603">
        <v>10880402</v>
      </c>
      <c r="Y28" s="603">
        <v>2012508</v>
      </c>
      <c r="Z28" s="603">
        <v>12121347</v>
      </c>
      <c r="AA28" s="603">
        <v>23529079</v>
      </c>
      <c r="AB28" s="603">
        <v>5229926</v>
      </c>
      <c r="AC28" s="603">
        <v>8182386</v>
      </c>
      <c r="AD28" s="603">
        <v>2880041</v>
      </c>
      <c r="AE28" s="603">
        <v>39170787</v>
      </c>
      <c r="AF28" s="603">
        <v>9965937</v>
      </c>
      <c r="AG28" s="603">
        <v>1265490</v>
      </c>
      <c r="AH28" s="603">
        <v>148901141</v>
      </c>
      <c r="AI28" s="603">
        <v>272369683</v>
      </c>
      <c r="AJ28" s="603">
        <v>114902573</v>
      </c>
      <c r="AK28" s="603">
        <v>299150</v>
      </c>
      <c r="AL28" s="603">
        <v>39703649</v>
      </c>
      <c r="AM28" s="603">
        <v>5412019</v>
      </c>
      <c r="AN28" s="603">
        <v>1987298</v>
      </c>
      <c r="AO28" s="603">
        <v>47147603</v>
      </c>
      <c r="AP28" s="603">
        <v>10075832</v>
      </c>
      <c r="AQ28" s="603">
        <v>20341613</v>
      </c>
      <c r="AR28" s="603">
        <v>5511136</v>
      </c>
      <c r="AS28" s="603">
        <v>5971373</v>
      </c>
      <c r="AT28" s="603">
        <v>3423055</v>
      </c>
      <c r="AU28" s="603">
        <v>1225524</v>
      </c>
      <c r="AV28" s="603">
        <v>3720728</v>
      </c>
      <c r="AW28" s="603">
        <v>38761886</v>
      </c>
      <c r="AX28" s="603">
        <v>11026515</v>
      </c>
      <c r="AY28" s="603">
        <v>44914</v>
      </c>
      <c r="AZ28" s="603">
        <v>129524</v>
      </c>
      <c r="BA28" s="603">
        <v>10908684</v>
      </c>
      <c r="BB28" s="603">
        <v>17559603</v>
      </c>
    </row>
    <row r="29" spans="1:54" x14ac:dyDescent="0.25">
      <c r="A29">
        <v>84</v>
      </c>
      <c r="B29">
        <v>84</v>
      </c>
      <c r="C29">
        <v>84</v>
      </c>
      <c r="D29" t="s">
        <v>307</v>
      </c>
      <c r="E29" t="s">
        <v>403</v>
      </c>
      <c r="F29" s="673">
        <v>1835303</v>
      </c>
      <c r="G29" s="673">
        <v>2642627</v>
      </c>
      <c r="H29" s="673">
        <v>7230105</v>
      </c>
      <c r="I29" s="673">
        <v>12273018</v>
      </c>
      <c r="J29" s="673">
        <v>44453892</v>
      </c>
      <c r="K29" s="673">
        <v>17769181</v>
      </c>
      <c r="L29" s="673">
        <v>85970453</v>
      </c>
      <c r="M29" s="673">
        <v>7495882</v>
      </c>
      <c r="N29" s="603">
        <v>0</v>
      </c>
      <c r="O29" s="603">
        <v>2418624</v>
      </c>
      <c r="P29" s="603">
        <v>3137514</v>
      </c>
      <c r="Q29" s="603">
        <v>240179</v>
      </c>
      <c r="R29" s="603">
        <v>98395707</v>
      </c>
      <c r="S29" s="603">
        <v>971174</v>
      </c>
      <c r="T29" s="603">
        <v>227424</v>
      </c>
      <c r="U29" s="603">
        <v>2350435</v>
      </c>
      <c r="V29" s="603">
        <v>433775</v>
      </c>
      <c r="W29" s="603">
        <v>46067895</v>
      </c>
      <c r="X29" s="603">
        <v>3408660</v>
      </c>
      <c r="Y29" s="603">
        <v>528809</v>
      </c>
      <c r="Z29" s="603">
        <v>2430789</v>
      </c>
      <c r="AA29" s="603">
        <v>4332738</v>
      </c>
      <c r="AB29" s="603">
        <v>1889004</v>
      </c>
      <c r="AC29" s="603">
        <v>1761213</v>
      </c>
      <c r="AD29" s="603">
        <v>399397</v>
      </c>
      <c r="AE29" s="603">
        <v>10403590</v>
      </c>
      <c r="AF29" s="603">
        <v>1296725</v>
      </c>
      <c r="AG29" s="603">
        <v>696384</v>
      </c>
      <c r="AH29" s="603">
        <v>23379733</v>
      </c>
      <c r="AI29" s="603">
        <v>36185840</v>
      </c>
      <c r="AJ29" s="603">
        <v>8535181</v>
      </c>
      <c r="AK29" s="603">
        <v>296891</v>
      </c>
      <c r="AL29" s="603">
        <v>8084454</v>
      </c>
      <c r="AM29" s="603">
        <v>737911</v>
      </c>
      <c r="AN29" s="603">
        <v>117156</v>
      </c>
      <c r="AO29" s="603">
        <v>13033571</v>
      </c>
      <c r="AP29" s="603">
        <v>2053163</v>
      </c>
      <c r="AQ29" s="603">
        <v>2580504</v>
      </c>
      <c r="AR29" s="603">
        <v>1302228</v>
      </c>
      <c r="AS29" s="603">
        <v>771391</v>
      </c>
      <c r="AT29" s="603">
        <v>546045</v>
      </c>
      <c r="AU29" s="603">
        <v>218270</v>
      </c>
      <c r="AV29" s="603">
        <v>136526</v>
      </c>
      <c r="AW29" s="603">
        <v>5501383</v>
      </c>
      <c r="AX29" s="603">
        <v>0</v>
      </c>
      <c r="AY29" s="603">
        <v>18186</v>
      </c>
      <c r="AZ29" s="603">
        <v>42601</v>
      </c>
      <c r="BA29" s="603">
        <v>1775653</v>
      </c>
      <c r="BB29" s="603">
        <v>2686384</v>
      </c>
    </row>
    <row r="30" spans="1:54" x14ac:dyDescent="0.25">
      <c r="A30">
        <v>85</v>
      </c>
      <c r="B30">
        <v>85</v>
      </c>
      <c r="C30">
        <v>85</v>
      </c>
      <c r="D30" t="s">
        <v>309</v>
      </c>
      <c r="E30" t="s">
        <v>404</v>
      </c>
      <c r="F30" s="673">
        <v>2187045</v>
      </c>
      <c r="G30" s="673">
        <v>2120508</v>
      </c>
      <c r="H30" s="673">
        <v>4493118</v>
      </c>
      <c r="I30" s="673">
        <v>7652163</v>
      </c>
      <c r="J30" s="673">
        <v>26708189</v>
      </c>
      <c r="K30" s="673">
        <v>18268877</v>
      </c>
      <c r="L30" s="673">
        <v>73790239</v>
      </c>
      <c r="M30" s="673">
        <v>7160519</v>
      </c>
      <c r="N30" s="603">
        <v>0</v>
      </c>
      <c r="O30" s="603">
        <v>2165793</v>
      </c>
      <c r="P30" s="603">
        <v>3039413</v>
      </c>
      <c r="Q30" s="603">
        <v>376894</v>
      </c>
      <c r="R30" s="603">
        <v>78520234</v>
      </c>
      <c r="S30" s="603">
        <v>782841</v>
      </c>
      <c r="T30" s="603">
        <v>283953</v>
      </c>
      <c r="U30" s="603">
        <v>2011566</v>
      </c>
      <c r="V30" s="603">
        <v>413670</v>
      </c>
      <c r="W30" s="603">
        <v>38318120</v>
      </c>
      <c r="X30" s="603">
        <v>2703953</v>
      </c>
      <c r="Y30" s="603">
        <v>344059</v>
      </c>
      <c r="Z30" s="603">
        <v>2303704</v>
      </c>
      <c r="AA30" s="603">
        <v>4945370</v>
      </c>
      <c r="AB30" s="603">
        <v>1781355</v>
      </c>
      <c r="AC30" s="603">
        <v>2046662</v>
      </c>
      <c r="AD30" s="603">
        <v>407724</v>
      </c>
      <c r="AE30" s="603">
        <v>7160665</v>
      </c>
      <c r="AF30" s="603">
        <v>857208</v>
      </c>
      <c r="AG30" s="603">
        <v>900026</v>
      </c>
      <c r="AH30" s="603">
        <v>22053666</v>
      </c>
      <c r="AI30" s="603">
        <v>32511570</v>
      </c>
      <c r="AJ30" s="603">
        <v>7414815</v>
      </c>
      <c r="AK30" s="603">
        <v>415600</v>
      </c>
      <c r="AL30" s="603">
        <v>7556787</v>
      </c>
      <c r="AM30" s="603">
        <v>617993</v>
      </c>
      <c r="AN30" s="603">
        <v>291089</v>
      </c>
      <c r="AO30" s="603">
        <v>7430611</v>
      </c>
      <c r="AP30" s="603">
        <v>1760345</v>
      </c>
      <c r="AQ30" s="603">
        <v>2381190</v>
      </c>
      <c r="AR30" s="603">
        <v>1246505</v>
      </c>
      <c r="AS30" s="603">
        <v>856748</v>
      </c>
      <c r="AT30" s="603">
        <v>383612</v>
      </c>
      <c r="AU30" s="603">
        <v>197998</v>
      </c>
      <c r="AV30" s="603">
        <v>250047</v>
      </c>
      <c r="AW30" s="603">
        <v>5121523</v>
      </c>
      <c r="AX30" s="603">
        <v>55622</v>
      </c>
      <c r="AY30" s="603">
        <v>11301</v>
      </c>
      <c r="AZ30" s="603">
        <v>40675</v>
      </c>
      <c r="BA30" s="603">
        <v>2027282</v>
      </c>
      <c r="BB30" s="603">
        <v>2328850</v>
      </c>
    </row>
    <row r="31" spans="1:54" x14ac:dyDescent="0.25">
      <c r="A31">
        <v>88</v>
      </c>
      <c r="B31">
        <v>88</v>
      </c>
      <c r="C31">
        <v>88</v>
      </c>
      <c r="D31" t="s">
        <v>306</v>
      </c>
      <c r="E31" t="s">
        <v>405</v>
      </c>
      <c r="F31" s="673">
        <v>1721338</v>
      </c>
      <c r="G31" s="673">
        <v>2410684</v>
      </c>
      <c r="H31" s="673">
        <v>6756017</v>
      </c>
      <c r="I31" s="673">
        <v>6862282</v>
      </c>
      <c r="J31" s="673">
        <v>37393609</v>
      </c>
      <c r="K31" s="673">
        <v>17769181</v>
      </c>
      <c r="L31" s="673">
        <v>77413386</v>
      </c>
      <c r="M31" s="673">
        <v>7299804</v>
      </c>
      <c r="N31" s="603">
        <v>0</v>
      </c>
      <c r="O31" s="603">
        <v>2355544</v>
      </c>
      <c r="P31" s="603">
        <v>2953678</v>
      </c>
      <c r="Q31" s="603">
        <v>219447</v>
      </c>
      <c r="R31" s="603">
        <v>89293997</v>
      </c>
      <c r="S31" s="603">
        <v>926779</v>
      </c>
      <c r="T31" s="603">
        <v>227424</v>
      </c>
      <c r="U31" s="603">
        <v>2176205</v>
      </c>
      <c r="V31" s="603">
        <v>309526</v>
      </c>
      <c r="W31" s="603">
        <v>45831964</v>
      </c>
      <c r="X31" s="603">
        <v>3200590</v>
      </c>
      <c r="Y31" s="603">
        <v>383411</v>
      </c>
      <c r="Z31" s="603">
        <v>2363312</v>
      </c>
      <c r="AA31" s="603">
        <v>4331051</v>
      </c>
      <c r="AB31" s="603">
        <v>1855817</v>
      </c>
      <c r="AC31" s="603">
        <v>1761213</v>
      </c>
      <c r="AD31" s="603">
        <v>399397</v>
      </c>
      <c r="AE31" s="603">
        <v>10282000</v>
      </c>
      <c r="AF31" s="603">
        <v>1164180</v>
      </c>
      <c r="AG31" s="603">
        <v>662966</v>
      </c>
      <c r="AH31" s="603">
        <v>22079011</v>
      </c>
      <c r="AI31" s="603">
        <v>34724293</v>
      </c>
      <c r="AJ31" s="603">
        <v>8328510</v>
      </c>
      <c r="AK31" s="603">
        <v>296891</v>
      </c>
      <c r="AL31" s="603">
        <v>7747409</v>
      </c>
      <c r="AM31" s="603">
        <v>702643</v>
      </c>
      <c r="AN31" s="603">
        <v>116656</v>
      </c>
      <c r="AO31" s="603">
        <v>10628977</v>
      </c>
      <c r="AP31" s="603">
        <v>1679071</v>
      </c>
      <c r="AQ31" s="603">
        <v>2507172</v>
      </c>
      <c r="AR31" s="603">
        <v>1298573</v>
      </c>
      <c r="AS31" s="603">
        <v>708760</v>
      </c>
      <c r="AT31" s="603">
        <v>546045</v>
      </c>
      <c r="AU31" s="603">
        <v>218270</v>
      </c>
      <c r="AV31" s="603">
        <v>136526</v>
      </c>
      <c r="AW31" s="603">
        <v>4221339</v>
      </c>
      <c r="AX31" s="603">
        <v>0</v>
      </c>
      <c r="AY31" s="603">
        <v>0</v>
      </c>
      <c r="AZ31" s="603">
        <v>39501</v>
      </c>
      <c r="BA31" s="603">
        <v>1466131</v>
      </c>
      <c r="BB31" s="603">
        <v>2593969</v>
      </c>
    </row>
    <row r="32" spans="1:54" x14ac:dyDescent="0.25">
      <c r="A32">
        <v>89</v>
      </c>
      <c r="B32">
        <v>89</v>
      </c>
      <c r="C32">
        <v>89</v>
      </c>
      <c r="D32" t="s">
        <v>310</v>
      </c>
      <c r="E32" t="s">
        <v>406</v>
      </c>
      <c r="F32" s="673">
        <v>110196</v>
      </c>
      <c r="G32" s="673">
        <v>70205</v>
      </c>
      <c r="H32" s="673">
        <v>534911</v>
      </c>
      <c r="I32" s="673">
        <v>106423</v>
      </c>
      <c r="J32" s="673">
        <v>3399735</v>
      </c>
      <c r="K32" s="673">
        <v>279179</v>
      </c>
      <c r="L32" s="673">
        <v>8660674</v>
      </c>
      <c r="M32" s="673">
        <v>23767</v>
      </c>
      <c r="N32" s="603">
        <v>0</v>
      </c>
      <c r="O32" s="603">
        <v>431689</v>
      </c>
      <c r="P32" s="603">
        <v>128537</v>
      </c>
      <c r="Q32" s="603">
        <v>0</v>
      </c>
      <c r="R32" s="603">
        <v>8996408</v>
      </c>
      <c r="S32" s="603">
        <v>74950</v>
      </c>
      <c r="T32" s="603">
        <v>95189</v>
      </c>
      <c r="U32" s="603">
        <v>0</v>
      </c>
      <c r="V32" s="603">
        <v>0</v>
      </c>
      <c r="W32" s="603">
        <v>2482980</v>
      </c>
      <c r="X32" s="603">
        <v>26240</v>
      </c>
      <c r="Y32" s="603">
        <v>16504</v>
      </c>
      <c r="Z32" s="603">
        <v>23754</v>
      </c>
      <c r="AA32" s="603">
        <v>420396</v>
      </c>
      <c r="AB32" s="603">
        <v>56386</v>
      </c>
      <c r="AC32" s="603">
        <v>499473</v>
      </c>
      <c r="AD32" s="603">
        <v>0</v>
      </c>
      <c r="AE32" s="603">
        <v>2756244</v>
      </c>
      <c r="AF32" s="603">
        <v>12409</v>
      </c>
      <c r="AG32" s="603">
        <v>87394</v>
      </c>
      <c r="AH32" s="603">
        <v>1930355</v>
      </c>
      <c r="AI32" s="603">
        <v>2161022</v>
      </c>
      <c r="AJ32" s="603">
        <v>461452</v>
      </c>
      <c r="AK32" s="603">
        <v>1724</v>
      </c>
      <c r="AL32" s="603">
        <v>55856</v>
      </c>
      <c r="AM32" s="603">
        <v>77143</v>
      </c>
      <c r="AN32" s="603">
        <v>0</v>
      </c>
      <c r="AO32" s="603">
        <v>1030698</v>
      </c>
      <c r="AP32" s="603">
        <v>214198</v>
      </c>
      <c r="AQ32" s="603">
        <v>109674</v>
      </c>
      <c r="AR32" s="603">
        <v>0</v>
      </c>
      <c r="AS32" s="603">
        <v>15742</v>
      </c>
      <c r="AT32" s="603">
        <v>246037</v>
      </c>
      <c r="AU32" s="603">
        <v>0</v>
      </c>
      <c r="AV32" s="603">
        <v>0</v>
      </c>
      <c r="AW32" s="603">
        <v>424333</v>
      </c>
      <c r="AX32" s="603">
        <v>0</v>
      </c>
      <c r="AY32" s="603">
        <v>5233</v>
      </c>
      <c r="AZ32" s="603">
        <v>0</v>
      </c>
      <c r="BA32" s="603">
        <v>852</v>
      </c>
      <c r="BB32" s="603">
        <v>69475</v>
      </c>
    </row>
    <row r="33" spans="1:54" x14ac:dyDescent="0.25">
      <c r="A33">
        <v>90</v>
      </c>
      <c r="B33">
        <v>90</v>
      </c>
      <c r="C33">
        <v>90</v>
      </c>
      <c r="D33" t="s">
        <v>303</v>
      </c>
      <c r="E33" t="s">
        <v>407</v>
      </c>
      <c r="F33" s="673">
        <v>0</v>
      </c>
      <c r="G33" s="673">
        <v>0</v>
      </c>
      <c r="H33" s="673">
        <v>0</v>
      </c>
      <c r="I33" s="673">
        <v>0</v>
      </c>
      <c r="J33" s="673">
        <v>0</v>
      </c>
      <c r="K33" s="673">
        <v>0</v>
      </c>
      <c r="L33" s="673">
        <v>0</v>
      </c>
      <c r="M33" s="673">
        <v>0</v>
      </c>
      <c r="N33" s="603">
        <v>0</v>
      </c>
      <c r="O33" s="603">
        <v>0</v>
      </c>
      <c r="P33" s="603">
        <v>0</v>
      </c>
      <c r="Q33" s="603">
        <v>0</v>
      </c>
      <c r="R33" s="603">
        <v>89300986</v>
      </c>
      <c r="S33" s="603">
        <v>0</v>
      </c>
      <c r="T33" s="603">
        <v>0</v>
      </c>
      <c r="U33" s="603">
        <v>0</v>
      </c>
      <c r="V33" s="603">
        <v>0</v>
      </c>
      <c r="W33" s="603">
        <v>45279821</v>
      </c>
      <c r="X33" s="603">
        <v>0</v>
      </c>
      <c r="Y33" s="603">
        <v>0</v>
      </c>
      <c r="Z33" s="603">
        <v>0</v>
      </c>
      <c r="AA33" s="603">
        <v>0</v>
      </c>
      <c r="AB33" s="603">
        <v>0</v>
      </c>
      <c r="AC33" s="603">
        <v>0</v>
      </c>
      <c r="AD33" s="603">
        <v>0</v>
      </c>
      <c r="AE33" s="603">
        <v>0</v>
      </c>
      <c r="AF33" s="603">
        <v>0</v>
      </c>
      <c r="AG33" s="603">
        <v>0</v>
      </c>
      <c r="AH33" s="603">
        <v>0</v>
      </c>
      <c r="AI33" s="603">
        <v>0</v>
      </c>
      <c r="AJ33" s="603">
        <v>0</v>
      </c>
      <c r="AK33" s="603">
        <v>0</v>
      </c>
      <c r="AL33" s="603">
        <v>0</v>
      </c>
      <c r="AM33" s="603">
        <v>0</v>
      </c>
      <c r="AN33" s="603">
        <v>0</v>
      </c>
      <c r="AO33" s="603">
        <v>0</v>
      </c>
      <c r="AP33" s="603">
        <v>0</v>
      </c>
      <c r="AQ33" s="603">
        <v>0</v>
      </c>
      <c r="AR33" s="603">
        <v>0</v>
      </c>
      <c r="AS33" s="603">
        <v>0</v>
      </c>
      <c r="AT33" s="603">
        <v>0</v>
      </c>
      <c r="AU33" s="603">
        <v>0</v>
      </c>
      <c r="AV33" s="603">
        <v>0</v>
      </c>
      <c r="AW33" s="603">
        <v>0</v>
      </c>
      <c r="AX33" s="603">
        <v>0</v>
      </c>
      <c r="AY33" s="603">
        <v>0</v>
      </c>
      <c r="AZ33" s="603">
        <v>0</v>
      </c>
      <c r="BA33" s="603">
        <v>0</v>
      </c>
      <c r="BB33" s="603">
        <v>0</v>
      </c>
    </row>
    <row r="34" spans="1:54" x14ac:dyDescent="0.25">
      <c r="A34">
        <v>91</v>
      </c>
      <c r="B34">
        <v>91</v>
      </c>
      <c r="C34">
        <v>91</v>
      </c>
      <c r="D34" t="s">
        <v>304</v>
      </c>
      <c r="E34" t="s">
        <v>408</v>
      </c>
      <c r="F34" s="673">
        <v>0</v>
      </c>
      <c r="G34" s="673">
        <v>0</v>
      </c>
      <c r="H34" s="673">
        <v>0</v>
      </c>
      <c r="I34" s="673">
        <v>0</v>
      </c>
      <c r="J34" s="673">
        <v>0</v>
      </c>
      <c r="K34" s="673">
        <v>0</v>
      </c>
      <c r="L34" s="673">
        <v>0</v>
      </c>
      <c r="M34" s="673">
        <v>0</v>
      </c>
      <c r="N34" s="603">
        <v>0</v>
      </c>
      <c r="O34" s="603">
        <v>0</v>
      </c>
      <c r="P34" s="603">
        <v>0</v>
      </c>
      <c r="Q34" s="603">
        <v>0</v>
      </c>
      <c r="R34" s="603">
        <v>32947597</v>
      </c>
      <c r="S34" s="603">
        <v>0</v>
      </c>
      <c r="T34" s="603">
        <v>0</v>
      </c>
      <c r="U34" s="603">
        <v>0</v>
      </c>
      <c r="V34" s="603">
        <v>0</v>
      </c>
      <c r="W34" s="603">
        <v>19311496</v>
      </c>
      <c r="X34" s="603">
        <v>0</v>
      </c>
      <c r="Y34" s="603">
        <v>0</v>
      </c>
      <c r="Z34" s="603">
        <v>0</v>
      </c>
      <c r="AA34" s="603">
        <v>0</v>
      </c>
      <c r="AB34" s="603">
        <v>0</v>
      </c>
      <c r="AC34" s="603">
        <v>0</v>
      </c>
      <c r="AD34" s="603">
        <v>0</v>
      </c>
      <c r="AE34" s="603">
        <v>0</v>
      </c>
      <c r="AF34" s="603">
        <v>0</v>
      </c>
      <c r="AG34" s="603">
        <v>0</v>
      </c>
      <c r="AH34" s="603">
        <v>0</v>
      </c>
      <c r="AI34" s="603">
        <v>0</v>
      </c>
      <c r="AJ34" s="603">
        <v>0</v>
      </c>
      <c r="AK34" s="603">
        <v>0</v>
      </c>
      <c r="AL34" s="603">
        <v>0</v>
      </c>
      <c r="AM34" s="603">
        <v>0</v>
      </c>
      <c r="AN34" s="603">
        <v>0</v>
      </c>
      <c r="AO34" s="603">
        <v>0</v>
      </c>
      <c r="AP34" s="603">
        <v>0</v>
      </c>
      <c r="AQ34" s="603">
        <v>0</v>
      </c>
      <c r="AR34" s="603">
        <v>0</v>
      </c>
      <c r="AS34" s="603">
        <v>0</v>
      </c>
      <c r="AT34" s="603">
        <v>0</v>
      </c>
      <c r="AU34" s="603">
        <v>0</v>
      </c>
      <c r="AV34" s="603">
        <v>0</v>
      </c>
      <c r="AW34" s="603">
        <v>0</v>
      </c>
      <c r="AX34" s="603">
        <v>0</v>
      </c>
      <c r="AY34" s="603">
        <v>0</v>
      </c>
      <c r="AZ34" s="603">
        <v>0</v>
      </c>
      <c r="BA34" s="603">
        <v>0</v>
      </c>
      <c r="BB34" s="603">
        <v>0</v>
      </c>
    </row>
    <row r="35" spans="1:54" x14ac:dyDescent="0.25">
      <c r="A35">
        <v>93</v>
      </c>
      <c r="B35">
        <v>93</v>
      </c>
      <c r="C35">
        <v>93</v>
      </c>
      <c r="D35" t="s">
        <v>317</v>
      </c>
      <c r="E35" t="s">
        <v>409</v>
      </c>
      <c r="F35" s="673">
        <v>0</v>
      </c>
      <c r="G35" s="673">
        <v>0</v>
      </c>
      <c r="H35" s="673">
        <v>0</v>
      </c>
      <c r="I35" s="673">
        <v>0</v>
      </c>
      <c r="J35" s="673">
        <v>0</v>
      </c>
      <c r="K35" s="673">
        <v>0</v>
      </c>
      <c r="L35" s="673">
        <v>0</v>
      </c>
      <c r="M35" s="673">
        <v>0</v>
      </c>
      <c r="N35" s="603">
        <v>0</v>
      </c>
      <c r="O35" s="603">
        <v>0</v>
      </c>
      <c r="P35" s="603">
        <v>0</v>
      </c>
      <c r="Q35" s="603">
        <v>0</v>
      </c>
      <c r="R35" s="603">
        <v>239785118</v>
      </c>
      <c r="S35" s="603">
        <v>0</v>
      </c>
      <c r="T35" s="603">
        <v>0</v>
      </c>
      <c r="U35" s="603">
        <v>0</v>
      </c>
      <c r="V35" s="603">
        <v>0</v>
      </c>
      <c r="W35" s="603">
        <v>177933616</v>
      </c>
      <c r="X35" s="603">
        <v>0</v>
      </c>
      <c r="Y35" s="603">
        <v>0</v>
      </c>
      <c r="Z35" s="603">
        <v>0</v>
      </c>
      <c r="AA35" s="603">
        <v>0</v>
      </c>
      <c r="AB35" s="603">
        <v>0</v>
      </c>
      <c r="AC35" s="603">
        <v>0</v>
      </c>
      <c r="AD35" s="603">
        <v>0</v>
      </c>
      <c r="AE35" s="603">
        <v>0</v>
      </c>
      <c r="AF35" s="603">
        <v>0</v>
      </c>
      <c r="AG35" s="603">
        <v>0</v>
      </c>
      <c r="AH35" s="603">
        <v>0</v>
      </c>
      <c r="AI35" s="603">
        <v>0</v>
      </c>
      <c r="AJ35" s="603">
        <v>0</v>
      </c>
      <c r="AK35" s="603">
        <v>0</v>
      </c>
      <c r="AL35" s="603">
        <v>0</v>
      </c>
      <c r="AM35" s="603">
        <v>0</v>
      </c>
      <c r="AN35" s="603">
        <v>0</v>
      </c>
      <c r="AO35" s="603">
        <v>0</v>
      </c>
      <c r="AP35" s="603">
        <v>0</v>
      </c>
      <c r="AQ35" s="603">
        <v>0</v>
      </c>
      <c r="AR35" s="603">
        <v>0</v>
      </c>
      <c r="AS35" s="603">
        <v>0</v>
      </c>
      <c r="AT35" s="603">
        <v>0</v>
      </c>
      <c r="AU35" s="603">
        <v>0</v>
      </c>
      <c r="AV35" s="603">
        <v>0</v>
      </c>
      <c r="AW35" s="603">
        <v>0</v>
      </c>
      <c r="AX35" s="603">
        <v>0</v>
      </c>
      <c r="AY35" s="603">
        <v>0</v>
      </c>
      <c r="AZ35" s="603">
        <v>0</v>
      </c>
      <c r="BA35" s="603">
        <v>0</v>
      </c>
      <c r="BB35" s="603">
        <v>0</v>
      </c>
    </row>
    <row r="36" spans="1:54" x14ac:dyDescent="0.25">
      <c r="A36">
        <v>94</v>
      </c>
      <c r="B36">
        <v>94</v>
      </c>
      <c r="C36">
        <v>94</v>
      </c>
      <c r="D36" t="s">
        <v>320</v>
      </c>
      <c r="E36" t="s">
        <v>410</v>
      </c>
      <c r="F36" s="673">
        <v>0</v>
      </c>
      <c r="G36" s="673">
        <v>0</v>
      </c>
      <c r="H36" s="673">
        <v>0</v>
      </c>
      <c r="I36" s="673">
        <v>0</v>
      </c>
      <c r="J36" s="673">
        <v>0</v>
      </c>
      <c r="K36" s="673">
        <v>0</v>
      </c>
      <c r="L36" s="673">
        <v>0</v>
      </c>
      <c r="M36" s="673">
        <v>0</v>
      </c>
      <c r="N36" s="603">
        <v>0</v>
      </c>
      <c r="O36" s="603">
        <v>0</v>
      </c>
      <c r="P36" s="603">
        <v>0</v>
      </c>
      <c r="Q36" s="603">
        <v>0</v>
      </c>
      <c r="R36" s="603">
        <v>217912005</v>
      </c>
      <c r="S36" s="603">
        <v>0</v>
      </c>
      <c r="T36" s="603">
        <v>0</v>
      </c>
      <c r="U36" s="603">
        <v>0</v>
      </c>
      <c r="V36" s="603">
        <v>0</v>
      </c>
      <c r="W36" s="603">
        <v>166786416</v>
      </c>
      <c r="X36" s="603">
        <v>0</v>
      </c>
      <c r="Y36" s="603">
        <v>0</v>
      </c>
      <c r="Z36" s="603">
        <v>0</v>
      </c>
      <c r="AA36" s="603">
        <v>0</v>
      </c>
      <c r="AB36" s="603">
        <v>0</v>
      </c>
      <c r="AC36" s="603">
        <v>0</v>
      </c>
      <c r="AD36" s="603">
        <v>0</v>
      </c>
      <c r="AE36" s="603">
        <v>0</v>
      </c>
      <c r="AF36" s="603">
        <v>0</v>
      </c>
      <c r="AG36" s="603">
        <v>0</v>
      </c>
      <c r="AH36" s="603">
        <v>0</v>
      </c>
      <c r="AI36" s="603">
        <v>0</v>
      </c>
      <c r="AJ36" s="603">
        <v>0</v>
      </c>
      <c r="AK36" s="603">
        <v>0</v>
      </c>
      <c r="AL36" s="603">
        <v>0</v>
      </c>
      <c r="AM36" s="603">
        <v>0</v>
      </c>
      <c r="AN36" s="603">
        <v>0</v>
      </c>
      <c r="AO36" s="603">
        <v>0</v>
      </c>
      <c r="AP36" s="603">
        <v>0</v>
      </c>
      <c r="AQ36" s="603">
        <v>0</v>
      </c>
      <c r="AR36" s="603">
        <v>0</v>
      </c>
      <c r="AS36" s="603">
        <v>0</v>
      </c>
      <c r="AT36" s="603">
        <v>0</v>
      </c>
      <c r="AU36" s="603">
        <v>0</v>
      </c>
      <c r="AV36" s="603">
        <v>0</v>
      </c>
      <c r="AW36" s="603">
        <v>0</v>
      </c>
      <c r="AX36" s="603">
        <v>0</v>
      </c>
      <c r="AY36" s="603">
        <v>0</v>
      </c>
      <c r="AZ36" s="603">
        <v>0</v>
      </c>
      <c r="BA36" s="603">
        <v>0</v>
      </c>
      <c r="BB36" s="603">
        <v>0</v>
      </c>
    </row>
    <row r="37" spans="1:54" x14ac:dyDescent="0.25">
      <c r="A37">
        <v>97</v>
      </c>
      <c r="B37">
        <v>97</v>
      </c>
      <c r="C37">
        <v>97</v>
      </c>
      <c r="D37" t="s">
        <v>316</v>
      </c>
      <c r="E37" t="s">
        <v>411</v>
      </c>
      <c r="F37" s="673">
        <v>0</v>
      </c>
      <c r="G37" s="673">
        <v>0</v>
      </c>
      <c r="H37" s="673">
        <v>0</v>
      </c>
      <c r="I37" s="673">
        <v>0</v>
      </c>
      <c r="J37" s="673">
        <v>0</v>
      </c>
      <c r="K37" s="673">
        <v>0</v>
      </c>
      <c r="L37" s="673">
        <v>0</v>
      </c>
      <c r="M37" s="673">
        <v>0</v>
      </c>
      <c r="N37" s="603">
        <v>0</v>
      </c>
      <c r="O37" s="603">
        <v>0</v>
      </c>
      <c r="P37" s="603">
        <v>0</v>
      </c>
      <c r="Q37" s="603">
        <v>0</v>
      </c>
      <c r="R37" s="603">
        <v>200899188</v>
      </c>
      <c r="S37" s="603">
        <v>0</v>
      </c>
      <c r="T37" s="603">
        <v>0</v>
      </c>
      <c r="U37" s="603">
        <v>0</v>
      </c>
      <c r="V37" s="603">
        <v>0</v>
      </c>
      <c r="W37" s="603">
        <v>177242177</v>
      </c>
      <c r="X37" s="603">
        <v>0</v>
      </c>
      <c r="Y37" s="603">
        <v>0</v>
      </c>
      <c r="Z37" s="603">
        <v>0</v>
      </c>
      <c r="AA37" s="603">
        <v>0</v>
      </c>
      <c r="AB37" s="603">
        <v>0</v>
      </c>
      <c r="AC37" s="603">
        <v>0</v>
      </c>
      <c r="AD37" s="603">
        <v>0</v>
      </c>
      <c r="AE37" s="603">
        <v>0</v>
      </c>
      <c r="AF37" s="603">
        <v>0</v>
      </c>
      <c r="AG37" s="603">
        <v>0</v>
      </c>
      <c r="AH37" s="603">
        <v>0</v>
      </c>
      <c r="AI37" s="603">
        <v>0</v>
      </c>
      <c r="AJ37" s="603">
        <v>0</v>
      </c>
      <c r="AK37" s="603">
        <v>0</v>
      </c>
      <c r="AL37" s="603">
        <v>0</v>
      </c>
      <c r="AM37" s="603">
        <v>0</v>
      </c>
      <c r="AN37" s="603">
        <v>0</v>
      </c>
      <c r="AO37" s="603">
        <v>0</v>
      </c>
      <c r="AP37" s="603">
        <v>0</v>
      </c>
      <c r="AQ37" s="603">
        <v>0</v>
      </c>
      <c r="AR37" s="603">
        <v>0</v>
      </c>
      <c r="AS37" s="603">
        <v>0</v>
      </c>
      <c r="AT37" s="603">
        <v>0</v>
      </c>
      <c r="AU37" s="603">
        <v>0</v>
      </c>
      <c r="AV37" s="603">
        <v>0</v>
      </c>
      <c r="AW37" s="603">
        <v>0</v>
      </c>
      <c r="AX37" s="603">
        <v>0</v>
      </c>
      <c r="AY37" s="603">
        <v>0</v>
      </c>
      <c r="AZ37" s="603">
        <v>0</v>
      </c>
      <c r="BA37" s="603">
        <v>0</v>
      </c>
      <c r="BB37" s="603">
        <v>0</v>
      </c>
    </row>
    <row r="38" spans="1:54" x14ac:dyDescent="0.25">
      <c r="A38">
        <v>98</v>
      </c>
      <c r="B38">
        <v>98</v>
      </c>
      <c r="C38">
        <v>98</v>
      </c>
      <c r="D38" t="s">
        <v>321</v>
      </c>
      <c r="E38" t="s">
        <v>412</v>
      </c>
      <c r="F38" s="673">
        <v>0</v>
      </c>
      <c r="G38" s="673">
        <v>0</v>
      </c>
      <c r="H38" s="673">
        <v>0</v>
      </c>
      <c r="I38" s="673">
        <v>0</v>
      </c>
      <c r="J38" s="673">
        <v>0</v>
      </c>
      <c r="K38" s="673">
        <v>0</v>
      </c>
      <c r="L38" s="673">
        <v>0</v>
      </c>
      <c r="M38" s="673">
        <v>0</v>
      </c>
      <c r="N38" s="603">
        <v>0</v>
      </c>
      <c r="O38" s="603">
        <v>0</v>
      </c>
      <c r="P38" s="603">
        <v>0</v>
      </c>
      <c r="Q38" s="603">
        <v>0</v>
      </c>
      <c r="R38" s="603">
        <v>741756</v>
      </c>
      <c r="S38" s="603">
        <v>0</v>
      </c>
      <c r="T38" s="603">
        <v>0</v>
      </c>
      <c r="U38" s="603">
        <v>0</v>
      </c>
      <c r="V38" s="603">
        <v>0</v>
      </c>
      <c r="W38" s="603">
        <v>1762061</v>
      </c>
      <c r="X38" s="603">
        <v>0</v>
      </c>
      <c r="Y38" s="603">
        <v>0</v>
      </c>
      <c r="Z38" s="603">
        <v>0</v>
      </c>
      <c r="AA38" s="603">
        <v>0</v>
      </c>
      <c r="AB38" s="603">
        <v>0</v>
      </c>
      <c r="AC38" s="603">
        <v>0</v>
      </c>
      <c r="AD38" s="603">
        <v>0</v>
      </c>
      <c r="AE38" s="603">
        <v>0</v>
      </c>
      <c r="AF38" s="603">
        <v>0</v>
      </c>
      <c r="AG38" s="603">
        <v>0</v>
      </c>
      <c r="AH38" s="603">
        <v>0</v>
      </c>
      <c r="AI38" s="603">
        <v>0</v>
      </c>
      <c r="AJ38" s="603">
        <v>0</v>
      </c>
      <c r="AK38" s="603">
        <v>0</v>
      </c>
      <c r="AL38" s="603">
        <v>0</v>
      </c>
      <c r="AM38" s="603">
        <v>0</v>
      </c>
      <c r="AN38" s="603">
        <v>0</v>
      </c>
      <c r="AO38" s="603">
        <v>0</v>
      </c>
      <c r="AP38" s="603">
        <v>0</v>
      </c>
      <c r="AQ38" s="603">
        <v>0</v>
      </c>
      <c r="AR38" s="603">
        <v>0</v>
      </c>
      <c r="AS38" s="603">
        <v>0</v>
      </c>
      <c r="AT38" s="603">
        <v>0</v>
      </c>
      <c r="AU38" s="603">
        <v>0</v>
      </c>
      <c r="AV38" s="603">
        <v>0</v>
      </c>
      <c r="AW38" s="603">
        <v>0</v>
      </c>
      <c r="AX38" s="603">
        <v>0</v>
      </c>
      <c r="AY38" s="603">
        <v>0</v>
      </c>
      <c r="AZ38" s="603">
        <v>0</v>
      </c>
      <c r="BA38" s="603">
        <v>0</v>
      </c>
      <c r="BB38" s="603">
        <v>0</v>
      </c>
    </row>
    <row r="39" spans="1:54" x14ac:dyDescent="0.25">
      <c r="A39">
        <v>99</v>
      </c>
      <c r="B39">
        <v>99</v>
      </c>
      <c r="C39">
        <v>99</v>
      </c>
      <c r="D39" t="s">
        <v>318</v>
      </c>
      <c r="E39" t="s">
        <v>413</v>
      </c>
      <c r="F39" s="673">
        <v>0</v>
      </c>
      <c r="G39" s="673">
        <v>0</v>
      </c>
      <c r="H39" s="673">
        <v>0</v>
      </c>
      <c r="I39" s="673">
        <v>0</v>
      </c>
      <c r="J39" s="673">
        <v>0</v>
      </c>
      <c r="K39" s="673">
        <v>0</v>
      </c>
      <c r="L39" s="673">
        <v>0</v>
      </c>
      <c r="M39" s="673">
        <v>0</v>
      </c>
      <c r="N39" s="603">
        <v>0</v>
      </c>
      <c r="O39" s="603">
        <v>0</v>
      </c>
      <c r="P39" s="603">
        <v>0</v>
      </c>
      <c r="Q39" s="603">
        <v>0</v>
      </c>
      <c r="R39" s="603">
        <v>163256607</v>
      </c>
      <c r="S39" s="603">
        <v>0</v>
      </c>
      <c r="T39" s="603">
        <v>0</v>
      </c>
      <c r="U39" s="603">
        <v>0</v>
      </c>
      <c r="V39" s="603">
        <v>0</v>
      </c>
      <c r="W39" s="603">
        <v>129516409</v>
      </c>
      <c r="X39" s="603">
        <v>0</v>
      </c>
      <c r="Y39" s="603">
        <v>0</v>
      </c>
      <c r="Z39" s="603">
        <v>0</v>
      </c>
      <c r="AA39" s="603">
        <v>0</v>
      </c>
      <c r="AB39" s="603">
        <v>0</v>
      </c>
      <c r="AC39" s="603">
        <v>0</v>
      </c>
      <c r="AD39" s="603">
        <v>0</v>
      </c>
      <c r="AE39" s="603">
        <v>0</v>
      </c>
      <c r="AF39" s="603">
        <v>0</v>
      </c>
      <c r="AG39" s="603">
        <v>0</v>
      </c>
      <c r="AH39" s="603">
        <v>0</v>
      </c>
      <c r="AI39" s="603">
        <v>0</v>
      </c>
      <c r="AJ39" s="603">
        <v>0</v>
      </c>
      <c r="AK39" s="603">
        <v>0</v>
      </c>
      <c r="AL39" s="603">
        <v>0</v>
      </c>
      <c r="AM39" s="603">
        <v>0</v>
      </c>
      <c r="AN39" s="603">
        <v>0</v>
      </c>
      <c r="AO39" s="603">
        <v>0</v>
      </c>
      <c r="AP39" s="603">
        <v>0</v>
      </c>
      <c r="AQ39" s="603">
        <v>0</v>
      </c>
      <c r="AR39" s="603">
        <v>0</v>
      </c>
      <c r="AS39" s="603">
        <v>0</v>
      </c>
      <c r="AT39" s="603">
        <v>0</v>
      </c>
      <c r="AU39" s="603">
        <v>0</v>
      </c>
      <c r="AV39" s="603">
        <v>0</v>
      </c>
      <c r="AW39" s="603">
        <v>0</v>
      </c>
      <c r="AX39" s="603">
        <v>0</v>
      </c>
      <c r="AY39" s="603">
        <v>0</v>
      </c>
      <c r="AZ39" s="603">
        <v>0</v>
      </c>
      <c r="BA39" s="603">
        <v>0</v>
      </c>
      <c r="BB39" s="603">
        <v>0</v>
      </c>
    </row>
    <row r="40" spans="1:54" x14ac:dyDescent="0.25">
      <c r="A40">
        <v>100</v>
      </c>
      <c r="B40">
        <v>100</v>
      </c>
      <c r="C40">
        <v>100</v>
      </c>
      <c r="D40" t="s">
        <v>331</v>
      </c>
      <c r="E40" t="s">
        <v>414</v>
      </c>
      <c r="F40" s="673">
        <v>0</v>
      </c>
      <c r="G40" s="673">
        <v>0</v>
      </c>
      <c r="H40" s="673">
        <v>0</v>
      </c>
      <c r="I40" s="673">
        <v>0</v>
      </c>
      <c r="J40" s="673">
        <v>0</v>
      </c>
      <c r="K40" s="673">
        <v>0</v>
      </c>
      <c r="L40" s="673">
        <v>0</v>
      </c>
      <c r="M40" s="673">
        <v>0</v>
      </c>
      <c r="N40" s="603">
        <v>0</v>
      </c>
      <c r="O40" s="603">
        <v>0</v>
      </c>
      <c r="P40" s="603">
        <v>0</v>
      </c>
      <c r="Q40" s="603">
        <v>0</v>
      </c>
      <c r="R40" s="603">
        <v>9240073</v>
      </c>
      <c r="S40" s="603">
        <v>0</v>
      </c>
      <c r="T40" s="603">
        <v>0</v>
      </c>
      <c r="U40" s="603">
        <v>0</v>
      </c>
      <c r="V40" s="603">
        <v>0</v>
      </c>
      <c r="W40" s="603">
        <v>2202361</v>
      </c>
      <c r="X40" s="603">
        <v>0</v>
      </c>
      <c r="Y40" s="603">
        <v>0</v>
      </c>
      <c r="Z40" s="603">
        <v>0</v>
      </c>
      <c r="AA40" s="603">
        <v>0</v>
      </c>
      <c r="AB40" s="603">
        <v>0</v>
      </c>
      <c r="AC40" s="603">
        <v>0</v>
      </c>
      <c r="AD40" s="603">
        <v>0</v>
      </c>
      <c r="AE40" s="603">
        <v>0</v>
      </c>
      <c r="AF40" s="603">
        <v>0</v>
      </c>
      <c r="AG40" s="603">
        <v>0</v>
      </c>
      <c r="AH40" s="603">
        <v>0</v>
      </c>
      <c r="AI40" s="603">
        <v>0</v>
      </c>
      <c r="AJ40" s="603">
        <v>0</v>
      </c>
      <c r="AK40" s="603">
        <v>0</v>
      </c>
      <c r="AL40" s="603">
        <v>0</v>
      </c>
      <c r="AM40" s="603">
        <v>0</v>
      </c>
      <c r="AN40" s="603">
        <v>0</v>
      </c>
      <c r="AO40" s="603">
        <v>0</v>
      </c>
      <c r="AP40" s="603">
        <v>0</v>
      </c>
      <c r="AQ40" s="603">
        <v>0</v>
      </c>
      <c r="AR40" s="603">
        <v>0</v>
      </c>
      <c r="AS40" s="603">
        <v>0</v>
      </c>
      <c r="AT40" s="603">
        <v>0</v>
      </c>
      <c r="AU40" s="603">
        <v>0</v>
      </c>
      <c r="AV40" s="603">
        <v>0</v>
      </c>
      <c r="AW40" s="603">
        <v>0</v>
      </c>
      <c r="AX40" s="603">
        <v>0</v>
      </c>
      <c r="AY40" s="603">
        <v>0</v>
      </c>
      <c r="AZ40" s="603">
        <v>0</v>
      </c>
      <c r="BA40" s="603">
        <v>0</v>
      </c>
      <c r="BB40" s="603">
        <v>0</v>
      </c>
    </row>
    <row r="41" spans="1:54" x14ac:dyDescent="0.25">
      <c r="A41">
        <v>101</v>
      </c>
      <c r="B41">
        <v>101</v>
      </c>
      <c r="C41">
        <v>101</v>
      </c>
      <c r="D41" t="s">
        <v>330</v>
      </c>
      <c r="E41" t="s">
        <v>415</v>
      </c>
      <c r="F41" s="673">
        <v>0</v>
      </c>
      <c r="G41" s="673">
        <v>0</v>
      </c>
      <c r="H41" s="673">
        <v>0</v>
      </c>
      <c r="I41" s="673">
        <v>0</v>
      </c>
      <c r="J41" s="673">
        <v>0</v>
      </c>
      <c r="K41" s="673">
        <v>0</v>
      </c>
      <c r="L41" s="673">
        <v>0</v>
      </c>
      <c r="M41" s="673">
        <v>0</v>
      </c>
      <c r="N41" s="603">
        <v>0</v>
      </c>
      <c r="O41" s="603">
        <v>0</v>
      </c>
      <c r="P41" s="603">
        <v>0</v>
      </c>
      <c r="Q41" s="603">
        <v>0</v>
      </c>
      <c r="R41" s="603">
        <v>32235974</v>
      </c>
      <c r="S41" s="603">
        <v>0</v>
      </c>
      <c r="T41" s="603">
        <v>0</v>
      </c>
      <c r="U41" s="603">
        <v>0</v>
      </c>
      <c r="V41" s="603">
        <v>0</v>
      </c>
      <c r="W41" s="603">
        <v>14241548</v>
      </c>
      <c r="X41" s="603">
        <v>0</v>
      </c>
      <c r="Y41" s="603">
        <v>0</v>
      </c>
      <c r="Z41" s="603">
        <v>0</v>
      </c>
      <c r="AA41" s="603">
        <v>0</v>
      </c>
      <c r="AB41" s="603">
        <v>0</v>
      </c>
      <c r="AC41" s="603">
        <v>0</v>
      </c>
      <c r="AD41" s="603">
        <v>0</v>
      </c>
      <c r="AE41" s="603">
        <v>0</v>
      </c>
      <c r="AF41" s="603">
        <v>0</v>
      </c>
      <c r="AG41" s="603">
        <v>0</v>
      </c>
      <c r="AH41" s="603">
        <v>0</v>
      </c>
      <c r="AI41" s="603">
        <v>0</v>
      </c>
      <c r="AJ41" s="603">
        <v>0</v>
      </c>
      <c r="AK41" s="603">
        <v>0</v>
      </c>
      <c r="AL41" s="603">
        <v>0</v>
      </c>
      <c r="AM41" s="603">
        <v>0</v>
      </c>
      <c r="AN41" s="603">
        <v>0</v>
      </c>
      <c r="AO41" s="603">
        <v>0</v>
      </c>
      <c r="AP41" s="603">
        <v>0</v>
      </c>
      <c r="AQ41" s="603">
        <v>0</v>
      </c>
      <c r="AR41" s="603">
        <v>0</v>
      </c>
      <c r="AS41" s="603">
        <v>0</v>
      </c>
      <c r="AT41" s="603">
        <v>0</v>
      </c>
      <c r="AU41" s="603">
        <v>0</v>
      </c>
      <c r="AV41" s="603">
        <v>0</v>
      </c>
      <c r="AW41" s="603">
        <v>0</v>
      </c>
      <c r="AX41" s="603">
        <v>0</v>
      </c>
      <c r="AY41" s="603">
        <v>0</v>
      </c>
      <c r="AZ41" s="603">
        <v>0</v>
      </c>
      <c r="BA41" s="603">
        <v>0</v>
      </c>
      <c r="BB41" s="603">
        <v>0</v>
      </c>
    </row>
    <row r="42" spans="1:54" x14ac:dyDescent="0.25">
      <c r="A42">
        <v>102</v>
      </c>
      <c r="B42">
        <v>102</v>
      </c>
      <c r="C42">
        <v>102</v>
      </c>
      <c r="D42" t="s">
        <v>350</v>
      </c>
      <c r="E42" t="s">
        <v>416</v>
      </c>
      <c r="F42" s="673">
        <v>0</v>
      </c>
      <c r="G42" s="673">
        <v>0</v>
      </c>
      <c r="H42" s="673">
        <v>0</v>
      </c>
      <c r="I42" s="673">
        <v>0</v>
      </c>
      <c r="J42" s="673">
        <v>0</v>
      </c>
      <c r="K42" s="673">
        <v>0</v>
      </c>
      <c r="L42" s="673">
        <v>0</v>
      </c>
      <c r="M42" s="673">
        <v>97.52</v>
      </c>
      <c r="N42" s="603">
        <v>0</v>
      </c>
      <c r="O42" s="603">
        <v>0</v>
      </c>
      <c r="P42" s="603">
        <v>0</v>
      </c>
      <c r="Q42" s="603">
        <v>0</v>
      </c>
      <c r="R42" s="603">
        <v>0</v>
      </c>
      <c r="S42" s="603">
        <v>0</v>
      </c>
      <c r="T42" s="603">
        <v>0</v>
      </c>
      <c r="U42" s="603">
        <v>0</v>
      </c>
      <c r="V42" s="603">
        <v>0</v>
      </c>
      <c r="W42" s="603">
        <v>0</v>
      </c>
      <c r="X42" s="603">
        <v>0</v>
      </c>
      <c r="Y42" s="603">
        <v>0</v>
      </c>
      <c r="Z42" s="603">
        <v>98.7</v>
      </c>
      <c r="AA42" s="603">
        <v>0</v>
      </c>
      <c r="AB42" s="603">
        <v>0</v>
      </c>
      <c r="AC42" s="603">
        <v>0</v>
      </c>
      <c r="AD42" s="603">
        <v>0</v>
      </c>
      <c r="AE42" s="603">
        <v>0</v>
      </c>
      <c r="AF42" s="603">
        <v>0</v>
      </c>
      <c r="AG42" s="603">
        <v>0</v>
      </c>
      <c r="AH42" s="603">
        <v>0</v>
      </c>
      <c r="AI42" s="603">
        <v>0</v>
      </c>
      <c r="AJ42" s="603">
        <v>0</v>
      </c>
      <c r="AK42" s="603">
        <v>99.88</v>
      </c>
      <c r="AL42" s="603">
        <v>0</v>
      </c>
      <c r="AM42" s="603">
        <v>0</v>
      </c>
      <c r="AN42" s="603">
        <v>99.66</v>
      </c>
      <c r="AO42" s="603">
        <v>0</v>
      </c>
      <c r="AP42" s="603">
        <v>0</v>
      </c>
      <c r="AQ42" s="603">
        <v>0</v>
      </c>
      <c r="AR42" s="603">
        <v>0</v>
      </c>
      <c r="AS42" s="603">
        <v>0</v>
      </c>
      <c r="AT42" s="603">
        <v>0</v>
      </c>
      <c r="AU42" s="603">
        <v>0</v>
      </c>
      <c r="AV42" s="603">
        <v>0</v>
      </c>
      <c r="AW42" s="603">
        <v>0</v>
      </c>
      <c r="AX42" s="603">
        <v>0</v>
      </c>
      <c r="AY42" s="603">
        <v>100</v>
      </c>
      <c r="AZ42" s="603">
        <v>0</v>
      </c>
      <c r="BA42" s="603">
        <v>0</v>
      </c>
      <c r="BB42" s="603">
        <v>0</v>
      </c>
    </row>
    <row r="43" spans="1:54" x14ac:dyDescent="0.25">
      <c r="A43">
        <v>103</v>
      </c>
      <c r="B43">
        <v>103</v>
      </c>
      <c r="C43">
        <v>103</v>
      </c>
      <c r="D43" t="s">
        <v>351</v>
      </c>
      <c r="E43" t="s">
        <v>417</v>
      </c>
      <c r="F43" s="673">
        <v>0</v>
      </c>
      <c r="G43" s="673">
        <v>0</v>
      </c>
      <c r="H43" s="673">
        <v>0</v>
      </c>
      <c r="I43" s="673">
        <v>0</v>
      </c>
      <c r="J43" s="673">
        <v>0</v>
      </c>
      <c r="K43" s="673">
        <v>0</v>
      </c>
      <c r="L43" s="673">
        <v>0</v>
      </c>
      <c r="M43" s="673">
        <v>98.95</v>
      </c>
      <c r="N43" s="603">
        <v>0</v>
      </c>
      <c r="O43" s="603">
        <v>0</v>
      </c>
      <c r="P43" s="603">
        <v>0</v>
      </c>
      <c r="Q43" s="603">
        <v>0</v>
      </c>
      <c r="R43" s="603">
        <v>0</v>
      </c>
      <c r="S43" s="603">
        <v>0</v>
      </c>
      <c r="T43" s="603">
        <v>0</v>
      </c>
      <c r="U43" s="603">
        <v>0</v>
      </c>
      <c r="V43" s="603">
        <v>0</v>
      </c>
      <c r="W43" s="603">
        <v>0</v>
      </c>
      <c r="X43" s="603">
        <v>0</v>
      </c>
      <c r="Y43" s="603">
        <v>0</v>
      </c>
      <c r="Z43" s="603">
        <v>100</v>
      </c>
      <c r="AA43" s="603">
        <v>0</v>
      </c>
      <c r="AB43" s="603">
        <v>0</v>
      </c>
      <c r="AC43" s="603">
        <v>0</v>
      </c>
      <c r="AD43" s="603">
        <v>0</v>
      </c>
      <c r="AE43" s="603">
        <v>0</v>
      </c>
      <c r="AF43" s="603">
        <v>0</v>
      </c>
      <c r="AG43" s="603">
        <v>0</v>
      </c>
      <c r="AH43" s="603">
        <v>0</v>
      </c>
      <c r="AI43" s="603">
        <v>0</v>
      </c>
      <c r="AJ43" s="603">
        <v>0</v>
      </c>
      <c r="AK43" s="603">
        <v>100</v>
      </c>
      <c r="AL43" s="603">
        <v>0</v>
      </c>
      <c r="AM43" s="603">
        <v>0</v>
      </c>
      <c r="AN43" s="603">
        <v>100</v>
      </c>
      <c r="AO43" s="603">
        <v>0</v>
      </c>
      <c r="AP43" s="603">
        <v>0</v>
      </c>
      <c r="AQ43" s="603">
        <v>0</v>
      </c>
      <c r="AR43" s="603">
        <v>0</v>
      </c>
      <c r="AS43" s="603">
        <v>0</v>
      </c>
      <c r="AT43" s="603">
        <v>0</v>
      </c>
      <c r="AU43" s="603">
        <v>0</v>
      </c>
      <c r="AV43" s="603">
        <v>0</v>
      </c>
      <c r="AW43" s="603">
        <v>0</v>
      </c>
      <c r="AX43" s="603">
        <v>0</v>
      </c>
      <c r="AY43" s="603">
        <v>100</v>
      </c>
      <c r="AZ43" s="603">
        <v>0</v>
      </c>
      <c r="BA43" s="603">
        <v>0</v>
      </c>
      <c r="BB43" s="603">
        <v>0</v>
      </c>
    </row>
    <row r="44" spans="1:54" x14ac:dyDescent="0.25">
      <c r="C44">
        <v>171</v>
      </c>
      <c r="D44" t="s">
        <v>297</v>
      </c>
      <c r="E44" t="s">
        <v>418</v>
      </c>
      <c r="F44" s="673">
        <v>0</v>
      </c>
      <c r="G44" s="673">
        <v>0</v>
      </c>
      <c r="H44" s="673">
        <v>0</v>
      </c>
      <c r="I44" s="673">
        <v>0</v>
      </c>
      <c r="J44" s="673">
        <v>0</v>
      </c>
      <c r="K44" s="673">
        <v>0</v>
      </c>
      <c r="L44" s="673">
        <v>0</v>
      </c>
      <c r="M44" s="673">
        <v>0</v>
      </c>
      <c r="N44" s="603">
        <v>0</v>
      </c>
      <c r="O44" s="603">
        <v>0</v>
      </c>
      <c r="P44" s="603">
        <v>0</v>
      </c>
      <c r="Q44" s="603">
        <v>0</v>
      </c>
      <c r="R44" s="603">
        <v>0</v>
      </c>
      <c r="S44" s="603">
        <v>0</v>
      </c>
      <c r="T44" s="603">
        <v>0</v>
      </c>
      <c r="U44" s="603">
        <v>0</v>
      </c>
      <c r="V44" s="603">
        <v>0</v>
      </c>
      <c r="W44" s="603">
        <v>0</v>
      </c>
      <c r="X44" s="603">
        <v>0</v>
      </c>
      <c r="Y44" s="603">
        <v>0</v>
      </c>
      <c r="Z44" s="603">
        <v>0</v>
      </c>
      <c r="AA44" s="603">
        <v>0</v>
      </c>
      <c r="AB44" s="603">
        <v>0</v>
      </c>
      <c r="AC44" s="603">
        <v>0</v>
      </c>
      <c r="AD44" s="603">
        <v>0</v>
      </c>
      <c r="AE44" s="603">
        <v>0</v>
      </c>
      <c r="AF44" s="603">
        <v>0</v>
      </c>
      <c r="AG44" s="603">
        <v>0</v>
      </c>
      <c r="AH44" s="603">
        <v>0</v>
      </c>
      <c r="AI44" s="603">
        <v>0</v>
      </c>
      <c r="AJ44" s="603">
        <v>0</v>
      </c>
      <c r="AK44" s="603">
        <v>0</v>
      </c>
      <c r="AL44" s="603">
        <v>0</v>
      </c>
      <c r="AM44" s="603">
        <v>0</v>
      </c>
      <c r="AN44" s="603">
        <v>0</v>
      </c>
      <c r="AO44" s="603">
        <v>0</v>
      </c>
      <c r="AP44" s="603">
        <v>0</v>
      </c>
      <c r="AQ44" s="603">
        <v>0</v>
      </c>
      <c r="AR44" s="603">
        <v>0</v>
      </c>
      <c r="AS44" s="603">
        <v>0</v>
      </c>
      <c r="AT44" s="603">
        <v>0</v>
      </c>
      <c r="AU44" s="603">
        <v>0</v>
      </c>
      <c r="AV44" s="603">
        <v>0</v>
      </c>
      <c r="AW44" s="603">
        <v>0</v>
      </c>
      <c r="AX44" s="603">
        <v>0</v>
      </c>
      <c r="AY44" s="603">
        <v>0</v>
      </c>
      <c r="AZ44" s="603">
        <v>0</v>
      </c>
      <c r="BA44" s="603">
        <v>0</v>
      </c>
      <c r="BB44" s="603">
        <v>0</v>
      </c>
    </row>
    <row r="45" spans="1:54" x14ac:dyDescent="0.25">
      <c r="A45">
        <v>191</v>
      </c>
      <c r="B45">
        <v>191</v>
      </c>
      <c r="C45">
        <v>191</v>
      </c>
      <c r="D45" t="s">
        <v>313</v>
      </c>
      <c r="E45" t="s">
        <v>419</v>
      </c>
      <c r="F45" s="673">
        <v>0</v>
      </c>
      <c r="G45" s="673">
        <v>819535</v>
      </c>
      <c r="H45" s="673">
        <v>0</v>
      </c>
      <c r="I45" s="673">
        <v>1824289</v>
      </c>
      <c r="J45" s="673">
        <v>4354071</v>
      </c>
      <c r="K45" s="673">
        <v>5043924</v>
      </c>
      <c r="L45" s="673">
        <v>11762442</v>
      </c>
      <c r="M45" s="673">
        <v>0</v>
      </c>
      <c r="N45" s="603">
        <v>0</v>
      </c>
      <c r="O45" s="603">
        <v>97573</v>
      </c>
      <c r="P45" s="603">
        <v>461425</v>
      </c>
      <c r="Q45" s="603">
        <v>0</v>
      </c>
      <c r="R45" s="603">
        <v>15264018</v>
      </c>
      <c r="S45" s="603">
        <v>0</v>
      </c>
      <c r="T45" s="603">
        <v>0</v>
      </c>
      <c r="U45" s="603">
        <v>831236</v>
      </c>
      <c r="V45" s="603">
        <v>0</v>
      </c>
      <c r="W45" s="603">
        <v>1827521</v>
      </c>
      <c r="X45" s="603">
        <v>965672</v>
      </c>
      <c r="Y45" s="603">
        <v>0</v>
      </c>
      <c r="Z45" s="603">
        <v>0</v>
      </c>
      <c r="AA45" s="603">
        <v>30000</v>
      </c>
      <c r="AB45" s="603">
        <v>0</v>
      </c>
      <c r="AC45" s="603">
        <v>0</v>
      </c>
      <c r="AD45" s="603">
        <v>0</v>
      </c>
      <c r="AE45" s="603">
        <v>0</v>
      </c>
      <c r="AF45" s="603">
        <v>115419</v>
      </c>
      <c r="AG45" s="603">
        <v>0</v>
      </c>
      <c r="AH45" s="603">
        <v>2526945</v>
      </c>
      <c r="AI45" s="603">
        <v>4035076</v>
      </c>
      <c r="AJ45" s="603">
        <v>0</v>
      </c>
      <c r="AK45" s="603">
        <v>0</v>
      </c>
      <c r="AL45" s="603">
        <v>0</v>
      </c>
      <c r="AM45" s="603">
        <v>7465</v>
      </c>
      <c r="AN45" s="603">
        <v>0</v>
      </c>
      <c r="AO45" s="603">
        <v>534620</v>
      </c>
      <c r="AP45" s="603">
        <v>0</v>
      </c>
      <c r="AQ45" s="603">
        <v>144674</v>
      </c>
      <c r="AR45" s="603">
        <v>0</v>
      </c>
      <c r="AS45" s="603">
        <v>282084</v>
      </c>
      <c r="AT45" s="603">
        <v>0</v>
      </c>
      <c r="AU45" s="603">
        <v>0</v>
      </c>
      <c r="AV45" s="603">
        <v>0</v>
      </c>
      <c r="AW45" s="603">
        <v>12192</v>
      </c>
      <c r="AX45" s="603">
        <v>0</v>
      </c>
      <c r="AY45" s="603">
        <v>0</v>
      </c>
      <c r="AZ45" s="603">
        <v>0</v>
      </c>
      <c r="BA45" s="603">
        <v>188740</v>
      </c>
      <c r="BB45" s="603">
        <v>242179</v>
      </c>
    </row>
    <row r="46" spans="1:54" x14ac:dyDescent="0.25">
      <c r="A46">
        <v>192</v>
      </c>
      <c r="B46">
        <v>192</v>
      </c>
      <c r="C46">
        <v>192</v>
      </c>
      <c r="D46" t="s">
        <v>324</v>
      </c>
      <c r="E46" t="s">
        <v>420</v>
      </c>
      <c r="F46" s="673">
        <v>0</v>
      </c>
      <c r="G46" s="673">
        <v>0</v>
      </c>
      <c r="H46" s="673">
        <v>0</v>
      </c>
      <c r="I46" s="673">
        <v>0</v>
      </c>
      <c r="J46" s="673">
        <v>0</v>
      </c>
      <c r="K46" s="673">
        <v>0</v>
      </c>
      <c r="L46" s="673">
        <v>0</v>
      </c>
      <c r="M46" s="673">
        <v>0</v>
      </c>
      <c r="N46" s="603">
        <v>0</v>
      </c>
      <c r="O46" s="603">
        <v>0</v>
      </c>
      <c r="P46" s="603">
        <v>0</v>
      </c>
      <c r="Q46" s="603">
        <v>0</v>
      </c>
      <c r="R46" s="603">
        <v>6174985</v>
      </c>
      <c r="S46" s="603">
        <v>0</v>
      </c>
      <c r="T46" s="603">
        <v>0</v>
      </c>
      <c r="U46" s="603">
        <v>0</v>
      </c>
      <c r="V46" s="603">
        <v>0</v>
      </c>
      <c r="W46" s="603">
        <v>0</v>
      </c>
      <c r="X46" s="603">
        <v>0</v>
      </c>
      <c r="Y46" s="603">
        <v>0</v>
      </c>
      <c r="Z46" s="603">
        <v>0</v>
      </c>
      <c r="AA46" s="603">
        <v>0</v>
      </c>
      <c r="AB46" s="603">
        <v>0</v>
      </c>
      <c r="AC46" s="603">
        <v>0</v>
      </c>
      <c r="AD46" s="603">
        <v>0</v>
      </c>
      <c r="AE46" s="603">
        <v>0</v>
      </c>
      <c r="AF46" s="603">
        <v>0</v>
      </c>
      <c r="AG46" s="603">
        <v>0</v>
      </c>
      <c r="AH46" s="603">
        <v>0</v>
      </c>
      <c r="AI46" s="603">
        <v>0</v>
      </c>
      <c r="AJ46" s="603">
        <v>0</v>
      </c>
      <c r="AK46" s="603">
        <v>0</v>
      </c>
      <c r="AL46" s="603">
        <v>0</v>
      </c>
      <c r="AM46" s="603">
        <v>0</v>
      </c>
      <c r="AN46" s="603">
        <v>0</v>
      </c>
      <c r="AO46" s="603">
        <v>0</v>
      </c>
      <c r="AP46" s="603">
        <v>0</v>
      </c>
      <c r="AQ46" s="603">
        <v>0</v>
      </c>
      <c r="AR46" s="603">
        <v>0</v>
      </c>
      <c r="AS46" s="603">
        <v>0</v>
      </c>
      <c r="AT46" s="603">
        <v>0</v>
      </c>
      <c r="AU46" s="603">
        <v>0</v>
      </c>
      <c r="AV46" s="603">
        <v>0</v>
      </c>
      <c r="AW46" s="603">
        <v>0</v>
      </c>
      <c r="AX46" s="603">
        <v>0</v>
      </c>
      <c r="AY46" s="603">
        <v>0</v>
      </c>
      <c r="AZ46" s="603">
        <v>0</v>
      </c>
      <c r="BA46" s="603">
        <v>0</v>
      </c>
      <c r="BB46" s="603">
        <v>0</v>
      </c>
    </row>
    <row r="47" spans="1:54" x14ac:dyDescent="0.25">
      <c r="A47">
        <v>252</v>
      </c>
      <c r="B47">
        <v>252</v>
      </c>
      <c r="C47">
        <v>252</v>
      </c>
      <c r="D47" t="s">
        <v>126</v>
      </c>
      <c r="E47" t="s">
        <v>421</v>
      </c>
      <c r="F47" s="673">
        <v>0</v>
      </c>
      <c r="G47" s="673">
        <v>0</v>
      </c>
      <c r="H47" s="673">
        <v>0</v>
      </c>
      <c r="I47" s="673">
        <v>0</v>
      </c>
      <c r="J47" s="673">
        <v>0</v>
      </c>
      <c r="K47" s="673">
        <v>0</v>
      </c>
      <c r="L47" s="673">
        <v>0</v>
      </c>
      <c r="M47" s="673">
        <v>0</v>
      </c>
      <c r="N47" s="603">
        <v>0</v>
      </c>
      <c r="O47" s="603">
        <v>0</v>
      </c>
      <c r="P47" s="603">
        <v>0</v>
      </c>
      <c r="Q47" s="603">
        <v>0</v>
      </c>
      <c r="R47" s="603">
        <v>0</v>
      </c>
      <c r="S47" s="603">
        <v>0</v>
      </c>
      <c r="T47" s="603">
        <v>0</v>
      </c>
      <c r="U47" s="603">
        <v>0</v>
      </c>
      <c r="V47" s="603">
        <v>0</v>
      </c>
      <c r="W47" s="603">
        <v>0</v>
      </c>
      <c r="X47" s="603">
        <v>0</v>
      </c>
      <c r="Y47" s="603">
        <v>0</v>
      </c>
      <c r="Z47" s="603">
        <v>0</v>
      </c>
      <c r="AA47" s="603">
        <v>0</v>
      </c>
      <c r="AB47" s="603">
        <v>0</v>
      </c>
      <c r="AC47" s="603">
        <v>0</v>
      </c>
      <c r="AD47" s="603">
        <v>0</v>
      </c>
      <c r="AE47" s="603">
        <v>0</v>
      </c>
      <c r="AF47" s="603">
        <v>0</v>
      </c>
      <c r="AG47" s="603">
        <v>0</v>
      </c>
      <c r="AH47" s="603">
        <v>0</v>
      </c>
      <c r="AI47" s="603">
        <v>0</v>
      </c>
      <c r="AJ47" s="603">
        <v>0</v>
      </c>
      <c r="AK47" s="603">
        <v>6652</v>
      </c>
      <c r="AL47" s="603">
        <v>0</v>
      </c>
      <c r="AM47" s="603">
        <v>0</v>
      </c>
      <c r="AN47" s="603">
        <v>0</v>
      </c>
      <c r="AO47" s="603">
        <v>0</v>
      </c>
      <c r="AP47" s="603">
        <v>0</v>
      </c>
      <c r="AQ47" s="603">
        <v>0</v>
      </c>
      <c r="AR47" s="603">
        <v>0</v>
      </c>
      <c r="AS47" s="603">
        <v>0</v>
      </c>
      <c r="AT47" s="603">
        <v>0</v>
      </c>
      <c r="AU47" s="603">
        <v>0</v>
      </c>
      <c r="AV47" s="603">
        <v>0</v>
      </c>
      <c r="AW47" s="603">
        <v>0</v>
      </c>
      <c r="AX47" s="603">
        <v>0</v>
      </c>
      <c r="AY47" s="603">
        <v>0</v>
      </c>
      <c r="AZ47" s="603">
        <v>0</v>
      </c>
      <c r="BA47" s="603">
        <v>0</v>
      </c>
      <c r="BB47" s="603">
        <v>0</v>
      </c>
    </row>
    <row r="48" spans="1:54" x14ac:dyDescent="0.25">
      <c r="A48">
        <v>253</v>
      </c>
      <c r="B48">
        <v>253</v>
      </c>
      <c r="C48">
        <v>253</v>
      </c>
      <c r="D48" t="s">
        <v>127</v>
      </c>
      <c r="E48" t="s">
        <v>422</v>
      </c>
      <c r="F48" s="673">
        <v>0</v>
      </c>
      <c r="G48" s="673">
        <v>0</v>
      </c>
      <c r="H48" s="673">
        <v>0</v>
      </c>
      <c r="I48" s="673">
        <v>0</v>
      </c>
      <c r="J48" s="673">
        <v>0</v>
      </c>
      <c r="K48" s="673">
        <v>0</v>
      </c>
      <c r="L48" s="673">
        <v>0</v>
      </c>
      <c r="M48" s="673">
        <v>0</v>
      </c>
      <c r="N48" s="603">
        <v>0</v>
      </c>
      <c r="O48" s="603">
        <v>0</v>
      </c>
      <c r="P48" s="603">
        <v>0</v>
      </c>
      <c r="Q48" s="603">
        <v>0</v>
      </c>
      <c r="R48" s="603">
        <v>0</v>
      </c>
      <c r="S48" s="603">
        <v>0</v>
      </c>
      <c r="T48" s="603">
        <v>0</v>
      </c>
      <c r="U48" s="603">
        <v>0</v>
      </c>
      <c r="V48" s="603">
        <v>0</v>
      </c>
      <c r="W48" s="603">
        <v>0</v>
      </c>
      <c r="X48" s="603">
        <v>0</v>
      </c>
      <c r="Y48" s="603">
        <v>0</v>
      </c>
      <c r="Z48" s="603">
        <v>0</v>
      </c>
      <c r="AA48" s="603">
        <v>0</v>
      </c>
      <c r="AB48" s="603">
        <v>0</v>
      </c>
      <c r="AC48" s="603">
        <v>0</v>
      </c>
      <c r="AD48" s="603">
        <v>0</v>
      </c>
      <c r="AE48" s="603">
        <v>0</v>
      </c>
      <c r="AF48" s="603">
        <v>0</v>
      </c>
      <c r="AG48" s="603">
        <v>0</v>
      </c>
      <c r="AH48" s="603">
        <v>0</v>
      </c>
      <c r="AI48" s="603">
        <v>0</v>
      </c>
      <c r="AJ48" s="603">
        <v>0</v>
      </c>
      <c r="AK48" s="603">
        <v>0</v>
      </c>
      <c r="AL48" s="603">
        <v>0</v>
      </c>
      <c r="AM48" s="603">
        <v>0</v>
      </c>
      <c r="AN48" s="603">
        <v>0</v>
      </c>
      <c r="AO48" s="603">
        <v>0</v>
      </c>
      <c r="AP48" s="603">
        <v>0</v>
      </c>
      <c r="AQ48" s="603">
        <v>0</v>
      </c>
      <c r="AR48" s="603">
        <v>0</v>
      </c>
      <c r="AS48" s="603">
        <v>0</v>
      </c>
      <c r="AT48" s="603">
        <v>0</v>
      </c>
      <c r="AU48" s="603">
        <v>0</v>
      </c>
      <c r="AV48" s="603">
        <v>0</v>
      </c>
      <c r="AW48" s="603">
        <v>0</v>
      </c>
      <c r="AX48" s="603">
        <v>0</v>
      </c>
      <c r="AY48" s="603">
        <v>0</v>
      </c>
      <c r="AZ48" s="603">
        <v>0</v>
      </c>
      <c r="BA48" s="603">
        <v>0</v>
      </c>
      <c r="BB48" s="603">
        <v>0</v>
      </c>
    </row>
    <row r="49" spans="1:54" x14ac:dyDescent="0.25">
      <c r="A49">
        <v>254</v>
      </c>
      <c r="B49">
        <v>254</v>
      </c>
      <c r="C49">
        <v>254</v>
      </c>
      <c r="D49" t="s">
        <v>128</v>
      </c>
      <c r="E49" t="s">
        <v>423</v>
      </c>
      <c r="F49" s="673">
        <v>0</v>
      </c>
      <c r="G49" s="673">
        <v>0</v>
      </c>
      <c r="H49" s="673">
        <v>0</v>
      </c>
      <c r="I49" s="673">
        <v>0</v>
      </c>
      <c r="J49" s="673">
        <v>0</v>
      </c>
      <c r="K49" s="673">
        <v>0</v>
      </c>
      <c r="L49" s="673">
        <v>0</v>
      </c>
      <c r="M49" s="673">
        <v>0</v>
      </c>
      <c r="N49" s="603">
        <v>0</v>
      </c>
      <c r="O49" s="603">
        <v>0</v>
      </c>
      <c r="P49" s="603">
        <v>0</v>
      </c>
      <c r="Q49" s="603">
        <v>0</v>
      </c>
      <c r="R49" s="603">
        <v>0</v>
      </c>
      <c r="S49" s="603">
        <v>0</v>
      </c>
      <c r="T49" s="603">
        <v>0</v>
      </c>
      <c r="U49" s="603">
        <v>0</v>
      </c>
      <c r="V49" s="603">
        <v>0</v>
      </c>
      <c r="W49" s="603">
        <v>0</v>
      </c>
      <c r="X49" s="603">
        <v>0</v>
      </c>
      <c r="Y49" s="603">
        <v>0</v>
      </c>
      <c r="Z49" s="603">
        <v>0</v>
      </c>
      <c r="AA49" s="603">
        <v>0</v>
      </c>
      <c r="AB49" s="603">
        <v>0</v>
      </c>
      <c r="AC49" s="603">
        <v>0</v>
      </c>
      <c r="AD49" s="603">
        <v>0</v>
      </c>
      <c r="AE49" s="603">
        <v>0</v>
      </c>
      <c r="AF49" s="603">
        <v>0</v>
      </c>
      <c r="AG49" s="603">
        <v>0</v>
      </c>
      <c r="AH49" s="603">
        <v>0</v>
      </c>
      <c r="AI49" s="603">
        <v>0</v>
      </c>
      <c r="AJ49" s="603">
        <v>0</v>
      </c>
      <c r="AK49" s="603">
        <v>519538</v>
      </c>
      <c r="AL49" s="603">
        <v>0</v>
      </c>
      <c r="AM49" s="603">
        <v>0</v>
      </c>
      <c r="AN49" s="603">
        <v>0</v>
      </c>
      <c r="AO49" s="603">
        <v>0</v>
      </c>
      <c r="AP49" s="603">
        <v>0</v>
      </c>
      <c r="AQ49" s="603">
        <v>0</v>
      </c>
      <c r="AR49" s="603">
        <v>0</v>
      </c>
      <c r="AS49" s="603">
        <v>0</v>
      </c>
      <c r="AT49" s="603">
        <v>0</v>
      </c>
      <c r="AU49" s="603">
        <v>0</v>
      </c>
      <c r="AV49" s="603">
        <v>0</v>
      </c>
      <c r="AW49" s="603">
        <v>0</v>
      </c>
      <c r="AX49" s="603">
        <v>0</v>
      </c>
      <c r="AY49" s="603">
        <v>0</v>
      </c>
      <c r="AZ49" s="603">
        <v>0</v>
      </c>
      <c r="BA49" s="603">
        <v>0</v>
      </c>
      <c r="BB49" s="603">
        <v>0</v>
      </c>
    </row>
    <row r="50" spans="1:54" x14ac:dyDescent="0.25">
      <c r="A50">
        <v>255</v>
      </c>
      <c r="B50">
        <v>255</v>
      </c>
      <c r="C50">
        <v>255</v>
      </c>
      <c r="D50" t="s">
        <v>277</v>
      </c>
      <c r="E50" t="s">
        <v>424</v>
      </c>
      <c r="F50" s="673">
        <v>0</v>
      </c>
      <c r="G50" s="673">
        <v>0</v>
      </c>
      <c r="H50" s="673">
        <v>0</v>
      </c>
      <c r="I50" s="673">
        <v>0</v>
      </c>
      <c r="J50" s="673">
        <v>0</v>
      </c>
      <c r="K50" s="673">
        <v>0</v>
      </c>
      <c r="L50" s="673">
        <v>0</v>
      </c>
      <c r="M50" s="673">
        <v>0</v>
      </c>
      <c r="N50" s="603">
        <v>0</v>
      </c>
      <c r="O50" s="603">
        <v>0</v>
      </c>
      <c r="P50" s="603">
        <v>0</v>
      </c>
      <c r="Q50" s="603">
        <v>0</v>
      </c>
      <c r="R50" s="603">
        <v>0</v>
      </c>
      <c r="S50" s="603">
        <v>0</v>
      </c>
      <c r="T50" s="603">
        <v>0</v>
      </c>
      <c r="U50" s="603">
        <v>0</v>
      </c>
      <c r="V50" s="603">
        <v>0</v>
      </c>
      <c r="W50" s="603">
        <v>0</v>
      </c>
      <c r="X50" s="603">
        <v>0</v>
      </c>
      <c r="Y50" s="603">
        <v>0</v>
      </c>
      <c r="Z50" s="603">
        <v>0</v>
      </c>
      <c r="AA50" s="603">
        <v>0</v>
      </c>
      <c r="AB50" s="603">
        <v>0</v>
      </c>
      <c r="AC50" s="603">
        <v>0</v>
      </c>
      <c r="AD50" s="603">
        <v>0</v>
      </c>
      <c r="AE50" s="603">
        <v>0</v>
      </c>
      <c r="AF50" s="603">
        <v>0</v>
      </c>
      <c r="AG50" s="603">
        <v>0</v>
      </c>
      <c r="AH50" s="603">
        <v>0</v>
      </c>
      <c r="AI50" s="603">
        <v>0</v>
      </c>
      <c r="AJ50" s="603">
        <v>0</v>
      </c>
      <c r="AK50" s="603">
        <v>4825</v>
      </c>
      <c r="AL50" s="603">
        <v>0</v>
      </c>
      <c r="AM50" s="603">
        <v>0</v>
      </c>
      <c r="AN50" s="603">
        <v>0</v>
      </c>
      <c r="AO50" s="603">
        <v>0</v>
      </c>
      <c r="AP50" s="603">
        <v>0</v>
      </c>
      <c r="AQ50" s="603">
        <v>0</v>
      </c>
      <c r="AR50" s="603">
        <v>0</v>
      </c>
      <c r="AS50" s="603">
        <v>0</v>
      </c>
      <c r="AT50" s="603">
        <v>0</v>
      </c>
      <c r="AU50" s="603">
        <v>0</v>
      </c>
      <c r="AV50" s="603">
        <v>0</v>
      </c>
      <c r="AW50" s="603">
        <v>0</v>
      </c>
      <c r="AX50" s="603">
        <v>0</v>
      </c>
      <c r="AY50" s="603">
        <v>0</v>
      </c>
      <c r="AZ50" s="603">
        <v>0</v>
      </c>
      <c r="BA50" s="603">
        <v>0</v>
      </c>
      <c r="BB50" s="603">
        <v>0</v>
      </c>
    </row>
    <row r="51" spans="1:54" x14ac:dyDescent="0.25">
      <c r="B51">
        <v>320</v>
      </c>
      <c r="C51">
        <v>320</v>
      </c>
      <c r="D51" t="s">
        <v>339</v>
      </c>
      <c r="E51" t="s">
        <v>425</v>
      </c>
      <c r="F51" s="673">
        <v>0</v>
      </c>
      <c r="G51" s="673">
        <v>0</v>
      </c>
      <c r="H51" s="673">
        <v>0</v>
      </c>
      <c r="I51" s="673">
        <v>0</v>
      </c>
      <c r="J51" s="673">
        <v>0</v>
      </c>
      <c r="K51" s="673">
        <v>0</v>
      </c>
      <c r="L51" s="673">
        <v>0</v>
      </c>
      <c r="M51" s="673">
        <v>0</v>
      </c>
      <c r="N51" s="603">
        <v>0</v>
      </c>
      <c r="O51" s="603">
        <v>0</v>
      </c>
      <c r="P51" s="603">
        <v>0</v>
      </c>
      <c r="Q51" s="603">
        <v>0</v>
      </c>
      <c r="R51" s="603">
        <v>0</v>
      </c>
      <c r="S51" s="603">
        <v>0</v>
      </c>
      <c r="T51" s="603">
        <v>0</v>
      </c>
      <c r="U51" s="603">
        <v>0</v>
      </c>
      <c r="V51" s="603">
        <v>0</v>
      </c>
      <c r="W51" s="603">
        <v>0</v>
      </c>
      <c r="X51" s="603">
        <v>0</v>
      </c>
      <c r="Y51" s="603">
        <v>0</v>
      </c>
      <c r="Z51" s="603">
        <v>0</v>
      </c>
      <c r="AA51" s="603">
        <v>0</v>
      </c>
      <c r="AB51" s="603">
        <v>0</v>
      </c>
      <c r="AC51" s="603">
        <v>0</v>
      </c>
      <c r="AD51" s="603">
        <v>0</v>
      </c>
      <c r="AE51" s="603">
        <v>0</v>
      </c>
      <c r="AF51" s="603">
        <v>0</v>
      </c>
      <c r="AG51" s="603">
        <v>0</v>
      </c>
      <c r="AH51" s="603">
        <v>0</v>
      </c>
      <c r="AI51" s="603">
        <v>0</v>
      </c>
      <c r="AJ51" s="603">
        <v>0</v>
      </c>
      <c r="AK51" s="603">
        <v>0</v>
      </c>
      <c r="AL51" s="603">
        <v>0</v>
      </c>
      <c r="AM51" s="603">
        <v>0</v>
      </c>
      <c r="AN51" s="603">
        <v>0</v>
      </c>
      <c r="AO51" s="603">
        <v>0</v>
      </c>
      <c r="AP51" s="603">
        <v>0</v>
      </c>
      <c r="AQ51" s="603">
        <v>0</v>
      </c>
      <c r="AR51" s="603">
        <v>0</v>
      </c>
      <c r="AS51" s="603">
        <v>0</v>
      </c>
      <c r="AT51" s="603">
        <v>0</v>
      </c>
      <c r="AU51" s="603">
        <v>0</v>
      </c>
      <c r="AV51" s="603">
        <v>0</v>
      </c>
      <c r="AW51" s="603">
        <v>0</v>
      </c>
      <c r="AX51" s="603">
        <v>0</v>
      </c>
      <c r="AY51" s="603">
        <v>0</v>
      </c>
      <c r="AZ51" s="603">
        <v>0</v>
      </c>
      <c r="BA51" s="603">
        <v>0</v>
      </c>
      <c r="BB51" s="603">
        <v>0</v>
      </c>
    </row>
    <row r="52" spans="1:54" x14ac:dyDescent="0.25">
      <c r="B52">
        <v>321</v>
      </c>
      <c r="C52">
        <v>321</v>
      </c>
      <c r="D52" t="s">
        <v>962</v>
      </c>
      <c r="E52" t="s">
        <v>426</v>
      </c>
      <c r="F52" s="673">
        <v>0</v>
      </c>
      <c r="G52" s="673">
        <v>0</v>
      </c>
      <c r="H52" s="673">
        <v>0</v>
      </c>
      <c r="I52" s="673">
        <v>0</v>
      </c>
      <c r="J52" s="673">
        <v>0</v>
      </c>
      <c r="K52" s="673">
        <v>0</v>
      </c>
      <c r="L52" s="673">
        <v>0</v>
      </c>
      <c r="M52" s="673">
        <v>0</v>
      </c>
      <c r="N52" s="603">
        <v>0</v>
      </c>
      <c r="O52" s="603">
        <v>0</v>
      </c>
      <c r="P52" s="603">
        <v>0</v>
      </c>
      <c r="Q52" s="603">
        <v>0</v>
      </c>
      <c r="R52" s="603">
        <v>0</v>
      </c>
      <c r="S52" s="603">
        <v>0</v>
      </c>
      <c r="T52" s="603">
        <v>0</v>
      </c>
      <c r="U52" s="603">
        <v>0</v>
      </c>
      <c r="V52" s="603">
        <v>0</v>
      </c>
      <c r="W52" s="603">
        <v>0</v>
      </c>
      <c r="X52" s="603">
        <v>0</v>
      </c>
      <c r="Y52" s="603">
        <v>0</v>
      </c>
      <c r="Z52" s="603">
        <v>0</v>
      </c>
      <c r="AA52" s="603">
        <v>0</v>
      </c>
      <c r="AB52" s="603">
        <v>0</v>
      </c>
      <c r="AC52" s="603">
        <v>0</v>
      </c>
      <c r="AD52" s="603">
        <v>0</v>
      </c>
      <c r="AE52" s="603">
        <v>0</v>
      </c>
      <c r="AF52" s="603">
        <v>0</v>
      </c>
      <c r="AG52" s="603">
        <v>0</v>
      </c>
      <c r="AH52" s="603">
        <v>0</v>
      </c>
      <c r="AI52" s="603">
        <v>0</v>
      </c>
      <c r="AJ52" s="603">
        <v>0</v>
      </c>
      <c r="AK52" s="603">
        <v>0</v>
      </c>
      <c r="AL52" s="603">
        <v>0</v>
      </c>
      <c r="AM52" s="603">
        <v>0</v>
      </c>
      <c r="AN52" s="603">
        <v>0</v>
      </c>
      <c r="AO52" s="603">
        <v>0</v>
      </c>
      <c r="AP52" s="603">
        <v>0</v>
      </c>
      <c r="AQ52" s="603">
        <v>0</v>
      </c>
      <c r="AR52" s="603">
        <v>0</v>
      </c>
      <c r="AS52" s="603">
        <v>0</v>
      </c>
      <c r="AT52" s="603">
        <v>0</v>
      </c>
      <c r="AU52" s="603">
        <v>0</v>
      </c>
      <c r="AV52" s="603">
        <v>0</v>
      </c>
      <c r="AW52" s="603">
        <v>0</v>
      </c>
      <c r="AX52" s="603">
        <v>0</v>
      </c>
      <c r="AY52" s="603">
        <v>0</v>
      </c>
      <c r="AZ52" s="603">
        <v>0</v>
      </c>
      <c r="BA52" s="603">
        <v>0</v>
      </c>
      <c r="BB52" s="603">
        <v>0</v>
      </c>
    </row>
    <row r="53" spans="1:54" x14ac:dyDescent="0.25">
      <c r="B53">
        <v>322</v>
      </c>
      <c r="C53">
        <v>322</v>
      </c>
      <c r="D53" t="s">
        <v>341</v>
      </c>
      <c r="E53" t="s">
        <v>427</v>
      </c>
      <c r="F53" s="673">
        <v>0</v>
      </c>
      <c r="G53" s="673">
        <v>0</v>
      </c>
      <c r="H53" s="673">
        <v>0</v>
      </c>
      <c r="I53" s="673">
        <v>0</v>
      </c>
      <c r="J53" s="673">
        <v>0</v>
      </c>
      <c r="K53" s="673">
        <v>0</v>
      </c>
      <c r="L53" s="673">
        <v>0</v>
      </c>
      <c r="M53" s="673">
        <v>0</v>
      </c>
      <c r="N53" s="603">
        <v>0</v>
      </c>
      <c r="O53" s="603">
        <v>0</v>
      </c>
      <c r="P53" s="603">
        <v>0</v>
      </c>
      <c r="Q53" s="603">
        <v>0</v>
      </c>
      <c r="R53" s="603">
        <v>0</v>
      </c>
      <c r="S53" s="603">
        <v>0</v>
      </c>
      <c r="T53" s="603">
        <v>0</v>
      </c>
      <c r="U53" s="603">
        <v>0</v>
      </c>
      <c r="V53" s="603">
        <v>0</v>
      </c>
      <c r="W53" s="603">
        <v>0</v>
      </c>
      <c r="X53" s="603">
        <v>0</v>
      </c>
      <c r="Y53" s="603">
        <v>0</v>
      </c>
      <c r="Z53" s="603">
        <v>0</v>
      </c>
      <c r="AA53" s="603">
        <v>0</v>
      </c>
      <c r="AB53" s="603">
        <v>0</v>
      </c>
      <c r="AC53" s="603">
        <v>0</v>
      </c>
      <c r="AD53" s="603">
        <v>0</v>
      </c>
      <c r="AE53" s="603">
        <v>0</v>
      </c>
      <c r="AF53" s="603">
        <v>0</v>
      </c>
      <c r="AG53" s="603">
        <v>0</v>
      </c>
      <c r="AH53" s="603">
        <v>0</v>
      </c>
      <c r="AI53" s="603">
        <v>0</v>
      </c>
      <c r="AJ53" s="603">
        <v>0</v>
      </c>
      <c r="AK53" s="603">
        <v>0</v>
      </c>
      <c r="AL53" s="603">
        <v>0</v>
      </c>
      <c r="AM53" s="603">
        <v>0</v>
      </c>
      <c r="AN53" s="603">
        <v>0</v>
      </c>
      <c r="AO53" s="603">
        <v>0</v>
      </c>
      <c r="AP53" s="603">
        <v>0</v>
      </c>
      <c r="AQ53" s="603">
        <v>0</v>
      </c>
      <c r="AR53" s="603">
        <v>0</v>
      </c>
      <c r="AS53" s="603">
        <v>0</v>
      </c>
      <c r="AT53" s="603">
        <v>0</v>
      </c>
      <c r="AU53" s="603">
        <v>0</v>
      </c>
      <c r="AV53" s="603">
        <v>0</v>
      </c>
      <c r="AW53" s="603">
        <v>0</v>
      </c>
      <c r="AX53" s="603">
        <v>0</v>
      </c>
      <c r="AY53" s="603">
        <v>0</v>
      </c>
      <c r="AZ53" s="603">
        <v>0</v>
      </c>
      <c r="BA53" s="603">
        <v>0</v>
      </c>
      <c r="BB53" s="603">
        <v>0</v>
      </c>
    </row>
    <row r="54" spans="1:54" x14ac:dyDescent="0.25">
      <c r="B54">
        <v>323</v>
      </c>
      <c r="C54">
        <v>323</v>
      </c>
      <c r="D54" t="s">
        <v>340</v>
      </c>
      <c r="E54" t="s">
        <v>428</v>
      </c>
      <c r="F54" s="673">
        <v>0</v>
      </c>
      <c r="G54" s="673">
        <v>0</v>
      </c>
      <c r="H54" s="673">
        <v>0</v>
      </c>
      <c r="I54" s="673">
        <v>0</v>
      </c>
      <c r="J54" s="673">
        <v>0</v>
      </c>
      <c r="K54" s="673">
        <v>0</v>
      </c>
      <c r="L54" s="673">
        <v>0</v>
      </c>
      <c r="M54" s="673">
        <v>0</v>
      </c>
      <c r="N54" s="603">
        <v>0</v>
      </c>
      <c r="O54" s="603">
        <v>0</v>
      </c>
      <c r="P54" s="603">
        <v>0</v>
      </c>
      <c r="Q54" s="603">
        <v>0</v>
      </c>
      <c r="R54" s="603">
        <v>0</v>
      </c>
      <c r="S54" s="603">
        <v>0</v>
      </c>
      <c r="T54" s="603">
        <v>0</v>
      </c>
      <c r="U54" s="603">
        <v>0</v>
      </c>
      <c r="V54" s="603">
        <v>0</v>
      </c>
      <c r="W54" s="603">
        <v>0</v>
      </c>
      <c r="X54" s="603">
        <v>0</v>
      </c>
      <c r="Y54" s="603">
        <v>0</v>
      </c>
      <c r="Z54" s="603">
        <v>0</v>
      </c>
      <c r="AA54" s="603">
        <v>0</v>
      </c>
      <c r="AB54" s="603">
        <v>0</v>
      </c>
      <c r="AC54" s="603">
        <v>0</v>
      </c>
      <c r="AD54" s="603">
        <v>0</v>
      </c>
      <c r="AE54" s="603">
        <v>0</v>
      </c>
      <c r="AF54" s="603">
        <v>0</v>
      </c>
      <c r="AG54" s="603">
        <v>0</v>
      </c>
      <c r="AH54" s="603">
        <v>0</v>
      </c>
      <c r="AI54" s="603">
        <v>0</v>
      </c>
      <c r="AJ54" s="603">
        <v>0</v>
      </c>
      <c r="AK54" s="603">
        <v>0</v>
      </c>
      <c r="AL54" s="603">
        <v>0</v>
      </c>
      <c r="AM54" s="603">
        <v>0</v>
      </c>
      <c r="AN54" s="603">
        <v>0</v>
      </c>
      <c r="AO54" s="603">
        <v>0</v>
      </c>
      <c r="AP54" s="603">
        <v>0</v>
      </c>
      <c r="AQ54" s="603">
        <v>0</v>
      </c>
      <c r="AR54" s="603">
        <v>0</v>
      </c>
      <c r="AS54" s="603">
        <v>0</v>
      </c>
      <c r="AT54" s="603">
        <v>0</v>
      </c>
      <c r="AU54" s="603">
        <v>0</v>
      </c>
      <c r="AV54" s="603">
        <v>0</v>
      </c>
      <c r="AW54" s="603">
        <v>0</v>
      </c>
      <c r="AX54" s="603">
        <v>0</v>
      </c>
      <c r="AY54" s="603">
        <v>0</v>
      </c>
      <c r="AZ54" s="603">
        <v>0</v>
      </c>
      <c r="BA54" s="603">
        <v>0</v>
      </c>
      <c r="BB54" s="603">
        <v>0</v>
      </c>
    </row>
    <row r="55" spans="1:54" x14ac:dyDescent="0.25">
      <c r="B55">
        <v>324</v>
      </c>
      <c r="C55">
        <v>324</v>
      </c>
      <c r="D55" t="s">
        <v>337</v>
      </c>
      <c r="E55" t="s">
        <v>429</v>
      </c>
      <c r="F55" s="673">
        <v>0</v>
      </c>
      <c r="G55" s="673">
        <v>0</v>
      </c>
      <c r="H55" s="673">
        <v>0</v>
      </c>
      <c r="I55" s="673">
        <v>0</v>
      </c>
      <c r="J55" s="673">
        <v>0</v>
      </c>
      <c r="K55" s="673">
        <v>0</v>
      </c>
      <c r="L55" s="673">
        <v>0</v>
      </c>
      <c r="M55" s="673">
        <v>0</v>
      </c>
      <c r="N55" s="603">
        <v>0</v>
      </c>
      <c r="O55" s="603">
        <v>0</v>
      </c>
      <c r="P55" s="603">
        <v>0</v>
      </c>
      <c r="Q55" s="603">
        <v>0</v>
      </c>
      <c r="R55" s="603">
        <v>0</v>
      </c>
      <c r="S55" s="603">
        <v>0</v>
      </c>
      <c r="T55" s="603">
        <v>0</v>
      </c>
      <c r="U55" s="603">
        <v>0</v>
      </c>
      <c r="V55" s="603">
        <v>0</v>
      </c>
      <c r="W55" s="603">
        <v>0</v>
      </c>
      <c r="X55" s="603">
        <v>0</v>
      </c>
      <c r="Y55" s="603">
        <v>0</v>
      </c>
      <c r="Z55" s="603">
        <v>0</v>
      </c>
      <c r="AA55" s="603">
        <v>0</v>
      </c>
      <c r="AB55" s="603">
        <v>0</v>
      </c>
      <c r="AC55" s="603">
        <v>0</v>
      </c>
      <c r="AD55" s="603">
        <v>0</v>
      </c>
      <c r="AE55" s="603">
        <v>0</v>
      </c>
      <c r="AF55" s="603">
        <v>0</v>
      </c>
      <c r="AG55" s="603">
        <v>0</v>
      </c>
      <c r="AH55" s="603">
        <v>0</v>
      </c>
      <c r="AI55" s="603">
        <v>0</v>
      </c>
      <c r="AJ55" s="603">
        <v>0</v>
      </c>
      <c r="AK55" s="603">
        <v>0</v>
      </c>
      <c r="AL55" s="603">
        <v>0</v>
      </c>
      <c r="AM55" s="603">
        <v>0</v>
      </c>
      <c r="AN55" s="603">
        <v>0</v>
      </c>
      <c r="AO55" s="603">
        <v>0</v>
      </c>
      <c r="AP55" s="603">
        <v>0</v>
      </c>
      <c r="AQ55" s="603">
        <v>0</v>
      </c>
      <c r="AR55" s="603">
        <v>0</v>
      </c>
      <c r="AS55" s="603">
        <v>0</v>
      </c>
      <c r="AT55" s="603">
        <v>0</v>
      </c>
      <c r="AU55" s="603">
        <v>0</v>
      </c>
      <c r="AV55" s="603">
        <v>0</v>
      </c>
      <c r="AW55" s="603">
        <v>0</v>
      </c>
      <c r="AX55" s="603">
        <v>0</v>
      </c>
      <c r="AY55" s="603">
        <v>0</v>
      </c>
      <c r="AZ55" s="603">
        <v>0</v>
      </c>
      <c r="BA55" s="603">
        <v>0</v>
      </c>
      <c r="BB55" s="603">
        <v>0</v>
      </c>
    </row>
    <row r="56" spans="1:54" x14ac:dyDescent="0.25">
      <c r="B56">
        <v>325</v>
      </c>
      <c r="C56">
        <v>325</v>
      </c>
      <c r="D56" t="s">
        <v>342</v>
      </c>
      <c r="E56" t="s">
        <v>430</v>
      </c>
      <c r="F56" s="673">
        <v>0</v>
      </c>
      <c r="G56" s="673">
        <v>0</v>
      </c>
      <c r="H56" s="673">
        <v>0</v>
      </c>
      <c r="I56" s="673">
        <v>0</v>
      </c>
      <c r="J56" s="673">
        <v>0</v>
      </c>
      <c r="K56" s="673">
        <v>0</v>
      </c>
      <c r="L56" s="673">
        <v>0</v>
      </c>
      <c r="M56" s="673">
        <v>0</v>
      </c>
      <c r="N56" s="603">
        <v>0</v>
      </c>
      <c r="O56" s="603">
        <v>0</v>
      </c>
      <c r="P56" s="603">
        <v>0</v>
      </c>
      <c r="Q56" s="603">
        <v>0</v>
      </c>
      <c r="R56" s="603">
        <v>0</v>
      </c>
      <c r="S56" s="603">
        <v>0</v>
      </c>
      <c r="T56" s="603">
        <v>0</v>
      </c>
      <c r="U56" s="603">
        <v>0</v>
      </c>
      <c r="V56" s="603">
        <v>0</v>
      </c>
      <c r="W56" s="603">
        <v>0</v>
      </c>
      <c r="X56" s="603">
        <v>0</v>
      </c>
      <c r="Y56" s="603">
        <v>0</v>
      </c>
      <c r="Z56" s="603">
        <v>0</v>
      </c>
      <c r="AA56" s="603">
        <v>0</v>
      </c>
      <c r="AB56" s="603">
        <v>0</v>
      </c>
      <c r="AC56" s="603">
        <v>0</v>
      </c>
      <c r="AD56" s="603">
        <v>0</v>
      </c>
      <c r="AE56" s="603">
        <v>0</v>
      </c>
      <c r="AF56" s="603">
        <v>0</v>
      </c>
      <c r="AG56" s="603">
        <v>0</v>
      </c>
      <c r="AH56" s="603">
        <v>0</v>
      </c>
      <c r="AI56" s="603">
        <v>0</v>
      </c>
      <c r="AJ56" s="603">
        <v>0</v>
      </c>
      <c r="AK56" s="603">
        <v>0</v>
      </c>
      <c r="AL56" s="603">
        <v>0</v>
      </c>
      <c r="AM56" s="603">
        <v>0</v>
      </c>
      <c r="AN56" s="603">
        <v>0</v>
      </c>
      <c r="AO56" s="603">
        <v>0</v>
      </c>
      <c r="AP56" s="603">
        <v>0</v>
      </c>
      <c r="AQ56" s="603">
        <v>0</v>
      </c>
      <c r="AR56" s="603">
        <v>0</v>
      </c>
      <c r="AS56" s="603">
        <v>0</v>
      </c>
      <c r="AT56" s="603">
        <v>0</v>
      </c>
      <c r="AU56" s="603">
        <v>0</v>
      </c>
      <c r="AV56" s="603">
        <v>0</v>
      </c>
      <c r="AW56" s="603">
        <v>0</v>
      </c>
      <c r="AX56" s="603">
        <v>0</v>
      </c>
      <c r="AY56" s="603">
        <v>0</v>
      </c>
      <c r="AZ56" s="603">
        <v>0</v>
      </c>
      <c r="BA56" s="603">
        <v>0</v>
      </c>
      <c r="BB56" s="603">
        <v>0</v>
      </c>
    </row>
    <row r="57" spans="1:54" x14ac:dyDescent="0.25">
      <c r="A57">
        <v>327</v>
      </c>
      <c r="B57">
        <v>327</v>
      </c>
      <c r="C57">
        <v>327</v>
      </c>
      <c r="D57" t="s">
        <v>614</v>
      </c>
      <c r="E57" t="s">
        <v>431</v>
      </c>
      <c r="F57" s="673">
        <v>724599</v>
      </c>
      <c r="G57" s="673">
        <v>529738</v>
      </c>
      <c r="H57" s="673">
        <v>493112</v>
      </c>
      <c r="I57" s="673">
        <v>0</v>
      </c>
      <c r="J57" s="673">
        <v>12594018</v>
      </c>
      <c r="K57" s="673">
        <v>7861153</v>
      </c>
      <c r="L57" s="673">
        <v>9536726</v>
      </c>
      <c r="M57" s="673">
        <v>953221</v>
      </c>
      <c r="N57" s="603">
        <v>0</v>
      </c>
      <c r="O57" s="603">
        <v>1554693</v>
      </c>
      <c r="P57" s="603">
        <v>788528</v>
      </c>
      <c r="Q57" s="603">
        <v>300290</v>
      </c>
      <c r="R57" s="603">
        <v>11802232</v>
      </c>
      <c r="S57" s="603">
        <v>34035</v>
      </c>
      <c r="T57" s="603">
        <v>20000</v>
      </c>
      <c r="U57" s="603">
        <v>637999</v>
      </c>
      <c r="V57" s="603">
        <v>30586</v>
      </c>
      <c r="W57" s="603">
        <v>3780635</v>
      </c>
      <c r="X57" s="603">
        <v>58844</v>
      </c>
      <c r="Y57" s="603">
        <v>265154</v>
      </c>
      <c r="Z57" s="603">
        <v>260800</v>
      </c>
      <c r="AA57" s="603">
        <v>882053</v>
      </c>
      <c r="AB57" s="603">
        <v>326985</v>
      </c>
      <c r="AC57" s="603">
        <v>356810</v>
      </c>
      <c r="AD57" s="603">
        <v>92043</v>
      </c>
      <c r="AE57" s="603">
        <v>1377196</v>
      </c>
      <c r="AF57" s="603">
        <v>506876</v>
      </c>
      <c r="AG57" s="603">
        <v>0</v>
      </c>
      <c r="AH57" s="603">
        <v>18994773</v>
      </c>
      <c r="AI57" s="603">
        <v>17605354</v>
      </c>
      <c r="AJ57" s="603">
        <v>41143242</v>
      </c>
      <c r="AK57" s="603">
        <v>0</v>
      </c>
      <c r="AL57" s="603">
        <v>603427</v>
      </c>
      <c r="AM57" s="603">
        <v>315358</v>
      </c>
      <c r="AN57" s="603">
        <v>1</v>
      </c>
      <c r="AO57" s="603">
        <v>33450</v>
      </c>
      <c r="AP57" s="603">
        <v>77603</v>
      </c>
      <c r="AQ57" s="603">
        <v>392289</v>
      </c>
      <c r="AR57" s="603">
        <v>68756</v>
      </c>
      <c r="AS57" s="603">
        <v>151491</v>
      </c>
      <c r="AT57" s="603">
        <v>0</v>
      </c>
      <c r="AU57" s="603">
        <v>59979</v>
      </c>
      <c r="AV57" s="603">
        <v>637546</v>
      </c>
      <c r="AW57" s="603">
        <v>1571577</v>
      </c>
      <c r="AX57" s="603">
        <v>0</v>
      </c>
      <c r="AY57" s="603">
        <v>0</v>
      </c>
      <c r="AZ57" s="603">
        <v>15059</v>
      </c>
      <c r="BA57" s="603">
        <v>228517</v>
      </c>
      <c r="BB57" s="603">
        <v>16858</v>
      </c>
    </row>
    <row r="58" spans="1:54" x14ac:dyDescent="0.25">
      <c r="A58">
        <v>328</v>
      </c>
      <c r="B58">
        <v>328</v>
      </c>
      <c r="C58">
        <v>328</v>
      </c>
      <c r="D58" t="s">
        <v>569</v>
      </c>
      <c r="E58" t="s">
        <v>432</v>
      </c>
      <c r="F58" s="673">
        <v>1823154</v>
      </c>
      <c r="G58" s="673">
        <v>463987</v>
      </c>
      <c r="H58" s="673">
        <v>2290864</v>
      </c>
      <c r="I58" s="673">
        <v>0</v>
      </c>
      <c r="J58" s="673">
        <v>6696481</v>
      </c>
      <c r="K58" s="673">
        <v>10783997</v>
      </c>
      <c r="L58" s="673">
        <v>78140518</v>
      </c>
      <c r="M58" s="673">
        <v>1608197</v>
      </c>
      <c r="N58" s="603">
        <v>0</v>
      </c>
      <c r="O58" s="603">
        <v>107237</v>
      </c>
      <c r="P58" s="603">
        <v>3053972</v>
      </c>
      <c r="Q58" s="603">
        <v>1012342</v>
      </c>
      <c r="R58" s="603">
        <v>68593653</v>
      </c>
      <c r="S58" s="603">
        <v>0</v>
      </c>
      <c r="T58" s="603">
        <v>0</v>
      </c>
      <c r="U58" s="603">
        <v>47305</v>
      </c>
      <c r="V58" s="603">
        <v>290483</v>
      </c>
      <c r="W58" s="603">
        <v>14407873</v>
      </c>
      <c r="X58" s="603">
        <v>0</v>
      </c>
      <c r="Y58" s="603">
        <v>0</v>
      </c>
      <c r="Z58" s="603">
        <v>1958540</v>
      </c>
      <c r="AA58" s="603">
        <v>0</v>
      </c>
      <c r="AB58" s="603">
        <v>35873</v>
      </c>
      <c r="AC58" s="603">
        <v>0</v>
      </c>
      <c r="AD58" s="603">
        <v>0</v>
      </c>
      <c r="AE58" s="603">
        <v>288275</v>
      </c>
      <c r="AF58" s="603">
        <v>3708825</v>
      </c>
      <c r="AG58" s="603">
        <v>0</v>
      </c>
      <c r="AH58" s="603">
        <v>8556836</v>
      </c>
      <c r="AI58" s="603">
        <v>50113475</v>
      </c>
      <c r="AJ58" s="603">
        <v>0</v>
      </c>
      <c r="AK58" s="603">
        <v>0</v>
      </c>
      <c r="AL58" s="603">
        <v>3064580</v>
      </c>
      <c r="AM58" s="603">
        <v>1023111</v>
      </c>
      <c r="AN58" s="603">
        <v>0</v>
      </c>
      <c r="AO58" s="603">
        <v>1789197</v>
      </c>
      <c r="AP58" s="603">
        <v>0</v>
      </c>
      <c r="AQ58" s="603">
        <v>4090453</v>
      </c>
      <c r="AR58" s="603">
        <v>0</v>
      </c>
      <c r="AS58" s="603">
        <v>0</v>
      </c>
      <c r="AT58" s="603">
        <v>0</v>
      </c>
      <c r="AU58" s="603">
        <v>0</v>
      </c>
      <c r="AV58" s="603">
        <v>0</v>
      </c>
      <c r="AW58" s="603">
        <v>1296171</v>
      </c>
      <c r="AX58" s="603">
        <v>0</v>
      </c>
      <c r="AY58" s="603">
        <v>0</v>
      </c>
      <c r="AZ58" s="603">
        <v>0</v>
      </c>
      <c r="BA58" s="603">
        <v>262419</v>
      </c>
      <c r="BB58" s="603">
        <v>763719</v>
      </c>
    </row>
    <row r="59" spans="1:54" x14ac:dyDescent="0.25">
      <c r="C59">
        <v>330</v>
      </c>
      <c r="D59" t="s">
        <v>963</v>
      </c>
      <c r="E59" t="s">
        <v>433</v>
      </c>
      <c r="F59" s="673">
        <v>0</v>
      </c>
      <c r="G59" s="673">
        <v>0</v>
      </c>
      <c r="H59" s="673">
        <v>0</v>
      </c>
      <c r="I59" s="673">
        <v>0</v>
      </c>
      <c r="J59" s="673">
        <v>0</v>
      </c>
      <c r="K59" s="673">
        <v>0</v>
      </c>
      <c r="L59" s="673">
        <v>0</v>
      </c>
      <c r="M59" s="673">
        <v>0</v>
      </c>
      <c r="N59" s="603">
        <v>0</v>
      </c>
      <c r="O59" s="603">
        <v>0</v>
      </c>
      <c r="P59" s="603">
        <v>0</v>
      </c>
      <c r="Q59" s="603">
        <v>0</v>
      </c>
      <c r="R59" s="603">
        <v>0</v>
      </c>
      <c r="S59" s="603">
        <v>0</v>
      </c>
      <c r="T59" s="603">
        <v>0</v>
      </c>
      <c r="U59" s="603">
        <v>0</v>
      </c>
      <c r="V59" s="603">
        <v>0</v>
      </c>
      <c r="W59" s="603">
        <v>0</v>
      </c>
      <c r="X59" s="603">
        <v>0</v>
      </c>
      <c r="Y59" s="603">
        <v>0</v>
      </c>
      <c r="Z59" s="603">
        <v>0</v>
      </c>
      <c r="AA59" s="603">
        <v>0</v>
      </c>
      <c r="AB59" s="603">
        <v>0</v>
      </c>
      <c r="AC59" s="603">
        <v>0</v>
      </c>
      <c r="AD59" s="603">
        <v>0</v>
      </c>
      <c r="AE59" s="603">
        <v>0</v>
      </c>
      <c r="AF59" s="603">
        <v>0</v>
      </c>
      <c r="AG59" s="603">
        <v>0</v>
      </c>
      <c r="AH59" s="603">
        <v>0</v>
      </c>
      <c r="AI59" s="603">
        <v>0</v>
      </c>
      <c r="AJ59" s="603">
        <v>0</v>
      </c>
      <c r="AK59" s="603">
        <v>0</v>
      </c>
      <c r="AL59" s="603">
        <v>0</v>
      </c>
      <c r="AM59" s="603">
        <v>0</v>
      </c>
      <c r="AN59" s="603">
        <v>0</v>
      </c>
      <c r="AO59" s="603">
        <v>0</v>
      </c>
      <c r="AP59" s="603">
        <v>0</v>
      </c>
      <c r="AQ59" s="603">
        <v>0</v>
      </c>
      <c r="AR59" s="603">
        <v>0</v>
      </c>
      <c r="AS59" s="603">
        <v>0</v>
      </c>
      <c r="AT59" s="603">
        <v>0</v>
      </c>
      <c r="AU59" s="603">
        <v>0</v>
      </c>
      <c r="AV59" s="603">
        <v>0</v>
      </c>
      <c r="AW59" s="603">
        <v>0</v>
      </c>
      <c r="AX59" s="603">
        <v>0</v>
      </c>
      <c r="AY59" s="603">
        <v>0</v>
      </c>
      <c r="AZ59" s="603">
        <v>0</v>
      </c>
      <c r="BA59" s="603">
        <v>0</v>
      </c>
      <c r="BB59" s="603">
        <v>0</v>
      </c>
    </row>
    <row r="60" spans="1:54" x14ac:dyDescent="0.25">
      <c r="A60">
        <v>331</v>
      </c>
      <c r="B60">
        <v>331</v>
      </c>
      <c r="C60">
        <v>331</v>
      </c>
      <c r="D60" t="s">
        <v>327</v>
      </c>
      <c r="E60" t="s">
        <v>434</v>
      </c>
      <c r="F60" s="673">
        <v>205364</v>
      </c>
      <c r="G60" s="673">
        <v>437198</v>
      </c>
      <c r="H60" s="673">
        <v>1917682</v>
      </c>
      <c r="I60" s="673">
        <v>660794</v>
      </c>
      <c r="J60" s="673">
        <v>5105825</v>
      </c>
      <c r="K60" s="673">
        <v>2358049</v>
      </c>
      <c r="L60" s="673">
        <v>13157916</v>
      </c>
      <c r="M60" s="673">
        <v>1547841</v>
      </c>
      <c r="N60" s="603">
        <v>0</v>
      </c>
      <c r="O60" s="603">
        <v>428000</v>
      </c>
      <c r="P60" s="603">
        <v>911294</v>
      </c>
      <c r="Q60" s="603">
        <v>0</v>
      </c>
      <c r="R60" s="603">
        <v>30648425</v>
      </c>
      <c r="S60" s="603">
        <v>137547</v>
      </c>
      <c r="T60" s="603">
        <v>41000</v>
      </c>
      <c r="U60" s="603">
        <v>105380</v>
      </c>
      <c r="V60" s="603">
        <v>11421</v>
      </c>
      <c r="W60" s="603">
        <v>8960650</v>
      </c>
      <c r="X60" s="603">
        <v>914647</v>
      </c>
      <c r="Y60" s="603">
        <v>25258</v>
      </c>
      <c r="Z60" s="603">
        <v>156710</v>
      </c>
      <c r="AA60" s="603">
        <v>1623893</v>
      </c>
      <c r="AB60" s="603">
        <v>170412</v>
      </c>
      <c r="AC60" s="603">
        <v>297130</v>
      </c>
      <c r="AD60" s="603">
        <v>0</v>
      </c>
      <c r="AE60" s="603">
        <v>2409799</v>
      </c>
      <c r="AF60" s="603">
        <v>333426</v>
      </c>
      <c r="AG60" s="603">
        <v>30066</v>
      </c>
      <c r="AH60" s="603">
        <v>3562933</v>
      </c>
      <c r="AI60" s="603">
        <v>5317428</v>
      </c>
      <c r="AJ60" s="603">
        <v>1609884</v>
      </c>
      <c r="AK60" s="603">
        <v>7812</v>
      </c>
      <c r="AL60" s="603">
        <v>602548</v>
      </c>
      <c r="AM60" s="603">
        <v>79762</v>
      </c>
      <c r="AN60" s="603">
        <v>0</v>
      </c>
      <c r="AO60" s="603">
        <v>2393883</v>
      </c>
      <c r="AP60" s="603">
        <v>267559</v>
      </c>
      <c r="AQ60" s="603">
        <v>299884</v>
      </c>
      <c r="AR60" s="603">
        <v>0</v>
      </c>
      <c r="AS60" s="603">
        <v>126357</v>
      </c>
      <c r="AT60" s="603">
        <v>117000</v>
      </c>
      <c r="AU60" s="603">
        <v>0</v>
      </c>
      <c r="AV60" s="603">
        <v>0</v>
      </c>
      <c r="AW60" s="603">
        <v>218250</v>
      </c>
      <c r="AX60" s="603">
        <v>0</v>
      </c>
      <c r="AY60" s="603">
        <v>6000</v>
      </c>
      <c r="AZ60" s="603">
        <v>0</v>
      </c>
      <c r="BA60" s="603">
        <v>1529</v>
      </c>
      <c r="BB60" s="603">
        <v>647632</v>
      </c>
    </row>
    <row r="61" spans="1:54" x14ac:dyDescent="0.25">
      <c r="A61">
        <v>332</v>
      </c>
      <c r="B61">
        <v>332</v>
      </c>
      <c r="C61">
        <v>332</v>
      </c>
      <c r="D61" t="s">
        <v>328</v>
      </c>
      <c r="E61" t="s">
        <v>435</v>
      </c>
      <c r="F61" s="673">
        <v>56990</v>
      </c>
      <c r="G61" s="673">
        <v>965472</v>
      </c>
      <c r="H61" s="673">
        <v>3321098</v>
      </c>
      <c r="I61" s="673">
        <v>2285542</v>
      </c>
      <c r="J61" s="673">
        <v>20858682</v>
      </c>
      <c r="K61" s="673">
        <v>4468065</v>
      </c>
      <c r="L61" s="673">
        <v>45858908</v>
      </c>
      <c r="M61" s="673">
        <v>2571093</v>
      </c>
      <c r="N61" s="603">
        <v>0</v>
      </c>
      <c r="O61" s="603">
        <v>96085</v>
      </c>
      <c r="P61" s="603">
        <v>562040</v>
      </c>
      <c r="Q61" s="603">
        <v>0</v>
      </c>
      <c r="R61" s="603">
        <v>73884831</v>
      </c>
      <c r="S61" s="603">
        <v>259332</v>
      </c>
      <c r="T61" s="603">
        <v>0</v>
      </c>
      <c r="U61" s="603">
        <v>3471703</v>
      </c>
      <c r="V61" s="603">
        <v>157287</v>
      </c>
      <c r="W61" s="603">
        <v>7860570</v>
      </c>
      <c r="X61" s="603">
        <v>86798</v>
      </c>
      <c r="Y61" s="603">
        <v>13705</v>
      </c>
      <c r="Z61" s="603">
        <v>1479887</v>
      </c>
      <c r="AA61" s="603">
        <v>131000</v>
      </c>
      <c r="AB61" s="603">
        <v>350528</v>
      </c>
      <c r="AC61" s="603">
        <v>16879</v>
      </c>
      <c r="AD61" s="603">
        <v>550224</v>
      </c>
      <c r="AE61" s="603">
        <v>288275</v>
      </c>
      <c r="AF61" s="603">
        <v>70081</v>
      </c>
      <c r="AG61" s="603">
        <v>0</v>
      </c>
      <c r="AH61" s="603">
        <v>6106803</v>
      </c>
      <c r="AI61" s="603">
        <v>17975332</v>
      </c>
      <c r="AJ61" s="603">
        <v>196323</v>
      </c>
      <c r="AK61" s="603">
        <v>0</v>
      </c>
      <c r="AL61" s="603">
        <v>2852267</v>
      </c>
      <c r="AM61" s="603">
        <v>609067</v>
      </c>
      <c r="AN61" s="603">
        <v>99630</v>
      </c>
      <c r="AO61" s="603">
        <v>2066625</v>
      </c>
      <c r="AP61" s="603">
        <v>104364</v>
      </c>
      <c r="AQ61" s="603">
        <v>231193</v>
      </c>
      <c r="AR61" s="603">
        <v>483943</v>
      </c>
      <c r="AS61" s="603">
        <v>139904</v>
      </c>
      <c r="AT61" s="603">
        <v>0</v>
      </c>
      <c r="AU61" s="603">
        <v>0</v>
      </c>
      <c r="AV61" s="603">
        <v>0</v>
      </c>
      <c r="AW61" s="603">
        <v>890986</v>
      </c>
      <c r="AX61" s="603">
        <v>0</v>
      </c>
      <c r="AY61" s="603">
        <v>0</v>
      </c>
      <c r="AZ61" s="603">
        <v>0</v>
      </c>
      <c r="BA61" s="603">
        <v>97369</v>
      </c>
      <c r="BB61" s="603">
        <v>813090</v>
      </c>
    </row>
    <row r="62" spans="1:54" x14ac:dyDescent="0.25">
      <c r="A62">
        <v>333</v>
      </c>
      <c r="B62">
        <v>333</v>
      </c>
      <c r="C62">
        <v>333</v>
      </c>
      <c r="D62" t="s">
        <v>265</v>
      </c>
      <c r="E62" t="s">
        <v>436</v>
      </c>
      <c r="F62" s="673">
        <v>0</v>
      </c>
      <c r="G62" s="673">
        <v>0</v>
      </c>
      <c r="H62" s="673">
        <v>0</v>
      </c>
      <c r="I62" s="673">
        <v>0</v>
      </c>
      <c r="J62" s="673">
        <v>0</v>
      </c>
      <c r="K62" s="673">
        <v>0</v>
      </c>
      <c r="L62" s="673">
        <v>0</v>
      </c>
      <c r="M62" s="673">
        <v>0</v>
      </c>
      <c r="N62" s="603">
        <v>0</v>
      </c>
      <c r="O62" s="603">
        <v>0</v>
      </c>
      <c r="P62" s="603">
        <v>0</v>
      </c>
      <c r="Q62" s="603">
        <v>0</v>
      </c>
      <c r="R62" s="603">
        <v>0</v>
      </c>
      <c r="S62" s="603">
        <v>0</v>
      </c>
      <c r="T62" s="603">
        <v>0</v>
      </c>
      <c r="U62" s="603">
        <v>0</v>
      </c>
      <c r="V62" s="603">
        <v>0</v>
      </c>
      <c r="W62" s="603">
        <v>0</v>
      </c>
      <c r="X62" s="603">
        <v>0</v>
      </c>
      <c r="Y62" s="603">
        <v>0</v>
      </c>
      <c r="Z62" s="603">
        <v>0</v>
      </c>
      <c r="AA62" s="603">
        <v>0</v>
      </c>
      <c r="AB62" s="603">
        <v>0</v>
      </c>
      <c r="AC62" s="603">
        <v>0</v>
      </c>
      <c r="AD62" s="603">
        <v>0</v>
      </c>
      <c r="AE62" s="603">
        <v>0</v>
      </c>
      <c r="AF62" s="603">
        <v>0</v>
      </c>
      <c r="AG62" s="603">
        <v>0</v>
      </c>
      <c r="AH62" s="603">
        <v>0</v>
      </c>
      <c r="AI62" s="603">
        <v>0</v>
      </c>
      <c r="AJ62" s="603">
        <v>0</v>
      </c>
      <c r="AK62" s="603">
        <v>538976</v>
      </c>
      <c r="AL62" s="603">
        <v>0</v>
      </c>
      <c r="AM62" s="603">
        <v>0</v>
      </c>
      <c r="AN62" s="603">
        <v>0</v>
      </c>
      <c r="AO62" s="603">
        <v>0</v>
      </c>
      <c r="AP62" s="603">
        <v>0</v>
      </c>
      <c r="AQ62" s="603">
        <v>0</v>
      </c>
      <c r="AR62" s="603">
        <v>0</v>
      </c>
      <c r="AS62" s="603">
        <v>0</v>
      </c>
      <c r="AT62" s="603">
        <v>0</v>
      </c>
      <c r="AU62" s="603">
        <v>0</v>
      </c>
      <c r="AV62" s="603">
        <v>0</v>
      </c>
      <c r="AW62" s="603">
        <v>0</v>
      </c>
      <c r="AX62" s="603">
        <v>0</v>
      </c>
      <c r="AY62" s="603">
        <v>0</v>
      </c>
      <c r="AZ62" s="603">
        <v>0</v>
      </c>
      <c r="BA62" s="603">
        <v>0</v>
      </c>
      <c r="BB62" s="603">
        <v>0</v>
      </c>
    </row>
    <row r="63" spans="1:54" x14ac:dyDescent="0.25">
      <c r="A63">
        <v>334</v>
      </c>
      <c r="B63">
        <v>334</v>
      </c>
      <c r="C63">
        <v>334</v>
      </c>
      <c r="D63" t="s">
        <v>356</v>
      </c>
      <c r="E63" t="s">
        <v>437</v>
      </c>
      <c r="F63" s="673">
        <v>0</v>
      </c>
      <c r="G63" s="673">
        <v>0</v>
      </c>
      <c r="H63" s="673">
        <v>0</v>
      </c>
      <c r="I63" s="673">
        <v>0</v>
      </c>
      <c r="J63" s="673">
        <v>0</v>
      </c>
      <c r="K63" s="673">
        <v>0</v>
      </c>
      <c r="L63" s="673">
        <v>0</v>
      </c>
      <c r="M63" s="673">
        <v>0</v>
      </c>
      <c r="N63" s="603">
        <v>0</v>
      </c>
      <c r="O63" s="603">
        <v>0</v>
      </c>
      <c r="P63" s="603">
        <v>0</v>
      </c>
      <c r="Q63" s="603">
        <v>0</v>
      </c>
      <c r="R63" s="603">
        <v>0</v>
      </c>
      <c r="S63" s="603">
        <v>0</v>
      </c>
      <c r="T63" s="603">
        <v>0</v>
      </c>
      <c r="U63" s="603">
        <v>0</v>
      </c>
      <c r="V63" s="603">
        <v>0</v>
      </c>
      <c r="W63" s="603">
        <v>0</v>
      </c>
      <c r="X63" s="603">
        <v>0</v>
      </c>
      <c r="Y63" s="603">
        <v>0</v>
      </c>
      <c r="Z63" s="603">
        <v>0</v>
      </c>
      <c r="AA63" s="603">
        <v>0</v>
      </c>
      <c r="AB63" s="603">
        <v>0</v>
      </c>
      <c r="AC63" s="603">
        <v>0</v>
      </c>
      <c r="AD63" s="603">
        <v>0</v>
      </c>
      <c r="AE63" s="603">
        <v>0</v>
      </c>
      <c r="AF63" s="603">
        <v>0</v>
      </c>
      <c r="AG63" s="603">
        <v>0</v>
      </c>
      <c r="AH63" s="603">
        <v>0</v>
      </c>
      <c r="AI63" s="603">
        <v>0</v>
      </c>
      <c r="AJ63" s="603">
        <v>0</v>
      </c>
      <c r="AK63" s="603">
        <v>294918</v>
      </c>
      <c r="AL63" s="603">
        <v>0</v>
      </c>
      <c r="AM63" s="603">
        <v>0</v>
      </c>
      <c r="AN63" s="603">
        <v>0</v>
      </c>
      <c r="AO63" s="603">
        <v>0</v>
      </c>
      <c r="AP63" s="603">
        <v>0</v>
      </c>
      <c r="AQ63" s="603">
        <v>0</v>
      </c>
      <c r="AR63" s="603">
        <v>0</v>
      </c>
      <c r="AS63" s="603">
        <v>0</v>
      </c>
      <c r="AT63" s="603">
        <v>0</v>
      </c>
      <c r="AU63" s="603">
        <v>0</v>
      </c>
      <c r="AV63" s="603">
        <v>0</v>
      </c>
      <c r="AW63" s="603">
        <v>0</v>
      </c>
      <c r="AX63" s="603">
        <v>0</v>
      </c>
      <c r="AY63" s="603">
        <v>0</v>
      </c>
      <c r="AZ63" s="603">
        <v>0</v>
      </c>
      <c r="BA63" s="603">
        <v>0</v>
      </c>
      <c r="BB63" s="603">
        <v>0</v>
      </c>
    </row>
    <row r="64" spans="1:54" x14ac:dyDescent="0.25">
      <c r="A64">
        <v>335</v>
      </c>
      <c r="B64">
        <v>335</v>
      </c>
      <c r="C64">
        <v>335</v>
      </c>
      <c r="D64" t="s">
        <v>140</v>
      </c>
      <c r="E64" t="s">
        <v>438</v>
      </c>
      <c r="F64" s="673">
        <v>0</v>
      </c>
      <c r="G64" s="673">
        <v>0</v>
      </c>
      <c r="H64" s="673">
        <v>0</v>
      </c>
      <c r="I64" s="673">
        <v>0</v>
      </c>
      <c r="J64" s="673">
        <v>0</v>
      </c>
      <c r="K64" s="673">
        <v>0</v>
      </c>
      <c r="L64" s="673">
        <v>0</v>
      </c>
      <c r="M64" s="673">
        <v>0</v>
      </c>
      <c r="N64" s="603">
        <v>0</v>
      </c>
      <c r="O64" s="603">
        <v>0</v>
      </c>
      <c r="P64" s="603">
        <v>0</v>
      </c>
      <c r="Q64" s="603">
        <v>0</v>
      </c>
      <c r="R64" s="603">
        <v>0</v>
      </c>
      <c r="S64" s="603">
        <v>0</v>
      </c>
      <c r="T64" s="603">
        <v>0</v>
      </c>
      <c r="U64" s="603">
        <v>0</v>
      </c>
      <c r="V64" s="603">
        <v>0</v>
      </c>
      <c r="W64" s="603">
        <v>0</v>
      </c>
      <c r="X64" s="603">
        <v>0</v>
      </c>
      <c r="Y64" s="603">
        <v>0</v>
      </c>
      <c r="Z64" s="603">
        <v>0</v>
      </c>
      <c r="AA64" s="603">
        <v>0</v>
      </c>
      <c r="AB64" s="603">
        <v>0</v>
      </c>
      <c r="AC64" s="603">
        <v>0</v>
      </c>
      <c r="AD64" s="603">
        <v>0</v>
      </c>
      <c r="AE64" s="603">
        <v>0</v>
      </c>
      <c r="AF64" s="603">
        <v>0</v>
      </c>
      <c r="AG64" s="603">
        <v>0</v>
      </c>
      <c r="AH64" s="603">
        <v>0</v>
      </c>
      <c r="AI64" s="603">
        <v>0</v>
      </c>
      <c r="AJ64" s="603">
        <v>0</v>
      </c>
      <c r="AK64" s="603">
        <v>0</v>
      </c>
      <c r="AL64" s="603">
        <v>0</v>
      </c>
      <c r="AM64" s="603">
        <v>0</v>
      </c>
      <c r="AN64" s="603">
        <v>0</v>
      </c>
      <c r="AO64" s="603">
        <v>0</v>
      </c>
      <c r="AP64" s="603">
        <v>0</v>
      </c>
      <c r="AQ64" s="603">
        <v>0</v>
      </c>
      <c r="AR64" s="603">
        <v>0</v>
      </c>
      <c r="AS64" s="603">
        <v>0</v>
      </c>
      <c r="AT64" s="603">
        <v>0</v>
      </c>
      <c r="AU64" s="603">
        <v>0</v>
      </c>
      <c r="AV64" s="603">
        <v>0</v>
      </c>
      <c r="AW64" s="603">
        <v>0</v>
      </c>
      <c r="AX64" s="603">
        <v>0</v>
      </c>
      <c r="AY64" s="603">
        <v>0</v>
      </c>
      <c r="AZ64" s="603">
        <v>0</v>
      </c>
      <c r="BA64" s="603">
        <v>0</v>
      </c>
      <c r="BB64" s="603">
        <v>0</v>
      </c>
    </row>
    <row r="65" spans="1:54" x14ac:dyDescent="0.25">
      <c r="A65">
        <v>336</v>
      </c>
      <c r="B65">
        <v>336</v>
      </c>
      <c r="C65">
        <v>336</v>
      </c>
      <c r="D65" t="s">
        <v>615</v>
      </c>
      <c r="E65" t="s">
        <v>439</v>
      </c>
      <c r="F65" s="673">
        <v>0</v>
      </c>
      <c r="G65" s="673">
        <v>0</v>
      </c>
      <c r="H65" s="673">
        <v>0</v>
      </c>
      <c r="I65" s="673">
        <v>0</v>
      </c>
      <c r="J65" s="673">
        <v>0</v>
      </c>
      <c r="K65" s="673">
        <v>0</v>
      </c>
      <c r="L65" s="673">
        <v>0</v>
      </c>
      <c r="M65" s="673">
        <v>0</v>
      </c>
      <c r="N65" s="603">
        <v>0</v>
      </c>
      <c r="O65" s="603">
        <v>0</v>
      </c>
      <c r="P65" s="603">
        <v>0</v>
      </c>
      <c r="Q65" s="603">
        <v>0</v>
      </c>
      <c r="R65" s="603">
        <v>0</v>
      </c>
      <c r="S65" s="603">
        <v>0</v>
      </c>
      <c r="T65" s="603">
        <v>0</v>
      </c>
      <c r="U65" s="603">
        <v>0</v>
      </c>
      <c r="V65" s="603">
        <v>0</v>
      </c>
      <c r="W65" s="603">
        <v>0</v>
      </c>
      <c r="X65" s="603">
        <v>0</v>
      </c>
      <c r="Y65" s="603">
        <v>0</v>
      </c>
      <c r="Z65" s="603">
        <v>0</v>
      </c>
      <c r="AA65" s="603">
        <v>0</v>
      </c>
      <c r="AB65" s="603">
        <v>0</v>
      </c>
      <c r="AC65" s="603">
        <v>0</v>
      </c>
      <c r="AD65" s="603">
        <v>0</v>
      </c>
      <c r="AE65" s="603">
        <v>0</v>
      </c>
      <c r="AF65" s="603">
        <v>0</v>
      </c>
      <c r="AG65" s="603">
        <v>0</v>
      </c>
      <c r="AH65" s="603">
        <v>0</v>
      </c>
      <c r="AI65" s="603">
        <v>0</v>
      </c>
      <c r="AJ65" s="603">
        <v>0</v>
      </c>
      <c r="AK65" s="603">
        <v>20396</v>
      </c>
      <c r="AL65" s="603">
        <v>0</v>
      </c>
      <c r="AM65" s="603">
        <v>0</v>
      </c>
      <c r="AN65" s="603">
        <v>0</v>
      </c>
      <c r="AO65" s="603">
        <v>0</v>
      </c>
      <c r="AP65" s="603">
        <v>0</v>
      </c>
      <c r="AQ65" s="603">
        <v>0</v>
      </c>
      <c r="AR65" s="603">
        <v>44404</v>
      </c>
      <c r="AS65" s="603">
        <v>0</v>
      </c>
      <c r="AT65" s="603">
        <v>0</v>
      </c>
      <c r="AU65" s="603">
        <v>0</v>
      </c>
      <c r="AV65" s="603">
        <v>0</v>
      </c>
      <c r="AW65" s="603">
        <v>0</v>
      </c>
      <c r="AX65" s="603">
        <v>0</v>
      </c>
      <c r="AY65" s="603">
        <v>0</v>
      </c>
      <c r="AZ65" s="603">
        <v>0</v>
      </c>
      <c r="BA65" s="603">
        <v>0</v>
      </c>
      <c r="BB65" s="603">
        <v>0</v>
      </c>
    </row>
    <row r="66" spans="1:54" x14ac:dyDescent="0.25">
      <c r="A66">
        <v>337</v>
      </c>
      <c r="B66">
        <v>337</v>
      </c>
      <c r="C66">
        <v>337</v>
      </c>
      <c r="D66" t="s">
        <v>334</v>
      </c>
      <c r="E66" t="s">
        <v>440</v>
      </c>
      <c r="F66" s="673">
        <v>0</v>
      </c>
      <c r="G66" s="673">
        <v>0</v>
      </c>
      <c r="H66" s="673">
        <v>0</v>
      </c>
      <c r="I66" s="673">
        <v>0</v>
      </c>
      <c r="J66" s="673">
        <v>0</v>
      </c>
      <c r="K66" s="673">
        <v>0</v>
      </c>
      <c r="L66" s="673">
        <v>0</v>
      </c>
      <c r="M66" s="673">
        <v>0</v>
      </c>
      <c r="N66" s="603">
        <v>0</v>
      </c>
      <c r="O66" s="603">
        <v>0</v>
      </c>
      <c r="P66" s="603">
        <v>0</v>
      </c>
      <c r="Q66" s="603">
        <v>0</v>
      </c>
      <c r="R66" s="603">
        <v>0</v>
      </c>
      <c r="S66" s="603">
        <v>0</v>
      </c>
      <c r="T66" s="603">
        <v>0</v>
      </c>
      <c r="U66" s="603">
        <v>0</v>
      </c>
      <c r="V66" s="603">
        <v>0</v>
      </c>
      <c r="W66" s="603">
        <v>0</v>
      </c>
      <c r="X66" s="603">
        <v>0</v>
      </c>
      <c r="Y66" s="603">
        <v>0</v>
      </c>
      <c r="Z66" s="603">
        <v>0</v>
      </c>
      <c r="AA66" s="603">
        <v>0</v>
      </c>
      <c r="AB66" s="603">
        <v>0</v>
      </c>
      <c r="AC66" s="603">
        <v>0</v>
      </c>
      <c r="AD66" s="603">
        <v>0</v>
      </c>
      <c r="AE66" s="603">
        <v>0</v>
      </c>
      <c r="AF66" s="603">
        <v>0</v>
      </c>
      <c r="AG66" s="603">
        <v>0</v>
      </c>
      <c r="AH66" s="603">
        <v>0</v>
      </c>
      <c r="AI66" s="603">
        <v>0</v>
      </c>
      <c r="AJ66" s="603">
        <v>0</v>
      </c>
      <c r="AK66" s="603">
        <v>0</v>
      </c>
      <c r="AL66" s="603">
        <v>0</v>
      </c>
      <c r="AM66" s="603">
        <v>0</v>
      </c>
      <c r="AN66" s="603">
        <v>0</v>
      </c>
      <c r="AO66" s="603">
        <v>0</v>
      </c>
      <c r="AP66" s="603">
        <v>0</v>
      </c>
      <c r="AQ66" s="603">
        <v>0</v>
      </c>
      <c r="AR66" s="603">
        <v>0</v>
      </c>
      <c r="AS66" s="603">
        <v>0</v>
      </c>
      <c r="AT66" s="603">
        <v>0</v>
      </c>
      <c r="AU66" s="603">
        <v>0</v>
      </c>
      <c r="AV66" s="603">
        <v>0</v>
      </c>
      <c r="AW66" s="603">
        <v>0</v>
      </c>
      <c r="AX66" s="603">
        <v>0</v>
      </c>
      <c r="AY66" s="603">
        <v>0</v>
      </c>
      <c r="AZ66" s="603">
        <v>0</v>
      </c>
      <c r="BA66" s="603">
        <v>0</v>
      </c>
      <c r="BB66" s="603">
        <v>0</v>
      </c>
    </row>
    <row r="67" spans="1:54" x14ac:dyDescent="0.25">
      <c r="A67">
        <v>338</v>
      </c>
      <c r="B67">
        <v>338</v>
      </c>
      <c r="C67">
        <v>338</v>
      </c>
      <c r="D67" t="s">
        <v>139</v>
      </c>
      <c r="E67" t="s">
        <v>441</v>
      </c>
      <c r="F67" s="673">
        <v>0</v>
      </c>
      <c r="G67" s="673">
        <v>0</v>
      </c>
      <c r="H67" s="673">
        <v>0</v>
      </c>
      <c r="I67" s="673">
        <v>0</v>
      </c>
      <c r="J67" s="673">
        <v>0</v>
      </c>
      <c r="K67" s="673">
        <v>0</v>
      </c>
      <c r="L67" s="673">
        <v>0</v>
      </c>
      <c r="M67" s="673">
        <v>0</v>
      </c>
      <c r="N67" s="603">
        <v>0</v>
      </c>
      <c r="O67" s="603">
        <v>0</v>
      </c>
      <c r="P67" s="603">
        <v>0</v>
      </c>
      <c r="Q67" s="603">
        <v>0</v>
      </c>
      <c r="R67" s="603">
        <v>0</v>
      </c>
      <c r="S67" s="603">
        <v>0</v>
      </c>
      <c r="T67" s="603">
        <v>0</v>
      </c>
      <c r="U67" s="603">
        <v>0</v>
      </c>
      <c r="V67" s="603">
        <v>0</v>
      </c>
      <c r="W67" s="603">
        <v>0</v>
      </c>
      <c r="X67" s="603">
        <v>0</v>
      </c>
      <c r="Y67" s="603">
        <v>0</v>
      </c>
      <c r="Z67" s="603">
        <v>0</v>
      </c>
      <c r="AA67" s="603">
        <v>0</v>
      </c>
      <c r="AB67" s="603">
        <v>0</v>
      </c>
      <c r="AC67" s="603">
        <v>0</v>
      </c>
      <c r="AD67" s="603">
        <v>0</v>
      </c>
      <c r="AE67" s="603">
        <v>0</v>
      </c>
      <c r="AF67" s="603">
        <v>0</v>
      </c>
      <c r="AG67" s="603">
        <v>0</v>
      </c>
      <c r="AH67" s="603">
        <v>0</v>
      </c>
      <c r="AI67" s="603">
        <v>0</v>
      </c>
      <c r="AJ67" s="603">
        <v>0</v>
      </c>
      <c r="AK67" s="603">
        <v>20396</v>
      </c>
      <c r="AL67" s="603">
        <v>0</v>
      </c>
      <c r="AM67" s="603">
        <v>0</v>
      </c>
      <c r="AN67" s="603">
        <v>0</v>
      </c>
      <c r="AO67" s="603">
        <v>0</v>
      </c>
      <c r="AP67" s="603">
        <v>0</v>
      </c>
      <c r="AQ67" s="603">
        <v>0</v>
      </c>
      <c r="AR67" s="603">
        <v>0</v>
      </c>
      <c r="AS67" s="603">
        <v>0</v>
      </c>
      <c r="AT67" s="603">
        <v>0</v>
      </c>
      <c r="AU67" s="603">
        <v>0</v>
      </c>
      <c r="AV67" s="603">
        <v>0</v>
      </c>
      <c r="AW67" s="603">
        <v>0</v>
      </c>
      <c r="AX67" s="603">
        <v>0</v>
      </c>
      <c r="AY67" s="603">
        <v>0</v>
      </c>
      <c r="AZ67" s="603">
        <v>0</v>
      </c>
      <c r="BA67" s="603">
        <v>0</v>
      </c>
      <c r="BB67" s="603">
        <v>0</v>
      </c>
    </row>
    <row r="68" spans="1:54" x14ac:dyDescent="0.25">
      <c r="A68">
        <v>339</v>
      </c>
      <c r="B68">
        <v>339</v>
      </c>
      <c r="C68">
        <v>339</v>
      </c>
      <c r="D68" t="s">
        <v>270</v>
      </c>
      <c r="E68" t="s">
        <v>442</v>
      </c>
      <c r="F68" s="673">
        <v>0</v>
      </c>
      <c r="G68" s="673">
        <v>0</v>
      </c>
      <c r="H68" s="673">
        <v>0</v>
      </c>
      <c r="I68" s="673">
        <v>0</v>
      </c>
      <c r="J68" s="673">
        <v>0</v>
      </c>
      <c r="K68" s="673">
        <v>0</v>
      </c>
      <c r="L68" s="673">
        <v>0</v>
      </c>
      <c r="M68" s="673">
        <v>0</v>
      </c>
      <c r="N68" s="603">
        <v>0</v>
      </c>
      <c r="O68" s="603">
        <v>0</v>
      </c>
      <c r="P68" s="603">
        <v>0</v>
      </c>
      <c r="Q68" s="603">
        <v>0</v>
      </c>
      <c r="R68" s="603">
        <v>0</v>
      </c>
      <c r="S68" s="603">
        <v>0</v>
      </c>
      <c r="T68" s="603">
        <v>0</v>
      </c>
      <c r="U68" s="603">
        <v>0</v>
      </c>
      <c r="V68" s="603">
        <v>0</v>
      </c>
      <c r="W68" s="603">
        <v>0</v>
      </c>
      <c r="X68" s="603">
        <v>0</v>
      </c>
      <c r="Y68" s="603">
        <v>0</v>
      </c>
      <c r="Z68" s="603">
        <v>0</v>
      </c>
      <c r="AA68" s="603">
        <v>0</v>
      </c>
      <c r="AB68" s="603">
        <v>0</v>
      </c>
      <c r="AC68" s="603">
        <v>0</v>
      </c>
      <c r="AD68" s="603">
        <v>0</v>
      </c>
      <c r="AE68" s="603">
        <v>0</v>
      </c>
      <c r="AF68" s="603">
        <v>0</v>
      </c>
      <c r="AG68" s="603">
        <v>0</v>
      </c>
      <c r="AH68" s="603">
        <v>0</v>
      </c>
      <c r="AI68" s="603">
        <v>0</v>
      </c>
      <c r="AJ68" s="603">
        <v>0</v>
      </c>
      <c r="AK68" s="603">
        <v>10600</v>
      </c>
      <c r="AL68" s="603">
        <v>0</v>
      </c>
      <c r="AM68" s="603">
        <v>0</v>
      </c>
      <c r="AN68" s="603">
        <v>0</v>
      </c>
      <c r="AO68" s="603">
        <v>0</v>
      </c>
      <c r="AP68" s="603">
        <v>0</v>
      </c>
      <c r="AQ68" s="603">
        <v>0</v>
      </c>
      <c r="AR68" s="603">
        <v>0</v>
      </c>
      <c r="AS68" s="603">
        <v>0</v>
      </c>
      <c r="AT68" s="603">
        <v>0</v>
      </c>
      <c r="AU68" s="603">
        <v>0</v>
      </c>
      <c r="AV68" s="603">
        <v>0</v>
      </c>
      <c r="AW68" s="603">
        <v>0</v>
      </c>
      <c r="AX68" s="603">
        <v>0</v>
      </c>
      <c r="AY68" s="603">
        <v>0</v>
      </c>
      <c r="AZ68" s="603">
        <v>0</v>
      </c>
      <c r="BA68" s="603">
        <v>0</v>
      </c>
      <c r="BB68" s="603">
        <v>0</v>
      </c>
    </row>
    <row r="69" spans="1:54" x14ac:dyDescent="0.25">
      <c r="A69">
        <v>341</v>
      </c>
      <c r="B69">
        <v>341</v>
      </c>
      <c r="C69">
        <v>341</v>
      </c>
      <c r="D69" t="s">
        <v>273</v>
      </c>
      <c r="E69" t="s">
        <v>443</v>
      </c>
      <c r="F69" s="673">
        <v>0</v>
      </c>
      <c r="G69" s="673">
        <v>0</v>
      </c>
      <c r="H69" s="673">
        <v>0</v>
      </c>
      <c r="I69" s="673">
        <v>0</v>
      </c>
      <c r="J69" s="673">
        <v>0</v>
      </c>
      <c r="K69" s="673">
        <v>0</v>
      </c>
      <c r="L69" s="673">
        <v>0</v>
      </c>
      <c r="M69" s="673">
        <v>0</v>
      </c>
      <c r="N69" s="603">
        <v>0</v>
      </c>
      <c r="O69" s="603">
        <v>0</v>
      </c>
      <c r="P69" s="603">
        <v>0</v>
      </c>
      <c r="Q69" s="603">
        <v>0</v>
      </c>
      <c r="R69" s="603">
        <v>0</v>
      </c>
      <c r="S69" s="603">
        <v>0</v>
      </c>
      <c r="T69" s="603">
        <v>0</v>
      </c>
      <c r="U69" s="603">
        <v>0</v>
      </c>
      <c r="V69" s="603">
        <v>0</v>
      </c>
      <c r="W69" s="603">
        <v>0</v>
      </c>
      <c r="X69" s="603">
        <v>0</v>
      </c>
      <c r="Y69" s="603">
        <v>0</v>
      </c>
      <c r="Z69" s="603">
        <v>0</v>
      </c>
      <c r="AA69" s="603">
        <v>0</v>
      </c>
      <c r="AB69" s="603">
        <v>0</v>
      </c>
      <c r="AC69" s="603">
        <v>0</v>
      </c>
      <c r="AD69" s="603">
        <v>0</v>
      </c>
      <c r="AE69" s="603">
        <v>0</v>
      </c>
      <c r="AF69" s="603">
        <v>0</v>
      </c>
      <c r="AG69" s="603">
        <v>0</v>
      </c>
      <c r="AH69" s="603">
        <v>0</v>
      </c>
      <c r="AI69" s="603">
        <v>0</v>
      </c>
      <c r="AJ69" s="603">
        <v>0</v>
      </c>
      <c r="AK69" s="603">
        <v>69651</v>
      </c>
      <c r="AL69" s="603">
        <v>0</v>
      </c>
      <c r="AM69" s="603">
        <v>0</v>
      </c>
      <c r="AN69" s="603">
        <v>0</v>
      </c>
      <c r="AO69" s="603">
        <v>0</v>
      </c>
      <c r="AP69" s="603">
        <v>0</v>
      </c>
      <c r="AQ69" s="603">
        <v>0</v>
      </c>
      <c r="AR69" s="603">
        <v>0</v>
      </c>
      <c r="AS69" s="603">
        <v>0</v>
      </c>
      <c r="AT69" s="603">
        <v>0</v>
      </c>
      <c r="AU69" s="603">
        <v>0</v>
      </c>
      <c r="AV69" s="603">
        <v>0</v>
      </c>
      <c r="AW69" s="603">
        <v>0</v>
      </c>
      <c r="AX69" s="603">
        <v>0</v>
      </c>
      <c r="AY69" s="603">
        <v>0</v>
      </c>
      <c r="AZ69" s="603">
        <v>0</v>
      </c>
      <c r="BA69" s="603">
        <v>0</v>
      </c>
      <c r="BB69" s="603">
        <v>0</v>
      </c>
    </row>
    <row r="70" spans="1:54" x14ac:dyDescent="0.25">
      <c r="A70">
        <v>343</v>
      </c>
      <c r="B70">
        <v>343</v>
      </c>
      <c r="C70">
        <v>343</v>
      </c>
      <c r="D70" t="s">
        <v>335</v>
      </c>
      <c r="E70" t="s">
        <v>444</v>
      </c>
      <c r="F70" s="673">
        <v>0</v>
      </c>
      <c r="G70" s="673">
        <v>0</v>
      </c>
      <c r="H70" s="673">
        <v>0</v>
      </c>
      <c r="I70" s="673">
        <v>0</v>
      </c>
      <c r="J70" s="673">
        <v>0</v>
      </c>
      <c r="K70" s="673">
        <v>0</v>
      </c>
      <c r="L70" s="673">
        <v>0</v>
      </c>
      <c r="M70" s="673">
        <v>0</v>
      </c>
      <c r="N70" s="603">
        <v>0</v>
      </c>
      <c r="O70" s="603">
        <v>0</v>
      </c>
      <c r="P70" s="603">
        <v>0</v>
      </c>
      <c r="Q70" s="603">
        <v>0</v>
      </c>
      <c r="R70" s="603">
        <v>0</v>
      </c>
      <c r="S70" s="603">
        <v>0</v>
      </c>
      <c r="T70" s="603">
        <v>0</v>
      </c>
      <c r="U70" s="603">
        <v>0</v>
      </c>
      <c r="V70" s="603">
        <v>0</v>
      </c>
      <c r="W70" s="603">
        <v>0</v>
      </c>
      <c r="X70" s="603">
        <v>0</v>
      </c>
      <c r="Y70" s="603">
        <v>0</v>
      </c>
      <c r="Z70" s="603">
        <v>0</v>
      </c>
      <c r="AA70" s="603">
        <v>0</v>
      </c>
      <c r="AB70" s="603">
        <v>0</v>
      </c>
      <c r="AC70" s="603">
        <v>0</v>
      </c>
      <c r="AD70" s="603">
        <v>0</v>
      </c>
      <c r="AE70" s="603">
        <v>0</v>
      </c>
      <c r="AF70" s="603">
        <v>0</v>
      </c>
      <c r="AG70" s="603">
        <v>0</v>
      </c>
      <c r="AH70" s="603">
        <v>0</v>
      </c>
      <c r="AI70" s="603">
        <v>0</v>
      </c>
      <c r="AJ70" s="603">
        <v>0</v>
      </c>
      <c r="AK70" s="603">
        <v>0</v>
      </c>
      <c r="AL70" s="603">
        <v>0</v>
      </c>
      <c r="AM70" s="603">
        <v>0</v>
      </c>
      <c r="AN70" s="603">
        <v>0</v>
      </c>
      <c r="AO70" s="603">
        <v>0</v>
      </c>
      <c r="AP70" s="603">
        <v>0</v>
      </c>
      <c r="AQ70" s="603">
        <v>0</v>
      </c>
      <c r="AR70" s="603">
        <v>0</v>
      </c>
      <c r="AS70" s="603">
        <v>0</v>
      </c>
      <c r="AT70" s="603">
        <v>0</v>
      </c>
      <c r="AU70" s="603">
        <v>0</v>
      </c>
      <c r="AV70" s="603">
        <v>0</v>
      </c>
      <c r="AW70" s="603">
        <v>0</v>
      </c>
      <c r="AX70" s="603">
        <v>0</v>
      </c>
      <c r="AY70" s="603">
        <v>0</v>
      </c>
      <c r="AZ70" s="603">
        <v>0</v>
      </c>
      <c r="BA70" s="603">
        <v>0</v>
      </c>
      <c r="BB70" s="603">
        <v>0</v>
      </c>
    </row>
    <row r="71" spans="1:54" x14ac:dyDescent="0.25">
      <c r="A71">
        <v>344</v>
      </c>
      <c r="B71">
        <v>344</v>
      </c>
      <c r="C71">
        <v>344</v>
      </c>
      <c r="D71" t="s">
        <v>268</v>
      </c>
      <c r="E71" t="s">
        <v>445</v>
      </c>
      <c r="F71" s="673">
        <v>0</v>
      </c>
      <c r="G71" s="673">
        <v>0</v>
      </c>
      <c r="H71" s="673">
        <v>0</v>
      </c>
      <c r="I71" s="673">
        <v>0</v>
      </c>
      <c r="J71" s="673">
        <v>0</v>
      </c>
      <c r="K71" s="673">
        <v>0</v>
      </c>
      <c r="L71" s="673">
        <v>0</v>
      </c>
      <c r="M71" s="673">
        <v>0</v>
      </c>
      <c r="N71" s="603">
        <v>0</v>
      </c>
      <c r="O71" s="603">
        <v>0</v>
      </c>
      <c r="P71" s="603">
        <v>0</v>
      </c>
      <c r="Q71" s="603">
        <v>0</v>
      </c>
      <c r="R71" s="603">
        <v>0</v>
      </c>
      <c r="S71" s="603">
        <v>0</v>
      </c>
      <c r="T71" s="603">
        <v>0</v>
      </c>
      <c r="U71" s="603">
        <v>0</v>
      </c>
      <c r="V71" s="603">
        <v>0</v>
      </c>
      <c r="W71" s="603">
        <v>0</v>
      </c>
      <c r="X71" s="603">
        <v>0</v>
      </c>
      <c r="Y71" s="603">
        <v>0</v>
      </c>
      <c r="Z71" s="603">
        <v>0</v>
      </c>
      <c r="AA71" s="603">
        <v>0</v>
      </c>
      <c r="AB71" s="603">
        <v>0</v>
      </c>
      <c r="AC71" s="603">
        <v>0</v>
      </c>
      <c r="AD71" s="603">
        <v>0</v>
      </c>
      <c r="AE71" s="603">
        <v>0</v>
      </c>
      <c r="AF71" s="603">
        <v>0</v>
      </c>
      <c r="AG71" s="603">
        <v>0</v>
      </c>
      <c r="AH71" s="603">
        <v>0</v>
      </c>
      <c r="AI71" s="603">
        <v>0</v>
      </c>
      <c r="AJ71" s="603">
        <v>0</v>
      </c>
      <c r="AK71" s="603">
        <v>0</v>
      </c>
      <c r="AL71" s="603">
        <v>0</v>
      </c>
      <c r="AM71" s="603">
        <v>0</v>
      </c>
      <c r="AN71" s="603">
        <v>0</v>
      </c>
      <c r="AO71" s="603">
        <v>0</v>
      </c>
      <c r="AP71" s="603">
        <v>0</v>
      </c>
      <c r="AQ71" s="603">
        <v>0</v>
      </c>
      <c r="AR71" s="603">
        <v>0</v>
      </c>
      <c r="AS71" s="603">
        <v>0</v>
      </c>
      <c r="AT71" s="603">
        <v>0</v>
      </c>
      <c r="AU71" s="603">
        <v>0</v>
      </c>
      <c r="AV71" s="603">
        <v>0</v>
      </c>
      <c r="AW71" s="603">
        <v>0</v>
      </c>
      <c r="AX71" s="603">
        <v>0</v>
      </c>
      <c r="AY71" s="603">
        <v>0</v>
      </c>
      <c r="AZ71" s="603">
        <v>0</v>
      </c>
      <c r="BA71" s="603">
        <v>0</v>
      </c>
      <c r="BB71" s="603">
        <v>0</v>
      </c>
    </row>
    <row r="72" spans="1:54" x14ac:dyDescent="0.25">
      <c r="A72">
        <v>349</v>
      </c>
      <c r="B72">
        <v>349</v>
      </c>
      <c r="C72">
        <v>349</v>
      </c>
      <c r="D72" t="s">
        <v>145</v>
      </c>
      <c r="E72" t="s">
        <v>446</v>
      </c>
      <c r="F72" s="673">
        <v>3846197</v>
      </c>
      <c r="G72" s="673">
        <v>6564001</v>
      </c>
      <c r="H72" s="673">
        <v>17299842</v>
      </c>
      <c r="I72" s="673">
        <v>7214348</v>
      </c>
      <c r="J72" s="673">
        <v>126980900</v>
      </c>
      <c r="K72" s="673">
        <v>16491712</v>
      </c>
      <c r="L72" s="673">
        <v>316448978</v>
      </c>
      <c r="M72" s="673">
        <v>6205084</v>
      </c>
      <c r="N72" s="603">
        <v>0</v>
      </c>
      <c r="O72" s="603">
        <v>16114647</v>
      </c>
      <c r="P72" s="603">
        <v>9985914</v>
      </c>
      <c r="Q72" s="603">
        <v>947350</v>
      </c>
      <c r="R72" s="603">
        <v>368188604</v>
      </c>
      <c r="S72" s="603">
        <v>1421984</v>
      </c>
      <c r="T72" s="603">
        <v>2662322</v>
      </c>
      <c r="U72" s="603">
        <v>4524880</v>
      </c>
      <c r="V72" s="603">
        <v>1495060</v>
      </c>
      <c r="W72" s="603">
        <v>116562441</v>
      </c>
      <c r="X72" s="603">
        <v>13263351</v>
      </c>
      <c r="Y72" s="603">
        <v>419776</v>
      </c>
      <c r="Z72" s="603">
        <v>4389027</v>
      </c>
      <c r="AA72" s="603">
        <v>23236906</v>
      </c>
      <c r="AB72" s="603">
        <v>2800011</v>
      </c>
      <c r="AC72" s="603">
        <v>17439286</v>
      </c>
      <c r="AD72" s="603">
        <v>36173</v>
      </c>
      <c r="AE72" s="603">
        <v>76596599</v>
      </c>
      <c r="AF72" s="603">
        <v>4097032</v>
      </c>
      <c r="AG72" s="603">
        <v>2132463</v>
      </c>
      <c r="AH72" s="603">
        <v>88119991</v>
      </c>
      <c r="AI72" s="603">
        <v>92577331</v>
      </c>
      <c r="AJ72" s="603">
        <v>16925901</v>
      </c>
      <c r="AK72" s="603">
        <v>122684</v>
      </c>
      <c r="AL72" s="603">
        <v>15779091</v>
      </c>
      <c r="AM72" s="603">
        <v>1795257</v>
      </c>
      <c r="AN72" s="603">
        <v>8163</v>
      </c>
      <c r="AO72" s="603">
        <v>41941425</v>
      </c>
      <c r="AP72" s="603">
        <v>4914009</v>
      </c>
      <c r="AQ72" s="603">
        <v>9475309</v>
      </c>
      <c r="AR72" s="603">
        <v>270047</v>
      </c>
      <c r="AS72" s="603">
        <v>871108</v>
      </c>
      <c r="AT72" s="603">
        <v>7759699</v>
      </c>
      <c r="AU72" s="603">
        <v>8463</v>
      </c>
      <c r="AV72" s="603">
        <v>16750</v>
      </c>
      <c r="AW72" s="603">
        <v>13407780</v>
      </c>
      <c r="AX72" s="603">
        <v>0</v>
      </c>
      <c r="AY72" s="603">
        <v>72386</v>
      </c>
      <c r="AZ72" s="603">
        <v>682</v>
      </c>
      <c r="BA72" s="603">
        <v>801679</v>
      </c>
      <c r="BB72" s="603">
        <v>5754202</v>
      </c>
    </row>
    <row r="73" spans="1:54" x14ac:dyDescent="0.25">
      <c r="A73">
        <v>350</v>
      </c>
      <c r="B73">
        <v>350</v>
      </c>
      <c r="C73">
        <v>350</v>
      </c>
      <c r="D73" t="s">
        <v>311</v>
      </c>
      <c r="E73" t="s">
        <v>447</v>
      </c>
      <c r="F73" s="673">
        <v>15274</v>
      </c>
      <c r="G73" s="673">
        <v>75285</v>
      </c>
      <c r="H73" s="673">
        <v>31212</v>
      </c>
      <c r="I73" s="673">
        <v>354540</v>
      </c>
      <c r="J73" s="673">
        <v>1844280</v>
      </c>
      <c r="K73" s="673">
        <v>535395</v>
      </c>
      <c r="L73" s="673">
        <v>8394960</v>
      </c>
      <c r="M73" s="673">
        <v>1648708</v>
      </c>
      <c r="N73" s="603">
        <v>0</v>
      </c>
      <c r="O73" s="603">
        <v>182985</v>
      </c>
      <c r="P73" s="603">
        <v>76352</v>
      </c>
      <c r="Q73" s="603">
        <v>41287</v>
      </c>
      <c r="R73" s="603">
        <v>5446947</v>
      </c>
      <c r="S73" s="603">
        <v>112307</v>
      </c>
      <c r="T73" s="603">
        <v>53379</v>
      </c>
      <c r="U73" s="603">
        <v>22124</v>
      </c>
      <c r="V73" s="603">
        <v>82</v>
      </c>
      <c r="W73" s="603">
        <v>2111511</v>
      </c>
      <c r="X73" s="603">
        <v>11213</v>
      </c>
      <c r="Y73" s="603">
        <v>973</v>
      </c>
      <c r="Z73" s="603">
        <v>475278</v>
      </c>
      <c r="AA73" s="603">
        <v>1099193</v>
      </c>
      <c r="AB73" s="603">
        <v>135658</v>
      </c>
      <c r="AC73" s="603">
        <v>24039</v>
      </c>
      <c r="AD73" s="603">
        <v>36550</v>
      </c>
      <c r="AE73" s="603">
        <v>410262</v>
      </c>
      <c r="AF73" s="603">
        <v>40339</v>
      </c>
      <c r="AG73" s="603">
        <v>43731</v>
      </c>
      <c r="AH73" s="603">
        <v>5847043</v>
      </c>
      <c r="AI73" s="603">
        <v>2230461</v>
      </c>
      <c r="AJ73" s="603">
        <v>174278</v>
      </c>
      <c r="AK73" s="603">
        <v>1367</v>
      </c>
      <c r="AL73" s="603">
        <v>622091</v>
      </c>
      <c r="AM73" s="603">
        <v>2383</v>
      </c>
      <c r="AN73" s="603">
        <v>148868</v>
      </c>
      <c r="AO73" s="603">
        <v>1191251</v>
      </c>
      <c r="AP73" s="603">
        <v>105302</v>
      </c>
      <c r="AQ73" s="603">
        <v>168307</v>
      </c>
      <c r="AR73" s="603">
        <v>55441</v>
      </c>
      <c r="AS73" s="603">
        <v>23183</v>
      </c>
      <c r="AT73" s="603">
        <v>7391</v>
      </c>
      <c r="AU73" s="603">
        <v>23215</v>
      </c>
      <c r="AV73" s="603">
        <v>7751</v>
      </c>
      <c r="AW73" s="603">
        <v>314908</v>
      </c>
      <c r="AX73" s="603">
        <v>0</v>
      </c>
      <c r="AY73" s="603">
        <v>4</v>
      </c>
      <c r="AZ73" s="603">
        <v>0</v>
      </c>
      <c r="BA73" s="603">
        <v>134152</v>
      </c>
      <c r="BB73" s="603">
        <v>51368</v>
      </c>
    </row>
    <row r="74" spans="1:54" x14ac:dyDescent="0.25">
      <c r="A74">
        <v>351</v>
      </c>
      <c r="B74">
        <v>351</v>
      </c>
      <c r="C74">
        <v>351</v>
      </c>
      <c r="D74" t="s">
        <v>312</v>
      </c>
      <c r="E74" t="s">
        <v>448</v>
      </c>
      <c r="F74" s="673">
        <v>110196</v>
      </c>
      <c r="G74" s="673">
        <v>78462</v>
      </c>
      <c r="H74" s="673">
        <v>534911</v>
      </c>
      <c r="I74" s="673">
        <v>106423</v>
      </c>
      <c r="J74" s="673">
        <v>3834724</v>
      </c>
      <c r="K74" s="673">
        <v>325541</v>
      </c>
      <c r="L74" s="673">
        <v>8660674</v>
      </c>
      <c r="M74" s="673">
        <v>23767</v>
      </c>
      <c r="N74" s="603">
        <v>0</v>
      </c>
      <c r="O74" s="603">
        <v>563803</v>
      </c>
      <c r="P74" s="603">
        <v>143398</v>
      </c>
      <c r="Q74" s="603">
        <v>0</v>
      </c>
      <c r="R74" s="603">
        <v>9712646</v>
      </c>
      <c r="S74" s="603">
        <v>74950</v>
      </c>
      <c r="T74" s="603">
        <v>95189</v>
      </c>
      <c r="U74" s="603">
        <v>4931</v>
      </c>
      <c r="V74" s="603">
        <v>0</v>
      </c>
      <c r="W74" s="603">
        <v>2652357</v>
      </c>
      <c r="X74" s="603">
        <v>74002</v>
      </c>
      <c r="Y74" s="603">
        <v>16504</v>
      </c>
      <c r="Z74" s="603">
        <v>23754</v>
      </c>
      <c r="AA74" s="603">
        <v>420396</v>
      </c>
      <c r="AB74" s="603">
        <v>56386</v>
      </c>
      <c r="AC74" s="603">
        <v>499473</v>
      </c>
      <c r="AD74" s="603">
        <v>34896</v>
      </c>
      <c r="AE74" s="603">
        <v>2946861</v>
      </c>
      <c r="AF74" s="603">
        <v>12409</v>
      </c>
      <c r="AG74" s="603">
        <v>87394</v>
      </c>
      <c r="AH74" s="603">
        <v>1930355</v>
      </c>
      <c r="AI74" s="603">
        <v>2408198</v>
      </c>
      <c r="AJ74" s="603">
        <v>467838</v>
      </c>
      <c r="AK74" s="603">
        <v>1724</v>
      </c>
      <c r="AL74" s="603">
        <v>55856</v>
      </c>
      <c r="AM74" s="603">
        <v>84229</v>
      </c>
      <c r="AN74" s="603">
        <v>0</v>
      </c>
      <c r="AO74" s="603">
        <v>1530698</v>
      </c>
      <c r="AP74" s="603">
        <v>214198</v>
      </c>
      <c r="AQ74" s="603">
        <v>109674</v>
      </c>
      <c r="AR74" s="603">
        <v>114719</v>
      </c>
      <c r="AS74" s="603">
        <v>15742</v>
      </c>
      <c r="AT74" s="603">
        <v>246037</v>
      </c>
      <c r="AU74" s="603">
        <v>0</v>
      </c>
      <c r="AV74" s="603">
        <v>0</v>
      </c>
      <c r="AW74" s="603">
        <v>452889</v>
      </c>
      <c r="AX74" s="603">
        <v>0</v>
      </c>
      <c r="AY74" s="603">
        <v>5233</v>
      </c>
      <c r="AZ74" s="603">
        <v>0</v>
      </c>
      <c r="BA74" s="603">
        <v>852</v>
      </c>
      <c r="BB74" s="603">
        <v>69475</v>
      </c>
    </row>
    <row r="75" spans="1:54" x14ac:dyDescent="0.25">
      <c r="A75">
        <v>352</v>
      </c>
      <c r="B75">
        <v>352</v>
      </c>
      <c r="C75">
        <v>352</v>
      </c>
      <c r="D75" t="s">
        <v>314</v>
      </c>
      <c r="E75" t="s">
        <v>449</v>
      </c>
      <c r="F75" s="673">
        <v>0</v>
      </c>
      <c r="G75" s="673">
        <v>0</v>
      </c>
      <c r="H75" s="673">
        <v>0</v>
      </c>
      <c r="I75" s="673">
        <v>0</v>
      </c>
      <c r="J75" s="673">
        <v>0</v>
      </c>
      <c r="K75" s="673">
        <v>0</v>
      </c>
      <c r="L75" s="673">
        <v>0</v>
      </c>
      <c r="M75" s="673">
        <v>0</v>
      </c>
      <c r="N75" s="603">
        <v>0</v>
      </c>
      <c r="O75" s="603">
        <v>0</v>
      </c>
      <c r="P75" s="603">
        <v>0</v>
      </c>
      <c r="Q75" s="603">
        <v>0</v>
      </c>
      <c r="R75" s="603">
        <v>4323300</v>
      </c>
      <c r="S75" s="603">
        <v>0</v>
      </c>
      <c r="T75" s="603">
        <v>0</v>
      </c>
      <c r="U75" s="603">
        <v>0</v>
      </c>
      <c r="V75" s="603">
        <v>0</v>
      </c>
      <c r="W75" s="603">
        <v>0</v>
      </c>
      <c r="X75" s="603">
        <v>0</v>
      </c>
      <c r="Y75" s="603">
        <v>0</v>
      </c>
      <c r="Z75" s="603">
        <v>0</v>
      </c>
      <c r="AA75" s="603">
        <v>0</v>
      </c>
      <c r="AB75" s="603">
        <v>0</v>
      </c>
      <c r="AC75" s="603">
        <v>0</v>
      </c>
      <c r="AD75" s="603">
        <v>0</v>
      </c>
      <c r="AE75" s="603">
        <v>0</v>
      </c>
      <c r="AF75" s="603">
        <v>0</v>
      </c>
      <c r="AG75" s="603">
        <v>0</v>
      </c>
      <c r="AH75" s="603">
        <v>0</v>
      </c>
      <c r="AI75" s="603">
        <v>0</v>
      </c>
      <c r="AJ75" s="603">
        <v>0</v>
      </c>
      <c r="AK75" s="603">
        <v>0</v>
      </c>
      <c r="AL75" s="603">
        <v>0</v>
      </c>
      <c r="AM75" s="603">
        <v>0</v>
      </c>
      <c r="AN75" s="603">
        <v>0</v>
      </c>
      <c r="AO75" s="603">
        <v>0</v>
      </c>
      <c r="AP75" s="603">
        <v>0</v>
      </c>
      <c r="AQ75" s="603">
        <v>0</v>
      </c>
      <c r="AR75" s="603">
        <v>0</v>
      </c>
      <c r="AS75" s="603">
        <v>0</v>
      </c>
      <c r="AT75" s="603">
        <v>0</v>
      </c>
      <c r="AU75" s="603">
        <v>0</v>
      </c>
      <c r="AV75" s="603">
        <v>0</v>
      </c>
      <c r="AW75" s="603">
        <v>0</v>
      </c>
      <c r="AX75" s="603">
        <v>0</v>
      </c>
      <c r="AY75" s="603">
        <v>0</v>
      </c>
      <c r="AZ75" s="603">
        <v>0</v>
      </c>
      <c r="BA75" s="603">
        <v>0</v>
      </c>
      <c r="BB75" s="603">
        <v>0</v>
      </c>
    </row>
    <row r="76" spans="1:54" x14ac:dyDescent="0.25">
      <c r="A76">
        <v>353</v>
      </c>
      <c r="B76">
        <v>353</v>
      </c>
      <c r="C76">
        <v>353</v>
      </c>
      <c r="D76" t="s">
        <v>315</v>
      </c>
      <c r="E76" t="s">
        <v>450</v>
      </c>
      <c r="F76" s="673">
        <v>0</v>
      </c>
      <c r="G76" s="673">
        <v>0</v>
      </c>
      <c r="H76" s="673">
        <v>0</v>
      </c>
      <c r="I76" s="673">
        <v>0</v>
      </c>
      <c r="J76" s="673">
        <v>0</v>
      </c>
      <c r="K76" s="673">
        <v>0</v>
      </c>
      <c r="L76" s="673">
        <v>0</v>
      </c>
      <c r="M76" s="673">
        <v>0</v>
      </c>
      <c r="N76" s="603">
        <v>0</v>
      </c>
      <c r="O76" s="603">
        <v>0</v>
      </c>
      <c r="P76" s="603">
        <v>0</v>
      </c>
      <c r="Q76" s="603">
        <v>0</v>
      </c>
      <c r="R76" s="603">
        <v>387382</v>
      </c>
      <c r="S76" s="603">
        <v>0</v>
      </c>
      <c r="T76" s="603">
        <v>0</v>
      </c>
      <c r="U76" s="603">
        <v>0</v>
      </c>
      <c r="V76" s="603">
        <v>0</v>
      </c>
      <c r="W76" s="603">
        <v>0</v>
      </c>
      <c r="X76" s="603">
        <v>0</v>
      </c>
      <c r="Y76" s="603">
        <v>0</v>
      </c>
      <c r="Z76" s="603">
        <v>0</v>
      </c>
      <c r="AA76" s="603">
        <v>0</v>
      </c>
      <c r="AB76" s="603">
        <v>0</v>
      </c>
      <c r="AC76" s="603">
        <v>0</v>
      </c>
      <c r="AD76" s="603">
        <v>0</v>
      </c>
      <c r="AE76" s="603">
        <v>0</v>
      </c>
      <c r="AF76" s="603">
        <v>0</v>
      </c>
      <c r="AG76" s="603">
        <v>0</v>
      </c>
      <c r="AH76" s="603">
        <v>0</v>
      </c>
      <c r="AI76" s="603">
        <v>0</v>
      </c>
      <c r="AJ76" s="603">
        <v>0</v>
      </c>
      <c r="AK76" s="603">
        <v>0</v>
      </c>
      <c r="AL76" s="603">
        <v>0</v>
      </c>
      <c r="AM76" s="603">
        <v>0</v>
      </c>
      <c r="AN76" s="603">
        <v>0</v>
      </c>
      <c r="AO76" s="603">
        <v>0</v>
      </c>
      <c r="AP76" s="603">
        <v>0</v>
      </c>
      <c r="AQ76" s="603">
        <v>0</v>
      </c>
      <c r="AR76" s="603">
        <v>0</v>
      </c>
      <c r="AS76" s="603">
        <v>0</v>
      </c>
      <c r="AT76" s="603">
        <v>0</v>
      </c>
      <c r="AU76" s="603">
        <v>0</v>
      </c>
      <c r="AV76" s="603">
        <v>0</v>
      </c>
      <c r="AW76" s="603">
        <v>0</v>
      </c>
      <c r="AX76" s="603">
        <v>0</v>
      </c>
      <c r="AY76" s="603">
        <v>0</v>
      </c>
      <c r="AZ76" s="603">
        <v>0</v>
      </c>
      <c r="BA76" s="603">
        <v>0</v>
      </c>
      <c r="BB76" s="603">
        <v>0</v>
      </c>
    </row>
    <row r="77" spans="1:54" x14ac:dyDescent="0.25">
      <c r="A77">
        <v>356</v>
      </c>
      <c r="B77">
        <v>356</v>
      </c>
      <c r="C77">
        <v>356</v>
      </c>
      <c r="D77" t="s">
        <v>570</v>
      </c>
      <c r="E77" t="s">
        <v>451</v>
      </c>
      <c r="F77" s="673">
        <v>0</v>
      </c>
      <c r="G77" s="673">
        <v>0</v>
      </c>
      <c r="H77" s="673">
        <v>0</v>
      </c>
      <c r="I77" s="673">
        <v>0</v>
      </c>
      <c r="J77" s="673">
        <v>0</v>
      </c>
      <c r="K77" s="673">
        <v>0</v>
      </c>
      <c r="L77" s="673">
        <v>0</v>
      </c>
      <c r="M77" s="673">
        <v>0</v>
      </c>
      <c r="N77" s="603">
        <v>0</v>
      </c>
      <c r="O77" s="603">
        <v>0</v>
      </c>
      <c r="P77" s="603">
        <v>0</v>
      </c>
      <c r="Q77" s="603">
        <v>0</v>
      </c>
      <c r="R77" s="603">
        <v>581496008</v>
      </c>
      <c r="S77" s="603">
        <v>0</v>
      </c>
      <c r="T77" s="603">
        <v>0</v>
      </c>
      <c r="U77" s="603">
        <v>0</v>
      </c>
      <c r="V77" s="603">
        <v>0</v>
      </c>
      <c r="W77" s="603">
        <v>302109064</v>
      </c>
      <c r="X77" s="603">
        <v>0</v>
      </c>
      <c r="Y77" s="603">
        <v>0</v>
      </c>
      <c r="Z77" s="603">
        <v>0</v>
      </c>
      <c r="AA77" s="603">
        <v>0</v>
      </c>
      <c r="AB77" s="603">
        <v>0</v>
      </c>
      <c r="AC77" s="603">
        <v>0</v>
      </c>
      <c r="AD77" s="603">
        <v>0</v>
      </c>
      <c r="AE77" s="603">
        <v>0</v>
      </c>
      <c r="AF77" s="603">
        <v>0</v>
      </c>
      <c r="AG77" s="603">
        <v>0</v>
      </c>
      <c r="AH77" s="603">
        <v>0</v>
      </c>
      <c r="AI77" s="603">
        <v>0</v>
      </c>
      <c r="AJ77" s="603">
        <v>0</v>
      </c>
      <c r="AK77" s="603">
        <v>0</v>
      </c>
      <c r="AL77" s="603">
        <v>0</v>
      </c>
      <c r="AM77" s="603">
        <v>0</v>
      </c>
      <c r="AN77" s="603">
        <v>0</v>
      </c>
      <c r="AO77" s="603">
        <v>0</v>
      </c>
      <c r="AP77" s="603">
        <v>0</v>
      </c>
      <c r="AQ77" s="603">
        <v>0</v>
      </c>
      <c r="AR77" s="603">
        <v>0</v>
      </c>
      <c r="AS77" s="603">
        <v>0</v>
      </c>
      <c r="AT77" s="603">
        <v>0</v>
      </c>
      <c r="AU77" s="603">
        <v>0</v>
      </c>
      <c r="AV77" s="603">
        <v>0</v>
      </c>
      <c r="AW77" s="603">
        <v>0</v>
      </c>
      <c r="AX77" s="603">
        <v>0</v>
      </c>
      <c r="AY77" s="603">
        <v>0</v>
      </c>
      <c r="AZ77" s="603">
        <v>0</v>
      </c>
      <c r="BA77" s="603">
        <v>0</v>
      </c>
      <c r="BB77" s="603">
        <v>0</v>
      </c>
    </row>
    <row r="78" spans="1:54" x14ac:dyDescent="0.25">
      <c r="A78">
        <v>357</v>
      </c>
      <c r="B78">
        <v>357</v>
      </c>
      <c r="C78">
        <v>357</v>
      </c>
      <c r="D78" t="s">
        <v>571</v>
      </c>
      <c r="E78" t="s">
        <v>452</v>
      </c>
      <c r="F78" s="673">
        <v>0</v>
      </c>
      <c r="G78" s="673">
        <v>0</v>
      </c>
      <c r="H78" s="673">
        <v>0</v>
      </c>
      <c r="I78" s="673">
        <v>0</v>
      </c>
      <c r="J78" s="673">
        <v>0</v>
      </c>
      <c r="K78" s="673">
        <v>0</v>
      </c>
      <c r="L78" s="673">
        <v>0</v>
      </c>
      <c r="M78" s="673">
        <v>0</v>
      </c>
      <c r="N78" s="603">
        <v>0</v>
      </c>
      <c r="O78" s="603">
        <v>0</v>
      </c>
      <c r="P78" s="603">
        <v>0</v>
      </c>
      <c r="Q78" s="603">
        <v>0</v>
      </c>
      <c r="R78" s="603">
        <v>344560690</v>
      </c>
      <c r="S78" s="603">
        <v>0</v>
      </c>
      <c r="T78" s="603">
        <v>0</v>
      </c>
      <c r="U78" s="603">
        <v>0</v>
      </c>
      <c r="V78" s="603">
        <v>0</v>
      </c>
      <c r="W78" s="603">
        <v>198588889</v>
      </c>
      <c r="X78" s="603">
        <v>0</v>
      </c>
      <c r="Y78" s="603">
        <v>0</v>
      </c>
      <c r="Z78" s="603">
        <v>0</v>
      </c>
      <c r="AA78" s="603">
        <v>0</v>
      </c>
      <c r="AB78" s="603">
        <v>0</v>
      </c>
      <c r="AC78" s="603">
        <v>0</v>
      </c>
      <c r="AD78" s="603">
        <v>0</v>
      </c>
      <c r="AE78" s="603">
        <v>0</v>
      </c>
      <c r="AF78" s="603">
        <v>0</v>
      </c>
      <c r="AG78" s="603">
        <v>0</v>
      </c>
      <c r="AH78" s="603">
        <v>0</v>
      </c>
      <c r="AI78" s="603">
        <v>0</v>
      </c>
      <c r="AJ78" s="603">
        <v>0</v>
      </c>
      <c r="AK78" s="603">
        <v>0</v>
      </c>
      <c r="AL78" s="603">
        <v>0</v>
      </c>
      <c r="AM78" s="603">
        <v>0</v>
      </c>
      <c r="AN78" s="603">
        <v>0</v>
      </c>
      <c r="AO78" s="603">
        <v>0</v>
      </c>
      <c r="AP78" s="603">
        <v>0</v>
      </c>
      <c r="AQ78" s="603">
        <v>0</v>
      </c>
      <c r="AR78" s="603">
        <v>0</v>
      </c>
      <c r="AS78" s="603">
        <v>0</v>
      </c>
      <c r="AT78" s="603">
        <v>0</v>
      </c>
      <c r="AU78" s="603">
        <v>0</v>
      </c>
      <c r="AV78" s="603">
        <v>0</v>
      </c>
      <c r="AW78" s="603">
        <v>0</v>
      </c>
      <c r="AX78" s="603">
        <v>0</v>
      </c>
      <c r="AY78" s="603">
        <v>0</v>
      </c>
      <c r="AZ78" s="603">
        <v>0</v>
      </c>
      <c r="BA78" s="603">
        <v>0</v>
      </c>
      <c r="BB78" s="603">
        <v>0</v>
      </c>
    </row>
    <row r="79" spans="1:54" x14ac:dyDescent="0.25">
      <c r="A79">
        <v>359</v>
      </c>
      <c r="B79">
        <v>359</v>
      </c>
      <c r="C79">
        <v>359</v>
      </c>
      <c r="D79" t="s">
        <v>336</v>
      </c>
      <c r="E79" t="s">
        <v>453</v>
      </c>
      <c r="F79" s="673">
        <v>0</v>
      </c>
      <c r="G79" s="673">
        <v>0</v>
      </c>
      <c r="H79" s="673">
        <v>0</v>
      </c>
      <c r="I79" s="673">
        <v>0</v>
      </c>
      <c r="J79" s="673">
        <v>0</v>
      </c>
      <c r="K79" s="673">
        <v>0</v>
      </c>
      <c r="L79" s="673">
        <v>0</v>
      </c>
      <c r="M79" s="673">
        <v>0</v>
      </c>
      <c r="N79" s="603">
        <v>0</v>
      </c>
      <c r="O79" s="603">
        <v>0</v>
      </c>
      <c r="P79" s="603">
        <v>0</v>
      </c>
      <c r="Q79" s="603">
        <v>0</v>
      </c>
      <c r="R79" s="603">
        <v>26728102</v>
      </c>
      <c r="S79" s="603">
        <v>0</v>
      </c>
      <c r="T79" s="603">
        <v>0</v>
      </c>
      <c r="U79" s="603">
        <v>0</v>
      </c>
      <c r="V79" s="603">
        <v>0</v>
      </c>
      <c r="W79" s="603">
        <v>65803369</v>
      </c>
      <c r="X79" s="603">
        <v>0</v>
      </c>
      <c r="Y79" s="603">
        <v>0</v>
      </c>
      <c r="Z79" s="603">
        <v>0</v>
      </c>
      <c r="AA79" s="603">
        <v>0</v>
      </c>
      <c r="AB79" s="603">
        <v>0</v>
      </c>
      <c r="AC79" s="603">
        <v>0</v>
      </c>
      <c r="AD79" s="603">
        <v>0</v>
      </c>
      <c r="AE79" s="603">
        <v>0</v>
      </c>
      <c r="AF79" s="603">
        <v>0</v>
      </c>
      <c r="AG79" s="603">
        <v>0</v>
      </c>
      <c r="AH79" s="603">
        <v>0</v>
      </c>
      <c r="AI79" s="603">
        <v>0</v>
      </c>
      <c r="AJ79" s="603">
        <v>0</v>
      </c>
      <c r="AK79" s="603">
        <v>0</v>
      </c>
      <c r="AL79" s="603">
        <v>0</v>
      </c>
      <c r="AM79" s="603">
        <v>0</v>
      </c>
      <c r="AN79" s="603">
        <v>0</v>
      </c>
      <c r="AO79" s="603">
        <v>0</v>
      </c>
      <c r="AP79" s="603">
        <v>0</v>
      </c>
      <c r="AQ79" s="603">
        <v>0</v>
      </c>
      <c r="AR79" s="603">
        <v>0</v>
      </c>
      <c r="AS79" s="603">
        <v>0</v>
      </c>
      <c r="AT79" s="603">
        <v>0</v>
      </c>
      <c r="AU79" s="603">
        <v>0</v>
      </c>
      <c r="AV79" s="603">
        <v>0</v>
      </c>
      <c r="AW79" s="603">
        <v>0</v>
      </c>
      <c r="AX79" s="603">
        <v>0</v>
      </c>
      <c r="AY79" s="603">
        <v>0</v>
      </c>
      <c r="AZ79" s="603">
        <v>0</v>
      </c>
      <c r="BA79" s="603">
        <v>0</v>
      </c>
      <c r="BB79" s="603">
        <v>0</v>
      </c>
    </row>
    <row r="80" spans="1:54" x14ac:dyDescent="0.25">
      <c r="A80">
        <v>360</v>
      </c>
      <c r="B80">
        <v>360</v>
      </c>
      <c r="C80">
        <v>360</v>
      </c>
      <c r="D80" t="s">
        <v>964</v>
      </c>
      <c r="E80" t="s">
        <v>454</v>
      </c>
      <c r="F80" s="673">
        <v>0</v>
      </c>
      <c r="G80" s="673">
        <v>0</v>
      </c>
      <c r="H80" s="673">
        <v>0</v>
      </c>
      <c r="I80" s="673">
        <v>0</v>
      </c>
      <c r="J80" s="673">
        <v>0</v>
      </c>
      <c r="K80" s="673">
        <v>0</v>
      </c>
      <c r="L80" s="673">
        <v>0</v>
      </c>
      <c r="M80" s="673">
        <v>0</v>
      </c>
      <c r="N80" s="603">
        <v>0</v>
      </c>
      <c r="O80" s="603">
        <v>0</v>
      </c>
      <c r="P80" s="603">
        <v>0</v>
      </c>
      <c r="Q80" s="603">
        <v>0</v>
      </c>
      <c r="R80" s="603">
        <v>76376474</v>
      </c>
      <c r="S80" s="603">
        <v>0</v>
      </c>
      <c r="T80" s="603">
        <v>0</v>
      </c>
      <c r="U80" s="603">
        <v>0</v>
      </c>
      <c r="V80" s="603">
        <v>0</v>
      </c>
      <c r="W80" s="603">
        <v>112587654</v>
      </c>
      <c r="X80" s="603">
        <v>0</v>
      </c>
      <c r="Y80" s="603">
        <v>0</v>
      </c>
      <c r="Z80" s="603">
        <v>0</v>
      </c>
      <c r="AA80" s="603">
        <v>0</v>
      </c>
      <c r="AB80" s="603">
        <v>0</v>
      </c>
      <c r="AC80" s="603">
        <v>0</v>
      </c>
      <c r="AD80" s="603">
        <v>0</v>
      </c>
      <c r="AE80" s="603">
        <v>0</v>
      </c>
      <c r="AF80" s="603">
        <v>0</v>
      </c>
      <c r="AG80" s="603">
        <v>0</v>
      </c>
      <c r="AH80" s="603">
        <v>0</v>
      </c>
      <c r="AI80" s="603">
        <v>0</v>
      </c>
      <c r="AJ80" s="603">
        <v>0</v>
      </c>
      <c r="AK80" s="603">
        <v>0</v>
      </c>
      <c r="AL80" s="603">
        <v>0</v>
      </c>
      <c r="AM80" s="603">
        <v>0</v>
      </c>
      <c r="AN80" s="603">
        <v>0</v>
      </c>
      <c r="AO80" s="603">
        <v>0</v>
      </c>
      <c r="AP80" s="603">
        <v>0</v>
      </c>
      <c r="AQ80" s="603">
        <v>0</v>
      </c>
      <c r="AR80" s="603">
        <v>0</v>
      </c>
      <c r="AS80" s="603">
        <v>0</v>
      </c>
      <c r="AT80" s="603">
        <v>0</v>
      </c>
      <c r="AU80" s="603">
        <v>0</v>
      </c>
      <c r="AV80" s="603">
        <v>0</v>
      </c>
      <c r="AW80" s="603">
        <v>0</v>
      </c>
      <c r="AX80" s="603">
        <v>0</v>
      </c>
      <c r="AY80" s="603">
        <v>0</v>
      </c>
      <c r="AZ80" s="603">
        <v>0</v>
      </c>
      <c r="BA80" s="603">
        <v>0</v>
      </c>
      <c r="BB80" s="603">
        <v>0</v>
      </c>
    </row>
    <row r="81" spans="1:54" x14ac:dyDescent="0.25">
      <c r="A81">
        <v>361</v>
      </c>
      <c r="B81">
        <v>361</v>
      </c>
      <c r="C81">
        <v>361</v>
      </c>
      <c r="D81" t="s">
        <v>965</v>
      </c>
      <c r="E81" t="s">
        <v>455</v>
      </c>
      <c r="F81" s="673">
        <v>0</v>
      </c>
      <c r="G81" s="673">
        <v>0</v>
      </c>
      <c r="H81" s="673">
        <v>0</v>
      </c>
      <c r="I81" s="673">
        <v>0</v>
      </c>
      <c r="J81" s="673">
        <v>0</v>
      </c>
      <c r="K81" s="673">
        <v>0</v>
      </c>
      <c r="L81" s="673">
        <v>0</v>
      </c>
      <c r="M81" s="673">
        <v>0</v>
      </c>
      <c r="N81" s="603">
        <v>0</v>
      </c>
      <c r="O81" s="603">
        <v>0</v>
      </c>
      <c r="P81" s="603">
        <v>0</v>
      </c>
      <c r="Q81" s="603">
        <v>0</v>
      </c>
      <c r="R81" s="603">
        <v>113021276</v>
      </c>
      <c r="S81" s="603">
        <v>0</v>
      </c>
      <c r="T81" s="603">
        <v>0</v>
      </c>
      <c r="U81" s="603">
        <v>0</v>
      </c>
      <c r="V81" s="603">
        <v>0</v>
      </c>
      <c r="W81" s="603">
        <v>74023836</v>
      </c>
      <c r="X81" s="603">
        <v>0</v>
      </c>
      <c r="Y81" s="603">
        <v>0</v>
      </c>
      <c r="Z81" s="603">
        <v>0</v>
      </c>
      <c r="AA81" s="603">
        <v>0</v>
      </c>
      <c r="AB81" s="603">
        <v>0</v>
      </c>
      <c r="AC81" s="603">
        <v>0</v>
      </c>
      <c r="AD81" s="603">
        <v>0</v>
      </c>
      <c r="AE81" s="603">
        <v>0</v>
      </c>
      <c r="AF81" s="603">
        <v>0</v>
      </c>
      <c r="AG81" s="603">
        <v>0</v>
      </c>
      <c r="AH81" s="603">
        <v>0</v>
      </c>
      <c r="AI81" s="603">
        <v>0</v>
      </c>
      <c r="AJ81" s="603">
        <v>0</v>
      </c>
      <c r="AK81" s="603">
        <v>0</v>
      </c>
      <c r="AL81" s="603">
        <v>0</v>
      </c>
      <c r="AM81" s="603">
        <v>0</v>
      </c>
      <c r="AN81" s="603">
        <v>0</v>
      </c>
      <c r="AO81" s="603">
        <v>0</v>
      </c>
      <c r="AP81" s="603">
        <v>0</v>
      </c>
      <c r="AQ81" s="603">
        <v>0</v>
      </c>
      <c r="AR81" s="603">
        <v>0</v>
      </c>
      <c r="AS81" s="603">
        <v>0</v>
      </c>
      <c r="AT81" s="603">
        <v>0</v>
      </c>
      <c r="AU81" s="603">
        <v>0</v>
      </c>
      <c r="AV81" s="603">
        <v>0</v>
      </c>
      <c r="AW81" s="603">
        <v>0</v>
      </c>
      <c r="AX81" s="603">
        <v>0</v>
      </c>
      <c r="AY81" s="603">
        <v>0</v>
      </c>
      <c r="AZ81" s="603">
        <v>0</v>
      </c>
      <c r="BA81" s="603">
        <v>0</v>
      </c>
      <c r="BB81" s="603">
        <v>0</v>
      </c>
    </row>
    <row r="82" spans="1:54" x14ac:dyDescent="0.25">
      <c r="A82">
        <v>362</v>
      </c>
      <c r="B82">
        <v>362</v>
      </c>
      <c r="C82">
        <v>362</v>
      </c>
      <c r="D82" t="s">
        <v>966</v>
      </c>
      <c r="E82" t="s">
        <v>456</v>
      </c>
      <c r="F82" s="673">
        <v>0</v>
      </c>
      <c r="G82" s="673">
        <v>0</v>
      </c>
      <c r="H82" s="673">
        <v>0</v>
      </c>
      <c r="I82" s="673">
        <v>0</v>
      </c>
      <c r="J82" s="673">
        <v>0</v>
      </c>
      <c r="K82" s="673">
        <v>0</v>
      </c>
      <c r="L82" s="673">
        <v>0</v>
      </c>
      <c r="M82" s="673">
        <v>0</v>
      </c>
      <c r="N82" s="603">
        <v>0</v>
      </c>
      <c r="O82" s="603">
        <v>0</v>
      </c>
      <c r="P82" s="603">
        <v>0</v>
      </c>
      <c r="Q82" s="603">
        <v>0</v>
      </c>
      <c r="R82" s="603">
        <v>467382309</v>
      </c>
      <c r="S82" s="603">
        <v>0</v>
      </c>
      <c r="T82" s="603">
        <v>0</v>
      </c>
      <c r="U82" s="603">
        <v>0</v>
      </c>
      <c r="V82" s="603">
        <v>0</v>
      </c>
      <c r="W82" s="603">
        <v>153143899</v>
      </c>
      <c r="X82" s="603">
        <v>0</v>
      </c>
      <c r="Y82" s="603">
        <v>0</v>
      </c>
      <c r="Z82" s="603">
        <v>0</v>
      </c>
      <c r="AA82" s="603">
        <v>0</v>
      </c>
      <c r="AB82" s="603">
        <v>0</v>
      </c>
      <c r="AC82" s="603">
        <v>0</v>
      </c>
      <c r="AD82" s="603">
        <v>0</v>
      </c>
      <c r="AE82" s="603">
        <v>0</v>
      </c>
      <c r="AF82" s="603">
        <v>0</v>
      </c>
      <c r="AG82" s="603">
        <v>0</v>
      </c>
      <c r="AH82" s="603">
        <v>0</v>
      </c>
      <c r="AI82" s="603">
        <v>0</v>
      </c>
      <c r="AJ82" s="603">
        <v>0</v>
      </c>
      <c r="AK82" s="603">
        <v>0</v>
      </c>
      <c r="AL82" s="603">
        <v>0</v>
      </c>
      <c r="AM82" s="603">
        <v>0</v>
      </c>
      <c r="AN82" s="603">
        <v>0</v>
      </c>
      <c r="AO82" s="603">
        <v>0</v>
      </c>
      <c r="AP82" s="603">
        <v>0</v>
      </c>
      <c r="AQ82" s="603">
        <v>0</v>
      </c>
      <c r="AR82" s="603">
        <v>0</v>
      </c>
      <c r="AS82" s="603">
        <v>0</v>
      </c>
      <c r="AT82" s="603">
        <v>0</v>
      </c>
      <c r="AU82" s="603">
        <v>0</v>
      </c>
      <c r="AV82" s="603">
        <v>0</v>
      </c>
      <c r="AW82" s="603">
        <v>0</v>
      </c>
      <c r="AX82" s="603">
        <v>0</v>
      </c>
      <c r="AY82" s="603">
        <v>0</v>
      </c>
      <c r="AZ82" s="603">
        <v>0</v>
      </c>
      <c r="BA82" s="603">
        <v>0</v>
      </c>
      <c r="BB82" s="603">
        <v>0</v>
      </c>
    </row>
    <row r="83" spans="1:54" x14ac:dyDescent="0.25">
      <c r="A83">
        <v>363</v>
      </c>
      <c r="B83">
        <v>363</v>
      </c>
      <c r="C83">
        <v>363</v>
      </c>
      <c r="D83" t="s">
        <v>322</v>
      </c>
      <c r="E83" t="s">
        <v>457</v>
      </c>
      <c r="F83" s="673">
        <v>0</v>
      </c>
      <c r="G83" s="673">
        <v>0</v>
      </c>
      <c r="H83" s="673">
        <v>0</v>
      </c>
      <c r="I83" s="673">
        <v>0</v>
      </c>
      <c r="J83" s="673">
        <v>0</v>
      </c>
      <c r="K83" s="673">
        <v>0</v>
      </c>
      <c r="L83" s="673">
        <v>0</v>
      </c>
      <c r="M83" s="673">
        <v>0</v>
      </c>
      <c r="N83" s="603">
        <v>0</v>
      </c>
      <c r="O83" s="603">
        <v>0</v>
      </c>
      <c r="P83" s="603">
        <v>0</v>
      </c>
      <c r="Q83" s="603">
        <v>0</v>
      </c>
      <c r="R83" s="603">
        <v>4683893</v>
      </c>
      <c r="S83" s="603">
        <v>0</v>
      </c>
      <c r="T83" s="603">
        <v>0</v>
      </c>
      <c r="U83" s="603">
        <v>0</v>
      </c>
      <c r="V83" s="603">
        <v>0</v>
      </c>
      <c r="W83" s="603">
        <v>3450192</v>
      </c>
      <c r="X83" s="603">
        <v>0</v>
      </c>
      <c r="Y83" s="603">
        <v>0</v>
      </c>
      <c r="Z83" s="603">
        <v>0</v>
      </c>
      <c r="AA83" s="603">
        <v>0</v>
      </c>
      <c r="AB83" s="603">
        <v>0</v>
      </c>
      <c r="AC83" s="603">
        <v>0</v>
      </c>
      <c r="AD83" s="603">
        <v>0</v>
      </c>
      <c r="AE83" s="603">
        <v>0</v>
      </c>
      <c r="AF83" s="603">
        <v>0</v>
      </c>
      <c r="AG83" s="603">
        <v>0</v>
      </c>
      <c r="AH83" s="603">
        <v>0</v>
      </c>
      <c r="AI83" s="603">
        <v>0</v>
      </c>
      <c r="AJ83" s="603">
        <v>0</v>
      </c>
      <c r="AK83" s="603">
        <v>0</v>
      </c>
      <c r="AL83" s="603">
        <v>0</v>
      </c>
      <c r="AM83" s="603">
        <v>0</v>
      </c>
      <c r="AN83" s="603">
        <v>0</v>
      </c>
      <c r="AO83" s="603">
        <v>0</v>
      </c>
      <c r="AP83" s="603">
        <v>0</v>
      </c>
      <c r="AQ83" s="603">
        <v>0</v>
      </c>
      <c r="AR83" s="603">
        <v>0</v>
      </c>
      <c r="AS83" s="603">
        <v>0</v>
      </c>
      <c r="AT83" s="603">
        <v>0</v>
      </c>
      <c r="AU83" s="603">
        <v>0</v>
      </c>
      <c r="AV83" s="603">
        <v>0</v>
      </c>
      <c r="AW83" s="603">
        <v>0</v>
      </c>
      <c r="AX83" s="603">
        <v>0</v>
      </c>
      <c r="AY83" s="603">
        <v>0</v>
      </c>
      <c r="AZ83" s="603">
        <v>0</v>
      </c>
      <c r="BA83" s="603">
        <v>0</v>
      </c>
      <c r="BB83" s="603">
        <v>0</v>
      </c>
    </row>
    <row r="84" spans="1:54" x14ac:dyDescent="0.25">
      <c r="A84">
        <v>364</v>
      </c>
      <c r="B84">
        <v>364</v>
      </c>
      <c r="C84">
        <v>364</v>
      </c>
      <c r="D84" t="s">
        <v>323</v>
      </c>
      <c r="E84" t="s">
        <v>458</v>
      </c>
      <c r="F84" s="673">
        <v>0</v>
      </c>
      <c r="G84" s="673">
        <v>0</v>
      </c>
      <c r="H84" s="673">
        <v>0</v>
      </c>
      <c r="I84" s="673">
        <v>0</v>
      </c>
      <c r="J84" s="673">
        <v>0</v>
      </c>
      <c r="K84" s="673">
        <v>0</v>
      </c>
      <c r="L84" s="673">
        <v>0</v>
      </c>
      <c r="M84" s="673">
        <v>0</v>
      </c>
      <c r="N84" s="603">
        <v>0</v>
      </c>
      <c r="O84" s="603">
        <v>0</v>
      </c>
      <c r="P84" s="603">
        <v>0</v>
      </c>
      <c r="Q84" s="603">
        <v>0</v>
      </c>
      <c r="R84" s="603">
        <v>13622139</v>
      </c>
      <c r="S84" s="603">
        <v>0</v>
      </c>
      <c r="T84" s="603">
        <v>0</v>
      </c>
      <c r="U84" s="603">
        <v>0</v>
      </c>
      <c r="V84" s="603">
        <v>0</v>
      </c>
      <c r="W84" s="603">
        <v>1841442</v>
      </c>
      <c r="X84" s="603">
        <v>0</v>
      </c>
      <c r="Y84" s="603">
        <v>0</v>
      </c>
      <c r="Z84" s="603">
        <v>0</v>
      </c>
      <c r="AA84" s="603">
        <v>0</v>
      </c>
      <c r="AB84" s="603">
        <v>0</v>
      </c>
      <c r="AC84" s="603">
        <v>0</v>
      </c>
      <c r="AD84" s="603">
        <v>0</v>
      </c>
      <c r="AE84" s="603">
        <v>0</v>
      </c>
      <c r="AF84" s="603">
        <v>0</v>
      </c>
      <c r="AG84" s="603">
        <v>0</v>
      </c>
      <c r="AH84" s="603">
        <v>0</v>
      </c>
      <c r="AI84" s="603">
        <v>0</v>
      </c>
      <c r="AJ84" s="603">
        <v>0</v>
      </c>
      <c r="AK84" s="603">
        <v>0</v>
      </c>
      <c r="AL84" s="603">
        <v>0</v>
      </c>
      <c r="AM84" s="603">
        <v>0</v>
      </c>
      <c r="AN84" s="603">
        <v>0</v>
      </c>
      <c r="AO84" s="603">
        <v>0</v>
      </c>
      <c r="AP84" s="603">
        <v>0</v>
      </c>
      <c r="AQ84" s="603">
        <v>0</v>
      </c>
      <c r="AR84" s="603">
        <v>0</v>
      </c>
      <c r="AS84" s="603">
        <v>0</v>
      </c>
      <c r="AT84" s="603">
        <v>0</v>
      </c>
      <c r="AU84" s="603">
        <v>0</v>
      </c>
      <c r="AV84" s="603">
        <v>0</v>
      </c>
      <c r="AW84" s="603">
        <v>0</v>
      </c>
      <c r="AX84" s="603">
        <v>0</v>
      </c>
      <c r="AY84" s="603">
        <v>0</v>
      </c>
      <c r="AZ84" s="603">
        <v>0</v>
      </c>
      <c r="BA84" s="603">
        <v>0</v>
      </c>
      <c r="BB84" s="603">
        <v>0</v>
      </c>
    </row>
    <row r="85" spans="1:54" x14ac:dyDescent="0.25">
      <c r="A85">
        <v>365</v>
      </c>
      <c r="B85">
        <v>365</v>
      </c>
      <c r="C85">
        <v>365</v>
      </c>
      <c r="D85" t="s">
        <v>325</v>
      </c>
      <c r="E85" t="s">
        <v>459</v>
      </c>
      <c r="F85" s="673">
        <v>0</v>
      </c>
      <c r="G85" s="673">
        <v>0</v>
      </c>
      <c r="H85" s="673">
        <v>0</v>
      </c>
      <c r="I85" s="673">
        <v>0</v>
      </c>
      <c r="J85" s="673">
        <v>0</v>
      </c>
      <c r="K85" s="673">
        <v>0</v>
      </c>
      <c r="L85" s="673">
        <v>0</v>
      </c>
      <c r="M85" s="673">
        <v>0</v>
      </c>
      <c r="N85" s="603">
        <v>0</v>
      </c>
      <c r="O85" s="603">
        <v>0</v>
      </c>
      <c r="P85" s="603">
        <v>0</v>
      </c>
      <c r="Q85" s="603">
        <v>0</v>
      </c>
      <c r="R85" s="603">
        <v>0</v>
      </c>
      <c r="S85" s="603">
        <v>0</v>
      </c>
      <c r="T85" s="603">
        <v>0</v>
      </c>
      <c r="U85" s="603">
        <v>0</v>
      </c>
      <c r="V85" s="603">
        <v>0</v>
      </c>
      <c r="W85" s="603">
        <v>0</v>
      </c>
      <c r="X85" s="603">
        <v>0</v>
      </c>
      <c r="Y85" s="603">
        <v>0</v>
      </c>
      <c r="Z85" s="603">
        <v>0</v>
      </c>
      <c r="AA85" s="603">
        <v>0</v>
      </c>
      <c r="AB85" s="603">
        <v>0</v>
      </c>
      <c r="AC85" s="603">
        <v>0</v>
      </c>
      <c r="AD85" s="603">
        <v>0</v>
      </c>
      <c r="AE85" s="603">
        <v>0</v>
      </c>
      <c r="AF85" s="603">
        <v>0</v>
      </c>
      <c r="AG85" s="603">
        <v>0</v>
      </c>
      <c r="AH85" s="603">
        <v>0</v>
      </c>
      <c r="AI85" s="603">
        <v>0</v>
      </c>
      <c r="AJ85" s="603">
        <v>0</v>
      </c>
      <c r="AK85" s="603">
        <v>0</v>
      </c>
      <c r="AL85" s="603">
        <v>0</v>
      </c>
      <c r="AM85" s="603">
        <v>0</v>
      </c>
      <c r="AN85" s="603">
        <v>0</v>
      </c>
      <c r="AO85" s="603">
        <v>0</v>
      </c>
      <c r="AP85" s="603">
        <v>0</v>
      </c>
      <c r="AQ85" s="603">
        <v>0</v>
      </c>
      <c r="AR85" s="603">
        <v>0</v>
      </c>
      <c r="AS85" s="603">
        <v>0</v>
      </c>
      <c r="AT85" s="603">
        <v>0</v>
      </c>
      <c r="AU85" s="603">
        <v>0</v>
      </c>
      <c r="AV85" s="603">
        <v>0</v>
      </c>
      <c r="AW85" s="603">
        <v>0</v>
      </c>
      <c r="AX85" s="603">
        <v>0</v>
      </c>
      <c r="AY85" s="603">
        <v>0</v>
      </c>
      <c r="AZ85" s="603">
        <v>0</v>
      </c>
      <c r="BA85" s="603">
        <v>0</v>
      </c>
      <c r="BB85" s="603">
        <v>0</v>
      </c>
    </row>
    <row r="86" spans="1:54" x14ac:dyDescent="0.25">
      <c r="A86">
        <v>366</v>
      </c>
      <c r="B86">
        <v>366</v>
      </c>
      <c r="C86">
        <v>366</v>
      </c>
      <c r="D86" t="s">
        <v>967</v>
      </c>
      <c r="E86" t="s">
        <v>460</v>
      </c>
      <c r="F86" s="673">
        <v>0</v>
      </c>
      <c r="G86" s="673">
        <v>0</v>
      </c>
      <c r="H86" s="673">
        <v>0</v>
      </c>
      <c r="I86" s="673">
        <v>0</v>
      </c>
      <c r="J86" s="673">
        <v>0</v>
      </c>
      <c r="K86" s="673">
        <v>0</v>
      </c>
      <c r="L86" s="673">
        <v>0</v>
      </c>
      <c r="M86" s="673">
        <v>0</v>
      </c>
      <c r="N86" s="603">
        <v>0</v>
      </c>
      <c r="O86" s="603">
        <v>0</v>
      </c>
      <c r="P86" s="603">
        <v>0</v>
      </c>
      <c r="Q86" s="603">
        <v>0</v>
      </c>
      <c r="R86" s="603">
        <v>4710682</v>
      </c>
      <c r="S86" s="603">
        <v>0</v>
      </c>
      <c r="T86" s="603">
        <v>0</v>
      </c>
      <c r="U86" s="603">
        <v>0</v>
      </c>
      <c r="V86" s="603">
        <v>0</v>
      </c>
      <c r="W86" s="603">
        <v>4993763</v>
      </c>
      <c r="X86" s="603">
        <v>0</v>
      </c>
      <c r="Y86" s="603">
        <v>0</v>
      </c>
      <c r="Z86" s="603">
        <v>0</v>
      </c>
      <c r="AA86" s="603">
        <v>0</v>
      </c>
      <c r="AB86" s="603">
        <v>0</v>
      </c>
      <c r="AC86" s="603">
        <v>0</v>
      </c>
      <c r="AD86" s="603">
        <v>0</v>
      </c>
      <c r="AE86" s="603">
        <v>0</v>
      </c>
      <c r="AF86" s="603">
        <v>0</v>
      </c>
      <c r="AG86" s="603">
        <v>0</v>
      </c>
      <c r="AH86" s="603">
        <v>0</v>
      </c>
      <c r="AI86" s="603">
        <v>0</v>
      </c>
      <c r="AJ86" s="603">
        <v>0</v>
      </c>
      <c r="AK86" s="603">
        <v>0</v>
      </c>
      <c r="AL86" s="603">
        <v>0</v>
      </c>
      <c r="AM86" s="603">
        <v>0</v>
      </c>
      <c r="AN86" s="603">
        <v>0</v>
      </c>
      <c r="AO86" s="603">
        <v>0</v>
      </c>
      <c r="AP86" s="603">
        <v>0</v>
      </c>
      <c r="AQ86" s="603">
        <v>0</v>
      </c>
      <c r="AR86" s="603">
        <v>0</v>
      </c>
      <c r="AS86" s="603">
        <v>0</v>
      </c>
      <c r="AT86" s="603">
        <v>0</v>
      </c>
      <c r="AU86" s="603">
        <v>0</v>
      </c>
      <c r="AV86" s="603">
        <v>0</v>
      </c>
      <c r="AW86" s="603">
        <v>0</v>
      </c>
      <c r="AX86" s="603">
        <v>0</v>
      </c>
      <c r="AY86" s="603">
        <v>0</v>
      </c>
      <c r="AZ86" s="603">
        <v>0</v>
      </c>
      <c r="BA86" s="603">
        <v>0</v>
      </c>
      <c r="BB86" s="603">
        <v>0</v>
      </c>
    </row>
    <row r="87" spans="1:54" x14ac:dyDescent="0.25">
      <c r="A87">
        <v>368</v>
      </c>
      <c r="B87">
        <v>368</v>
      </c>
      <c r="C87">
        <v>368</v>
      </c>
      <c r="D87" t="s">
        <v>280</v>
      </c>
      <c r="E87" t="s">
        <v>461</v>
      </c>
      <c r="F87" s="673">
        <v>0</v>
      </c>
      <c r="G87" s="673">
        <v>0</v>
      </c>
      <c r="H87" s="673">
        <v>0</v>
      </c>
      <c r="I87" s="673">
        <v>0</v>
      </c>
      <c r="J87" s="673">
        <v>0</v>
      </c>
      <c r="K87" s="673">
        <v>0</v>
      </c>
      <c r="L87" s="673">
        <v>0</v>
      </c>
      <c r="M87" s="673">
        <v>0</v>
      </c>
      <c r="N87" s="603">
        <v>0</v>
      </c>
      <c r="O87" s="603">
        <v>0</v>
      </c>
      <c r="P87" s="603">
        <v>0</v>
      </c>
      <c r="Q87" s="603">
        <v>0</v>
      </c>
      <c r="R87" s="603">
        <v>0</v>
      </c>
      <c r="S87" s="603">
        <v>0</v>
      </c>
      <c r="T87" s="603">
        <v>0</v>
      </c>
      <c r="U87" s="603">
        <v>0</v>
      </c>
      <c r="V87" s="603">
        <v>0</v>
      </c>
      <c r="W87" s="603">
        <v>0</v>
      </c>
      <c r="X87" s="603">
        <v>0</v>
      </c>
      <c r="Y87" s="603">
        <v>0</v>
      </c>
      <c r="Z87" s="603">
        <v>0</v>
      </c>
      <c r="AA87" s="603">
        <v>0</v>
      </c>
      <c r="AB87" s="603">
        <v>0</v>
      </c>
      <c r="AC87" s="603">
        <v>0</v>
      </c>
      <c r="AD87" s="603">
        <v>0</v>
      </c>
      <c r="AE87" s="603">
        <v>0</v>
      </c>
      <c r="AF87" s="603">
        <v>0</v>
      </c>
      <c r="AG87" s="603">
        <v>0</v>
      </c>
      <c r="AH87" s="603">
        <v>0</v>
      </c>
      <c r="AI87" s="603">
        <v>0</v>
      </c>
      <c r="AJ87" s="603">
        <v>0</v>
      </c>
      <c r="AK87" s="603">
        <v>0</v>
      </c>
      <c r="AL87" s="603">
        <v>0</v>
      </c>
      <c r="AM87" s="603">
        <v>0</v>
      </c>
      <c r="AN87" s="603">
        <v>0</v>
      </c>
      <c r="AO87" s="603">
        <v>0</v>
      </c>
      <c r="AP87" s="603">
        <v>0</v>
      </c>
      <c r="AQ87" s="603">
        <v>0</v>
      </c>
      <c r="AR87" s="603">
        <v>0</v>
      </c>
      <c r="AS87" s="603">
        <v>0</v>
      </c>
      <c r="AT87" s="603">
        <v>0</v>
      </c>
      <c r="AU87" s="603">
        <v>0</v>
      </c>
      <c r="AV87" s="603">
        <v>0</v>
      </c>
      <c r="AW87" s="603">
        <v>0</v>
      </c>
      <c r="AX87" s="603">
        <v>0</v>
      </c>
      <c r="AY87" s="603">
        <v>0</v>
      </c>
      <c r="AZ87" s="603">
        <v>0</v>
      </c>
      <c r="BA87" s="603">
        <v>0</v>
      </c>
      <c r="BB87" s="603">
        <v>0</v>
      </c>
    </row>
    <row r="88" spans="1:54" x14ac:dyDescent="0.25">
      <c r="A88">
        <v>369</v>
      </c>
      <c r="B88">
        <v>369</v>
      </c>
      <c r="C88">
        <v>369</v>
      </c>
      <c r="D88" t="s">
        <v>285</v>
      </c>
      <c r="E88" t="s">
        <v>462</v>
      </c>
      <c r="F88" s="673">
        <v>0</v>
      </c>
      <c r="G88" s="673">
        <v>0</v>
      </c>
      <c r="H88" s="673">
        <v>0</v>
      </c>
      <c r="I88" s="673">
        <v>0</v>
      </c>
      <c r="J88" s="673">
        <v>0</v>
      </c>
      <c r="K88" s="673">
        <v>0</v>
      </c>
      <c r="L88" s="673">
        <v>0</v>
      </c>
      <c r="M88" s="673">
        <v>0</v>
      </c>
      <c r="N88" s="603">
        <v>0</v>
      </c>
      <c r="O88" s="603">
        <v>0</v>
      </c>
      <c r="P88" s="603">
        <v>0</v>
      </c>
      <c r="Q88" s="603">
        <v>0</v>
      </c>
      <c r="R88" s="603">
        <v>0</v>
      </c>
      <c r="S88" s="603">
        <v>0</v>
      </c>
      <c r="T88" s="603">
        <v>0</v>
      </c>
      <c r="U88" s="603">
        <v>0</v>
      </c>
      <c r="V88" s="603">
        <v>0</v>
      </c>
      <c r="W88" s="603">
        <v>0</v>
      </c>
      <c r="X88" s="603">
        <v>0</v>
      </c>
      <c r="Y88" s="603">
        <v>0</v>
      </c>
      <c r="Z88" s="603">
        <v>0</v>
      </c>
      <c r="AA88" s="603">
        <v>0</v>
      </c>
      <c r="AB88" s="603">
        <v>0</v>
      </c>
      <c r="AC88" s="603">
        <v>0</v>
      </c>
      <c r="AD88" s="603">
        <v>0</v>
      </c>
      <c r="AE88" s="603">
        <v>0</v>
      </c>
      <c r="AF88" s="603">
        <v>0</v>
      </c>
      <c r="AG88" s="603">
        <v>0</v>
      </c>
      <c r="AH88" s="603">
        <v>0</v>
      </c>
      <c r="AI88" s="603">
        <v>0</v>
      </c>
      <c r="AJ88" s="603">
        <v>0</v>
      </c>
      <c r="AK88" s="603">
        <v>0</v>
      </c>
      <c r="AL88" s="603">
        <v>0</v>
      </c>
      <c r="AM88" s="603">
        <v>0</v>
      </c>
      <c r="AN88" s="603">
        <v>0</v>
      </c>
      <c r="AO88" s="603">
        <v>0</v>
      </c>
      <c r="AP88" s="603">
        <v>0</v>
      </c>
      <c r="AQ88" s="603">
        <v>0</v>
      </c>
      <c r="AR88" s="603">
        <v>0</v>
      </c>
      <c r="AS88" s="603">
        <v>0</v>
      </c>
      <c r="AT88" s="603">
        <v>0</v>
      </c>
      <c r="AU88" s="603">
        <v>0</v>
      </c>
      <c r="AV88" s="603">
        <v>0</v>
      </c>
      <c r="AW88" s="603">
        <v>0</v>
      </c>
      <c r="AX88" s="603">
        <v>0</v>
      </c>
      <c r="AY88" s="603">
        <v>0</v>
      </c>
      <c r="AZ88" s="603">
        <v>0</v>
      </c>
      <c r="BA88" s="603">
        <v>0</v>
      </c>
      <c r="BB88" s="603">
        <v>0</v>
      </c>
    </row>
    <row r="89" spans="1:54" x14ac:dyDescent="0.25">
      <c r="A89">
        <v>370</v>
      </c>
      <c r="B89">
        <v>370</v>
      </c>
      <c r="C89">
        <v>370</v>
      </c>
      <c r="D89" t="s">
        <v>287</v>
      </c>
      <c r="E89" t="s">
        <v>463</v>
      </c>
      <c r="F89" s="673">
        <v>0</v>
      </c>
      <c r="G89" s="673">
        <v>0</v>
      </c>
      <c r="H89" s="673">
        <v>0</v>
      </c>
      <c r="I89" s="673">
        <v>0</v>
      </c>
      <c r="J89" s="673">
        <v>0</v>
      </c>
      <c r="K89" s="673">
        <v>0</v>
      </c>
      <c r="L89" s="673">
        <v>0</v>
      </c>
      <c r="M89" s="673">
        <v>0</v>
      </c>
      <c r="N89" s="603">
        <v>0</v>
      </c>
      <c r="O89" s="603">
        <v>0</v>
      </c>
      <c r="P89" s="603">
        <v>0</v>
      </c>
      <c r="Q89" s="603">
        <v>0</v>
      </c>
      <c r="R89" s="603">
        <v>0</v>
      </c>
      <c r="S89" s="603">
        <v>0</v>
      </c>
      <c r="T89" s="603">
        <v>0</v>
      </c>
      <c r="U89" s="603">
        <v>0</v>
      </c>
      <c r="V89" s="603">
        <v>0</v>
      </c>
      <c r="W89" s="603">
        <v>0</v>
      </c>
      <c r="X89" s="603">
        <v>0</v>
      </c>
      <c r="Y89" s="603">
        <v>0</v>
      </c>
      <c r="Z89" s="603">
        <v>0</v>
      </c>
      <c r="AA89" s="603">
        <v>0</v>
      </c>
      <c r="AB89" s="603">
        <v>0</v>
      </c>
      <c r="AC89" s="603">
        <v>0</v>
      </c>
      <c r="AD89" s="603">
        <v>0</v>
      </c>
      <c r="AE89" s="603">
        <v>0</v>
      </c>
      <c r="AF89" s="603">
        <v>0</v>
      </c>
      <c r="AG89" s="603">
        <v>0</v>
      </c>
      <c r="AH89" s="603">
        <v>0</v>
      </c>
      <c r="AI89" s="603">
        <v>0</v>
      </c>
      <c r="AJ89" s="603">
        <v>0</v>
      </c>
      <c r="AK89" s="603">
        <v>0</v>
      </c>
      <c r="AL89" s="603">
        <v>0</v>
      </c>
      <c r="AM89" s="603">
        <v>0</v>
      </c>
      <c r="AN89" s="603">
        <v>0</v>
      </c>
      <c r="AO89" s="603">
        <v>0</v>
      </c>
      <c r="AP89" s="603">
        <v>0</v>
      </c>
      <c r="AQ89" s="603">
        <v>0</v>
      </c>
      <c r="AR89" s="603">
        <v>0</v>
      </c>
      <c r="AS89" s="603">
        <v>0</v>
      </c>
      <c r="AT89" s="603">
        <v>0</v>
      </c>
      <c r="AU89" s="603">
        <v>0</v>
      </c>
      <c r="AV89" s="603">
        <v>0</v>
      </c>
      <c r="AW89" s="603">
        <v>0</v>
      </c>
      <c r="AX89" s="603">
        <v>0</v>
      </c>
      <c r="AY89" s="603">
        <v>0</v>
      </c>
      <c r="AZ89" s="603">
        <v>0</v>
      </c>
      <c r="BA89" s="603">
        <v>0</v>
      </c>
      <c r="BB89" s="603">
        <v>0</v>
      </c>
    </row>
    <row r="90" spans="1:54" x14ac:dyDescent="0.25">
      <c r="C90">
        <v>371</v>
      </c>
      <c r="D90" t="s">
        <v>343</v>
      </c>
      <c r="E90" t="s">
        <v>464</v>
      </c>
      <c r="F90" s="673">
        <v>0</v>
      </c>
      <c r="G90" s="673">
        <v>0</v>
      </c>
      <c r="H90" s="673">
        <v>0</v>
      </c>
      <c r="I90" s="673">
        <v>0</v>
      </c>
      <c r="J90" s="673">
        <v>0</v>
      </c>
      <c r="K90" s="673">
        <v>0</v>
      </c>
      <c r="L90" s="673">
        <v>0</v>
      </c>
      <c r="M90" s="673">
        <v>0</v>
      </c>
      <c r="N90" s="603">
        <v>0</v>
      </c>
      <c r="O90" s="603">
        <v>0</v>
      </c>
      <c r="P90" s="603">
        <v>0</v>
      </c>
      <c r="Q90" s="603">
        <v>0</v>
      </c>
      <c r="R90" s="603">
        <v>0</v>
      </c>
      <c r="S90" s="603">
        <v>0</v>
      </c>
      <c r="T90" s="603">
        <v>0</v>
      </c>
      <c r="U90" s="603">
        <v>0</v>
      </c>
      <c r="V90" s="603">
        <v>0</v>
      </c>
      <c r="W90" s="603">
        <v>0</v>
      </c>
      <c r="X90" s="603">
        <v>0</v>
      </c>
      <c r="Y90" s="603">
        <v>0</v>
      </c>
      <c r="Z90" s="603">
        <v>0</v>
      </c>
      <c r="AA90" s="603">
        <v>0</v>
      </c>
      <c r="AB90" s="603">
        <v>0</v>
      </c>
      <c r="AC90" s="603">
        <v>0</v>
      </c>
      <c r="AD90" s="603">
        <v>0</v>
      </c>
      <c r="AE90" s="603">
        <v>0</v>
      </c>
      <c r="AF90" s="603">
        <v>0</v>
      </c>
      <c r="AG90" s="603">
        <v>0</v>
      </c>
      <c r="AH90" s="603">
        <v>0</v>
      </c>
      <c r="AI90" s="603">
        <v>0</v>
      </c>
      <c r="AJ90" s="603">
        <v>0</v>
      </c>
      <c r="AK90" s="603">
        <v>0</v>
      </c>
      <c r="AL90" s="603">
        <v>0</v>
      </c>
      <c r="AM90" s="603">
        <v>0</v>
      </c>
      <c r="AN90" s="603">
        <v>0</v>
      </c>
      <c r="AO90" s="603">
        <v>0</v>
      </c>
      <c r="AP90" s="603">
        <v>0</v>
      </c>
      <c r="AQ90" s="603">
        <v>0</v>
      </c>
      <c r="AR90" s="603">
        <v>0</v>
      </c>
      <c r="AS90" s="603">
        <v>0</v>
      </c>
      <c r="AT90" s="603">
        <v>0</v>
      </c>
      <c r="AU90" s="603">
        <v>0</v>
      </c>
      <c r="AV90" s="603">
        <v>0</v>
      </c>
      <c r="AW90" s="603">
        <v>0</v>
      </c>
      <c r="AX90" s="603">
        <v>0</v>
      </c>
      <c r="AY90" s="603">
        <v>0</v>
      </c>
      <c r="AZ90" s="603">
        <v>0</v>
      </c>
      <c r="BA90" s="603">
        <v>0</v>
      </c>
      <c r="BB90" s="603">
        <v>0</v>
      </c>
    </row>
    <row r="91" spans="1:54" x14ac:dyDescent="0.25">
      <c r="A91">
        <v>373</v>
      </c>
      <c r="B91">
        <v>373</v>
      </c>
      <c r="C91">
        <v>373</v>
      </c>
      <c r="D91" t="s">
        <v>567</v>
      </c>
      <c r="E91" t="s">
        <v>465</v>
      </c>
      <c r="F91" s="673">
        <v>0</v>
      </c>
      <c r="G91" s="673">
        <v>0</v>
      </c>
      <c r="H91" s="673">
        <v>0</v>
      </c>
      <c r="I91" s="673">
        <v>0</v>
      </c>
      <c r="J91" s="673">
        <v>0</v>
      </c>
      <c r="K91" s="673">
        <v>0</v>
      </c>
      <c r="L91" s="673">
        <v>0</v>
      </c>
      <c r="M91" s="673">
        <v>0</v>
      </c>
      <c r="N91" s="603">
        <v>0</v>
      </c>
      <c r="O91" s="603">
        <v>0</v>
      </c>
      <c r="P91" s="603">
        <v>0</v>
      </c>
      <c r="Q91" s="603">
        <v>0</v>
      </c>
      <c r="R91" s="603">
        <v>0</v>
      </c>
      <c r="S91" s="603">
        <v>0</v>
      </c>
      <c r="T91" s="603">
        <v>0</v>
      </c>
      <c r="U91" s="603">
        <v>0</v>
      </c>
      <c r="V91" s="603">
        <v>0</v>
      </c>
      <c r="W91" s="603">
        <v>0</v>
      </c>
      <c r="X91" s="603">
        <v>0</v>
      </c>
      <c r="Y91" s="603">
        <v>0</v>
      </c>
      <c r="Z91" s="603">
        <v>0</v>
      </c>
      <c r="AA91" s="603">
        <v>0</v>
      </c>
      <c r="AB91" s="603">
        <v>0</v>
      </c>
      <c r="AC91" s="603">
        <v>0</v>
      </c>
      <c r="AD91" s="603">
        <v>0</v>
      </c>
      <c r="AE91" s="603">
        <v>0</v>
      </c>
      <c r="AF91" s="603">
        <v>0</v>
      </c>
      <c r="AG91" s="603">
        <v>0</v>
      </c>
      <c r="AH91" s="603">
        <v>0</v>
      </c>
      <c r="AI91" s="603">
        <v>0</v>
      </c>
      <c r="AJ91" s="603">
        <v>0</v>
      </c>
      <c r="AK91" s="603">
        <v>288266</v>
      </c>
      <c r="AL91" s="603">
        <v>0</v>
      </c>
      <c r="AM91" s="603">
        <v>0</v>
      </c>
      <c r="AN91" s="603">
        <v>0</v>
      </c>
      <c r="AO91" s="603">
        <v>0</v>
      </c>
      <c r="AP91" s="603">
        <v>0</v>
      </c>
      <c r="AQ91" s="603">
        <v>0</v>
      </c>
      <c r="AR91" s="603">
        <v>0</v>
      </c>
      <c r="AS91" s="603">
        <v>0</v>
      </c>
      <c r="AT91" s="603">
        <v>0</v>
      </c>
      <c r="AU91" s="603">
        <v>0</v>
      </c>
      <c r="AV91" s="603">
        <v>0</v>
      </c>
      <c r="AW91" s="603">
        <v>0</v>
      </c>
      <c r="AX91" s="603">
        <v>0</v>
      </c>
      <c r="AY91" s="603">
        <v>0</v>
      </c>
      <c r="AZ91" s="603">
        <v>0</v>
      </c>
      <c r="BA91" s="603">
        <v>0</v>
      </c>
      <c r="BB91" s="603">
        <v>0</v>
      </c>
    </row>
    <row r="92" spans="1:54" x14ac:dyDescent="0.25">
      <c r="A92">
        <v>375</v>
      </c>
      <c r="B92">
        <v>375</v>
      </c>
      <c r="C92">
        <v>375</v>
      </c>
      <c r="D92" t="s">
        <v>302</v>
      </c>
      <c r="E92" t="s">
        <v>466</v>
      </c>
      <c r="F92" s="673">
        <v>1645274</v>
      </c>
      <c r="G92" s="673">
        <v>6056032</v>
      </c>
      <c r="H92" s="673">
        <v>7748958</v>
      </c>
      <c r="I92" s="673">
        <v>11797503</v>
      </c>
      <c r="J92" s="673">
        <v>64530210</v>
      </c>
      <c r="K92" s="673">
        <v>14834617</v>
      </c>
      <c r="L92" s="673">
        <v>76384783</v>
      </c>
      <c r="M92" s="673">
        <v>4012507</v>
      </c>
      <c r="N92" s="603">
        <v>0</v>
      </c>
      <c r="O92" s="603">
        <v>2639965</v>
      </c>
      <c r="P92" s="603">
        <v>3880357</v>
      </c>
      <c r="Q92" s="603">
        <v>-947350</v>
      </c>
      <c r="R92" s="603">
        <v>23882710</v>
      </c>
      <c r="S92" s="603">
        <v>1511251</v>
      </c>
      <c r="T92" s="603">
        <v>48796</v>
      </c>
      <c r="U92" s="603">
        <v>7134801</v>
      </c>
      <c r="V92" s="603">
        <v>592576</v>
      </c>
      <c r="W92" s="603">
        <v>17606223</v>
      </c>
      <c r="X92" s="603">
        <v>3047256</v>
      </c>
      <c r="Y92" s="603">
        <v>1005362</v>
      </c>
      <c r="Z92" s="603">
        <v>3403340</v>
      </c>
      <c r="AA92" s="603">
        <v>3476439</v>
      </c>
      <c r="AB92" s="603">
        <v>902333</v>
      </c>
      <c r="AC92" s="603">
        <v>6009871</v>
      </c>
      <c r="AD92" s="603">
        <v>1027438</v>
      </c>
      <c r="AE92" s="603">
        <v>9106427</v>
      </c>
      <c r="AF92" s="603">
        <v>1928496</v>
      </c>
      <c r="AG92" s="603">
        <v>598459</v>
      </c>
      <c r="AH92" s="603">
        <v>37126077</v>
      </c>
      <c r="AI92" s="603">
        <v>6068016</v>
      </c>
      <c r="AJ92" s="603">
        <v>16488683</v>
      </c>
      <c r="AK92" s="603">
        <v>241598</v>
      </c>
      <c r="AL92" s="603">
        <v>9176076</v>
      </c>
      <c r="AM92" s="603">
        <v>530311</v>
      </c>
      <c r="AN92" s="603">
        <v>1622091</v>
      </c>
      <c r="AO92" s="603">
        <v>30955150</v>
      </c>
      <c r="AP92" s="603">
        <v>3371347</v>
      </c>
      <c r="AQ92" s="603">
        <v>6590465</v>
      </c>
      <c r="AR92" s="603">
        <v>1907730</v>
      </c>
      <c r="AS92" s="603">
        <v>1205760</v>
      </c>
      <c r="AT92" s="603">
        <v>-567349</v>
      </c>
      <c r="AU92" s="603">
        <v>197883</v>
      </c>
      <c r="AV92" s="603">
        <v>169381</v>
      </c>
      <c r="AW92" s="603">
        <v>12490860</v>
      </c>
      <c r="AX92" s="603">
        <v>0</v>
      </c>
      <c r="AY92" s="603">
        <v>39595</v>
      </c>
      <c r="AZ92" s="603">
        <v>34157</v>
      </c>
      <c r="BA92" s="603">
        <v>3473147</v>
      </c>
      <c r="BB92" s="603">
        <v>1486591</v>
      </c>
    </row>
    <row r="93" spans="1:54" x14ac:dyDescent="0.25">
      <c r="A93">
        <v>376</v>
      </c>
      <c r="B93">
        <v>376</v>
      </c>
      <c r="C93">
        <v>376</v>
      </c>
      <c r="D93" t="s">
        <v>131</v>
      </c>
      <c r="E93" t="s">
        <v>467</v>
      </c>
      <c r="F93" s="673">
        <v>0</v>
      </c>
      <c r="G93" s="673">
        <v>0</v>
      </c>
      <c r="H93" s="673">
        <v>0</v>
      </c>
      <c r="I93" s="673">
        <v>0</v>
      </c>
      <c r="J93" s="673">
        <v>0</v>
      </c>
      <c r="K93" s="673">
        <v>0</v>
      </c>
      <c r="L93" s="673">
        <v>0</v>
      </c>
      <c r="M93" s="673">
        <v>0</v>
      </c>
      <c r="N93" s="603">
        <v>0</v>
      </c>
      <c r="O93" s="603">
        <v>0</v>
      </c>
      <c r="P93" s="603">
        <v>0</v>
      </c>
      <c r="Q93" s="603">
        <v>0</v>
      </c>
      <c r="R93" s="603">
        <v>0</v>
      </c>
      <c r="S93" s="603">
        <v>0</v>
      </c>
      <c r="T93" s="603">
        <v>0</v>
      </c>
      <c r="U93" s="603">
        <v>0</v>
      </c>
      <c r="V93" s="603">
        <v>0</v>
      </c>
      <c r="W93" s="603">
        <v>0</v>
      </c>
      <c r="X93" s="603">
        <v>0</v>
      </c>
      <c r="Y93" s="603">
        <v>0</v>
      </c>
      <c r="Z93" s="603">
        <v>0</v>
      </c>
      <c r="AA93" s="603">
        <v>0</v>
      </c>
      <c r="AB93" s="603">
        <v>0</v>
      </c>
      <c r="AC93" s="603">
        <v>0</v>
      </c>
      <c r="AD93" s="603">
        <v>0</v>
      </c>
      <c r="AE93" s="603">
        <v>0</v>
      </c>
      <c r="AF93" s="603">
        <v>0</v>
      </c>
      <c r="AG93" s="603">
        <v>0</v>
      </c>
      <c r="AH93" s="603">
        <v>0</v>
      </c>
      <c r="AI93" s="603">
        <v>0</v>
      </c>
      <c r="AJ93" s="603">
        <v>0</v>
      </c>
      <c r="AK93" s="603">
        <v>0</v>
      </c>
      <c r="AL93" s="603">
        <v>0</v>
      </c>
      <c r="AM93" s="603">
        <v>0</v>
      </c>
      <c r="AN93" s="603">
        <v>0</v>
      </c>
      <c r="AO93" s="603">
        <v>0</v>
      </c>
      <c r="AP93" s="603">
        <v>0</v>
      </c>
      <c r="AQ93" s="603">
        <v>0</v>
      </c>
      <c r="AR93" s="603">
        <v>0</v>
      </c>
      <c r="AS93" s="603">
        <v>0</v>
      </c>
      <c r="AT93" s="603">
        <v>0</v>
      </c>
      <c r="AU93" s="603">
        <v>0</v>
      </c>
      <c r="AV93" s="603">
        <v>0</v>
      </c>
      <c r="AW93" s="603">
        <v>0</v>
      </c>
      <c r="AX93" s="603">
        <v>0</v>
      </c>
      <c r="AY93" s="603">
        <v>0</v>
      </c>
      <c r="AZ93" s="603">
        <v>0</v>
      </c>
      <c r="BA93" s="603">
        <v>0</v>
      </c>
      <c r="BB93" s="603">
        <v>0</v>
      </c>
    </row>
    <row r="94" spans="1:54" x14ac:dyDescent="0.25">
      <c r="A94">
        <v>377</v>
      </c>
      <c r="B94">
        <v>377</v>
      </c>
      <c r="C94">
        <v>377</v>
      </c>
      <c r="D94" t="s">
        <v>132</v>
      </c>
      <c r="E94" t="s">
        <v>468</v>
      </c>
      <c r="F94" s="673">
        <v>0</v>
      </c>
      <c r="G94" s="673">
        <v>0</v>
      </c>
      <c r="H94" s="673">
        <v>0</v>
      </c>
      <c r="I94" s="673">
        <v>0</v>
      </c>
      <c r="J94" s="673">
        <v>0</v>
      </c>
      <c r="K94" s="673">
        <v>0</v>
      </c>
      <c r="L94" s="673">
        <v>5504877</v>
      </c>
      <c r="M94" s="673">
        <v>0</v>
      </c>
      <c r="N94" s="603">
        <v>0</v>
      </c>
      <c r="O94" s="603">
        <v>0</v>
      </c>
      <c r="P94" s="603">
        <v>0</v>
      </c>
      <c r="Q94" s="603">
        <v>0</v>
      </c>
      <c r="R94" s="603">
        <v>0</v>
      </c>
      <c r="S94" s="603">
        <v>-67678</v>
      </c>
      <c r="T94" s="603">
        <v>0</v>
      </c>
      <c r="U94" s="603">
        <v>285697</v>
      </c>
      <c r="V94" s="603">
        <v>0</v>
      </c>
      <c r="W94" s="603">
        <v>0</v>
      </c>
      <c r="X94" s="603">
        <v>0</v>
      </c>
      <c r="Y94" s="603">
        <v>0</v>
      </c>
      <c r="Z94" s="603">
        <v>0</v>
      </c>
      <c r="AA94" s="603">
        <v>0</v>
      </c>
      <c r="AB94" s="603">
        <v>0</v>
      </c>
      <c r="AC94" s="603">
        <v>0</v>
      </c>
      <c r="AD94" s="603">
        <v>0</v>
      </c>
      <c r="AE94" s="603">
        <v>0</v>
      </c>
      <c r="AF94" s="603">
        <v>0</v>
      </c>
      <c r="AG94" s="603">
        <v>0</v>
      </c>
      <c r="AH94" s="603">
        <v>0</v>
      </c>
      <c r="AI94" s="603">
        <v>0</v>
      </c>
      <c r="AJ94" s="603">
        <v>0</v>
      </c>
      <c r="AK94" s="603">
        <v>0</v>
      </c>
      <c r="AL94" s="603">
        <v>0</v>
      </c>
      <c r="AM94" s="603">
        <v>0</v>
      </c>
      <c r="AN94" s="603">
        <v>0</v>
      </c>
      <c r="AO94" s="603">
        <v>0</v>
      </c>
      <c r="AP94" s="603">
        <v>0</v>
      </c>
      <c r="AQ94" s="603">
        <v>0</v>
      </c>
      <c r="AR94" s="603">
        <v>243291</v>
      </c>
      <c r="AS94" s="603">
        <v>0</v>
      </c>
      <c r="AT94" s="603">
        <v>0</v>
      </c>
      <c r="AU94" s="603">
        <v>0</v>
      </c>
      <c r="AV94" s="603">
        <v>0</v>
      </c>
      <c r="AW94" s="603">
        <v>0</v>
      </c>
      <c r="AX94" s="603">
        <v>0</v>
      </c>
      <c r="AY94" s="603">
        <v>0</v>
      </c>
      <c r="AZ94" s="603">
        <v>0</v>
      </c>
      <c r="BA94" s="603">
        <v>971472</v>
      </c>
      <c r="BB94" s="603">
        <v>0</v>
      </c>
    </row>
    <row r="95" spans="1:54" x14ac:dyDescent="0.25">
      <c r="A95">
        <v>378</v>
      </c>
      <c r="B95">
        <v>378</v>
      </c>
      <c r="C95">
        <v>378</v>
      </c>
      <c r="D95" t="s">
        <v>968</v>
      </c>
      <c r="E95" t="s">
        <v>469</v>
      </c>
      <c r="F95" s="673">
        <v>0</v>
      </c>
      <c r="G95" s="673">
        <v>0</v>
      </c>
      <c r="H95" s="673">
        <v>0</v>
      </c>
      <c r="I95" s="673">
        <v>0</v>
      </c>
      <c r="J95" s="673">
        <v>0</v>
      </c>
      <c r="K95" s="673">
        <v>0</v>
      </c>
      <c r="L95" s="673">
        <v>0</v>
      </c>
      <c r="M95" s="673">
        <v>0</v>
      </c>
      <c r="N95" s="603">
        <v>0</v>
      </c>
      <c r="O95" s="603">
        <v>0</v>
      </c>
      <c r="P95" s="603">
        <v>0</v>
      </c>
      <c r="Q95" s="603">
        <v>0</v>
      </c>
      <c r="R95" s="603">
        <v>0</v>
      </c>
      <c r="S95" s="603">
        <v>0</v>
      </c>
      <c r="T95" s="603">
        <v>0</v>
      </c>
      <c r="U95" s="603">
        <v>0</v>
      </c>
      <c r="V95" s="603">
        <v>0</v>
      </c>
      <c r="W95" s="603">
        <v>0</v>
      </c>
      <c r="X95" s="603">
        <v>0</v>
      </c>
      <c r="Y95" s="603">
        <v>0</v>
      </c>
      <c r="Z95" s="603">
        <v>0</v>
      </c>
      <c r="AA95" s="603">
        <v>0</v>
      </c>
      <c r="AB95" s="603">
        <v>0</v>
      </c>
      <c r="AC95" s="603">
        <v>0</v>
      </c>
      <c r="AD95" s="603">
        <v>0</v>
      </c>
      <c r="AE95" s="603">
        <v>0</v>
      </c>
      <c r="AF95" s="603">
        <v>0</v>
      </c>
      <c r="AG95" s="603">
        <v>0</v>
      </c>
      <c r="AH95" s="603">
        <v>0</v>
      </c>
      <c r="AI95" s="603">
        <v>0</v>
      </c>
      <c r="AJ95" s="603">
        <v>0</v>
      </c>
      <c r="AK95" s="603">
        <v>0</v>
      </c>
      <c r="AL95" s="603">
        <v>0</v>
      </c>
      <c r="AM95" s="603">
        <v>0</v>
      </c>
      <c r="AN95" s="603">
        <v>0</v>
      </c>
      <c r="AO95" s="603">
        <v>0</v>
      </c>
      <c r="AP95" s="603">
        <v>0</v>
      </c>
      <c r="AQ95" s="603">
        <v>0</v>
      </c>
      <c r="AR95" s="603">
        <v>0</v>
      </c>
      <c r="AS95" s="603">
        <v>0</v>
      </c>
      <c r="AT95" s="603">
        <v>0</v>
      </c>
      <c r="AU95" s="603">
        <v>0</v>
      </c>
      <c r="AV95" s="603">
        <v>0</v>
      </c>
      <c r="AW95" s="603">
        <v>0</v>
      </c>
      <c r="AX95" s="603">
        <v>0</v>
      </c>
      <c r="AY95" s="603">
        <v>0</v>
      </c>
      <c r="AZ95" s="603">
        <v>0</v>
      </c>
      <c r="BA95" s="603">
        <v>0</v>
      </c>
      <c r="BB95" s="603">
        <v>0</v>
      </c>
    </row>
    <row r="96" spans="1:54" x14ac:dyDescent="0.25">
      <c r="A96">
        <v>379</v>
      </c>
      <c r="B96">
        <v>379</v>
      </c>
      <c r="C96">
        <v>379</v>
      </c>
      <c r="D96" t="s">
        <v>141</v>
      </c>
      <c r="E96" t="s">
        <v>470</v>
      </c>
      <c r="F96" s="673">
        <v>0</v>
      </c>
      <c r="G96" s="673">
        <v>0</v>
      </c>
      <c r="H96" s="673">
        <v>0</v>
      </c>
      <c r="I96" s="673">
        <v>0</v>
      </c>
      <c r="J96" s="673">
        <v>0</v>
      </c>
      <c r="K96" s="673">
        <v>0</v>
      </c>
      <c r="L96" s="673">
        <v>0</v>
      </c>
      <c r="M96" s="673">
        <v>0</v>
      </c>
      <c r="N96" s="603">
        <v>0</v>
      </c>
      <c r="O96" s="603">
        <v>0</v>
      </c>
      <c r="P96" s="603">
        <v>0</v>
      </c>
      <c r="Q96" s="603">
        <v>0</v>
      </c>
      <c r="R96" s="603">
        <v>0</v>
      </c>
      <c r="S96" s="603">
        <v>0</v>
      </c>
      <c r="T96" s="603">
        <v>0</v>
      </c>
      <c r="U96" s="603">
        <v>0</v>
      </c>
      <c r="V96" s="603">
        <v>0</v>
      </c>
      <c r="W96" s="603">
        <v>0</v>
      </c>
      <c r="X96" s="603">
        <v>0</v>
      </c>
      <c r="Y96" s="603">
        <v>0</v>
      </c>
      <c r="Z96" s="603">
        <v>0</v>
      </c>
      <c r="AA96" s="603">
        <v>0</v>
      </c>
      <c r="AB96" s="603">
        <v>0</v>
      </c>
      <c r="AC96" s="603">
        <v>0</v>
      </c>
      <c r="AD96" s="603">
        <v>0</v>
      </c>
      <c r="AE96" s="603">
        <v>0</v>
      </c>
      <c r="AF96" s="603">
        <v>0</v>
      </c>
      <c r="AG96" s="603">
        <v>0</v>
      </c>
      <c r="AH96" s="603">
        <v>0</v>
      </c>
      <c r="AI96" s="603">
        <v>0</v>
      </c>
      <c r="AJ96" s="603">
        <v>0</v>
      </c>
      <c r="AK96" s="603">
        <v>539641</v>
      </c>
      <c r="AL96" s="603">
        <v>0</v>
      </c>
      <c r="AM96" s="603">
        <v>0</v>
      </c>
      <c r="AN96" s="603">
        <v>0</v>
      </c>
      <c r="AO96" s="603">
        <v>0</v>
      </c>
      <c r="AP96" s="603">
        <v>0</v>
      </c>
      <c r="AQ96" s="603">
        <v>0</v>
      </c>
      <c r="AR96" s="603">
        <v>0</v>
      </c>
      <c r="AS96" s="603">
        <v>0</v>
      </c>
      <c r="AT96" s="603">
        <v>0</v>
      </c>
      <c r="AU96" s="603">
        <v>0</v>
      </c>
      <c r="AV96" s="603">
        <v>0</v>
      </c>
      <c r="AW96" s="603">
        <v>0</v>
      </c>
      <c r="AX96" s="603">
        <v>0</v>
      </c>
      <c r="AY96" s="603">
        <v>0</v>
      </c>
      <c r="AZ96" s="603">
        <v>0</v>
      </c>
      <c r="BA96" s="603">
        <v>0</v>
      </c>
      <c r="BB96" s="603">
        <v>0</v>
      </c>
    </row>
    <row r="97" spans="1:54" x14ac:dyDescent="0.25">
      <c r="A97">
        <v>380</v>
      </c>
      <c r="B97">
        <v>380</v>
      </c>
      <c r="C97">
        <v>380</v>
      </c>
      <c r="D97" t="s">
        <v>144</v>
      </c>
      <c r="E97" t="s">
        <v>471</v>
      </c>
      <c r="F97" s="673">
        <v>0</v>
      </c>
      <c r="G97" s="673">
        <v>0</v>
      </c>
      <c r="H97" s="673">
        <v>0</v>
      </c>
      <c r="I97" s="673">
        <v>0</v>
      </c>
      <c r="J97" s="673">
        <v>0</v>
      </c>
      <c r="K97" s="673">
        <v>0</v>
      </c>
      <c r="L97" s="673">
        <v>0</v>
      </c>
      <c r="M97" s="673">
        <v>0</v>
      </c>
      <c r="N97" s="603">
        <v>0</v>
      </c>
      <c r="O97" s="603">
        <v>0</v>
      </c>
      <c r="P97" s="603">
        <v>0</v>
      </c>
      <c r="Q97" s="603">
        <v>0</v>
      </c>
      <c r="R97" s="603">
        <v>0</v>
      </c>
      <c r="S97" s="603">
        <v>0</v>
      </c>
      <c r="T97" s="603">
        <v>0</v>
      </c>
      <c r="U97" s="603">
        <v>0</v>
      </c>
      <c r="V97" s="603">
        <v>0</v>
      </c>
      <c r="W97" s="603">
        <v>0</v>
      </c>
      <c r="X97" s="603">
        <v>0</v>
      </c>
      <c r="Y97" s="603">
        <v>0</v>
      </c>
      <c r="Z97" s="603">
        <v>0</v>
      </c>
      <c r="AA97" s="603">
        <v>0</v>
      </c>
      <c r="AB97" s="603">
        <v>0</v>
      </c>
      <c r="AC97" s="603">
        <v>0</v>
      </c>
      <c r="AD97" s="603">
        <v>0</v>
      </c>
      <c r="AE97" s="603">
        <v>0</v>
      </c>
      <c r="AF97" s="603">
        <v>0</v>
      </c>
      <c r="AG97" s="603">
        <v>0</v>
      </c>
      <c r="AH97" s="603">
        <v>0</v>
      </c>
      <c r="AI97" s="603">
        <v>0</v>
      </c>
      <c r="AJ97" s="603">
        <v>0</v>
      </c>
      <c r="AK97" s="603">
        <v>665</v>
      </c>
      <c r="AL97" s="603">
        <v>0</v>
      </c>
      <c r="AM97" s="603">
        <v>0</v>
      </c>
      <c r="AN97" s="603">
        <v>0</v>
      </c>
      <c r="AO97" s="603">
        <v>0</v>
      </c>
      <c r="AP97" s="603">
        <v>0</v>
      </c>
      <c r="AQ97" s="603">
        <v>0</v>
      </c>
      <c r="AR97" s="603">
        <v>0</v>
      </c>
      <c r="AS97" s="603">
        <v>0</v>
      </c>
      <c r="AT97" s="603">
        <v>0</v>
      </c>
      <c r="AU97" s="603">
        <v>0</v>
      </c>
      <c r="AV97" s="603">
        <v>0</v>
      </c>
      <c r="AW97" s="603">
        <v>0</v>
      </c>
      <c r="AX97" s="603">
        <v>0</v>
      </c>
      <c r="AY97" s="603">
        <v>0</v>
      </c>
      <c r="AZ97" s="603">
        <v>0</v>
      </c>
      <c r="BA97" s="603">
        <v>0</v>
      </c>
      <c r="BB97" s="603">
        <v>0</v>
      </c>
    </row>
    <row r="98" spans="1:54" x14ac:dyDescent="0.25">
      <c r="A98">
        <v>381</v>
      </c>
      <c r="B98">
        <v>381</v>
      </c>
      <c r="C98">
        <v>381</v>
      </c>
      <c r="D98" t="s">
        <v>136</v>
      </c>
      <c r="E98" t="s">
        <v>472</v>
      </c>
      <c r="F98" s="673">
        <v>14961992</v>
      </c>
      <c r="G98" s="673">
        <v>25162488</v>
      </c>
      <c r="H98" s="673">
        <v>41910247</v>
      </c>
      <c r="I98" s="673">
        <v>18764216</v>
      </c>
      <c r="J98" s="673">
        <v>541100881</v>
      </c>
      <c r="K98" s="673">
        <v>165224590</v>
      </c>
      <c r="L98" s="673">
        <v>882977394</v>
      </c>
      <c r="M98" s="673">
        <v>44958945</v>
      </c>
      <c r="N98" s="603">
        <v>0</v>
      </c>
      <c r="O98" s="603">
        <v>32405629</v>
      </c>
      <c r="P98" s="603">
        <v>32147230</v>
      </c>
      <c r="Q98" s="603">
        <v>4249779</v>
      </c>
      <c r="R98" s="603">
        <v>889271935</v>
      </c>
      <c r="S98" s="603">
        <v>4523059</v>
      </c>
      <c r="T98" s="603">
        <v>5294296</v>
      </c>
      <c r="U98" s="603">
        <v>27191855</v>
      </c>
      <c r="V98" s="603">
        <v>3306468</v>
      </c>
      <c r="W98" s="603">
        <v>307330305</v>
      </c>
      <c r="X98" s="603">
        <v>24143753</v>
      </c>
      <c r="Y98" s="603">
        <v>2432284</v>
      </c>
      <c r="Z98" s="603">
        <v>16510374</v>
      </c>
      <c r="AA98" s="603">
        <v>46765985</v>
      </c>
      <c r="AB98" s="603">
        <v>8029937</v>
      </c>
      <c r="AC98" s="603">
        <v>25621672</v>
      </c>
      <c r="AD98" s="603">
        <v>2916214</v>
      </c>
      <c r="AE98" s="603">
        <v>115767386</v>
      </c>
      <c r="AF98" s="603">
        <v>14062969</v>
      </c>
      <c r="AG98" s="603">
        <v>3397953</v>
      </c>
      <c r="AH98" s="603">
        <v>237021132</v>
      </c>
      <c r="AI98" s="603">
        <v>364947014</v>
      </c>
      <c r="AJ98" s="603">
        <v>131828474</v>
      </c>
      <c r="AK98" s="603">
        <v>421834</v>
      </c>
      <c r="AL98" s="603">
        <v>55482740</v>
      </c>
      <c r="AM98" s="603">
        <v>7207276</v>
      </c>
      <c r="AN98" s="603">
        <v>1995461</v>
      </c>
      <c r="AO98" s="603">
        <v>89089028</v>
      </c>
      <c r="AP98" s="603">
        <v>14989841</v>
      </c>
      <c r="AQ98" s="603">
        <v>29816922</v>
      </c>
      <c r="AR98" s="603">
        <v>5781183</v>
      </c>
      <c r="AS98" s="603">
        <v>6842481</v>
      </c>
      <c r="AT98" s="603">
        <v>11182754</v>
      </c>
      <c r="AU98" s="603">
        <v>1233987</v>
      </c>
      <c r="AV98" s="603">
        <v>3737478</v>
      </c>
      <c r="AW98" s="603">
        <v>52169666</v>
      </c>
      <c r="AX98" s="603">
        <v>11026515</v>
      </c>
      <c r="AY98" s="603">
        <v>117300</v>
      </c>
      <c r="AZ98" s="603">
        <v>130206</v>
      </c>
      <c r="BA98" s="603">
        <v>11710363</v>
      </c>
      <c r="BB98" s="603">
        <v>23313805</v>
      </c>
    </row>
    <row r="99" spans="1:54" x14ac:dyDescent="0.25">
      <c r="A99">
        <v>382</v>
      </c>
      <c r="B99">
        <v>382</v>
      </c>
      <c r="C99">
        <v>382</v>
      </c>
      <c r="D99" t="s">
        <v>969</v>
      </c>
      <c r="E99" t="s">
        <v>473</v>
      </c>
      <c r="F99" s="673">
        <v>0</v>
      </c>
      <c r="G99" s="673">
        <v>0</v>
      </c>
      <c r="H99" s="673">
        <v>0</v>
      </c>
      <c r="I99" s="673">
        <v>0</v>
      </c>
      <c r="J99" s="673">
        <v>0</v>
      </c>
      <c r="K99" s="673">
        <v>0</v>
      </c>
      <c r="L99" s="673">
        <v>0</v>
      </c>
      <c r="M99" s="673">
        <v>0</v>
      </c>
      <c r="N99" s="603">
        <v>0</v>
      </c>
      <c r="O99" s="603">
        <v>0</v>
      </c>
      <c r="P99" s="603">
        <v>0</v>
      </c>
      <c r="Q99" s="603">
        <v>0</v>
      </c>
      <c r="R99" s="603">
        <v>543758783</v>
      </c>
      <c r="S99" s="603">
        <v>0</v>
      </c>
      <c r="T99" s="603">
        <v>0</v>
      </c>
      <c r="U99" s="603">
        <v>0</v>
      </c>
      <c r="V99" s="603">
        <v>0</v>
      </c>
      <c r="W99" s="603">
        <v>265731553</v>
      </c>
      <c r="X99" s="603">
        <v>0</v>
      </c>
      <c r="Y99" s="603">
        <v>0</v>
      </c>
      <c r="Z99" s="603">
        <v>0</v>
      </c>
      <c r="AA99" s="603">
        <v>0</v>
      </c>
      <c r="AB99" s="603">
        <v>0</v>
      </c>
      <c r="AC99" s="603">
        <v>0</v>
      </c>
      <c r="AD99" s="603">
        <v>0</v>
      </c>
      <c r="AE99" s="603">
        <v>0</v>
      </c>
      <c r="AF99" s="603">
        <v>0</v>
      </c>
      <c r="AG99" s="603">
        <v>0</v>
      </c>
      <c r="AH99" s="603">
        <v>0</v>
      </c>
      <c r="AI99" s="603">
        <v>0</v>
      </c>
      <c r="AJ99" s="603">
        <v>0</v>
      </c>
      <c r="AK99" s="603">
        <v>0</v>
      </c>
      <c r="AL99" s="603">
        <v>0</v>
      </c>
      <c r="AM99" s="603">
        <v>0</v>
      </c>
      <c r="AN99" s="603">
        <v>0</v>
      </c>
      <c r="AO99" s="603">
        <v>0</v>
      </c>
      <c r="AP99" s="603">
        <v>0</v>
      </c>
      <c r="AQ99" s="603">
        <v>0</v>
      </c>
      <c r="AR99" s="603">
        <v>0</v>
      </c>
      <c r="AS99" s="603">
        <v>0</v>
      </c>
      <c r="AT99" s="603">
        <v>0</v>
      </c>
      <c r="AU99" s="603">
        <v>0</v>
      </c>
      <c r="AV99" s="603">
        <v>0</v>
      </c>
      <c r="AW99" s="603">
        <v>0</v>
      </c>
      <c r="AX99" s="603">
        <v>0</v>
      </c>
      <c r="AY99" s="603">
        <v>0</v>
      </c>
      <c r="AZ99" s="603">
        <v>0</v>
      </c>
      <c r="BA99" s="603">
        <v>0</v>
      </c>
      <c r="BB99" s="603">
        <v>0</v>
      </c>
    </row>
    <row r="100" spans="1:54" x14ac:dyDescent="0.25">
      <c r="A100">
        <v>383</v>
      </c>
      <c r="B100">
        <v>383</v>
      </c>
      <c r="C100">
        <v>383</v>
      </c>
      <c r="D100" t="s">
        <v>301</v>
      </c>
      <c r="E100" t="s">
        <v>474</v>
      </c>
      <c r="F100" s="673">
        <v>0</v>
      </c>
      <c r="G100" s="673">
        <v>0</v>
      </c>
      <c r="H100" s="673">
        <v>0</v>
      </c>
      <c r="I100" s="673">
        <v>0</v>
      </c>
      <c r="J100" s="673">
        <v>0</v>
      </c>
      <c r="K100" s="673">
        <v>0</v>
      </c>
      <c r="L100" s="673">
        <v>140428</v>
      </c>
      <c r="M100" s="673">
        <v>0</v>
      </c>
      <c r="N100" s="603">
        <v>0</v>
      </c>
      <c r="O100" s="603">
        <v>0</v>
      </c>
      <c r="P100" s="603">
        <v>0</v>
      </c>
      <c r="Q100" s="603">
        <v>0</v>
      </c>
      <c r="R100" s="603">
        <v>0</v>
      </c>
      <c r="S100" s="603">
        <v>0</v>
      </c>
      <c r="T100" s="603">
        <v>0</v>
      </c>
      <c r="U100" s="603">
        <v>0</v>
      </c>
      <c r="V100" s="603">
        <v>0</v>
      </c>
      <c r="W100" s="603">
        <v>192410</v>
      </c>
      <c r="X100" s="603">
        <v>90211</v>
      </c>
      <c r="Y100" s="603">
        <v>0</v>
      </c>
      <c r="Z100" s="603">
        <v>9627</v>
      </c>
      <c r="AA100" s="603">
        <v>0</v>
      </c>
      <c r="AB100" s="603">
        <v>24239</v>
      </c>
      <c r="AC100" s="603">
        <v>0</v>
      </c>
      <c r="AD100" s="603">
        <v>0</v>
      </c>
      <c r="AE100" s="603">
        <v>0</v>
      </c>
      <c r="AF100" s="603">
        <v>14020</v>
      </c>
      <c r="AG100" s="603">
        <v>93750</v>
      </c>
      <c r="AH100" s="603">
        <v>0</v>
      </c>
      <c r="AI100" s="603">
        <v>0</v>
      </c>
      <c r="AJ100" s="603">
        <v>3432</v>
      </c>
      <c r="AK100" s="603">
        <v>0</v>
      </c>
      <c r="AL100" s="603">
        <v>0</v>
      </c>
      <c r="AM100" s="603">
        <v>0</v>
      </c>
      <c r="AN100" s="603">
        <v>970</v>
      </c>
      <c r="AO100" s="603">
        <v>0</v>
      </c>
      <c r="AP100" s="603">
        <v>0</v>
      </c>
      <c r="AQ100" s="603">
        <v>0</v>
      </c>
      <c r="AR100" s="603">
        <v>0</v>
      </c>
      <c r="AS100" s="603">
        <v>0</v>
      </c>
      <c r="AT100" s="603">
        <v>0</v>
      </c>
      <c r="AU100" s="603">
        <v>0</v>
      </c>
      <c r="AV100" s="603">
        <v>0</v>
      </c>
      <c r="AW100" s="603">
        <v>0</v>
      </c>
      <c r="AX100" s="603">
        <v>0</v>
      </c>
      <c r="AY100" s="603">
        <v>0</v>
      </c>
      <c r="AZ100" s="603">
        <v>0</v>
      </c>
      <c r="BA100" s="603">
        <v>20950</v>
      </c>
      <c r="BB100" s="603">
        <v>0</v>
      </c>
    </row>
    <row r="101" spans="1:54" x14ac:dyDescent="0.25">
      <c r="A101">
        <v>384</v>
      </c>
      <c r="B101">
        <v>384</v>
      </c>
      <c r="C101">
        <v>384</v>
      </c>
      <c r="D101" t="s">
        <v>147</v>
      </c>
      <c r="E101" t="s">
        <v>475</v>
      </c>
      <c r="F101" s="673">
        <v>0</v>
      </c>
      <c r="G101" s="673">
        <v>0</v>
      </c>
      <c r="H101" s="673">
        <v>0</v>
      </c>
      <c r="I101" s="673">
        <v>0</v>
      </c>
      <c r="J101" s="673">
        <v>0</v>
      </c>
      <c r="K101" s="673">
        <v>0</v>
      </c>
      <c r="L101" s="673">
        <v>0</v>
      </c>
      <c r="M101" s="673">
        <v>0</v>
      </c>
      <c r="N101" s="603">
        <v>0</v>
      </c>
      <c r="O101" s="603">
        <v>0</v>
      </c>
      <c r="P101" s="603">
        <v>0</v>
      </c>
      <c r="Q101" s="603">
        <v>0</v>
      </c>
      <c r="R101" s="603">
        <v>0</v>
      </c>
      <c r="S101" s="603">
        <v>0</v>
      </c>
      <c r="T101" s="603">
        <v>0</v>
      </c>
      <c r="U101" s="603">
        <v>0</v>
      </c>
      <c r="V101" s="603">
        <v>0</v>
      </c>
      <c r="W101" s="603">
        <v>0</v>
      </c>
      <c r="X101" s="603">
        <v>0</v>
      </c>
      <c r="Y101" s="603">
        <v>0</v>
      </c>
      <c r="Z101" s="603">
        <v>0</v>
      </c>
      <c r="AA101" s="603">
        <v>0</v>
      </c>
      <c r="AB101" s="603">
        <v>0</v>
      </c>
      <c r="AC101" s="603">
        <v>0</v>
      </c>
      <c r="AD101" s="603">
        <v>0</v>
      </c>
      <c r="AE101" s="603">
        <v>0</v>
      </c>
      <c r="AF101" s="603">
        <v>0</v>
      </c>
      <c r="AG101" s="603">
        <v>0</v>
      </c>
      <c r="AH101" s="603">
        <v>0</v>
      </c>
      <c r="AI101" s="603">
        <v>0</v>
      </c>
      <c r="AJ101" s="603">
        <v>0</v>
      </c>
      <c r="AK101" s="603">
        <v>0</v>
      </c>
      <c r="AL101" s="603">
        <v>0</v>
      </c>
      <c r="AM101" s="603">
        <v>0</v>
      </c>
      <c r="AN101" s="603">
        <v>0</v>
      </c>
      <c r="AO101" s="603">
        <v>0</v>
      </c>
      <c r="AP101" s="603">
        <v>0</v>
      </c>
      <c r="AQ101" s="603">
        <v>0</v>
      </c>
      <c r="AR101" s="603">
        <v>0</v>
      </c>
      <c r="AS101" s="603">
        <v>0</v>
      </c>
      <c r="AT101" s="603">
        <v>0</v>
      </c>
      <c r="AU101" s="603">
        <v>0</v>
      </c>
      <c r="AV101" s="603">
        <v>0</v>
      </c>
      <c r="AW101" s="603">
        <v>0</v>
      </c>
      <c r="AX101" s="603">
        <v>0</v>
      </c>
      <c r="AY101" s="603">
        <v>0</v>
      </c>
      <c r="AZ101" s="603">
        <v>0</v>
      </c>
      <c r="BA101" s="603">
        <v>0</v>
      </c>
      <c r="BB101" s="603">
        <v>0</v>
      </c>
    </row>
    <row r="102" spans="1:54" x14ac:dyDescent="0.25">
      <c r="A102">
        <v>385</v>
      </c>
      <c r="B102">
        <v>385</v>
      </c>
      <c r="C102">
        <v>385</v>
      </c>
      <c r="D102" t="s">
        <v>138</v>
      </c>
      <c r="E102" t="s">
        <v>476</v>
      </c>
      <c r="F102" s="673">
        <v>0</v>
      </c>
      <c r="G102" s="673">
        <v>0</v>
      </c>
      <c r="H102" s="673">
        <v>0</v>
      </c>
      <c r="I102" s="673">
        <v>0</v>
      </c>
      <c r="J102" s="673">
        <v>0</v>
      </c>
      <c r="K102" s="673">
        <v>0</v>
      </c>
      <c r="L102" s="673">
        <v>0</v>
      </c>
      <c r="M102" s="673">
        <v>0</v>
      </c>
      <c r="N102" s="603">
        <v>0</v>
      </c>
      <c r="O102" s="603">
        <v>0</v>
      </c>
      <c r="P102" s="603">
        <v>0</v>
      </c>
      <c r="Q102" s="603">
        <v>0</v>
      </c>
      <c r="R102" s="603">
        <v>0</v>
      </c>
      <c r="S102" s="603">
        <v>0</v>
      </c>
      <c r="T102" s="603">
        <v>0</v>
      </c>
      <c r="U102" s="603">
        <v>0</v>
      </c>
      <c r="V102" s="603">
        <v>0</v>
      </c>
      <c r="W102" s="603">
        <v>0</v>
      </c>
      <c r="X102" s="603">
        <v>0</v>
      </c>
      <c r="Y102" s="603">
        <v>0</v>
      </c>
      <c r="Z102" s="603">
        <v>0</v>
      </c>
      <c r="AA102" s="603">
        <v>0</v>
      </c>
      <c r="AB102" s="603">
        <v>0</v>
      </c>
      <c r="AC102" s="603">
        <v>0</v>
      </c>
      <c r="AD102" s="603">
        <v>0</v>
      </c>
      <c r="AE102" s="603">
        <v>0</v>
      </c>
      <c r="AF102" s="603">
        <v>0</v>
      </c>
      <c r="AG102" s="603">
        <v>0</v>
      </c>
      <c r="AH102" s="603">
        <v>0</v>
      </c>
      <c r="AI102" s="603">
        <v>0</v>
      </c>
      <c r="AJ102" s="603">
        <v>0</v>
      </c>
      <c r="AK102" s="603">
        <v>546586</v>
      </c>
      <c r="AL102" s="603">
        <v>0</v>
      </c>
      <c r="AM102" s="603">
        <v>0</v>
      </c>
      <c r="AN102" s="603">
        <v>0</v>
      </c>
      <c r="AO102" s="603">
        <v>0</v>
      </c>
      <c r="AP102" s="603">
        <v>0</v>
      </c>
      <c r="AQ102" s="603">
        <v>0</v>
      </c>
      <c r="AR102" s="603">
        <v>0</v>
      </c>
      <c r="AS102" s="603">
        <v>0</v>
      </c>
      <c r="AT102" s="603">
        <v>0</v>
      </c>
      <c r="AU102" s="603">
        <v>0</v>
      </c>
      <c r="AV102" s="603">
        <v>0</v>
      </c>
      <c r="AW102" s="603">
        <v>0</v>
      </c>
      <c r="AX102" s="603">
        <v>0</v>
      </c>
      <c r="AY102" s="603">
        <v>0</v>
      </c>
      <c r="AZ102" s="603">
        <v>0</v>
      </c>
      <c r="BA102" s="603">
        <v>0</v>
      </c>
      <c r="BB102" s="603">
        <v>0</v>
      </c>
    </row>
    <row r="103" spans="1:54" x14ac:dyDescent="0.25">
      <c r="A103">
        <v>386</v>
      </c>
      <c r="B103">
        <v>386</v>
      </c>
      <c r="C103">
        <v>386</v>
      </c>
      <c r="D103" t="s">
        <v>274</v>
      </c>
      <c r="E103" t="s">
        <v>477</v>
      </c>
      <c r="F103" s="673">
        <v>0</v>
      </c>
      <c r="G103" s="673">
        <v>0</v>
      </c>
      <c r="H103" s="673">
        <v>0</v>
      </c>
      <c r="I103" s="673">
        <v>0</v>
      </c>
      <c r="J103" s="673">
        <v>0</v>
      </c>
      <c r="K103" s="673">
        <v>0</v>
      </c>
      <c r="L103" s="673">
        <v>0</v>
      </c>
      <c r="M103" s="673">
        <v>0</v>
      </c>
      <c r="N103" s="603">
        <v>0</v>
      </c>
      <c r="O103" s="603">
        <v>0</v>
      </c>
      <c r="P103" s="603">
        <v>0</v>
      </c>
      <c r="Q103" s="603">
        <v>0</v>
      </c>
      <c r="R103" s="603">
        <v>0</v>
      </c>
      <c r="S103" s="603">
        <v>0</v>
      </c>
      <c r="T103" s="603">
        <v>0</v>
      </c>
      <c r="U103" s="603">
        <v>0</v>
      </c>
      <c r="V103" s="603">
        <v>0</v>
      </c>
      <c r="W103" s="603">
        <v>0</v>
      </c>
      <c r="X103" s="603">
        <v>0</v>
      </c>
      <c r="Y103" s="603">
        <v>0</v>
      </c>
      <c r="Z103" s="603">
        <v>0</v>
      </c>
      <c r="AA103" s="603">
        <v>0</v>
      </c>
      <c r="AB103" s="603">
        <v>0</v>
      </c>
      <c r="AC103" s="603">
        <v>0</v>
      </c>
      <c r="AD103" s="603">
        <v>0</v>
      </c>
      <c r="AE103" s="603">
        <v>0</v>
      </c>
      <c r="AF103" s="603">
        <v>0</v>
      </c>
      <c r="AG103" s="603">
        <v>0</v>
      </c>
      <c r="AH103" s="603">
        <v>0</v>
      </c>
      <c r="AI103" s="603">
        <v>0</v>
      </c>
      <c r="AJ103" s="603">
        <v>0</v>
      </c>
      <c r="AK103" s="603">
        <v>0</v>
      </c>
      <c r="AL103" s="603">
        <v>0</v>
      </c>
      <c r="AM103" s="603">
        <v>0</v>
      </c>
      <c r="AN103" s="603">
        <v>0</v>
      </c>
      <c r="AO103" s="603">
        <v>0</v>
      </c>
      <c r="AP103" s="603">
        <v>0</v>
      </c>
      <c r="AQ103" s="603">
        <v>0</v>
      </c>
      <c r="AR103" s="603">
        <v>0</v>
      </c>
      <c r="AS103" s="603">
        <v>0</v>
      </c>
      <c r="AT103" s="603">
        <v>0</v>
      </c>
      <c r="AU103" s="603">
        <v>0</v>
      </c>
      <c r="AV103" s="603">
        <v>0</v>
      </c>
      <c r="AW103" s="603">
        <v>0</v>
      </c>
      <c r="AX103" s="603">
        <v>0</v>
      </c>
      <c r="AY103" s="603">
        <v>0</v>
      </c>
      <c r="AZ103" s="603">
        <v>0</v>
      </c>
      <c r="BA103" s="603">
        <v>0</v>
      </c>
      <c r="BB103" s="603">
        <v>0</v>
      </c>
    </row>
    <row r="104" spans="1:54" x14ac:dyDescent="0.25">
      <c r="A104">
        <v>387</v>
      </c>
      <c r="B104">
        <v>387</v>
      </c>
      <c r="C104">
        <v>387</v>
      </c>
      <c r="D104" t="s">
        <v>275</v>
      </c>
      <c r="E104" t="s">
        <v>478</v>
      </c>
      <c r="F104" s="673">
        <v>0</v>
      </c>
      <c r="G104" s="673">
        <v>0</v>
      </c>
      <c r="H104" s="673">
        <v>0</v>
      </c>
      <c r="I104" s="673">
        <v>0</v>
      </c>
      <c r="J104" s="673">
        <v>0</v>
      </c>
      <c r="K104" s="673">
        <v>0</v>
      </c>
      <c r="L104" s="673">
        <v>0</v>
      </c>
      <c r="M104" s="673">
        <v>0</v>
      </c>
      <c r="N104" s="603">
        <v>0</v>
      </c>
      <c r="O104" s="603">
        <v>0</v>
      </c>
      <c r="P104" s="603">
        <v>0</v>
      </c>
      <c r="Q104" s="603">
        <v>0</v>
      </c>
      <c r="R104" s="603">
        <v>0</v>
      </c>
      <c r="S104" s="603">
        <v>0</v>
      </c>
      <c r="T104" s="603">
        <v>0</v>
      </c>
      <c r="U104" s="603">
        <v>0</v>
      </c>
      <c r="V104" s="603">
        <v>0</v>
      </c>
      <c r="W104" s="603">
        <v>0</v>
      </c>
      <c r="X104" s="603">
        <v>0</v>
      </c>
      <c r="Y104" s="603">
        <v>0</v>
      </c>
      <c r="Z104" s="603">
        <v>0</v>
      </c>
      <c r="AA104" s="603">
        <v>0</v>
      </c>
      <c r="AB104" s="603">
        <v>0</v>
      </c>
      <c r="AC104" s="603">
        <v>0</v>
      </c>
      <c r="AD104" s="603">
        <v>0</v>
      </c>
      <c r="AE104" s="603">
        <v>0</v>
      </c>
      <c r="AF104" s="603">
        <v>0</v>
      </c>
      <c r="AG104" s="603">
        <v>0</v>
      </c>
      <c r="AH104" s="603">
        <v>0</v>
      </c>
      <c r="AI104" s="603">
        <v>0</v>
      </c>
      <c r="AJ104" s="603">
        <v>0</v>
      </c>
      <c r="AK104" s="603">
        <v>0</v>
      </c>
      <c r="AL104" s="603">
        <v>0</v>
      </c>
      <c r="AM104" s="603">
        <v>0</v>
      </c>
      <c r="AN104" s="603">
        <v>0</v>
      </c>
      <c r="AO104" s="603">
        <v>0</v>
      </c>
      <c r="AP104" s="603">
        <v>0</v>
      </c>
      <c r="AQ104" s="603">
        <v>0</v>
      </c>
      <c r="AR104" s="603">
        <v>0</v>
      </c>
      <c r="AS104" s="603">
        <v>0</v>
      </c>
      <c r="AT104" s="603">
        <v>0</v>
      </c>
      <c r="AU104" s="603">
        <v>0</v>
      </c>
      <c r="AV104" s="603">
        <v>0</v>
      </c>
      <c r="AW104" s="603">
        <v>0</v>
      </c>
      <c r="AX104" s="603">
        <v>0</v>
      </c>
      <c r="AY104" s="603">
        <v>0</v>
      </c>
      <c r="AZ104" s="603">
        <v>0</v>
      </c>
      <c r="BA104" s="603">
        <v>0</v>
      </c>
      <c r="BB104" s="603">
        <v>0</v>
      </c>
    </row>
    <row r="105" spans="1:54" x14ac:dyDescent="0.25">
      <c r="A105">
        <v>388</v>
      </c>
      <c r="B105">
        <v>388</v>
      </c>
      <c r="C105">
        <v>388</v>
      </c>
      <c r="D105" t="s">
        <v>269</v>
      </c>
      <c r="E105" t="s">
        <v>479</v>
      </c>
      <c r="F105" s="673">
        <v>0</v>
      </c>
      <c r="G105" s="673">
        <v>0</v>
      </c>
      <c r="H105" s="673">
        <v>0</v>
      </c>
      <c r="I105" s="673">
        <v>0</v>
      </c>
      <c r="J105" s="673">
        <v>0</v>
      </c>
      <c r="K105" s="673">
        <v>0</v>
      </c>
      <c r="L105" s="673">
        <v>0</v>
      </c>
      <c r="M105" s="673">
        <v>0</v>
      </c>
      <c r="N105" s="603">
        <v>0</v>
      </c>
      <c r="O105" s="603">
        <v>0</v>
      </c>
      <c r="P105" s="603">
        <v>0</v>
      </c>
      <c r="Q105" s="603">
        <v>0</v>
      </c>
      <c r="R105" s="603">
        <v>0</v>
      </c>
      <c r="S105" s="603">
        <v>0</v>
      </c>
      <c r="T105" s="603">
        <v>0</v>
      </c>
      <c r="U105" s="603">
        <v>0</v>
      </c>
      <c r="V105" s="603">
        <v>0</v>
      </c>
      <c r="W105" s="603">
        <v>0</v>
      </c>
      <c r="X105" s="603">
        <v>0</v>
      </c>
      <c r="Y105" s="603">
        <v>0</v>
      </c>
      <c r="Z105" s="603">
        <v>0</v>
      </c>
      <c r="AA105" s="603">
        <v>0</v>
      </c>
      <c r="AB105" s="603">
        <v>0</v>
      </c>
      <c r="AC105" s="603">
        <v>0</v>
      </c>
      <c r="AD105" s="603">
        <v>0</v>
      </c>
      <c r="AE105" s="603">
        <v>0</v>
      </c>
      <c r="AF105" s="603">
        <v>0</v>
      </c>
      <c r="AG105" s="603">
        <v>0</v>
      </c>
      <c r="AH105" s="603">
        <v>0</v>
      </c>
      <c r="AI105" s="603">
        <v>0</v>
      </c>
      <c r="AJ105" s="603">
        <v>0</v>
      </c>
      <c r="AK105" s="603">
        <v>75426</v>
      </c>
      <c r="AL105" s="603">
        <v>0</v>
      </c>
      <c r="AM105" s="603">
        <v>0</v>
      </c>
      <c r="AN105" s="603">
        <v>0</v>
      </c>
      <c r="AO105" s="603">
        <v>0</v>
      </c>
      <c r="AP105" s="603">
        <v>0</v>
      </c>
      <c r="AQ105" s="603">
        <v>0</v>
      </c>
      <c r="AR105" s="603">
        <v>0</v>
      </c>
      <c r="AS105" s="603">
        <v>0</v>
      </c>
      <c r="AT105" s="603">
        <v>0</v>
      </c>
      <c r="AU105" s="603">
        <v>0</v>
      </c>
      <c r="AV105" s="603">
        <v>0</v>
      </c>
      <c r="AW105" s="603">
        <v>0</v>
      </c>
      <c r="AX105" s="603">
        <v>0</v>
      </c>
      <c r="AY105" s="603">
        <v>0</v>
      </c>
      <c r="AZ105" s="603">
        <v>0</v>
      </c>
      <c r="BA105" s="603">
        <v>0</v>
      </c>
      <c r="BB105" s="603">
        <v>0</v>
      </c>
    </row>
    <row r="106" spans="1:54" x14ac:dyDescent="0.25">
      <c r="A106">
        <v>389</v>
      </c>
      <c r="B106">
        <v>389</v>
      </c>
      <c r="C106">
        <v>389</v>
      </c>
      <c r="D106" t="s">
        <v>276</v>
      </c>
      <c r="E106" t="s">
        <v>480</v>
      </c>
      <c r="F106" s="673">
        <v>0</v>
      </c>
      <c r="G106" s="673">
        <v>0</v>
      </c>
      <c r="H106" s="673">
        <v>0</v>
      </c>
      <c r="I106" s="673">
        <v>0</v>
      </c>
      <c r="J106" s="673">
        <v>0</v>
      </c>
      <c r="K106" s="673">
        <v>0</v>
      </c>
      <c r="L106" s="673">
        <v>0</v>
      </c>
      <c r="M106" s="673">
        <v>0</v>
      </c>
      <c r="N106" s="603">
        <v>0</v>
      </c>
      <c r="O106" s="603">
        <v>0</v>
      </c>
      <c r="P106" s="603">
        <v>0</v>
      </c>
      <c r="Q106" s="603">
        <v>0</v>
      </c>
      <c r="R106" s="603">
        <v>0</v>
      </c>
      <c r="S106" s="603">
        <v>0</v>
      </c>
      <c r="T106" s="603">
        <v>0</v>
      </c>
      <c r="U106" s="603">
        <v>0</v>
      </c>
      <c r="V106" s="603">
        <v>0</v>
      </c>
      <c r="W106" s="603">
        <v>0</v>
      </c>
      <c r="X106" s="603">
        <v>0</v>
      </c>
      <c r="Y106" s="603">
        <v>0</v>
      </c>
      <c r="Z106" s="603">
        <v>0</v>
      </c>
      <c r="AA106" s="603">
        <v>0</v>
      </c>
      <c r="AB106" s="603">
        <v>0</v>
      </c>
      <c r="AC106" s="603">
        <v>0</v>
      </c>
      <c r="AD106" s="603">
        <v>0</v>
      </c>
      <c r="AE106" s="603">
        <v>0</v>
      </c>
      <c r="AF106" s="603">
        <v>0</v>
      </c>
      <c r="AG106" s="603">
        <v>0</v>
      </c>
      <c r="AH106" s="603">
        <v>0</v>
      </c>
      <c r="AI106" s="603">
        <v>0</v>
      </c>
      <c r="AJ106" s="603">
        <v>0</v>
      </c>
      <c r="AK106" s="603">
        <v>0</v>
      </c>
      <c r="AL106" s="603">
        <v>0</v>
      </c>
      <c r="AM106" s="603">
        <v>0</v>
      </c>
      <c r="AN106" s="603">
        <v>0</v>
      </c>
      <c r="AO106" s="603">
        <v>0</v>
      </c>
      <c r="AP106" s="603">
        <v>0</v>
      </c>
      <c r="AQ106" s="603">
        <v>0</v>
      </c>
      <c r="AR106" s="603">
        <v>0</v>
      </c>
      <c r="AS106" s="603">
        <v>0</v>
      </c>
      <c r="AT106" s="603">
        <v>0</v>
      </c>
      <c r="AU106" s="603">
        <v>0</v>
      </c>
      <c r="AV106" s="603">
        <v>0</v>
      </c>
      <c r="AW106" s="603">
        <v>0</v>
      </c>
      <c r="AX106" s="603">
        <v>0</v>
      </c>
      <c r="AY106" s="603">
        <v>0</v>
      </c>
      <c r="AZ106" s="603">
        <v>0</v>
      </c>
      <c r="BA106" s="603">
        <v>0</v>
      </c>
      <c r="BB106" s="603">
        <v>0</v>
      </c>
    </row>
    <row r="107" spans="1:54" x14ac:dyDescent="0.25">
      <c r="A107">
        <v>391</v>
      </c>
      <c r="B107">
        <v>391</v>
      </c>
      <c r="C107">
        <v>391</v>
      </c>
      <c r="D107" t="s">
        <v>281</v>
      </c>
      <c r="E107" t="s">
        <v>481</v>
      </c>
      <c r="F107" s="673">
        <v>0</v>
      </c>
      <c r="G107" s="673">
        <v>0</v>
      </c>
      <c r="H107" s="673">
        <v>0</v>
      </c>
      <c r="I107" s="673">
        <v>0</v>
      </c>
      <c r="J107" s="673">
        <v>0</v>
      </c>
      <c r="K107" s="673">
        <v>0</v>
      </c>
      <c r="L107" s="673">
        <v>0</v>
      </c>
      <c r="M107" s="673">
        <v>0</v>
      </c>
      <c r="N107" s="603">
        <v>0</v>
      </c>
      <c r="O107" s="603">
        <v>0</v>
      </c>
      <c r="P107" s="603">
        <v>0</v>
      </c>
      <c r="Q107" s="603">
        <v>0</v>
      </c>
      <c r="R107" s="603">
        <v>0</v>
      </c>
      <c r="S107" s="603">
        <v>0</v>
      </c>
      <c r="T107" s="603">
        <v>0</v>
      </c>
      <c r="U107" s="603">
        <v>0</v>
      </c>
      <c r="V107" s="603">
        <v>0</v>
      </c>
      <c r="W107" s="603">
        <v>0</v>
      </c>
      <c r="X107" s="603">
        <v>0</v>
      </c>
      <c r="Y107" s="603">
        <v>0</v>
      </c>
      <c r="Z107" s="603">
        <v>0</v>
      </c>
      <c r="AA107" s="603">
        <v>0</v>
      </c>
      <c r="AB107" s="603">
        <v>0</v>
      </c>
      <c r="AC107" s="603">
        <v>0</v>
      </c>
      <c r="AD107" s="603">
        <v>0</v>
      </c>
      <c r="AE107" s="603">
        <v>0</v>
      </c>
      <c r="AF107" s="603">
        <v>0</v>
      </c>
      <c r="AG107" s="603">
        <v>0</v>
      </c>
      <c r="AH107" s="603">
        <v>0</v>
      </c>
      <c r="AI107" s="603">
        <v>0</v>
      </c>
      <c r="AJ107" s="603">
        <v>0</v>
      </c>
      <c r="AK107" s="603">
        <v>0</v>
      </c>
      <c r="AL107" s="603">
        <v>0</v>
      </c>
      <c r="AM107" s="603">
        <v>0</v>
      </c>
      <c r="AN107" s="603">
        <v>0</v>
      </c>
      <c r="AO107" s="603">
        <v>0</v>
      </c>
      <c r="AP107" s="603">
        <v>0</v>
      </c>
      <c r="AQ107" s="603">
        <v>0</v>
      </c>
      <c r="AR107" s="603">
        <v>0</v>
      </c>
      <c r="AS107" s="603">
        <v>0</v>
      </c>
      <c r="AT107" s="603">
        <v>0</v>
      </c>
      <c r="AU107" s="603">
        <v>0</v>
      </c>
      <c r="AV107" s="603">
        <v>0</v>
      </c>
      <c r="AW107" s="603">
        <v>0</v>
      </c>
      <c r="AX107" s="603">
        <v>0</v>
      </c>
      <c r="AY107" s="603">
        <v>0</v>
      </c>
      <c r="AZ107" s="603">
        <v>0</v>
      </c>
      <c r="BA107" s="603">
        <v>0</v>
      </c>
      <c r="BB107" s="603">
        <v>0</v>
      </c>
    </row>
    <row r="108" spans="1:54" x14ac:dyDescent="0.25">
      <c r="A108">
        <v>500</v>
      </c>
      <c r="B108">
        <v>500</v>
      </c>
      <c r="C108">
        <v>500</v>
      </c>
      <c r="D108" t="s">
        <v>264</v>
      </c>
      <c r="E108" t="s">
        <v>482</v>
      </c>
      <c r="F108" s="673">
        <v>0</v>
      </c>
      <c r="G108" s="673">
        <v>0</v>
      </c>
      <c r="H108" s="673">
        <v>0</v>
      </c>
      <c r="I108" s="673">
        <v>0</v>
      </c>
      <c r="J108" s="673">
        <v>0</v>
      </c>
      <c r="K108" s="673">
        <v>0</v>
      </c>
      <c r="L108" s="673">
        <v>0</v>
      </c>
      <c r="M108" s="673">
        <v>0</v>
      </c>
      <c r="N108" s="603">
        <v>0</v>
      </c>
      <c r="O108" s="603">
        <v>0</v>
      </c>
      <c r="P108" s="603">
        <v>0</v>
      </c>
      <c r="Q108" s="603">
        <v>0</v>
      </c>
      <c r="R108" s="603">
        <v>0</v>
      </c>
      <c r="S108" s="603">
        <v>0</v>
      </c>
      <c r="T108" s="603">
        <v>0</v>
      </c>
      <c r="U108" s="603">
        <v>0</v>
      </c>
      <c r="V108" s="603">
        <v>0</v>
      </c>
      <c r="W108" s="603">
        <v>0</v>
      </c>
      <c r="X108" s="603">
        <v>0</v>
      </c>
      <c r="Y108" s="603">
        <v>0</v>
      </c>
      <c r="Z108" s="603">
        <v>0</v>
      </c>
      <c r="AA108" s="603">
        <v>0</v>
      </c>
      <c r="AB108" s="603">
        <v>0</v>
      </c>
      <c r="AC108" s="603">
        <v>0</v>
      </c>
      <c r="AD108" s="603">
        <v>0</v>
      </c>
      <c r="AE108" s="603">
        <v>0</v>
      </c>
      <c r="AF108" s="603">
        <v>0</v>
      </c>
      <c r="AG108" s="603">
        <v>0</v>
      </c>
      <c r="AH108" s="603">
        <v>0</v>
      </c>
      <c r="AI108" s="603">
        <v>0</v>
      </c>
      <c r="AJ108" s="603">
        <v>0</v>
      </c>
      <c r="AK108" s="603">
        <v>0</v>
      </c>
      <c r="AL108" s="603">
        <v>0</v>
      </c>
      <c r="AM108" s="603">
        <v>0</v>
      </c>
      <c r="AN108" s="603">
        <v>0</v>
      </c>
      <c r="AO108" s="603">
        <v>0</v>
      </c>
      <c r="AP108" s="603">
        <v>0</v>
      </c>
      <c r="AQ108" s="603">
        <v>0</v>
      </c>
      <c r="AR108" s="603">
        <v>0</v>
      </c>
      <c r="AS108" s="603">
        <v>0</v>
      </c>
      <c r="AT108" s="603">
        <v>0</v>
      </c>
      <c r="AU108" s="603">
        <v>0</v>
      </c>
      <c r="AV108" s="603">
        <v>0</v>
      </c>
      <c r="AW108" s="603">
        <v>0</v>
      </c>
      <c r="AX108" s="603">
        <v>0</v>
      </c>
      <c r="AY108" s="603">
        <v>0</v>
      </c>
      <c r="AZ108" s="603">
        <v>0</v>
      </c>
      <c r="BA108" s="603">
        <v>0</v>
      </c>
      <c r="BB108" s="603">
        <v>0</v>
      </c>
    </row>
    <row r="109" spans="1:54" x14ac:dyDescent="0.25">
      <c r="A109">
        <v>502</v>
      </c>
      <c r="B109">
        <v>502</v>
      </c>
      <c r="C109">
        <v>502</v>
      </c>
      <c r="D109" t="s">
        <v>266</v>
      </c>
      <c r="E109" t="s">
        <v>483</v>
      </c>
      <c r="F109" s="673">
        <v>1230920</v>
      </c>
      <c r="G109" s="673">
        <v>5266799</v>
      </c>
      <c r="H109" s="673">
        <v>7406056</v>
      </c>
      <c r="I109" s="673">
        <v>0</v>
      </c>
      <c r="J109" s="673">
        <v>64944344</v>
      </c>
      <c r="K109" s="673">
        <v>0</v>
      </c>
      <c r="L109" s="673">
        <v>81631169</v>
      </c>
      <c r="M109" s="673">
        <v>5226658</v>
      </c>
      <c r="N109" s="603">
        <v>0</v>
      </c>
      <c r="O109" s="603">
        <v>2764010</v>
      </c>
      <c r="P109" s="603">
        <v>4243222</v>
      </c>
      <c r="Q109" s="603">
        <v>46176</v>
      </c>
      <c r="R109" s="603">
        <v>126339670</v>
      </c>
      <c r="S109" s="603">
        <v>1360009</v>
      </c>
      <c r="T109" s="603">
        <v>471360</v>
      </c>
      <c r="U109" s="603">
        <v>6847528</v>
      </c>
      <c r="V109" s="603">
        <v>1532042</v>
      </c>
      <c r="W109" s="603">
        <v>74157799</v>
      </c>
      <c r="X109" s="603">
        <v>2756729</v>
      </c>
      <c r="Y109" s="603">
        <v>981190</v>
      </c>
      <c r="Z109" s="603">
        <v>2759001</v>
      </c>
      <c r="AA109" s="603">
        <v>3387154</v>
      </c>
      <c r="AB109" s="603">
        <v>0</v>
      </c>
      <c r="AC109" s="603">
        <v>1405180</v>
      </c>
      <c r="AD109" s="603">
        <v>987440</v>
      </c>
      <c r="AE109" s="603">
        <v>10982302</v>
      </c>
      <c r="AF109" s="603">
        <v>1790814</v>
      </c>
      <c r="AG109" s="603">
        <v>621211</v>
      </c>
      <c r="AH109" s="603">
        <v>42209473</v>
      </c>
      <c r="AI109" s="603">
        <v>16162754</v>
      </c>
      <c r="AJ109" s="603">
        <v>16303753</v>
      </c>
      <c r="AK109" s="603">
        <v>269573</v>
      </c>
      <c r="AL109" s="603">
        <v>13103972</v>
      </c>
      <c r="AM109" s="603">
        <v>471589</v>
      </c>
      <c r="AN109" s="603">
        <v>1412947</v>
      </c>
      <c r="AO109" s="603">
        <v>30408444</v>
      </c>
      <c r="AP109" s="603">
        <v>3203616</v>
      </c>
      <c r="AQ109" s="603">
        <v>6243680</v>
      </c>
      <c r="AR109" s="603">
        <v>1793273</v>
      </c>
      <c r="AS109" s="603">
        <v>905772</v>
      </c>
      <c r="AT109" s="603">
        <v>0</v>
      </c>
      <c r="AU109" s="603">
        <v>198467</v>
      </c>
      <c r="AV109" s="603">
        <v>152862</v>
      </c>
      <c r="AW109" s="603">
        <v>13789258</v>
      </c>
      <c r="AX109" s="603">
        <v>0</v>
      </c>
      <c r="AY109" s="603">
        <v>39328</v>
      </c>
      <c r="AZ109" s="603">
        <v>32476</v>
      </c>
      <c r="BA109" s="603">
        <v>3416268</v>
      </c>
      <c r="BB109" s="603">
        <v>0</v>
      </c>
    </row>
    <row r="110" spans="1:54" x14ac:dyDescent="0.25">
      <c r="A110">
        <v>503</v>
      </c>
      <c r="B110">
        <v>503</v>
      </c>
      <c r="C110">
        <v>503</v>
      </c>
      <c r="D110" t="s">
        <v>267</v>
      </c>
      <c r="E110" t="s">
        <v>484</v>
      </c>
      <c r="F110" s="673">
        <v>36600</v>
      </c>
      <c r="G110" s="673">
        <v>784922</v>
      </c>
      <c r="H110" s="673">
        <v>226511</v>
      </c>
      <c r="I110" s="673">
        <v>0</v>
      </c>
      <c r="J110" s="673">
        <v>13538699</v>
      </c>
      <c r="K110" s="673">
        <v>0</v>
      </c>
      <c r="L110" s="673">
        <v>19846761</v>
      </c>
      <c r="M110" s="673">
        <v>0</v>
      </c>
      <c r="N110" s="603">
        <v>0</v>
      </c>
      <c r="O110" s="603">
        <v>1818519</v>
      </c>
      <c r="P110" s="603">
        <v>1351785</v>
      </c>
      <c r="Q110" s="603">
        <v>19101</v>
      </c>
      <c r="R110" s="603">
        <v>214266574</v>
      </c>
      <c r="S110" s="603">
        <v>76583</v>
      </c>
      <c r="T110" s="603">
        <v>0</v>
      </c>
      <c r="U110" s="603">
        <v>445378</v>
      </c>
      <c r="V110" s="603">
        <v>29922</v>
      </c>
      <c r="W110" s="603">
        <v>118969662</v>
      </c>
      <c r="X110" s="603">
        <v>1149058</v>
      </c>
      <c r="Y110" s="603">
        <v>167289</v>
      </c>
      <c r="Z110" s="603">
        <v>485789</v>
      </c>
      <c r="AA110" s="603">
        <v>0</v>
      </c>
      <c r="AB110" s="603">
        <v>0</v>
      </c>
      <c r="AC110" s="603">
        <v>788572</v>
      </c>
      <c r="AD110" s="603">
        <v>6525</v>
      </c>
      <c r="AE110" s="603">
        <v>3832700</v>
      </c>
      <c r="AF110" s="603">
        <v>1266752</v>
      </c>
      <c r="AG110" s="603">
        <v>13510</v>
      </c>
      <c r="AH110" s="603">
        <v>2971363</v>
      </c>
      <c r="AI110" s="603">
        <v>7636237</v>
      </c>
      <c r="AJ110" s="603">
        <v>0</v>
      </c>
      <c r="AK110" s="603">
        <v>0</v>
      </c>
      <c r="AL110" s="603">
        <v>465241</v>
      </c>
      <c r="AM110" s="603">
        <v>86889</v>
      </c>
      <c r="AN110" s="603">
        <v>0</v>
      </c>
      <c r="AO110" s="603">
        <v>0</v>
      </c>
      <c r="AP110" s="603">
        <v>253058</v>
      </c>
      <c r="AQ110" s="603">
        <v>867862</v>
      </c>
      <c r="AR110" s="603">
        <v>176570</v>
      </c>
      <c r="AS110" s="603">
        <v>636609</v>
      </c>
      <c r="AT110" s="603">
        <v>331892</v>
      </c>
      <c r="AU110" s="603">
        <v>7093</v>
      </c>
      <c r="AV110" s="603">
        <v>0</v>
      </c>
      <c r="AW110" s="603">
        <v>762436</v>
      </c>
      <c r="AX110" s="603">
        <v>0</v>
      </c>
      <c r="AY110" s="603">
        <v>0</v>
      </c>
      <c r="AZ110" s="603">
        <v>682</v>
      </c>
      <c r="BA110" s="603">
        <v>73280</v>
      </c>
      <c r="BB110" s="603">
        <v>0</v>
      </c>
    </row>
    <row r="111" spans="1:54" x14ac:dyDescent="0.25">
      <c r="A111">
        <v>504</v>
      </c>
      <c r="B111">
        <v>504</v>
      </c>
      <c r="C111">
        <v>504</v>
      </c>
      <c r="D111" t="s">
        <v>271</v>
      </c>
      <c r="E111" t="s">
        <v>485</v>
      </c>
      <c r="F111" s="673">
        <v>0</v>
      </c>
      <c r="G111" s="673">
        <v>0</v>
      </c>
      <c r="H111" s="673">
        <v>0</v>
      </c>
      <c r="I111" s="673">
        <v>0</v>
      </c>
      <c r="J111" s="673">
        <v>0</v>
      </c>
      <c r="K111" s="673">
        <v>0</v>
      </c>
      <c r="L111" s="673">
        <v>0</v>
      </c>
      <c r="M111" s="673">
        <v>0</v>
      </c>
      <c r="N111" s="603">
        <v>0</v>
      </c>
      <c r="O111" s="603">
        <v>0</v>
      </c>
      <c r="P111" s="603">
        <v>0</v>
      </c>
      <c r="Q111" s="603">
        <v>0</v>
      </c>
      <c r="R111" s="603">
        <v>0</v>
      </c>
      <c r="S111" s="603">
        <v>0</v>
      </c>
      <c r="T111" s="603">
        <v>0</v>
      </c>
      <c r="U111" s="603">
        <v>0</v>
      </c>
      <c r="V111" s="603">
        <v>0</v>
      </c>
      <c r="W111" s="603">
        <v>0</v>
      </c>
      <c r="X111" s="603">
        <v>0</v>
      </c>
      <c r="Y111" s="603">
        <v>0</v>
      </c>
      <c r="Z111" s="603">
        <v>0</v>
      </c>
      <c r="AA111" s="603">
        <v>0</v>
      </c>
      <c r="AB111" s="603">
        <v>0</v>
      </c>
      <c r="AC111" s="603">
        <v>0</v>
      </c>
      <c r="AD111" s="603">
        <v>0</v>
      </c>
      <c r="AE111" s="603">
        <v>0</v>
      </c>
      <c r="AF111" s="603">
        <v>0</v>
      </c>
      <c r="AG111" s="603">
        <v>0</v>
      </c>
      <c r="AH111" s="603">
        <v>0</v>
      </c>
      <c r="AI111" s="603">
        <v>0</v>
      </c>
      <c r="AJ111" s="603">
        <v>0</v>
      </c>
      <c r="AK111" s="603">
        <v>0</v>
      </c>
      <c r="AL111" s="603">
        <v>0</v>
      </c>
      <c r="AM111" s="603">
        <v>0</v>
      </c>
      <c r="AN111" s="603">
        <v>0</v>
      </c>
      <c r="AO111" s="603">
        <v>0</v>
      </c>
      <c r="AP111" s="603">
        <v>0</v>
      </c>
      <c r="AQ111" s="603">
        <v>0</v>
      </c>
      <c r="AR111" s="603">
        <v>0</v>
      </c>
      <c r="AS111" s="603">
        <v>0</v>
      </c>
      <c r="AT111" s="603">
        <v>0</v>
      </c>
      <c r="AU111" s="603">
        <v>0</v>
      </c>
      <c r="AV111" s="603">
        <v>0</v>
      </c>
      <c r="AW111" s="603">
        <v>0</v>
      </c>
      <c r="AX111" s="603">
        <v>0</v>
      </c>
      <c r="AY111" s="603">
        <v>0</v>
      </c>
      <c r="AZ111" s="603">
        <v>0</v>
      </c>
      <c r="BA111" s="603">
        <v>0</v>
      </c>
      <c r="BB111" s="603">
        <v>0</v>
      </c>
    </row>
    <row r="112" spans="1:54" x14ac:dyDescent="0.25">
      <c r="A112">
        <v>505</v>
      </c>
      <c r="B112">
        <v>505</v>
      </c>
      <c r="C112">
        <v>505</v>
      </c>
      <c r="D112" t="s">
        <v>272</v>
      </c>
      <c r="E112" t="s">
        <v>486</v>
      </c>
      <c r="F112" s="673">
        <v>0</v>
      </c>
      <c r="G112" s="673">
        <v>0</v>
      </c>
      <c r="H112" s="673">
        <v>0</v>
      </c>
      <c r="I112" s="673">
        <v>0</v>
      </c>
      <c r="J112" s="673">
        <v>0</v>
      </c>
      <c r="K112" s="673">
        <v>0</v>
      </c>
      <c r="L112" s="673">
        <v>0</v>
      </c>
      <c r="M112" s="673">
        <v>0</v>
      </c>
      <c r="N112" s="603">
        <v>0</v>
      </c>
      <c r="O112" s="603">
        <v>0</v>
      </c>
      <c r="P112" s="603">
        <v>0</v>
      </c>
      <c r="Q112" s="603">
        <v>0</v>
      </c>
      <c r="R112" s="603">
        <v>0</v>
      </c>
      <c r="S112" s="603">
        <v>0</v>
      </c>
      <c r="T112" s="603">
        <v>0</v>
      </c>
      <c r="U112" s="603">
        <v>0</v>
      </c>
      <c r="V112" s="603">
        <v>0</v>
      </c>
      <c r="W112" s="603">
        <v>0</v>
      </c>
      <c r="X112" s="603">
        <v>0</v>
      </c>
      <c r="Y112" s="603">
        <v>0</v>
      </c>
      <c r="Z112" s="603">
        <v>0</v>
      </c>
      <c r="AA112" s="603">
        <v>0</v>
      </c>
      <c r="AB112" s="603">
        <v>0</v>
      </c>
      <c r="AC112" s="603">
        <v>0</v>
      </c>
      <c r="AD112" s="603">
        <v>0</v>
      </c>
      <c r="AE112" s="603">
        <v>0</v>
      </c>
      <c r="AF112" s="603">
        <v>0</v>
      </c>
      <c r="AG112" s="603">
        <v>0</v>
      </c>
      <c r="AH112" s="603">
        <v>0</v>
      </c>
      <c r="AI112" s="603">
        <v>0</v>
      </c>
      <c r="AJ112" s="603">
        <v>0</v>
      </c>
      <c r="AK112" s="603">
        <v>0</v>
      </c>
      <c r="AL112" s="603">
        <v>0</v>
      </c>
      <c r="AM112" s="603">
        <v>0</v>
      </c>
      <c r="AN112" s="603">
        <v>0</v>
      </c>
      <c r="AO112" s="603">
        <v>0</v>
      </c>
      <c r="AP112" s="603">
        <v>0</v>
      </c>
      <c r="AQ112" s="603">
        <v>0</v>
      </c>
      <c r="AR112" s="603">
        <v>0</v>
      </c>
      <c r="AS112" s="603">
        <v>0</v>
      </c>
      <c r="AT112" s="603">
        <v>0</v>
      </c>
      <c r="AU112" s="603">
        <v>0</v>
      </c>
      <c r="AV112" s="603">
        <v>0</v>
      </c>
      <c r="AW112" s="603">
        <v>0</v>
      </c>
      <c r="AX112" s="603">
        <v>0</v>
      </c>
      <c r="AY112" s="603">
        <v>0</v>
      </c>
      <c r="AZ112" s="603">
        <v>0</v>
      </c>
      <c r="BA112" s="603">
        <v>0</v>
      </c>
      <c r="BB112" s="603">
        <v>0</v>
      </c>
    </row>
    <row r="113" spans="1:54" x14ac:dyDescent="0.25">
      <c r="A113">
        <v>506</v>
      </c>
      <c r="B113">
        <v>506</v>
      </c>
      <c r="C113">
        <v>506</v>
      </c>
      <c r="D113" t="s">
        <v>278</v>
      </c>
      <c r="E113" t="s">
        <v>487</v>
      </c>
      <c r="F113" s="673">
        <v>0</v>
      </c>
      <c r="G113" s="673">
        <v>0</v>
      </c>
      <c r="H113" s="673">
        <v>0</v>
      </c>
      <c r="I113" s="673">
        <v>0</v>
      </c>
      <c r="J113" s="673">
        <v>0</v>
      </c>
      <c r="K113" s="673">
        <v>0</v>
      </c>
      <c r="L113" s="673">
        <v>0</v>
      </c>
      <c r="M113" s="673">
        <v>0</v>
      </c>
      <c r="N113" s="603">
        <v>0</v>
      </c>
      <c r="O113" s="603">
        <v>0</v>
      </c>
      <c r="P113" s="603">
        <v>0</v>
      </c>
      <c r="Q113" s="603">
        <v>0</v>
      </c>
      <c r="R113" s="603">
        <v>0</v>
      </c>
      <c r="S113" s="603">
        <v>0</v>
      </c>
      <c r="T113" s="603">
        <v>0</v>
      </c>
      <c r="U113" s="603">
        <v>0</v>
      </c>
      <c r="V113" s="603">
        <v>0</v>
      </c>
      <c r="W113" s="603">
        <v>0</v>
      </c>
      <c r="X113" s="603">
        <v>0</v>
      </c>
      <c r="Y113" s="603">
        <v>0</v>
      </c>
      <c r="Z113" s="603">
        <v>0</v>
      </c>
      <c r="AA113" s="603">
        <v>0</v>
      </c>
      <c r="AB113" s="603">
        <v>0</v>
      </c>
      <c r="AC113" s="603">
        <v>0</v>
      </c>
      <c r="AD113" s="603">
        <v>0</v>
      </c>
      <c r="AE113" s="603">
        <v>0</v>
      </c>
      <c r="AF113" s="603">
        <v>0</v>
      </c>
      <c r="AG113" s="603">
        <v>0</v>
      </c>
      <c r="AH113" s="603">
        <v>0</v>
      </c>
      <c r="AI113" s="603">
        <v>0</v>
      </c>
      <c r="AJ113" s="603">
        <v>0</v>
      </c>
      <c r="AK113" s="603">
        <v>538976</v>
      </c>
      <c r="AL113" s="603">
        <v>0</v>
      </c>
      <c r="AM113" s="603">
        <v>0</v>
      </c>
      <c r="AN113" s="603">
        <v>0</v>
      </c>
      <c r="AO113" s="603">
        <v>0</v>
      </c>
      <c r="AP113" s="603">
        <v>0</v>
      </c>
      <c r="AQ113" s="603">
        <v>0</v>
      </c>
      <c r="AR113" s="603">
        <v>0</v>
      </c>
      <c r="AS113" s="603">
        <v>0</v>
      </c>
      <c r="AT113" s="603">
        <v>0</v>
      </c>
      <c r="AU113" s="603">
        <v>0</v>
      </c>
      <c r="AV113" s="603">
        <v>0</v>
      </c>
      <c r="AW113" s="603">
        <v>0</v>
      </c>
      <c r="AX113" s="603">
        <v>0</v>
      </c>
      <c r="AY113" s="603">
        <v>0</v>
      </c>
      <c r="AZ113" s="603">
        <v>0</v>
      </c>
      <c r="BA113" s="603">
        <v>0</v>
      </c>
      <c r="BB113" s="603">
        <v>0</v>
      </c>
    </row>
    <row r="114" spans="1:54" x14ac:dyDescent="0.25">
      <c r="A114">
        <v>507</v>
      </c>
      <c r="B114">
        <v>507</v>
      </c>
      <c r="C114">
        <v>507</v>
      </c>
      <c r="D114" t="s">
        <v>296</v>
      </c>
      <c r="E114" t="s">
        <v>488</v>
      </c>
      <c r="F114" s="673">
        <v>0</v>
      </c>
      <c r="G114" s="673">
        <v>0</v>
      </c>
      <c r="H114" s="673">
        <v>0</v>
      </c>
      <c r="I114" s="673">
        <v>0</v>
      </c>
      <c r="J114" s="673">
        <v>0</v>
      </c>
      <c r="K114" s="673">
        <v>0</v>
      </c>
      <c r="L114" s="673">
        <v>0</v>
      </c>
      <c r="M114" s="673">
        <v>0</v>
      </c>
      <c r="N114" s="603">
        <v>0</v>
      </c>
      <c r="O114" s="603">
        <v>0</v>
      </c>
      <c r="P114" s="603">
        <v>0</v>
      </c>
      <c r="Q114" s="603">
        <v>0</v>
      </c>
      <c r="R114" s="603">
        <v>0</v>
      </c>
      <c r="S114" s="603">
        <v>0</v>
      </c>
      <c r="T114" s="603">
        <v>0</v>
      </c>
      <c r="U114" s="603">
        <v>0</v>
      </c>
      <c r="V114" s="603">
        <v>0</v>
      </c>
      <c r="W114" s="603">
        <v>0</v>
      </c>
      <c r="X114" s="603">
        <v>0</v>
      </c>
      <c r="Y114" s="603">
        <v>0</v>
      </c>
      <c r="Z114" s="603">
        <v>0</v>
      </c>
      <c r="AA114" s="603">
        <v>0</v>
      </c>
      <c r="AB114" s="603">
        <v>0</v>
      </c>
      <c r="AC114" s="603">
        <v>0</v>
      </c>
      <c r="AD114" s="603">
        <v>0</v>
      </c>
      <c r="AE114" s="603">
        <v>0</v>
      </c>
      <c r="AF114" s="603">
        <v>0</v>
      </c>
      <c r="AG114" s="603">
        <v>0</v>
      </c>
      <c r="AH114" s="603">
        <v>0</v>
      </c>
      <c r="AI114" s="603">
        <v>0</v>
      </c>
      <c r="AJ114" s="603">
        <v>0</v>
      </c>
      <c r="AK114" s="603">
        <v>0</v>
      </c>
      <c r="AL114" s="603">
        <v>0</v>
      </c>
      <c r="AM114" s="603">
        <v>0</v>
      </c>
      <c r="AN114" s="603">
        <v>0</v>
      </c>
      <c r="AO114" s="603">
        <v>0</v>
      </c>
      <c r="AP114" s="603">
        <v>0</v>
      </c>
      <c r="AQ114" s="603">
        <v>0</v>
      </c>
      <c r="AR114" s="603">
        <v>0</v>
      </c>
      <c r="AS114" s="603">
        <v>0</v>
      </c>
      <c r="AT114" s="603">
        <v>0</v>
      </c>
      <c r="AU114" s="603">
        <v>0</v>
      </c>
      <c r="AV114" s="603">
        <v>0</v>
      </c>
      <c r="AW114" s="603">
        <v>0</v>
      </c>
      <c r="AX114" s="603">
        <v>0</v>
      </c>
      <c r="AY114" s="603">
        <v>0</v>
      </c>
      <c r="AZ114" s="603">
        <v>0</v>
      </c>
      <c r="BA114" s="603">
        <v>0</v>
      </c>
      <c r="BB114" s="603">
        <v>0</v>
      </c>
    </row>
    <row r="115" spans="1:54" x14ac:dyDescent="0.25">
      <c r="A115">
        <v>508</v>
      </c>
      <c r="B115">
        <v>508</v>
      </c>
      <c r="C115">
        <v>508</v>
      </c>
      <c r="D115" t="s">
        <v>293</v>
      </c>
      <c r="E115" t="s">
        <v>489</v>
      </c>
      <c r="F115" s="673">
        <v>0</v>
      </c>
      <c r="G115" s="673">
        <v>0</v>
      </c>
      <c r="H115" s="673">
        <v>0</v>
      </c>
      <c r="I115" s="673">
        <v>0</v>
      </c>
      <c r="J115" s="673">
        <v>0</v>
      </c>
      <c r="K115" s="673">
        <v>0</v>
      </c>
      <c r="L115" s="673">
        <v>0</v>
      </c>
      <c r="M115" s="673">
        <v>0</v>
      </c>
      <c r="N115" s="603">
        <v>0</v>
      </c>
      <c r="O115" s="603">
        <v>0</v>
      </c>
      <c r="P115" s="603">
        <v>0</v>
      </c>
      <c r="Q115" s="603">
        <v>0</v>
      </c>
      <c r="R115" s="603">
        <v>0</v>
      </c>
      <c r="S115" s="603">
        <v>0</v>
      </c>
      <c r="T115" s="603">
        <v>0</v>
      </c>
      <c r="U115" s="603">
        <v>0</v>
      </c>
      <c r="V115" s="603">
        <v>0</v>
      </c>
      <c r="W115" s="603">
        <v>0</v>
      </c>
      <c r="X115" s="603">
        <v>0</v>
      </c>
      <c r="Y115" s="603">
        <v>0</v>
      </c>
      <c r="Z115" s="603">
        <v>0</v>
      </c>
      <c r="AA115" s="603">
        <v>0</v>
      </c>
      <c r="AB115" s="603">
        <v>0</v>
      </c>
      <c r="AC115" s="603">
        <v>0</v>
      </c>
      <c r="AD115" s="603">
        <v>0</v>
      </c>
      <c r="AE115" s="603">
        <v>0</v>
      </c>
      <c r="AF115" s="603">
        <v>0</v>
      </c>
      <c r="AG115" s="603">
        <v>0</v>
      </c>
      <c r="AH115" s="603">
        <v>0</v>
      </c>
      <c r="AI115" s="603">
        <v>0</v>
      </c>
      <c r="AJ115" s="603">
        <v>0</v>
      </c>
      <c r="AK115" s="603">
        <v>0</v>
      </c>
      <c r="AL115" s="603">
        <v>0</v>
      </c>
      <c r="AM115" s="603">
        <v>0</v>
      </c>
      <c r="AN115" s="603">
        <v>0</v>
      </c>
      <c r="AO115" s="603">
        <v>0</v>
      </c>
      <c r="AP115" s="603">
        <v>0</v>
      </c>
      <c r="AQ115" s="603">
        <v>0</v>
      </c>
      <c r="AR115" s="603">
        <v>0</v>
      </c>
      <c r="AS115" s="603">
        <v>0</v>
      </c>
      <c r="AT115" s="603">
        <v>0</v>
      </c>
      <c r="AU115" s="603">
        <v>0</v>
      </c>
      <c r="AV115" s="603">
        <v>0</v>
      </c>
      <c r="AW115" s="603">
        <v>0</v>
      </c>
      <c r="AX115" s="603">
        <v>0</v>
      </c>
      <c r="AY115" s="603">
        <v>0</v>
      </c>
      <c r="AZ115" s="603">
        <v>0</v>
      </c>
      <c r="BA115" s="603">
        <v>0</v>
      </c>
      <c r="BB115" s="603">
        <v>0</v>
      </c>
    </row>
    <row r="116" spans="1:54" x14ac:dyDescent="0.25">
      <c r="A116">
        <v>509</v>
      </c>
      <c r="B116">
        <v>509</v>
      </c>
      <c r="C116">
        <v>509</v>
      </c>
      <c r="D116" t="s">
        <v>294</v>
      </c>
      <c r="E116" t="s">
        <v>490</v>
      </c>
      <c r="F116" s="673">
        <v>0</v>
      </c>
      <c r="G116" s="673">
        <v>0</v>
      </c>
      <c r="H116" s="673">
        <v>0</v>
      </c>
      <c r="I116" s="673">
        <v>0</v>
      </c>
      <c r="J116" s="673">
        <v>0</v>
      </c>
      <c r="K116" s="673">
        <v>0</v>
      </c>
      <c r="L116" s="673">
        <v>0</v>
      </c>
      <c r="M116" s="673">
        <v>0</v>
      </c>
      <c r="N116" s="603">
        <v>0</v>
      </c>
      <c r="O116" s="603">
        <v>0</v>
      </c>
      <c r="P116" s="603">
        <v>0</v>
      </c>
      <c r="Q116" s="603">
        <v>0</v>
      </c>
      <c r="R116" s="603">
        <v>0</v>
      </c>
      <c r="S116" s="603">
        <v>0</v>
      </c>
      <c r="T116" s="603">
        <v>0</v>
      </c>
      <c r="U116" s="603">
        <v>0</v>
      </c>
      <c r="V116" s="603">
        <v>0</v>
      </c>
      <c r="W116" s="603">
        <v>0</v>
      </c>
      <c r="X116" s="603">
        <v>0</v>
      </c>
      <c r="Y116" s="603">
        <v>0</v>
      </c>
      <c r="Z116" s="603">
        <v>0</v>
      </c>
      <c r="AA116" s="603">
        <v>0</v>
      </c>
      <c r="AB116" s="603">
        <v>0</v>
      </c>
      <c r="AC116" s="603">
        <v>0</v>
      </c>
      <c r="AD116" s="603">
        <v>0</v>
      </c>
      <c r="AE116" s="603">
        <v>0</v>
      </c>
      <c r="AF116" s="603">
        <v>0</v>
      </c>
      <c r="AG116" s="603">
        <v>0</v>
      </c>
      <c r="AH116" s="603">
        <v>0</v>
      </c>
      <c r="AI116" s="603">
        <v>0</v>
      </c>
      <c r="AJ116" s="603">
        <v>0</v>
      </c>
      <c r="AK116" s="603">
        <v>0</v>
      </c>
      <c r="AL116" s="603">
        <v>0</v>
      </c>
      <c r="AM116" s="603">
        <v>0</v>
      </c>
      <c r="AN116" s="603">
        <v>0</v>
      </c>
      <c r="AO116" s="603">
        <v>0</v>
      </c>
      <c r="AP116" s="603">
        <v>0</v>
      </c>
      <c r="AQ116" s="603">
        <v>0</v>
      </c>
      <c r="AR116" s="603">
        <v>0</v>
      </c>
      <c r="AS116" s="603">
        <v>0</v>
      </c>
      <c r="AT116" s="603">
        <v>0</v>
      </c>
      <c r="AU116" s="603">
        <v>0</v>
      </c>
      <c r="AV116" s="603">
        <v>0</v>
      </c>
      <c r="AW116" s="603">
        <v>0</v>
      </c>
      <c r="AX116" s="603">
        <v>0</v>
      </c>
      <c r="AY116" s="603">
        <v>0</v>
      </c>
      <c r="AZ116" s="603">
        <v>0</v>
      </c>
      <c r="BA116" s="603">
        <v>0</v>
      </c>
      <c r="BB116" s="603">
        <v>0</v>
      </c>
    </row>
    <row r="117" spans="1:54" x14ac:dyDescent="0.25">
      <c r="A117">
        <v>510</v>
      </c>
      <c r="B117">
        <v>510</v>
      </c>
      <c r="C117">
        <v>510</v>
      </c>
      <c r="D117" t="s">
        <v>300</v>
      </c>
      <c r="E117" t="s">
        <v>491</v>
      </c>
      <c r="F117" s="673">
        <v>155184</v>
      </c>
      <c r="G117" s="673">
        <v>3076</v>
      </c>
      <c r="H117" s="673">
        <v>12166</v>
      </c>
      <c r="I117" s="673">
        <v>142419</v>
      </c>
      <c r="J117" s="673">
        <v>497156</v>
      </c>
      <c r="K117" s="673">
        <v>0</v>
      </c>
      <c r="L117" s="673">
        <v>42023</v>
      </c>
      <c r="M117" s="673">
        <v>458223</v>
      </c>
      <c r="N117" s="603">
        <v>0</v>
      </c>
      <c r="O117" s="603">
        <v>0</v>
      </c>
      <c r="P117" s="603">
        <v>3052</v>
      </c>
      <c r="Q117" s="603">
        <v>0</v>
      </c>
      <c r="R117" s="603">
        <v>3196368</v>
      </c>
      <c r="S117" s="603">
        <v>92011</v>
      </c>
      <c r="T117" s="603">
        <v>0</v>
      </c>
      <c r="U117" s="603">
        <v>19012</v>
      </c>
      <c r="V117" s="603">
        <v>1810</v>
      </c>
      <c r="W117" s="603">
        <v>1283589</v>
      </c>
      <c r="X117" s="603">
        <v>0</v>
      </c>
      <c r="Y117" s="603">
        <v>5668</v>
      </c>
      <c r="Z117" s="603">
        <v>205593</v>
      </c>
      <c r="AA117" s="603">
        <v>0</v>
      </c>
      <c r="AB117" s="603">
        <v>87648</v>
      </c>
      <c r="AC117" s="603">
        <v>0</v>
      </c>
      <c r="AD117" s="603">
        <v>0</v>
      </c>
      <c r="AE117" s="603">
        <v>0</v>
      </c>
      <c r="AF117" s="603">
        <v>1026</v>
      </c>
      <c r="AG117" s="603">
        <v>37160</v>
      </c>
      <c r="AH117" s="603">
        <v>698645</v>
      </c>
      <c r="AI117" s="603">
        <v>1579080</v>
      </c>
      <c r="AJ117" s="603">
        <v>107565</v>
      </c>
      <c r="AK117" s="603">
        <v>0</v>
      </c>
      <c r="AL117" s="603">
        <v>248123</v>
      </c>
      <c r="AM117" s="603">
        <v>1850</v>
      </c>
      <c r="AN117" s="603">
        <v>0</v>
      </c>
      <c r="AO117" s="603">
        <v>332332</v>
      </c>
      <c r="AP117" s="603">
        <v>0</v>
      </c>
      <c r="AQ117" s="603">
        <v>3273</v>
      </c>
      <c r="AR117" s="603">
        <v>4114</v>
      </c>
      <c r="AS117" s="603">
        <v>634</v>
      </c>
      <c r="AT117" s="603">
        <v>0</v>
      </c>
      <c r="AU117" s="603">
        <v>0</v>
      </c>
      <c r="AV117" s="603">
        <v>13964</v>
      </c>
      <c r="AW117" s="603">
        <v>37521</v>
      </c>
      <c r="AX117" s="603">
        <v>0</v>
      </c>
      <c r="AY117" s="603">
        <v>0</v>
      </c>
      <c r="AZ117" s="603">
        <v>0</v>
      </c>
      <c r="BA117" s="603">
        <v>64137</v>
      </c>
      <c r="BB117" s="603">
        <v>47319</v>
      </c>
    </row>
    <row r="118" spans="1:54" x14ac:dyDescent="0.25">
      <c r="A118">
        <v>511</v>
      </c>
      <c r="B118">
        <v>511</v>
      </c>
      <c r="C118">
        <v>511</v>
      </c>
      <c r="D118" t="s">
        <v>305</v>
      </c>
      <c r="E118" t="s">
        <v>492</v>
      </c>
      <c r="F118" s="673">
        <v>0</v>
      </c>
      <c r="G118" s="673">
        <v>0</v>
      </c>
      <c r="H118" s="673">
        <v>0</v>
      </c>
      <c r="I118" s="673">
        <v>0</v>
      </c>
      <c r="J118" s="673">
        <v>0</v>
      </c>
      <c r="K118" s="673">
        <v>0</v>
      </c>
      <c r="L118" s="673">
        <v>0</v>
      </c>
      <c r="M118" s="673">
        <v>0</v>
      </c>
      <c r="N118" s="603">
        <v>0</v>
      </c>
      <c r="O118" s="603">
        <v>0</v>
      </c>
      <c r="P118" s="603">
        <v>0</v>
      </c>
      <c r="Q118" s="603">
        <v>0</v>
      </c>
      <c r="R118" s="603">
        <v>15990104</v>
      </c>
      <c r="S118" s="603">
        <v>0</v>
      </c>
      <c r="T118" s="603">
        <v>0</v>
      </c>
      <c r="U118" s="603">
        <v>0</v>
      </c>
      <c r="V118" s="603">
        <v>0</v>
      </c>
      <c r="W118" s="603">
        <v>6997034</v>
      </c>
      <c r="X118" s="603">
        <v>0</v>
      </c>
      <c r="Y118" s="603">
        <v>0</v>
      </c>
      <c r="Z118" s="603">
        <v>0</v>
      </c>
      <c r="AA118" s="603">
        <v>0</v>
      </c>
      <c r="AB118" s="603">
        <v>0</v>
      </c>
      <c r="AC118" s="603">
        <v>0</v>
      </c>
      <c r="AD118" s="603">
        <v>0</v>
      </c>
      <c r="AE118" s="603">
        <v>0</v>
      </c>
      <c r="AF118" s="603">
        <v>0</v>
      </c>
      <c r="AG118" s="603">
        <v>0</v>
      </c>
      <c r="AH118" s="603">
        <v>0</v>
      </c>
      <c r="AI118" s="603">
        <v>0</v>
      </c>
      <c r="AJ118" s="603">
        <v>0</v>
      </c>
      <c r="AK118" s="603">
        <v>0</v>
      </c>
      <c r="AL118" s="603">
        <v>0</v>
      </c>
      <c r="AM118" s="603">
        <v>0</v>
      </c>
      <c r="AN118" s="603">
        <v>0</v>
      </c>
      <c r="AO118" s="603">
        <v>0</v>
      </c>
      <c r="AP118" s="603">
        <v>0</v>
      </c>
      <c r="AQ118" s="603">
        <v>0</v>
      </c>
      <c r="AR118" s="603">
        <v>0</v>
      </c>
      <c r="AS118" s="603">
        <v>0</v>
      </c>
      <c r="AT118" s="603">
        <v>0</v>
      </c>
      <c r="AU118" s="603">
        <v>0</v>
      </c>
      <c r="AV118" s="603">
        <v>0</v>
      </c>
      <c r="AW118" s="603">
        <v>0</v>
      </c>
      <c r="AX118" s="603">
        <v>0</v>
      </c>
      <c r="AY118" s="603">
        <v>0</v>
      </c>
      <c r="AZ118" s="603">
        <v>0</v>
      </c>
      <c r="BA118" s="603">
        <v>0</v>
      </c>
      <c r="BB118" s="603">
        <v>0</v>
      </c>
    </row>
    <row r="119" spans="1:54" x14ac:dyDescent="0.25">
      <c r="A119">
        <v>512</v>
      </c>
      <c r="B119">
        <v>512</v>
      </c>
      <c r="C119">
        <v>512</v>
      </c>
      <c r="D119" t="s">
        <v>332</v>
      </c>
      <c r="E119" t="s">
        <v>493</v>
      </c>
      <c r="F119" s="673">
        <v>0</v>
      </c>
      <c r="G119" s="673">
        <v>0</v>
      </c>
      <c r="H119" s="673">
        <v>0</v>
      </c>
      <c r="I119" s="673">
        <v>101270</v>
      </c>
      <c r="J119" s="673">
        <v>0</v>
      </c>
      <c r="K119" s="673">
        <v>0</v>
      </c>
      <c r="L119" s="673">
        <v>0</v>
      </c>
      <c r="M119" s="673">
        <v>0</v>
      </c>
      <c r="N119" s="603">
        <v>0</v>
      </c>
      <c r="O119" s="603">
        <v>0</v>
      </c>
      <c r="P119" s="603">
        <v>0</v>
      </c>
      <c r="Q119" s="603">
        <v>0</v>
      </c>
      <c r="R119" s="603">
        <v>0</v>
      </c>
      <c r="S119" s="603">
        <v>0</v>
      </c>
      <c r="T119" s="603">
        <v>0</v>
      </c>
      <c r="U119" s="603">
        <v>0</v>
      </c>
      <c r="V119" s="603">
        <v>0</v>
      </c>
      <c r="W119" s="603">
        <v>7305321</v>
      </c>
      <c r="X119" s="603">
        <v>0</v>
      </c>
      <c r="Y119" s="603">
        <v>0</v>
      </c>
      <c r="Z119" s="603">
        <v>0</v>
      </c>
      <c r="AA119" s="603">
        <v>0</v>
      </c>
      <c r="AB119" s="603">
        <v>0</v>
      </c>
      <c r="AC119" s="603">
        <v>0</v>
      </c>
      <c r="AD119" s="603">
        <v>0</v>
      </c>
      <c r="AE119" s="603">
        <v>0</v>
      </c>
      <c r="AF119" s="603">
        <v>0</v>
      </c>
      <c r="AG119" s="603">
        <v>0</v>
      </c>
      <c r="AH119" s="603">
        <v>0</v>
      </c>
      <c r="AI119" s="603">
        <v>0</v>
      </c>
      <c r="AJ119" s="603">
        <v>0</v>
      </c>
      <c r="AK119" s="603">
        <v>0</v>
      </c>
      <c r="AL119" s="603">
        <v>0</v>
      </c>
      <c r="AM119" s="603">
        <v>0</v>
      </c>
      <c r="AN119" s="603">
        <v>0</v>
      </c>
      <c r="AO119" s="603">
        <v>0</v>
      </c>
      <c r="AP119" s="603">
        <v>0</v>
      </c>
      <c r="AQ119" s="603">
        <v>0</v>
      </c>
      <c r="AR119" s="603">
        <v>0</v>
      </c>
      <c r="AS119" s="603">
        <v>0</v>
      </c>
      <c r="AT119" s="603">
        <v>0</v>
      </c>
      <c r="AU119" s="603">
        <v>0</v>
      </c>
      <c r="AV119" s="603">
        <v>0</v>
      </c>
      <c r="AW119" s="603">
        <v>0</v>
      </c>
      <c r="AX119" s="603">
        <v>0</v>
      </c>
      <c r="AY119" s="603">
        <v>0</v>
      </c>
      <c r="AZ119" s="603">
        <v>0</v>
      </c>
      <c r="BA119" s="603">
        <v>0</v>
      </c>
      <c r="BB119" s="603">
        <v>0</v>
      </c>
    </row>
    <row r="120" spans="1:54" x14ac:dyDescent="0.25">
      <c r="A120">
        <v>513</v>
      </c>
      <c r="B120">
        <v>513</v>
      </c>
      <c r="C120">
        <v>513</v>
      </c>
      <c r="D120" t="s">
        <v>344</v>
      </c>
      <c r="E120" t="s">
        <v>494</v>
      </c>
      <c r="F120" s="673">
        <v>0</v>
      </c>
      <c r="G120" s="673">
        <v>0</v>
      </c>
      <c r="H120" s="673">
        <v>0</v>
      </c>
      <c r="I120" s="673">
        <v>0</v>
      </c>
      <c r="J120" s="673">
        <v>0</v>
      </c>
      <c r="K120" s="673">
        <v>0</v>
      </c>
      <c r="L120" s="673">
        <v>0</v>
      </c>
      <c r="M120" s="673">
        <v>0</v>
      </c>
      <c r="N120" s="603">
        <v>0</v>
      </c>
      <c r="O120" s="603">
        <v>0</v>
      </c>
      <c r="P120" s="603">
        <v>0</v>
      </c>
      <c r="Q120" s="603">
        <v>0</v>
      </c>
      <c r="R120" s="603">
        <v>0</v>
      </c>
      <c r="S120" s="603">
        <v>0</v>
      </c>
      <c r="T120" s="603">
        <v>0</v>
      </c>
      <c r="U120" s="603">
        <v>0</v>
      </c>
      <c r="V120" s="603">
        <v>0</v>
      </c>
      <c r="W120" s="603">
        <v>0</v>
      </c>
      <c r="X120" s="603">
        <v>0</v>
      </c>
      <c r="Y120" s="603">
        <v>0</v>
      </c>
      <c r="Z120" s="603">
        <v>0</v>
      </c>
      <c r="AA120" s="603">
        <v>0</v>
      </c>
      <c r="AB120" s="603">
        <v>0</v>
      </c>
      <c r="AC120" s="603">
        <v>0</v>
      </c>
      <c r="AD120" s="603">
        <v>0</v>
      </c>
      <c r="AE120" s="603">
        <v>0</v>
      </c>
      <c r="AF120" s="603">
        <v>0</v>
      </c>
      <c r="AG120" s="603">
        <v>0</v>
      </c>
      <c r="AH120" s="603">
        <v>0</v>
      </c>
      <c r="AI120" s="603">
        <v>0</v>
      </c>
      <c r="AJ120" s="603">
        <v>0</v>
      </c>
      <c r="AK120" s="603">
        <v>0</v>
      </c>
      <c r="AL120" s="603">
        <v>0</v>
      </c>
      <c r="AM120" s="603">
        <v>0</v>
      </c>
      <c r="AN120" s="603">
        <v>0</v>
      </c>
      <c r="AO120" s="603">
        <v>0</v>
      </c>
      <c r="AP120" s="603">
        <v>0</v>
      </c>
      <c r="AQ120" s="603">
        <v>0</v>
      </c>
      <c r="AR120" s="603">
        <v>0</v>
      </c>
      <c r="AS120" s="603">
        <v>0</v>
      </c>
      <c r="AT120" s="603">
        <v>0</v>
      </c>
      <c r="AU120" s="603">
        <v>0</v>
      </c>
      <c r="AV120" s="603">
        <v>0</v>
      </c>
      <c r="AW120" s="603">
        <v>0</v>
      </c>
      <c r="AX120" s="603">
        <v>0</v>
      </c>
      <c r="AY120" s="603">
        <v>0</v>
      </c>
      <c r="AZ120" s="603">
        <v>0</v>
      </c>
      <c r="BA120" s="603">
        <v>0</v>
      </c>
      <c r="BB120" s="603">
        <v>0</v>
      </c>
    </row>
    <row r="121" spans="1:54" x14ac:dyDescent="0.25">
      <c r="A121">
        <v>514</v>
      </c>
      <c r="B121">
        <v>514</v>
      </c>
      <c r="C121">
        <v>514</v>
      </c>
      <c r="D121" t="s">
        <v>345</v>
      </c>
      <c r="E121" t="s">
        <v>495</v>
      </c>
      <c r="F121" s="673">
        <v>0</v>
      </c>
      <c r="G121" s="673">
        <v>0</v>
      </c>
      <c r="H121" s="673">
        <v>0</v>
      </c>
      <c r="I121" s="673">
        <v>0</v>
      </c>
      <c r="J121" s="673">
        <v>0</v>
      </c>
      <c r="K121" s="673">
        <v>0</v>
      </c>
      <c r="L121" s="673">
        <v>0</v>
      </c>
      <c r="M121" s="673">
        <v>0</v>
      </c>
      <c r="N121" s="603">
        <v>0</v>
      </c>
      <c r="O121" s="603">
        <v>0</v>
      </c>
      <c r="P121" s="603">
        <v>0</v>
      </c>
      <c r="Q121" s="603">
        <v>0</v>
      </c>
      <c r="R121" s="603">
        <v>0</v>
      </c>
      <c r="S121" s="603">
        <v>0</v>
      </c>
      <c r="T121" s="603">
        <v>0</v>
      </c>
      <c r="U121" s="603">
        <v>0</v>
      </c>
      <c r="V121" s="603">
        <v>0</v>
      </c>
      <c r="W121" s="603">
        <v>4993763</v>
      </c>
      <c r="X121" s="603">
        <v>0</v>
      </c>
      <c r="Y121" s="603">
        <v>0</v>
      </c>
      <c r="Z121" s="603">
        <v>0</v>
      </c>
      <c r="AA121" s="603">
        <v>0</v>
      </c>
      <c r="AB121" s="603">
        <v>0</v>
      </c>
      <c r="AC121" s="603">
        <v>0</v>
      </c>
      <c r="AD121" s="603">
        <v>0</v>
      </c>
      <c r="AE121" s="603">
        <v>0</v>
      </c>
      <c r="AF121" s="603">
        <v>0</v>
      </c>
      <c r="AG121" s="603">
        <v>0</v>
      </c>
      <c r="AH121" s="603">
        <v>0</v>
      </c>
      <c r="AI121" s="603">
        <v>0</v>
      </c>
      <c r="AJ121" s="603">
        <v>0</v>
      </c>
      <c r="AK121" s="603">
        <v>0</v>
      </c>
      <c r="AL121" s="603">
        <v>0</v>
      </c>
      <c r="AM121" s="603">
        <v>0</v>
      </c>
      <c r="AN121" s="603">
        <v>0</v>
      </c>
      <c r="AO121" s="603">
        <v>0</v>
      </c>
      <c r="AP121" s="603">
        <v>0</v>
      </c>
      <c r="AQ121" s="603">
        <v>0</v>
      </c>
      <c r="AR121" s="603">
        <v>0</v>
      </c>
      <c r="AS121" s="603">
        <v>0</v>
      </c>
      <c r="AT121" s="603">
        <v>0</v>
      </c>
      <c r="AU121" s="603">
        <v>0</v>
      </c>
      <c r="AV121" s="603">
        <v>0</v>
      </c>
      <c r="AW121" s="603">
        <v>0</v>
      </c>
      <c r="AX121" s="603">
        <v>0</v>
      </c>
      <c r="AY121" s="603">
        <v>0</v>
      </c>
      <c r="AZ121" s="603">
        <v>0</v>
      </c>
      <c r="BA121" s="603">
        <v>0</v>
      </c>
      <c r="BB121" s="603">
        <v>0</v>
      </c>
    </row>
    <row r="122" spans="1:54" x14ac:dyDescent="0.25">
      <c r="A122">
        <v>515</v>
      </c>
      <c r="B122">
        <v>515</v>
      </c>
      <c r="C122">
        <v>515</v>
      </c>
      <c r="D122" t="s">
        <v>357</v>
      </c>
      <c r="E122" t="s">
        <v>496</v>
      </c>
      <c r="F122" s="673">
        <v>185904</v>
      </c>
      <c r="G122" s="673">
        <v>351832</v>
      </c>
      <c r="H122" s="673">
        <v>0</v>
      </c>
      <c r="I122" s="673">
        <v>0</v>
      </c>
      <c r="J122" s="673">
        <v>53916128</v>
      </c>
      <c r="K122" s="673">
        <v>1867813</v>
      </c>
      <c r="L122" s="673">
        <v>0</v>
      </c>
      <c r="M122" s="673">
        <v>618911</v>
      </c>
      <c r="N122" s="603">
        <v>0</v>
      </c>
      <c r="O122" s="603">
        <v>0</v>
      </c>
      <c r="P122" s="603">
        <v>353692</v>
      </c>
      <c r="Q122" s="603">
        <v>0</v>
      </c>
      <c r="R122" s="603">
        <v>6360363</v>
      </c>
      <c r="S122" s="603">
        <v>0</v>
      </c>
      <c r="T122" s="603">
        <v>0</v>
      </c>
      <c r="U122" s="603">
        <v>518723</v>
      </c>
      <c r="V122" s="603">
        <v>0</v>
      </c>
      <c r="W122" s="603">
        <v>4806670</v>
      </c>
      <c r="X122" s="603">
        <v>120901</v>
      </c>
      <c r="Y122" s="603">
        <v>0</v>
      </c>
      <c r="Z122" s="603">
        <v>229355</v>
      </c>
      <c r="AA122" s="603">
        <v>395734</v>
      </c>
      <c r="AB122" s="603">
        <v>602858</v>
      </c>
      <c r="AC122" s="603">
        <v>26597591</v>
      </c>
      <c r="AD122" s="603">
        <v>721966</v>
      </c>
      <c r="AE122" s="603">
        <v>0</v>
      </c>
      <c r="AF122" s="603">
        <v>351572</v>
      </c>
      <c r="AG122" s="603">
        <v>0</v>
      </c>
      <c r="AH122" s="603">
        <v>11883201</v>
      </c>
      <c r="AI122" s="603">
        <v>0</v>
      </c>
      <c r="AJ122" s="603">
        <v>496311</v>
      </c>
      <c r="AK122" s="603">
        <v>0</v>
      </c>
      <c r="AL122" s="603">
        <v>1216559</v>
      </c>
      <c r="AM122" s="603">
        <v>0</v>
      </c>
      <c r="AN122" s="603">
        <v>0</v>
      </c>
      <c r="AO122" s="603">
        <v>34230255</v>
      </c>
      <c r="AP122" s="603">
        <v>0</v>
      </c>
      <c r="AQ122" s="603">
        <v>351876</v>
      </c>
      <c r="AR122" s="603">
        <v>0</v>
      </c>
      <c r="AS122" s="603">
        <v>351523</v>
      </c>
      <c r="AT122" s="603">
        <v>0</v>
      </c>
      <c r="AU122" s="603">
        <v>0</v>
      </c>
      <c r="AV122" s="603">
        <v>0</v>
      </c>
      <c r="AW122" s="603">
        <v>766359</v>
      </c>
      <c r="AX122" s="603">
        <v>0</v>
      </c>
      <c r="AY122" s="603">
        <v>0</v>
      </c>
      <c r="AZ122" s="603">
        <v>268240</v>
      </c>
      <c r="BA122" s="603">
        <v>0</v>
      </c>
      <c r="BB122" s="603">
        <v>457735</v>
      </c>
    </row>
    <row r="123" spans="1:54" x14ac:dyDescent="0.25">
      <c r="A123">
        <v>516</v>
      </c>
      <c r="B123">
        <v>516</v>
      </c>
      <c r="C123">
        <v>516</v>
      </c>
      <c r="D123" t="s">
        <v>358</v>
      </c>
      <c r="E123" t="s">
        <v>497</v>
      </c>
      <c r="F123" s="673">
        <v>23062554</v>
      </c>
      <c r="G123" s="673">
        <v>25123887</v>
      </c>
      <c r="H123" s="673">
        <v>45114461</v>
      </c>
      <c r="I123" s="673">
        <v>4391957</v>
      </c>
      <c r="J123" s="673">
        <v>468104106</v>
      </c>
      <c r="K123" s="673">
        <v>206144181</v>
      </c>
      <c r="L123" s="673">
        <v>805370404</v>
      </c>
      <c r="M123" s="673">
        <v>55837666</v>
      </c>
      <c r="N123" s="603">
        <v>0</v>
      </c>
      <c r="O123" s="603">
        <v>38361226</v>
      </c>
      <c r="P123" s="603">
        <v>32701919</v>
      </c>
      <c r="Q123" s="603">
        <v>4159234</v>
      </c>
      <c r="R123" s="603">
        <v>980675886</v>
      </c>
      <c r="S123" s="603">
        <v>6302156</v>
      </c>
      <c r="T123" s="603">
        <v>6572659</v>
      </c>
      <c r="U123" s="603">
        <v>27787524</v>
      </c>
      <c r="V123" s="603">
        <v>3770614</v>
      </c>
      <c r="W123" s="603">
        <v>365052201</v>
      </c>
      <c r="X123" s="603">
        <v>6314053</v>
      </c>
      <c r="Y123" s="603">
        <v>2378407</v>
      </c>
      <c r="Z123" s="603">
        <v>13355521</v>
      </c>
      <c r="AA123" s="603">
        <v>68076702</v>
      </c>
      <c r="AB123" s="603">
        <v>10774972</v>
      </c>
      <c r="AC123" s="603">
        <v>0</v>
      </c>
      <c r="AD123" s="603">
        <v>2958467</v>
      </c>
      <c r="AE123" s="603">
        <v>135092492</v>
      </c>
      <c r="AF123" s="603">
        <v>10184711</v>
      </c>
      <c r="AG123" s="603">
        <v>7058745</v>
      </c>
      <c r="AH123" s="603">
        <v>222884227</v>
      </c>
      <c r="AI123" s="603">
        <v>398146073</v>
      </c>
      <c r="AJ123" s="603">
        <v>71033332</v>
      </c>
      <c r="AK123" s="603">
        <v>302952</v>
      </c>
      <c r="AL123" s="603">
        <v>69878428</v>
      </c>
      <c r="AM123" s="603">
        <v>7384758</v>
      </c>
      <c r="AN123" s="603">
        <v>1162609</v>
      </c>
      <c r="AO123" s="603">
        <v>33267116</v>
      </c>
      <c r="AP123" s="603">
        <v>19302822</v>
      </c>
      <c r="AQ123" s="603">
        <v>25384100</v>
      </c>
      <c r="AR123" s="603">
        <v>7826072</v>
      </c>
      <c r="AS123" s="603">
        <v>7847750</v>
      </c>
      <c r="AT123" s="603">
        <v>12836291</v>
      </c>
      <c r="AU123" s="603">
        <v>1517807</v>
      </c>
      <c r="AV123" s="603">
        <v>4233348</v>
      </c>
      <c r="AW123" s="603">
        <v>52433471</v>
      </c>
      <c r="AX123" s="603">
        <v>11823021</v>
      </c>
      <c r="AY123" s="603">
        <v>178232</v>
      </c>
      <c r="AZ123" s="603">
        <v>77842</v>
      </c>
      <c r="BA123" s="603">
        <v>11178951</v>
      </c>
      <c r="BB123" s="603">
        <v>31888206</v>
      </c>
    </row>
    <row r="124" spans="1:54" x14ac:dyDescent="0.25">
      <c r="A124">
        <v>517</v>
      </c>
      <c r="B124">
        <v>517</v>
      </c>
      <c r="C124">
        <v>517</v>
      </c>
      <c r="D124" t="s">
        <v>359</v>
      </c>
      <c r="E124" t="s">
        <v>498</v>
      </c>
      <c r="F124" s="673">
        <v>0</v>
      </c>
      <c r="G124" s="673">
        <v>0</v>
      </c>
      <c r="H124" s="673">
        <v>0</v>
      </c>
      <c r="I124" s="673">
        <v>0</v>
      </c>
      <c r="J124" s="673">
        <v>0</v>
      </c>
      <c r="K124" s="673">
        <v>0</v>
      </c>
      <c r="L124" s="673">
        <v>0</v>
      </c>
      <c r="M124" s="673">
        <v>0</v>
      </c>
      <c r="N124" s="603">
        <v>0</v>
      </c>
      <c r="O124" s="603">
        <v>0</v>
      </c>
      <c r="P124" s="603">
        <v>0</v>
      </c>
      <c r="Q124" s="603">
        <v>0</v>
      </c>
      <c r="R124" s="603">
        <v>0</v>
      </c>
      <c r="S124" s="603">
        <v>0</v>
      </c>
      <c r="T124" s="603">
        <v>0</v>
      </c>
      <c r="U124" s="603">
        <v>0</v>
      </c>
      <c r="V124" s="603">
        <v>0</v>
      </c>
      <c r="W124" s="603">
        <v>0</v>
      </c>
      <c r="X124" s="603">
        <v>0</v>
      </c>
      <c r="Y124" s="603">
        <v>0</v>
      </c>
      <c r="Z124" s="603">
        <v>0</v>
      </c>
      <c r="AA124" s="603">
        <v>0</v>
      </c>
      <c r="AB124" s="603">
        <v>0</v>
      </c>
      <c r="AC124" s="603">
        <v>0</v>
      </c>
      <c r="AD124" s="603">
        <v>0</v>
      </c>
      <c r="AE124" s="603">
        <v>0</v>
      </c>
      <c r="AF124" s="603">
        <v>0</v>
      </c>
      <c r="AG124" s="603">
        <v>0</v>
      </c>
      <c r="AH124" s="603">
        <v>0</v>
      </c>
      <c r="AI124" s="603">
        <v>0</v>
      </c>
      <c r="AJ124" s="603">
        <v>30845602</v>
      </c>
      <c r="AK124" s="603">
        <v>0</v>
      </c>
      <c r="AL124" s="603">
        <v>0</v>
      </c>
      <c r="AM124" s="603">
        <v>0</v>
      </c>
      <c r="AN124" s="603">
        <v>0</v>
      </c>
      <c r="AO124" s="603">
        <v>0</v>
      </c>
      <c r="AP124" s="603">
        <v>0</v>
      </c>
      <c r="AQ124" s="603">
        <v>0</v>
      </c>
      <c r="AR124" s="603">
        <v>0</v>
      </c>
      <c r="AS124" s="603">
        <v>0</v>
      </c>
      <c r="AT124" s="603">
        <v>0</v>
      </c>
      <c r="AU124" s="603">
        <v>0</v>
      </c>
      <c r="AV124" s="603">
        <v>0</v>
      </c>
      <c r="AW124" s="603">
        <v>0</v>
      </c>
      <c r="AX124" s="603">
        <v>0</v>
      </c>
      <c r="AY124" s="603">
        <v>0</v>
      </c>
      <c r="AZ124" s="603">
        <v>0</v>
      </c>
      <c r="BA124" s="603">
        <v>0</v>
      </c>
      <c r="BB124" s="603">
        <v>0</v>
      </c>
    </row>
    <row r="125" spans="1:54" x14ac:dyDescent="0.25">
      <c r="A125">
        <v>518</v>
      </c>
      <c r="B125">
        <v>518</v>
      </c>
      <c r="C125">
        <v>518</v>
      </c>
      <c r="D125" t="s">
        <v>360</v>
      </c>
      <c r="E125" t="s">
        <v>499</v>
      </c>
      <c r="F125" s="673">
        <v>892895</v>
      </c>
      <c r="G125" s="673">
        <v>358705</v>
      </c>
      <c r="H125" s="673">
        <v>5283441</v>
      </c>
      <c r="I125" s="673">
        <v>577457</v>
      </c>
      <c r="J125" s="673">
        <v>91356764</v>
      </c>
      <c r="K125" s="673">
        <v>8283111</v>
      </c>
      <c r="L125" s="673">
        <v>34084707</v>
      </c>
      <c r="M125" s="673">
        <v>5777958</v>
      </c>
      <c r="N125" s="603">
        <v>0</v>
      </c>
      <c r="O125" s="603">
        <v>375003</v>
      </c>
      <c r="P125" s="603">
        <v>495399</v>
      </c>
      <c r="Q125" s="603">
        <v>0</v>
      </c>
      <c r="R125" s="603">
        <v>46285302</v>
      </c>
      <c r="S125" s="603">
        <v>277442</v>
      </c>
      <c r="T125" s="603">
        <v>0</v>
      </c>
      <c r="U125" s="603">
        <v>379540</v>
      </c>
      <c r="V125" s="603">
        <v>91031</v>
      </c>
      <c r="W125" s="603">
        <v>24728473</v>
      </c>
      <c r="X125" s="603">
        <v>20080822</v>
      </c>
      <c r="Y125" s="603">
        <v>392740</v>
      </c>
      <c r="Z125" s="603">
        <v>550559</v>
      </c>
      <c r="AA125" s="603">
        <v>508959</v>
      </c>
      <c r="AB125" s="603">
        <v>1381483</v>
      </c>
      <c r="AC125" s="603">
        <v>57686</v>
      </c>
      <c r="AD125" s="603">
        <v>42706</v>
      </c>
      <c r="AE125" s="603">
        <v>919093</v>
      </c>
      <c r="AF125" s="603">
        <v>166454</v>
      </c>
      <c r="AG125" s="603">
        <v>253199</v>
      </c>
      <c r="AH125" s="603">
        <v>8647885</v>
      </c>
      <c r="AI125" s="603">
        <v>48961413</v>
      </c>
      <c r="AJ125" s="603">
        <v>957580</v>
      </c>
      <c r="AK125" s="603">
        <v>6563</v>
      </c>
      <c r="AL125" s="603">
        <v>0</v>
      </c>
      <c r="AM125" s="603">
        <v>120017</v>
      </c>
      <c r="AN125" s="603">
        <v>25809</v>
      </c>
      <c r="AO125" s="603">
        <v>1226800</v>
      </c>
      <c r="AP125" s="603">
        <v>361746</v>
      </c>
      <c r="AQ125" s="603">
        <v>461746</v>
      </c>
      <c r="AR125" s="603">
        <v>119665</v>
      </c>
      <c r="AS125" s="603">
        <v>199477</v>
      </c>
      <c r="AT125" s="603">
        <v>0</v>
      </c>
      <c r="AU125" s="603">
        <v>23728</v>
      </c>
      <c r="AV125" s="603">
        <v>0</v>
      </c>
      <c r="AW125" s="603">
        <v>2359934</v>
      </c>
      <c r="AX125" s="603">
        <v>0</v>
      </c>
      <c r="AY125" s="603">
        <v>0</v>
      </c>
      <c r="AZ125" s="603">
        <v>16664</v>
      </c>
      <c r="BA125" s="603">
        <v>673595</v>
      </c>
      <c r="BB125" s="603">
        <v>217660</v>
      </c>
    </row>
    <row r="126" spans="1:54" x14ac:dyDescent="0.25">
      <c r="A126">
        <v>519</v>
      </c>
      <c r="B126">
        <v>519</v>
      </c>
      <c r="C126">
        <v>519</v>
      </c>
      <c r="D126" t="s">
        <v>361</v>
      </c>
      <c r="E126" t="s">
        <v>500</v>
      </c>
      <c r="F126" s="673">
        <v>4648</v>
      </c>
      <c r="G126" s="673">
        <v>8796</v>
      </c>
      <c r="H126" s="673">
        <v>0</v>
      </c>
      <c r="I126" s="673">
        <v>0</v>
      </c>
      <c r="J126" s="673">
        <v>1025387</v>
      </c>
      <c r="K126" s="673">
        <v>74429</v>
      </c>
      <c r="L126" s="673">
        <v>0</v>
      </c>
      <c r="M126" s="673">
        <v>13393</v>
      </c>
      <c r="N126" s="603">
        <v>0</v>
      </c>
      <c r="O126" s="603">
        <v>0</v>
      </c>
      <c r="P126" s="603">
        <v>8842</v>
      </c>
      <c r="Q126" s="603">
        <v>0</v>
      </c>
      <c r="R126" s="603">
        <v>156796</v>
      </c>
      <c r="S126" s="603">
        <v>0</v>
      </c>
      <c r="T126" s="603">
        <v>0</v>
      </c>
      <c r="U126" s="603">
        <v>16956</v>
      </c>
      <c r="V126" s="603">
        <v>0</v>
      </c>
      <c r="W126" s="603">
        <v>145592</v>
      </c>
      <c r="X126" s="603">
        <v>2996</v>
      </c>
      <c r="Y126" s="603">
        <v>0</v>
      </c>
      <c r="Z126" s="603">
        <v>6797</v>
      </c>
      <c r="AA126" s="603">
        <v>9893</v>
      </c>
      <c r="AB126" s="603">
        <v>14726</v>
      </c>
      <c r="AC126" s="603">
        <v>1063903</v>
      </c>
      <c r="AD126" s="603">
        <v>5163</v>
      </c>
      <c r="AE126" s="603">
        <v>0</v>
      </c>
      <c r="AF126" s="603">
        <v>8789</v>
      </c>
      <c r="AG126" s="603">
        <v>0</v>
      </c>
      <c r="AH126" s="603">
        <v>370079</v>
      </c>
      <c r="AI126" s="603">
        <v>0</v>
      </c>
      <c r="AJ126" s="603">
        <v>0</v>
      </c>
      <c r="AK126" s="603">
        <v>0</v>
      </c>
      <c r="AL126" s="603">
        <v>41284</v>
      </c>
      <c r="AM126" s="603">
        <v>0</v>
      </c>
      <c r="AN126" s="603">
        <v>0</v>
      </c>
      <c r="AO126" s="603">
        <v>778369</v>
      </c>
      <c r="AP126" s="603">
        <v>0</v>
      </c>
      <c r="AQ126" s="603">
        <v>8797</v>
      </c>
      <c r="AR126" s="603">
        <v>0</v>
      </c>
      <c r="AS126" s="603">
        <v>8788</v>
      </c>
      <c r="AT126" s="603">
        <v>0</v>
      </c>
      <c r="AU126" s="603">
        <v>0</v>
      </c>
      <c r="AV126" s="603">
        <v>0</v>
      </c>
      <c r="AW126" s="603">
        <v>23440</v>
      </c>
      <c r="AX126" s="603">
        <v>0</v>
      </c>
      <c r="AY126" s="603">
        <v>0</v>
      </c>
      <c r="AZ126" s="603">
        <v>4970</v>
      </c>
      <c r="BA126" s="603">
        <v>0</v>
      </c>
      <c r="BB126" s="603">
        <v>11443</v>
      </c>
    </row>
    <row r="127" spans="1:54" x14ac:dyDescent="0.25">
      <c r="A127">
        <v>520</v>
      </c>
      <c r="B127">
        <v>520</v>
      </c>
      <c r="C127">
        <v>520</v>
      </c>
      <c r="D127" t="s">
        <v>362</v>
      </c>
      <c r="E127" t="s">
        <v>501</v>
      </c>
      <c r="F127" s="673">
        <v>576564</v>
      </c>
      <c r="G127" s="673">
        <v>0</v>
      </c>
      <c r="H127" s="673">
        <v>963035</v>
      </c>
      <c r="I127" s="673">
        <v>60689</v>
      </c>
      <c r="J127" s="673">
        <v>5568419</v>
      </c>
      <c r="K127" s="673">
        <v>5778571</v>
      </c>
      <c r="L127" s="673">
        <v>20117904</v>
      </c>
      <c r="M127" s="673">
        <v>1301527</v>
      </c>
      <c r="N127" s="603">
        <v>0</v>
      </c>
      <c r="O127" s="603">
        <v>837095</v>
      </c>
      <c r="P127" s="603">
        <v>815537</v>
      </c>
      <c r="Q127" s="603">
        <v>83185</v>
      </c>
      <c r="R127" s="603">
        <v>22259960</v>
      </c>
      <c r="S127" s="603">
        <v>169547</v>
      </c>
      <c r="T127" s="603">
        <v>164317</v>
      </c>
      <c r="U127" s="603">
        <v>648167</v>
      </c>
      <c r="V127" s="603">
        <v>133858</v>
      </c>
      <c r="W127" s="603">
        <v>8728785</v>
      </c>
      <c r="X127" s="603">
        <v>118480</v>
      </c>
      <c r="Y127" s="603">
        <v>101307</v>
      </c>
      <c r="Z127" s="603">
        <v>250665</v>
      </c>
      <c r="AA127" s="603">
        <v>1561114</v>
      </c>
      <c r="AB127" s="603">
        <v>253600</v>
      </c>
      <c r="AC127" s="603">
        <v>0</v>
      </c>
      <c r="AD127" s="603">
        <v>73962</v>
      </c>
      <c r="AE127" s="603">
        <v>3377312</v>
      </c>
      <c r="AF127" s="603">
        <v>256444</v>
      </c>
      <c r="AG127" s="603">
        <v>246310</v>
      </c>
      <c r="AH127" s="603">
        <v>4858916</v>
      </c>
      <c r="AI127" s="603">
        <v>8218245</v>
      </c>
      <c r="AJ127" s="603">
        <v>2354589</v>
      </c>
      <c r="AK127" s="603">
        <v>12003</v>
      </c>
      <c r="AL127" s="603">
        <v>2088325</v>
      </c>
      <c r="AM127" s="603">
        <v>149946</v>
      </c>
      <c r="AN127" s="603">
        <v>32898</v>
      </c>
      <c r="AO127" s="603">
        <v>1161768</v>
      </c>
      <c r="AP127" s="603">
        <v>473960</v>
      </c>
      <c r="AQ127" s="603">
        <v>632936</v>
      </c>
      <c r="AR127" s="603">
        <v>241964</v>
      </c>
      <c r="AS127" s="603">
        <v>196446</v>
      </c>
      <c r="AT127" s="603">
        <v>321208</v>
      </c>
      <c r="AU127" s="603">
        <v>30356</v>
      </c>
      <c r="AV127" s="603">
        <v>85626</v>
      </c>
      <c r="AW127" s="603">
        <v>1472916</v>
      </c>
      <c r="AX127" s="603">
        <v>55622</v>
      </c>
      <c r="AY127" s="603">
        <v>3565</v>
      </c>
      <c r="AZ127" s="603">
        <v>0</v>
      </c>
      <c r="BA127" s="603">
        <v>221926</v>
      </c>
      <c r="BB127" s="603">
        <v>637130</v>
      </c>
    </row>
    <row r="128" spans="1:54" x14ac:dyDescent="0.25">
      <c r="A128">
        <v>521</v>
      </c>
      <c r="B128">
        <v>521</v>
      </c>
      <c r="C128">
        <v>521</v>
      </c>
      <c r="D128" t="s">
        <v>363</v>
      </c>
      <c r="E128" t="s">
        <v>502</v>
      </c>
      <c r="F128" s="673">
        <v>0</v>
      </c>
      <c r="G128" s="673">
        <v>0</v>
      </c>
      <c r="H128" s="673">
        <v>0</v>
      </c>
      <c r="I128" s="673">
        <v>0</v>
      </c>
      <c r="J128" s="673">
        <v>0</v>
      </c>
      <c r="K128" s="673">
        <v>0</v>
      </c>
      <c r="L128" s="673">
        <v>0</v>
      </c>
      <c r="M128" s="673">
        <v>0</v>
      </c>
      <c r="N128" s="603">
        <v>0</v>
      </c>
      <c r="O128" s="603">
        <v>0</v>
      </c>
      <c r="P128" s="603">
        <v>0</v>
      </c>
      <c r="Q128" s="603">
        <v>0</v>
      </c>
      <c r="R128" s="603">
        <v>0</v>
      </c>
      <c r="S128" s="603">
        <v>0</v>
      </c>
      <c r="T128" s="603">
        <v>0</v>
      </c>
      <c r="U128" s="603">
        <v>0</v>
      </c>
      <c r="V128" s="603">
        <v>0</v>
      </c>
      <c r="W128" s="603">
        <v>0</v>
      </c>
      <c r="X128" s="603">
        <v>0</v>
      </c>
      <c r="Y128" s="603">
        <v>0</v>
      </c>
      <c r="Z128" s="603">
        <v>0</v>
      </c>
      <c r="AA128" s="603">
        <v>0</v>
      </c>
      <c r="AB128" s="603">
        <v>0</v>
      </c>
      <c r="AC128" s="603">
        <v>0</v>
      </c>
      <c r="AD128" s="603">
        <v>0</v>
      </c>
      <c r="AE128" s="603">
        <v>0</v>
      </c>
      <c r="AF128" s="603">
        <v>0</v>
      </c>
      <c r="AG128" s="603">
        <v>0</v>
      </c>
      <c r="AH128" s="603">
        <v>0</v>
      </c>
      <c r="AI128" s="603">
        <v>0</v>
      </c>
      <c r="AJ128" s="603">
        <v>941432</v>
      </c>
      <c r="AK128" s="603">
        <v>0</v>
      </c>
      <c r="AL128" s="603">
        <v>0</v>
      </c>
      <c r="AM128" s="603">
        <v>0</v>
      </c>
      <c r="AN128" s="603">
        <v>0</v>
      </c>
      <c r="AO128" s="603">
        <v>0</v>
      </c>
      <c r="AP128" s="603">
        <v>0</v>
      </c>
      <c r="AQ128" s="603">
        <v>0</v>
      </c>
      <c r="AR128" s="603">
        <v>0</v>
      </c>
      <c r="AS128" s="603">
        <v>0</v>
      </c>
      <c r="AT128" s="603">
        <v>0</v>
      </c>
      <c r="AU128" s="603">
        <v>0</v>
      </c>
      <c r="AV128" s="603">
        <v>0</v>
      </c>
      <c r="AW128" s="603">
        <v>0</v>
      </c>
      <c r="AX128" s="603">
        <v>0</v>
      </c>
      <c r="AY128" s="603">
        <v>0</v>
      </c>
      <c r="AZ128" s="603">
        <v>0</v>
      </c>
      <c r="BA128" s="603">
        <v>0</v>
      </c>
      <c r="BB128" s="603">
        <v>0</v>
      </c>
    </row>
    <row r="129" spans="1:54" x14ac:dyDescent="0.25">
      <c r="A129">
        <v>522</v>
      </c>
      <c r="B129">
        <v>522</v>
      </c>
      <c r="C129">
        <v>522</v>
      </c>
      <c r="D129" t="s">
        <v>364</v>
      </c>
      <c r="E129" t="s">
        <v>503</v>
      </c>
      <c r="F129" s="673">
        <v>78948</v>
      </c>
      <c r="G129" s="673">
        <v>33834</v>
      </c>
      <c r="H129" s="673">
        <v>545691</v>
      </c>
      <c r="I129" s="673">
        <v>27556</v>
      </c>
      <c r="J129" s="673">
        <v>4065540</v>
      </c>
      <c r="K129" s="673">
        <v>543603</v>
      </c>
      <c r="L129" s="673">
        <v>2745954</v>
      </c>
      <c r="M129" s="673">
        <v>161379</v>
      </c>
      <c r="N129" s="603">
        <v>0</v>
      </c>
      <c r="O129" s="603">
        <v>17825</v>
      </c>
      <c r="P129" s="603">
        <v>41391</v>
      </c>
      <c r="Q129" s="603">
        <v>0</v>
      </c>
      <c r="R129" s="603">
        <v>2651411</v>
      </c>
      <c r="S129" s="603">
        <v>22112</v>
      </c>
      <c r="T129" s="603">
        <v>0</v>
      </c>
      <c r="U129" s="603">
        <v>26431</v>
      </c>
      <c r="V129" s="603">
        <v>2332</v>
      </c>
      <c r="W129" s="603">
        <v>1229523</v>
      </c>
      <c r="X129" s="603">
        <v>499690</v>
      </c>
      <c r="Y129" s="603">
        <v>1603</v>
      </c>
      <c r="Z129" s="603">
        <v>40379</v>
      </c>
      <c r="AA129" s="603">
        <v>17142</v>
      </c>
      <c r="AB129" s="603">
        <v>83020</v>
      </c>
      <c r="AC129" s="603">
        <v>4773</v>
      </c>
      <c r="AD129" s="603">
        <v>65</v>
      </c>
      <c r="AE129" s="603">
        <v>65813</v>
      </c>
      <c r="AF129" s="603">
        <v>13617</v>
      </c>
      <c r="AG129" s="603">
        <v>8806</v>
      </c>
      <c r="AH129" s="603">
        <v>520780</v>
      </c>
      <c r="AI129" s="603">
        <v>1339842</v>
      </c>
      <c r="AJ129" s="603">
        <v>0</v>
      </c>
      <c r="AK129" s="603">
        <v>0</v>
      </c>
      <c r="AL129" s="603">
        <v>0</v>
      </c>
      <c r="AM129" s="603">
        <v>2209</v>
      </c>
      <c r="AN129" s="603">
        <v>1630</v>
      </c>
      <c r="AO129" s="603">
        <v>81803</v>
      </c>
      <c r="AP129" s="603">
        <v>15478</v>
      </c>
      <c r="AQ129" s="603">
        <v>41963</v>
      </c>
      <c r="AR129" s="603">
        <v>4615</v>
      </c>
      <c r="AS129" s="603">
        <v>12103</v>
      </c>
      <c r="AT129" s="603">
        <v>0</v>
      </c>
      <c r="AU129" s="603">
        <v>1245</v>
      </c>
      <c r="AV129" s="603">
        <v>0</v>
      </c>
      <c r="AW129" s="603">
        <v>117600</v>
      </c>
      <c r="AX129" s="603">
        <v>0</v>
      </c>
      <c r="AY129" s="603">
        <v>0</v>
      </c>
      <c r="AZ129" s="603">
        <v>0</v>
      </c>
      <c r="BA129" s="603">
        <v>35833</v>
      </c>
      <c r="BB129" s="603">
        <v>38923</v>
      </c>
    </row>
    <row r="130" spans="1:54" x14ac:dyDescent="0.25">
      <c r="A130">
        <v>523</v>
      </c>
      <c r="B130">
        <v>523</v>
      </c>
      <c r="C130">
        <v>523</v>
      </c>
      <c r="D130" t="s">
        <v>365</v>
      </c>
      <c r="E130" t="s">
        <v>504</v>
      </c>
      <c r="F130" s="673">
        <v>101337</v>
      </c>
      <c r="G130" s="673">
        <v>52776</v>
      </c>
      <c r="H130" s="673">
        <v>0</v>
      </c>
      <c r="I130" s="673">
        <v>0</v>
      </c>
      <c r="J130" s="673">
        <v>24760560</v>
      </c>
      <c r="K130" s="673">
        <v>1140044</v>
      </c>
      <c r="L130" s="673">
        <v>0</v>
      </c>
      <c r="M130" s="673">
        <v>245925</v>
      </c>
      <c r="N130" s="603">
        <v>0</v>
      </c>
      <c r="O130" s="603">
        <v>0</v>
      </c>
      <c r="P130" s="603">
        <v>53052</v>
      </c>
      <c r="Q130" s="603">
        <v>0</v>
      </c>
      <c r="R130" s="603">
        <v>3629969</v>
      </c>
      <c r="S130" s="603">
        <v>0</v>
      </c>
      <c r="T130" s="603">
        <v>0</v>
      </c>
      <c r="U130" s="603">
        <v>113002</v>
      </c>
      <c r="V130" s="603">
        <v>0</v>
      </c>
      <c r="W130" s="603">
        <v>2342470</v>
      </c>
      <c r="X130" s="603">
        <v>79521</v>
      </c>
      <c r="Y130" s="603">
        <v>0</v>
      </c>
      <c r="Z130" s="603">
        <v>74002</v>
      </c>
      <c r="AA130" s="603">
        <v>138012</v>
      </c>
      <c r="AB130" s="603">
        <v>170643</v>
      </c>
      <c r="AC130" s="603">
        <v>3576584</v>
      </c>
      <c r="AD130" s="603">
        <v>170101</v>
      </c>
      <c r="AE130" s="603">
        <v>0</v>
      </c>
      <c r="AF130" s="603">
        <v>52734</v>
      </c>
      <c r="AG130" s="603">
        <v>0</v>
      </c>
      <c r="AH130" s="603">
        <v>8904907</v>
      </c>
      <c r="AI130" s="603">
        <v>0</v>
      </c>
      <c r="AJ130" s="603">
        <v>0</v>
      </c>
      <c r="AK130" s="603">
        <v>0</v>
      </c>
      <c r="AL130" s="603">
        <v>874006</v>
      </c>
      <c r="AM130" s="603">
        <v>0</v>
      </c>
      <c r="AN130" s="603">
        <v>0</v>
      </c>
      <c r="AO130" s="603">
        <v>6075736</v>
      </c>
      <c r="AP130" s="603">
        <v>0</v>
      </c>
      <c r="AQ130" s="603">
        <v>52782</v>
      </c>
      <c r="AR130" s="603">
        <v>0</v>
      </c>
      <c r="AS130" s="603">
        <v>52728</v>
      </c>
      <c r="AT130" s="603">
        <v>0</v>
      </c>
      <c r="AU130" s="603">
        <v>0</v>
      </c>
      <c r="AV130" s="603">
        <v>0</v>
      </c>
      <c r="AW130" s="603">
        <v>353479</v>
      </c>
      <c r="AX130" s="603">
        <v>0</v>
      </c>
      <c r="AY130" s="603">
        <v>0</v>
      </c>
      <c r="AZ130" s="603">
        <v>187932</v>
      </c>
      <c r="BA130" s="603">
        <v>0</v>
      </c>
      <c r="BB130" s="603">
        <v>70576</v>
      </c>
    </row>
    <row r="131" spans="1:54" x14ac:dyDescent="0.25">
      <c r="A131">
        <v>524</v>
      </c>
      <c r="B131">
        <v>524</v>
      </c>
      <c r="C131">
        <v>524</v>
      </c>
      <c r="D131" t="s">
        <v>366</v>
      </c>
      <c r="E131" t="s">
        <v>505</v>
      </c>
      <c r="F131" s="673">
        <v>12688385</v>
      </c>
      <c r="G131" s="673">
        <v>8541713</v>
      </c>
      <c r="H131" s="673">
        <v>16431204</v>
      </c>
      <c r="I131" s="673">
        <v>72603</v>
      </c>
      <c r="J131" s="673">
        <v>106047541</v>
      </c>
      <c r="K131" s="673">
        <v>91870483</v>
      </c>
      <c r="L131" s="673">
        <v>168731693</v>
      </c>
      <c r="M131" s="673">
        <v>24331742</v>
      </c>
      <c r="N131" s="603">
        <v>0</v>
      </c>
      <c r="O131" s="603">
        <v>12677323</v>
      </c>
      <c r="P131" s="603">
        <v>12533329</v>
      </c>
      <c r="Q131" s="603">
        <v>1404296</v>
      </c>
      <c r="R131" s="603">
        <v>375818755</v>
      </c>
      <c r="S131" s="603">
        <v>3636902</v>
      </c>
      <c r="T131" s="603">
        <v>1807481</v>
      </c>
      <c r="U131" s="603">
        <v>10096602</v>
      </c>
      <c r="V131" s="603">
        <v>2465396</v>
      </c>
      <c r="W131" s="603">
        <v>155230958</v>
      </c>
      <c r="X131" s="603">
        <v>4087356</v>
      </c>
      <c r="Y131" s="603">
        <v>1563084</v>
      </c>
      <c r="Z131" s="603">
        <v>3589848</v>
      </c>
      <c r="AA131" s="603">
        <v>26616447</v>
      </c>
      <c r="AB131" s="603">
        <v>6301587</v>
      </c>
      <c r="AC131" s="603">
        <v>0</v>
      </c>
      <c r="AD131" s="603">
        <v>1751529</v>
      </c>
      <c r="AE131" s="603">
        <v>36316618</v>
      </c>
      <c r="AF131" s="603">
        <v>3928543</v>
      </c>
      <c r="AG131" s="603">
        <v>4606405</v>
      </c>
      <c r="AH131" s="603">
        <v>72359957</v>
      </c>
      <c r="AI131" s="603">
        <v>148290977</v>
      </c>
      <c r="AJ131" s="603">
        <v>18397733</v>
      </c>
      <c r="AK131" s="603">
        <v>154170</v>
      </c>
      <c r="AL131" s="603">
        <v>33489822</v>
      </c>
      <c r="AM131" s="603">
        <v>2193226</v>
      </c>
      <c r="AN131" s="603">
        <v>799984</v>
      </c>
      <c r="AO131" s="603">
        <v>7528568</v>
      </c>
      <c r="AP131" s="603">
        <v>8195135</v>
      </c>
      <c r="AQ131" s="603">
        <v>9652793</v>
      </c>
      <c r="AR131" s="603">
        <v>4553085</v>
      </c>
      <c r="AS131" s="603">
        <v>3422263</v>
      </c>
      <c r="AT131" s="603">
        <v>2087129</v>
      </c>
      <c r="AU131" s="603">
        <v>558212</v>
      </c>
      <c r="AV131" s="603">
        <v>1319547</v>
      </c>
      <c r="AW131" s="603">
        <v>20208141</v>
      </c>
      <c r="AX131" s="603">
        <v>796506</v>
      </c>
      <c r="AY131" s="603">
        <v>100913</v>
      </c>
      <c r="AZ131" s="603">
        <v>77842</v>
      </c>
      <c r="BA131" s="603">
        <v>4202231</v>
      </c>
      <c r="BB131" s="603">
        <v>12160434</v>
      </c>
    </row>
    <row r="132" spans="1:54" x14ac:dyDescent="0.25">
      <c r="A132">
        <v>525</v>
      </c>
      <c r="B132">
        <v>525</v>
      </c>
      <c r="C132">
        <v>525</v>
      </c>
      <c r="D132" t="s">
        <v>367</v>
      </c>
      <c r="E132" t="s">
        <v>506</v>
      </c>
      <c r="F132" s="673">
        <v>0</v>
      </c>
      <c r="G132" s="673">
        <v>0</v>
      </c>
      <c r="H132" s="673">
        <v>0</v>
      </c>
      <c r="I132" s="673">
        <v>0</v>
      </c>
      <c r="J132" s="673">
        <v>0</v>
      </c>
      <c r="K132" s="673">
        <v>0</v>
      </c>
      <c r="L132" s="673">
        <v>0</v>
      </c>
      <c r="M132" s="673">
        <v>0</v>
      </c>
      <c r="N132" s="603">
        <v>0</v>
      </c>
      <c r="O132" s="603">
        <v>0</v>
      </c>
      <c r="P132" s="603">
        <v>0</v>
      </c>
      <c r="Q132" s="603">
        <v>0</v>
      </c>
      <c r="R132" s="603">
        <v>0</v>
      </c>
      <c r="S132" s="603">
        <v>0</v>
      </c>
      <c r="T132" s="603">
        <v>0</v>
      </c>
      <c r="U132" s="603">
        <v>0</v>
      </c>
      <c r="V132" s="603">
        <v>0</v>
      </c>
      <c r="W132" s="603">
        <v>0</v>
      </c>
      <c r="X132" s="603">
        <v>0</v>
      </c>
      <c r="Y132" s="603">
        <v>0</v>
      </c>
      <c r="Z132" s="603">
        <v>0</v>
      </c>
      <c r="AA132" s="603">
        <v>0</v>
      </c>
      <c r="AB132" s="603">
        <v>0</v>
      </c>
      <c r="AC132" s="603">
        <v>0</v>
      </c>
      <c r="AD132" s="603">
        <v>0</v>
      </c>
      <c r="AE132" s="603">
        <v>0</v>
      </c>
      <c r="AF132" s="603">
        <v>0</v>
      </c>
      <c r="AG132" s="603">
        <v>0</v>
      </c>
      <c r="AH132" s="603">
        <v>0</v>
      </c>
      <c r="AI132" s="603">
        <v>0</v>
      </c>
      <c r="AJ132" s="603">
        <v>11561568</v>
      </c>
      <c r="AK132" s="603">
        <v>0</v>
      </c>
      <c r="AL132" s="603">
        <v>0</v>
      </c>
      <c r="AM132" s="603">
        <v>0</v>
      </c>
      <c r="AN132" s="603">
        <v>0</v>
      </c>
      <c r="AO132" s="603">
        <v>0</v>
      </c>
      <c r="AP132" s="603">
        <v>0</v>
      </c>
      <c r="AQ132" s="603">
        <v>0</v>
      </c>
      <c r="AR132" s="603">
        <v>0</v>
      </c>
      <c r="AS132" s="603">
        <v>0</v>
      </c>
      <c r="AT132" s="603">
        <v>0</v>
      </c>
      <c r="AU132" s="603">
        <v>0</v>
      </c>
      <c r="AV132" s="603">
        <v>0</v>
      </c>
      <c r="AW132" s="603">
        <v>0</v>
      </c>
      <c r="AX132" s="603">
        <v>0</v>
      </c>
      <c r="AY132" s="603">
        <v>0</v>
      </c>
      <c r="AZ132" s="603">
        <v>0</v>
      </c>
      <c r="BA132" s="603">
        <v>0</v>
      </c>
      <c r="BB132" s="603">
        <v>0</v>
      </c>
    </row>
    <row r="133" spans="1:54" x14ac:dyDescent="0.25">
      <c r="A133">
        <v>526</v>
      </c>
      <c r="B133">
        <v>526</v>
      </c>
      <c r="C133">
        <v>526</v>
      </c>
      <c r="D133" t="s">
        <v>368</v>
      </c>
      <c r="E133" t="s">
        <v>507</v>
      </c>
      <c r="F133" s="673">
        <v>772370</v>
      </c>
      <c r="G133" s="673">
        <v>256927</v>
      </c>
      <c r="H133" s="673">
        <v>4126057</v>
      </c>
      <c r="I133" s="673">
        <v>28573</v>
      </c>
      <c r="J133" s="673">
        <v>54814623</v>
      </c>
      <c r="K133" s="673">
        <v>6890637</v>
      </c>
      <c r="L133" s="673">
        <v>21670548</v>
      </c>
      <c r="M133" s="673">
        <v>3523221</v>
      </c>
      <c r="N133" s="603">
        <v>0</v>
      </c>
      <c r="O133" s="603">
        <v>247172</v>
      </c>
      <c r="P133" s="603">
        <v>334851</v>
      </c>
      <c r="Q133" s="603">
        <v>0</v>
      </c>
      <c r="R133" s="603">
        <v>35044039</v>
      </c>
      <c r="S133" s="603">
        <v>174360</v>
      </c>
      <c r="T133" s="603">
        <v>0</v>
      </c>
      <c r="U133" s="603">
        <v>200263</v>
      </c>
      <c r="V133" s="603">
        <v>85238</v>
      </c>
      <c r="W133" s="603">
        <v>15948610</v>
      </c>
      <c r="X133" s="603">
        <v>2690546</v>
      </c>
      <c r="Y133" s="603">
        <v>240803</v>
      </c>
      <c r="Z133" s="603">
        <v>347584</v>
      </c>
      <c r="AA133" s="603">
        <v>234854</v>
      </c>
      <c r="AB133" s="603">
        <v>494017</v>
      </c>
      <c r="AC133" s="603">
        <v>7583</v>
      </c>
      <c r="AD133" s="603">
        <v>40949</v>
      </c>
      <c r="AE133" s="603">
        <v>540810</v>
      </c>
      <c r="AF133" s="603">
        <v>107724</v>
      </c>
      <c r="AG133" s="603">
        <v>132239</v>
      </c>
      <c r="AH133" s="603">
        <v>7440908</v>
      </c>
      <c r="AI133" s="603">
        <v>35302006</v>
      </c>
      <c r="AJ133" s="603">
        <v>0</v>
      </c>
      <c r="AK133" s="603">
        <v>6563</v>
      </c>
      <c r="AL133" s="603">
        <v>0</v>
      </c>
      <c r="AM133" s="603">
        <v>98602</v>
      </c>
      <c r="AN133" s="603">
        <v>23228</v>
      </c>
      <c r="AO133" s="603">
        <v>829179</v>
      </c>
      <c r="AP133" s="603">
        <v>299959</v>
      </c>
      <c r="AQ133" s="603">
        <v>320090</v>
      </c>
      <c r="AR133" s="603">
        <v>106134</v>
      </c>
      <c r="AS133" s="603">
        <v>104014</v>
      </c>
      <c r="AT133" s="603">
        <v>0</v>
      </c>
      <c r="AU133" s="603">
        <v>15661</v>
      </c>
      <c r="AV133" s="603">
        <v>0</v>
      </c>
      <c r="AW133" s="603">
        <v>1461578</v>
      </c>
      <c r="AX133" s="603">
        <v>0</v>
      </c>
      <c r="AY133" s="603">
        <v>0</v>
      </c>
      <c r="AZ133" s="603">
        <v>16664</v>
      </c>
      <c r="BA133" s="603">
        <v>504324</v>
      </c>
      <c r="BB133" s="603">
        <v>90243</v>
      </c>
    </row>
    <row r="134" spans="1:54" x14ac:dyDescent="0.25">
      <c r="A134">
        <v>527</v>
      </c>
      <c r="B134">
        <v>527</v>
      </c>
      <c r="C134">
        <v>527</v>
      </c>
      <c r="D134" t="s">
        <v>369</v>
      </c>
      <c r="E134" t="s">
        <v>508</v>
      </c>
      <c r="F134" s="673">
        <v>0</v>
      </c>
      <c r="G134" s="673">
        <v>0</v>
      </c>
      <c r="H134" s="673">
        <v>0</v>
      </c>
      <c r="I134" s="673">
        <v>0</v>
      </c>
      <c r="J134" s="673">
        <v>0</v>
      </c>
      <c r="K134" s="673">
        <v>0</v>
      </c>
      <c r="L134" s="673">
        <v>0</v>
      </c>
      <c r="M134" s="673">
        <v>0</v>
      </c>
      <c r="N134" s="603">
        <v>0</v>
      </c>
      <c r="O134" s="603">
        <v>0</v>
      </c>
      <c r="P134" s="603">
        <v>0</v>
      </c>
      <c r="Q134" s="603">
        <v>0</v>
      </c>
      <c r="R134" s="603">
        <v>52583446</v>
      </c>
      <c r="S134" s="603">
        <v>0</v>
      </c>
      <c r="T134" s="603">
        <v>0</v>
      </c>
      <c r="U134" s="603">
        <v>0</v>
      </c>
      <c r="V134" s="603">
        <v>0</v>
      </c>
      <c r="W134" s="603">
        <v>12956255</v>
      </c>
      <c r="X134" s="603">
        <v>0</v>
      </c>
      <c r="Y134" s="603">
        <v>0</v>
      </c>
      <c r="Z134" s="603">
        <v>0</v>
      </c>
      <c r="AA134" s="603">
        <v>0</v>
      </c>
      <c r="AB134" s="603">
        <v>0</v>
      </c>
      <c r="AC134" s="603">
        <v>0</v>
      </c>
      <c r="AD134" s="603">
        <v>0</v>
      </c>
      <c r="AE134" s="603">
        <v>0</v>
      </c>
      <c r="AF134" s="603">
        <v>0</v>
      </c>
      <c r="AG134" s="603">
        <v>0</v>
      </c>
      <c r="AH134" s="603">
        <v>0</v>
      </c>
      <c r="AI134" s="603">
        <v>0</v>
      </c>
      <c r="AJ134" s="603">
        <v>0</v>
      </c>
      <c r="AK134" s="603">
        <v>0</v>
      </c>
      <c r="AL134" s="603">
        <v>0</v>
      </c>
      <c r="AM134" s="603">
        <v>0</v>
      </c>
      <c r="AN134" s="603">
        <v>0</v>
      </c>
      <c r="AO134" s="603">
        <v>0</v>
      </c>
      <c r="AP134" s="603">
        <v>0</v>
      </c>
      <c r="AQ134" s="603">
        <v>0</v>
      </c>
      <c r="AR134" s="603">
        <v>0</v>
      </c>
      <c r="AS134" s="603">
        <v>0</v>
      </c>
      <c r="AT134" s="603">
        <v>0</v>
      </c>
      <c r="AU134" s="603">
        <v>0</v>
      </c>
      <c r="AV134" s="603">
        <v>0</v>
      </c>
      <c r="AW134" s="603">
        <v>0</v>
      </c>
      <c r="AX134" s="603">
        <v>0</v>
      </c>
      <c r="AY134" s="603">
        <v>0</v>
      </c>
      <c r="AZ134" s="603">
        <v>0</v>
      </c>
      <c r="BA134" s="603">
        <v>0</v>
      </c>
      <c r="BB134" s="603">
        <v>0</v>
      </c>
    </row>
    <row r="135" spans="1:54" x14ac:dyDescent="0.25">
      <c r="A135">
        <v>528</v>
      </c>
      <c r="B135">
        <v>528</v>
      </c>
      <c r="C135">
        <v>528</v>
      </c>
      <c r="D135" t="s">
        <v>352</v>
      </c>
      <c r="E135" t="s">
        <v>509</v>
      </c>
      <c r="F135" s="673">
        <v>0</v>
      </c>
      <c r="G135" s="673">
        <v>0</v>
      </c>
      <c r="H135" s="673">
        <v>0</v>
      </c>
      <c r="I135" s="673">
        <v>0</v>
      </c>
      <c r="J135" s="673">
        <v>0</v>
      </c>
      <c r="K135" s="673">
        <v>0</v>
      </c>
      <c r="L135" s="673">
        <v>0</v>
      </c>
      <c r="M135" s="673">
        <v>678040</v>
      </c>
      <c r="N135" s="603">
        <v>0</v>
      </c>
      <c r="O135" s="603">
        <v>0</v>
      </c>
      <c r="P135" s="603">
        <v>0</v>
      </c>
      <c r="Q135" s="603">
        <v>0</v>
      </c>
      <c r="R135" s="603">
        <v>0</v>
      </c>
      <c r="S135" s="603">
        <v>0</v>
      </c>
      <c r="T135" s="603">
        <v>0</v>
      </c>
      <c r="U135" s="603">
        <v>0</v>
      </c>
      <c r="V135" s="603">
        <v>0</v>
      </c>
      <c r="W135" s="603">
        <v>0</v>
      </c>
      <c r="X135" s="603">
        <v>0</v>
      </c>
      <c r="Y135" s="603">
        <v>0</v>
      </c>
      <c r="Z135" s="603">
        <v>251704</v>
      </c>
      <c r="AA135" s="603">
        <v>0</v>
      </c>
      <c r="AB135" s="603">
        <v>0</v>
      </c>
      <c r="AC135" s="603">
        <v>0</v>
      </c>
      <c r="AD135" s="603">
        <v>0</v>
      </c>
      <c r="AE135" s="603">
        <v>0</v>
      </c>
      <c r="AF135" s="603">
        <v>0</v>
      </c>
      <c r="AG135" s="603">
        <v>0</v>
      </c>
      <c r="AH135" s="603">
        <v>0</v>
      </c>
      <c r="AI135" s="603">
        <v>0</v>
      </c>
      <c r="AJ135" s="603">
        <v>0</v>
      </c>
      <c r="AK135" s="603">
        <v>60704</v>
      </c>
      <c r="AL135" s="603">
        <v>0</v>
      </c>
      <c r="AM135" s="603">
        <v>0</v>
      </c>
      <c r="AN135" s="603">
        <v>120510</v>
      </c>
      <c r="AO135" s="603">
        <v>0</v>
      </c>
      <c r="AP135" s="603">
        <v>0</v>
      </c>
      <c r="AQ135" s="603">
        <v>0</v>
      </c>
      <c r="AR135" s="603">
        <v>0</v>
      </c>
      <c r="AS135" s="603">
        <v>0</v>
      </c>
      <c r="AT135" s="603">
        <v>0</v>
      </c>
      <c r="AU135" s="603">
        <v>0</v>
      </c>
      <c r="AV135" s="603">
        <v>0</v>
      </c>
      <c r="AW135" s="603">
        <v>0</v>
      </c>
      <c r="AX135" s="603">
        <v>0</v>
      </c>
      <c r="AY135" s="603">
        <v>17956</v>
      </c>
      <c r="AZ135" s="603">
        <v>0</v>
      </c>
      <c r="BA135" s="603">
        <v>0</v>
      </c>
      <c r="BB135" s="603">
        <v>0</v>
      </c>
    </row>
    <row r="136" spans="1:54" x14ac:dyDescent="0.25">
      <c r="A136">
        <v>529</v>
      </c>
      <c r="B136">
        <v>529</v>
      </c>
      <c r="C136">
        <v>529</v>
      </c>
      <c r="D136" t="s">
        <v>353</v>
      </c>
      <c r="E136" t="s">
        <v>510</v>
      </c>
      <c r="F136" s="673">
        <v>0</v>
      </c>
      <c r="G136" s="673">
        <v>0</v>
      </c>
      <c r="H136" s="673">
        <v>0</v>
      </c>
      <c r="I136" s="673">
        <v>0</v>
      </c>
      <c r="J136" s="673">
        <v>0</v>
      </c>
      <c r="K136" s="673">
        <v>0</v>
      </c>
      <c r="L136" s="673">
        <v>0</v>
      </c>
      <c r="M136" s="673">
        <v>78024</v>
      </c>
      <c r="N136" s="603">
        <v>0</v>
      </c>
      <c r="O136" s="603">
        <v>0</v>
      </c>
      <c r="P136" s="603">
        <v>0</v>
      </c>
      <c r="Q136" s="603">
        <v>0</v>
      </c>
      <c r="R136" s="603">
        <v>0</v>
      </c>
      <c r="S136" s="603">
        <v>0</v>
      </c>
      <c r="T136" s="603">
        <v>0</v>
      </c>
      <c r="U136" s="603">
        <v>0</v>
      </c>
      <c r="V136" s="603">
        <v>0</v>
      </c>
      <c r="W136" s="603">
        <v>0</v>
      </c>
      <c r="X136" s="603">
        <v>0</v>
      </c>
      <c r="Y136" s="603">
        <v>0</v>
      </c>
      <c r="Z136" s="603">
        <v>20480</v>
      </c>
      <c r="AA136" s="603">
        <v>0</v>
      </c>
      <c r="AB136" s="603">
        <v>0</v>
      </c>
      <c r="AC136" s="603">
        <v>0</v>
      </c>
      <c r="AD136" s="603">
        <v>0</v>
      </c>
      <c r="AE136" s="603">
        <v>0</v>
      </c>
      <c r="AF136" s="603">
        <v>0</v>
      </c>
      <c r="AG136" s="603">
        <v>0</v>
      </c>
      <c r="AH136" s="603">
        <v>0</v>
      </c>
      <c r="AI136" s="603">
        <v>0</v>
      </c>
      <c r="AJ136" s="603">
        <v>0</v>
      </c>
      <c r="AK136" s="603">
        <v>10226</v>
      </c>
      <c r="AL136" s="603">
        <v>0</v>
      </c>
      <c r="AM136" s="603">
        <v>0</v>
      </c>
      <c r="AN136" s="603">
        <v>13036</v>
      </c>
      <c r="AO136" s="603">
        <v>0</v>
      </c>
      <c r="AP136" s="603">
        <v>0</v>
      </c>
      <c r="AQ136" s="603">
        <v>0</v>
      </c>
      <c r="AR136" s="603">
        <v>0</v>
      </c>
      <c r="AS136" s="603">
        <v>0</v>
      </c>
      <c r="AT136" s="603">
        <v>0</v>
      </c>
      <c r="AU136" s="603">
        <v>0</v>
      </c>
      <c r="AV136" s="603">
        <v>0</v>
      </c>
      <c r="AW136" s="603">
        <v>0</v>
      </c>
      <c r="AX136" s="603">
        <v>0</v>
      </c>
      <c r="AY136" s="603">
        <v>104</v>
      </c>
      <c r="AZ136" s="603">
        <v>0</v>
      </c>
      <c r="BA136" s="603">
        <v>0</v>
      </c>
      <c r="BB136" s="603">
        <v>0</v>
      </c>
    </row>
    <row r="137" spans="1:54" x14ac:dyDescent="0.25">
      <c r="A137">
        <v>530</v>
      </c>
      <c r="B137">
        <v>530</v>
      </c>
      <c r="C137">
        <v>530</v>
      </c>
      <c r="D137" t="s">
        <v>354</v>
      </c>
      <c r="E137" t="s">
        <v>511</v>
      </c>
      <c r="F137" s="673">
        <v>0</v>
      </c>
      <c r="G137" s="673">
        <v>0</v>
      </c>
      <c r="H137" s="673">
        <v>0</v>
      </c>
      <c r="I137" s="673">
        <v>0</v>
      </c>
      <c r="J137" s="673">
        <v>0</v>
      </c>
      <c r="K137" s="673">
        <v>0</v>
      </c>
      <c r="L137" s="673">
        <v>0</v>
      </c>
      <c r="M137" s="673">
        <v>16787</v>
      </c>
      <c r="N137" s="603">
        <v>0</v>
      </c>
      <c r="O137" s="603">
        <v>0</v>
      </c>
      <c r="P137" s="603">
        <v>0</v>
      </c>
      <c r="Q137" s="603">
        <v>0</v>
      </c>
      <c r="R137" s="603">
        <v>0</v>
      </c>
      <c r="S137" s="603">
        <v>0</v>
      </c>
      <c r="T137" s="603">
        <v>0</v>
      </c>
      <c r="U137" s="603">
        <v>0</v>
      </c>
      <c r="V137" s="603">
        <v>0</v>
      </c>
      <c r="W137" s="603">
        <v>0</v>
      </c>
      <c r="X137" s="603">
        <v>0</v>
      </c>
      <c r="Y137" s="603">
        <v>0</v>
      </c>
      <c r="Z137" s="603">
        <v>3263</v>
      </c>
      <c r="AA137" s="603">
        <v>0</v>
      </c>
      <c r="AB137" s="603">
        <v>0</v>
      </c>
      <c r="AC137" s="603">
        <v>0</v>
      </c>
      <c r="AD137" s="603">
        <v>0</v>
      </c>
      <c r="AE137" s="603">
        <v>0</v>
      </c>
      <c r="AF137" s="603">
        <v>0</v>
      </c>
      <c r="AG137" s="603">
        <v>0</v>
      </c>
      <c r="AH137" s="603">
        <v>0</v>
      </c>
      <c r="AI137" s="603">
        <v>0</v>
      </c>
      <c r="AJ137" s="603">
        <v>0</v>
      </c>
      <c r="AK137" s="603">
        <v>73</v>
      </c>
      <c r="AL137" s="603">
        <v>0</v>
      </c>
      <c r="AM137" s="603">
        <v>0</v>
      </c>
      <c r="AN137" s="603">
        <v>407</v>
      </c>
      <c r="AO137" s="603">
        <v>0</v>
      </c>
      <c r="AP137" s="603">
        <v>0</v>
      </c>
      <c r="AQ137" s="603">
        <v>0</v>
      </c>
      <c r="AR137" s="603">
        <v>0</v>
      </c>
      <c r="AS137" s="603">
        <v>0</v>
      </c>
      <c r="AT137" s="603">
        <v>0</v>
      </c>
      <c r="AU137" s="603">
        <v>0</v>
      </c>
      <c r="AV137" s="603">
        <v>0</v>
      </c>
      <c r="AW137" s="603">
        <v>0</v>
      </c>
      <c r="AX137" s="603">
        <v>0</v>
      </c>
      <c r="AY137" s="603">
        <v>0</v>
      </c>
      <c r="AZ137" s="603">
        <v>0</v>
      </c>
      <c r="BA137" s="603">
        <v>0</v>
      </c>
      <c r="BB137" s="603">
        <v>0</v>
      </c>
    </row>
    <row r="138" spans="1:54" x14ac:dyDescent="0.25">
      <c r="A138">
        <v>531</v>
      </c>
      <c r="B138">
        <v>531</v>
      </c>
      <c r="C138">
        <v>531</v>
      </c>
      <c r="D138" t="s">
        <v>355</v>
      </c>
      <c r="E138" t="s">
        <v>512</v>
      </c>
      <c r="F138" s="673">
        <v>0</v>
      </c>
      <c r="G138" s="673">
        <v>0</v>
      </c>
      <c r="H138" s="673">
        <v>0</v>
      </c>
      <c r="I138" s="673">
        <v>0</v>
      </c>
      <c r="J138" s="673">
        <v>0</v>
      </c>
      <c r="K138" s="673">
        <v>0</v>
      </c>
      <c r="L138" s="673">
        <v>0</v>
      </c>
      <c r="M138" s="673">
        <v>816</v>
      </c>
      <c r="N138" s="603">
        <v>0</v>
      </c>
      <c r="O138" s="603">
        <v>0</v>
      </c>
      <c r="P138" s="603">
        <v>0</v>
      </c>
      <c r="Q138" s="603">
        <v>0</v>
      </c>
      <c r="R138" s="603">
        <v>0</v>
      </c>
      <c r="S138" s="603">
        <v>0</v>
      </c>
      <c r="T138" s="603">
        <v>0</v>
      </c>
      <c r="U138" s="603">
        <v>0</v>
      </c>
      <c r="V138" s="603">
        <v>0</v>
      </c>
      <c r="W138" s="603">
        <v>0</v>
      </c>
      <c r="X138" s="603">
        <v>0</v>
      </c>
      <c r="Y138" s="603">
        <v>0</v>
      </c>
      <c r="Z138" s="603">
        <v>0</v>
      </c>
      <c r="AA138" s="603">
        <v>0</v>
      </c>
      <c r="AB138" s="603">
        <v>0</v>
      </c>
      <c r="AC138" s="603">
        <v>0</v>
      </c>
      <c r="AD138" s="603">
        <v>0</v>
      </c>
      <c r="AE138" s="603">
        <v>0</v>
      </c>
      <c r="AF138" s="603">
        <v>0</v>
      </c>
      <c r="AG138" s="603">
        <v>0</v>
      </c>
      <c r="AH138" s="603">
        <v>0</v>
      </c>
      <c r="AI138" s="603">
        <v>0</v>
      </c>
      <c r="AJ138" s="603">
        <v>0</v>
      </c>
      <c r="AK138" s="603">
        <v>0</v>
      </c>
      <c r="AL138" s="603">
        <v>0</v>
      </c>
      <c r="AM138" s="603">
        <v>0</v>
      </c>
      <c r="AN138" s="603">
        <v>0</v>
      </c>
      <c r="AO138" s="603">
        <v>0</v>
      </c>
      <c r="AP138" s="603">
        <v>0</v>
      </c>
      <c r="AQ138" s="603">
        <v>0</v>
      </c>
      <c r="AR138" s="603">
        <v>0</v>
      </c>
      <c r="AS138" s="603">
        <v>0</v>
      </c>
      <c r="AT138" s="603">
        <v>0</v>
      </c>
      <c r="AU138" s="603">
        <v>0</v>
      </c>
      <c r="AV138" s="603">
        <v>0</v>
      </c>
      <c r="AW138" s="603">
        <v>0</v>
      </c>
      <c r="AX138" s="603">
        <v>0</v>
      </c>
      <c r="AY138" s="603">
        <v>0</v>
      </c>
      <c r="AZ138" s="603">
        <v>0</v>
      </c>
      <c r="BA138" s="603">
        <v>0</v>
      </c>
      <c r="BB138" s="603">
        <v>0</v>
      </c>
    </row>
    <row r="139" spans="1:54" x14ac:dyDescent="0.25">
      <c r="A139">
        <v>532</v>
      </c>
      <c r="B139">
        <v>532</v>
      </c>
      <c r="C139">
        <v>532</v>
      </c>
      <c r="D139" t="s">
        <v>589</v>
      </c>
      <c r="E139" t="s">
        <v>513</v>
      </c>
      <c r="F139" s="673">
        <v>0</v>
      </c>
      <c r="G139" s="673">
        <v>0</v>
      </c>
      <c r="H139" s="673">
        <v>0</v>
      </c>
      <c r="I139" s="673">
        <v>0</v>
      </c>
      <c r="J139" s="673">
        <v>0</v>
      </c>
      <c r="K139" s="673">
        <v>0</v>
      </c>
      <c r="L139" s="673">
        <v>0</v>
      </c>
      <c r="M139" s="673">
        <v>0</v>
      </c>
      <c r="N139" s="603">
        <v>0</v>
      </c>
      <c r="O139" s="603">
        <v>0</v>
      </c>
      <c r="P139" s="603">
        <v>0</v>
      </c>
      <c r="Q139" s="603">
        <v>0</v>
      </c>
      <c r="R139" s="603">
        <v>0</v>
      </c>
      <c r="S139" s="603">
        <v>0</v>
      </c>
      <c r="T139" s="603">
        <v>0</v>
      </c>
      <c r="U139" s="603">
        <v>0</v>
      </c>
      <c r="V139" s="603">
        <v>0</v>
      </c>
      <c r="W139" s="603">
        <v>0</v>
      </c>
      <c r="X139" s="603">
        <v>0</v>
      </c>
      <c r="Y139" s="603">
        <v>0</v>
      </c>
      <c r="Z139" s="603">
        <v>0</v>
      </c>
      <c r="AA139" s="603">
        <v>0</v>
      </c>
      <c r="AB139" s="603">
        <v>0</v>
      </c>
      <c r="AC139" s="603">
        <v>0</v>
      </c>
      <c r="AD139" s="603">
        <v>0</v>
      </c>
      <c r="AE139" s="603">
        <v>0</v>
      </c>
      <c r="AF139" s="603">
        <v>0</v>
      </c>
      <c r="AG139" s="603">
        <v>0</v>
      </c>
      <c r="AH139" s="603">
        <v>0</v>
      </c>
      <c r="AI139" s="603">
        <v>0</v>
      </c>
      <c r="AJ139" s="603">
        <v>0</v>
      </c>
      <c r="AK139" s="603">
        <v>75148</v>
      </c>
      <c r="AL139" s="603">
        <v>0</v>
      </c>
      <c r="AM139" s="603">
        <v>0</v>
      </c>
      <c r="AN139" s="603">
        <v>0</v>
      </c>
      <c r="AO139" s="603">
        <v>0</v>
      </c>
      <c r="AP139" s="603">
        <v>0</v>
      </c>
      <c r="AQ139" s="603">
        <v>0</v>
      </c>
      <c r="AR139" s="603">
        <v>0</v>
      </c>
      <c r="AS139" s="603">
        <v>0</v>
      </c>
      <c r="AT139" s="603">
        <v>0</v>
      </c>
      <c r="AU139" s="603">
        <v>0</v>
      </c>
      <c r="AV139" s="603">
        <v>0</v>
      </c>
      <c r="AW139" s="603">
        <v>0</v>
      </c>
      <c r="AX139" s="603">
        <v>0</v>
      </c>
      <c r="AY139" s="603">
        <v>0</v>
      </c>
      <c r="AZ139" s="603">
        <v>0</v>
      </c>
      <c r="BA139" s="603">
        <v>0</v>
      </c>
      <c r="BB139" s="603">
        <v>0</v>
      </c>
    </row>
    <row r="140" spans="1:54" x14ac:dyDescent="0.25">
      <c r="A140">
        <v>533</v>
      </c>
      <c r="B140">
        <v>533</v>
      </c>
      <c r="C140">
        <v>533</v>
      </c>
      <c r="D140" t="s">
        <v>590</v>
      </c>
      <c r="E140" t="s">
        <v>514</v>
      </c>
      <c r="F140" s="673">
        <v>0</v>
      </c>
      <c r="G140" s="673">
        <v>0</v>
      </c>
      <c r="H140" s="673">
        <v>0</v>
      </c>
      <c r="I140" s="673">
        <v>0</v>
      </c>
      <c r="J140" s="673">
        <v>0</v>
      </c>
      <c r="K140" s="673">
        <v>0</v>
      </c>
      <c r="L140" s="673">
        <v>0</v>
      </c>
      <c r="M140" s="673">
        <v>0</v>
      </c>
      <c r="N140" s="603">
        <v>0</v>
      </c>
      <c r="O140" s="603">
        <v>0</v>
      </c>
      <c r="P140" s="603">
        <v>0</v>
      </c>
      <c r="Q140" s="603">
        <v>0</v>
      </c>
      <c r="R140" s="603">
        <v>0</v>
      </c>
      <c r="S140" s="603">
        <v>0</v>
      </c>
      <c r="T140" s="603">
        <v>0</v>
      </c>
      <c r="U140" s="603">
        <v>0</v>
      </c>
      <c r="V140" s="603">
        <v>0</v>
      </c>
      <c r="W140" s="603">
        <v>0</v>
      </c>
      <c r="X140" s="603">
        <v>0</v>
      </c>
      <c r="Y140" s="603">
        <v>0</v>
      </c>
      <c r="Z140" s="603">
        <v>0</v>
      </c>
      <c r="AA140" s="603">
        <v>0</v>
      </c>
      <c r="AB140" s="603">
        <v>0</v>
      </c>
      <c r="AC140" s="603">
        <v>0</v>
      </c>
      <c r="AD140" s="603">
        <v>0</v>
      </c>
      <c r="AE140" s="603">
        <v>0</v>
      </c>
      <c r="AF140" s="603">
        <v>0</v>
      </c>
      <c r="AG140" s="603">
        <v>0</v>
      </c>
      <c r="AH140" s="603">
        <v>0</v>
      </c>
      <c r="AI140" s="603">
        <v>0</v>
      </c>
      <c r="AJ140" s="603">
        <v>0</v>
      </c>
      <c r="AK140" s="603">
        <v>0</v>
      </c>
      <c r="AL140" s="603">
        <v>0</v>
      </c>
      <c r="AM140" s="603">
        <v>0</v>
      </c>
      <c r="AN140" s="603">
        <v>0</v>
      </c>
      <c r="AO140" s="603">
        <v>0</v>
      </c>
      <c r="AP140" s="603">
        <v>0</v>
      </c>
      <c r="AQ140" s="603">
        <v>0</v>
      </c>
      <c r="AR140" s="603">
        <v>0</v>
      </c>
      <c r="AS140" s="603">
        <v>0</v>
      </c>
      <c r="AT140" s="603">
        <v>0</v>
      </c>
      <c r="AU140" s="603">
        <v>0</v>
      </c>
      <c r="AV140" s="603">
        <v>0</v>
      </c>
      <c r="AW140" s="603">
        <v>0</v>
      </c>
      <c r="AX140" s="603">
        <v>0</v>
      </c>
      <c r="AY140" s="603">
        <v>0</v>
      </c>
      <c r="AZ140" s="603">
        <v>0</v>
      </c>
      <c r="BA140" s="603">
        <v>0</v>
      </c>
      <c r="BB140" s="603">
        <v>0</v>
      </c>
    </row>
    <row r="141" spans="1:54" x14ac:dyDescent="0.25">
      <c r="A141">
        <v>535</v>
      </c>
      <c r="B141">
        <v>535</v>
      </c>
      <c r="C141">
        <v>535</v>
      </c>
      <c r="D141" t="s">
        <v>333</v>
      </c>
      <c r="E141" t="s">
        <v>515</v>
      </c>
      <c r="F141" s="673">
        <v>0</v>
      </c>
      <c r="G141" s="673">
        <v>295842</v>
      </c>
      <c r="H141" s="673">
        <v>0</v>
      </c>
      <c r="I141" s="673">
        <v>0</v>
      </c>
      <c r="J141" s="673">
        <v>0</v>
      </c>
      <c r="K141" s="673">
        <v>0</v>
      </c>
      <c r="L141" s="673">
        <v>0</v>
      </c>
      <c r="M141" s="673">
        <v>0</v>
      </c>
      <c r="N141" s="603">
        <v>0</v>
      </c>
      <c r="O141" s="603">
        <v>0</v>
      </c>
      <c r="P141" s="603">
        <v>0</v>
      </c>
      <c r="Q141" s="603">
        <v>0</v>
      </c>
      <c r="R141" s="603">
        <v>58546517</v>
      </c>
      <c r="S141" s="603">
        <v>0</v>
      </c>
      <c r="T141" s="603">
        <v>0</v>
      </c>
      <c r="U141" s="603">
        <v>0</v>
      </c>
      <c r="V141" s="603">
        <v>998556</v>
      </c>
      <c r="W141" s="603">
        <v>51314860</v>
      </c>
      <c r="X141" s="603">
        <v>887257</v>
      </c>
      <c r="Y141" s="603">
        <v>0</v>
      </c>
      <c r="Z141" s="603">
        <v>0</v>
      </c>
      <c r="AA141" s="603">
        <v>0</v>
      </c>
      <c r="AB141" s="603">
        <v>207481</v>
      </c>
      <c r="AC141" s="603">
        <v>0</v>
      </c>
      <c r="AD141" s="603">
        <v>0</v>
      </c>
      <c r="AE141" s="603">
        <v>0</v>
      </c>
      <c r="AF141" s="603">
        <v>921732</v>
      </c>
      <c r="AG141" s="603">
        <v>0</v>
      </c>
      <c r="AH141" s="603">
        <v>0</v>
      </c>
      <c r="AI141" s="603">
        <v>0</v>
      </c>
      <c r="AJ141" s="603">
        <v>0</v>
      </c>
      <c r="AK141" s="603">
        <v>0</v>
      </c>
      <c r="AL141" s="603">
        <v>0</v>
      </c>
      <c r="AM141" s="603">
        <v>86889</v>
      </c>
      <c r="AN141" s="603">
        <v>0</v>
      </c>
      <c r="AO141" s="603">
        <v>0</v>
      </c>
      <c r="AP141" s="603">
        <v>0</v>
      </c>
      <c r="AQ141" s="603">
        <v>0</v>
      </c>
      <c r="AR141" s="603">
        <v>0</v>
      </c>
      <c r="AS141" s="603">
        <v>505169</v>
      </c>
      <c r="AT141" s="603">
        <v>0</v>
      </c>
      <c r="AU141" s="603">
        <v>0</v>
      </c>
      <c r="AV141" s="603">
        <v>0</v>
      </c>
      <c r="AW141" s="603">
        <v>0</v>
      </c>
      <c r="AX141" s="603">
        <v>0</v>
      </c>
      <c r="AY141" s="603">
        <v>0</v>
      </c>
      <c r="AZ141" s="603">
        <v>0</v>
      </c>
      <c r="BA141" s="603">
        <v>0</v>
      </c>
      <c r="BB141" s="603">
        <v>0</v>
      </c>
    </row>
    <row r="142" spans="1:54" x14ac:dyDescent="0.25">
      <c r="A142">
        <v>536</v>
      </c>
      <c r="B142">
        <v>536</v>
      </c>
      <c r="C142">
        <v>536</v>
      </c>
      <c r="D142" t="s">
        <v>279</v>
      </c>
      <c r="E142" t="s">
        <v>516</v>
      </c>
      <c r="F142" s="673">
        <v>0</v>
      </c>
      <c r="G142" s="673">
        <v>0</v>
      </c>
      <c r="H142" s="673">
        <v>0</v>
      </c>
      <c r="I142" s="673">
        <v>0</v>
      </c>
      <c r="J142" s="673">
        <v>0</v>
      </c>
      <c r="K142" s="673">
        <v>0</v>
      </c>
      <c r="L142" s="673">
        <v>0</v>
      </c>
      <c r="M142" s="673">
        <v>0</v>
      </c>
      <c r="N142" s="603">
        <v>0</v>
      </c>
      <c r="O142" s="603">
        <v>0</v>
      </c>
      <c r="P142" s="603">
        <v>0</v>
      </c>
      <c r="Q142" s="603">
        <v>0</v>
      </c>
      <c r="R142" s="603">
        <v>0</v>
      </c>
      <c r="S142" s="603">
        <v>0</v>
      </c>
      <c r="T142" s="603">
        <v>0</v>
      </c>
      <c r="U142" s="603">
        <v>0</v>
      </c>
      <c r="V142" s="603">
        <v>0</v>
      </c>
      <c r="W142" s="603">
        <v>0</v>
      </c>
      <c r="X142" s="603">
        <v>0</v>
      </c>
      <c r="Y142" s="603">
        <v>0</v>
      </c>
      <c r="Z142" s="603">
        <v>0</v>
      </c>
      <c r="AA142" s="603">
        <v>0</v>
      </c>
      <c r="AB142" s="603">
        <v>0</v>
      </c>
      <c r="AC142" s="603">
        <v>0</v>
      </c>
      <c r="AD142" s="603">
        <v>0</v>
      </c>
      <c r="AE142" s="603">
        <v>0</v>
      </c>
      <c r="AF142" s="603">
        <v>0</v>
      </c>
      <c r="AG142" s="603">
        <v>0</v>
      </c>
      <c r="AH142" s="603">
        <v>0</v>
      </c>
      <c r="AI142" s="603">
        <v>0</v>
      </c>
      <c r="AJ142" s="603">
        <v>0</v>
      </c>
      <c r="AK142" s="603">
        <v>0</v>
      </c>
      <c r="AL142" s="603">
        <v>0</v>
      </c>
      <c r="AM142" s="603">
        <v>0</v>
      </c>
      <c r="AN142" s="603">
        <v>0</v>
      </c>
      <c r="AO142" s="603">
        <v>0</v>
      </c>
      <c r="AP142" s="603">
        <v>0</v>
      </c>
      <c r="AQ142" s="603">
        <v>0</v>
      </c>
      <c r="AR142" s="603">
        <v>0</v>
      </c>
      <c r="AS142" s="603">
        <v>0</v>
      </c>
      <c r="AT142" s="603">
        <v>0</v>
      </c>
      <c r="AU142" s="603">
        <v>0</v>
      </c>
      <c r="AV142" s="603">
        <v>0</v>
      </c>
      <c r="AW142" s="603">
        <v>0</v>
      </c>
      <c r="AX142" s="603">
        <v>0</v>
      </c>
      <c r="AY142" s="603">
        <v>0</v>
      </c>
      <c r="AZ142" s="603">
        <v>0</v>
      </c>
      <c r="BA142" s="603">
        <v>0</v>
      </c>
      <c r="BB142" s="603">
        <v>0</v>
      </c>
    </row>
    <row r="143" spans="1:54" x14ac:dyDescent="0.25">
      <c r="A143">
        <v>537</v>
      </c>
      <c r="B143">
        <v>537</v>
      </c>
      <c r="C143">
        <v>537</v>
      </c>
      <c r="D143" t="s">
        <v>375</v>
      </c>
      <c r="F143" s="673">
        <v>2</v>
      </c>
      <c r="G143" s="673">
        <v>1</v>
      </c>
      <c r="H143" s="673">
        <v>2</v>
      </c>
      <c r="I143" s="673">
        <v>2</v>
      </c>
      <c r="J143" s="673">
        <v>1</v>
      </c>
      <c r="K143" s="673">
        <v>1</v>
      </c>
      <c r="L143" s="673">
        <v>2</v>
      </c>
      <c r="M143" s="673">
        <v>2</v>
      </c>
      <c r="N143" s="603">
        <v>0</v>
      </c>
      <c r="O143" s="603">
        <v>1</v>
      </c>
      <c r="P143" s="603">
        <v>1</v>
      </c>
      <c r="Q143" s="603">
        <v>2</v>
      </c>
      <c r="R143" s="603">
        <v>1</v>
      </c>
      <c r="S143" s="603">
        <v>2</v>
      </c>
      <c r="T143" s="603">
        <v>1</v>
      </c>
      <c r="U143" s="603">
        <v>1</v>
      </c>
      <c r="V143" s="603">
        <v>2</v>
      </c>
      <c r="W143" s="603">
        <v>1</v>
      </c>
      <c r="X143" s="603">
        <v>2</v>
      </c>
      <c r="Y143" s="603">
        <v>2</v>
      </c>
      <c r="Z143" s="603">
        <v>2</v>
      </c>
      <c r="AA143" s="603">
        <v>2</v>
      </c>
      <c r="AB143" s="603">
        <v>1</v>
      </c>
      <c r="AC143" s="603">
        <v>2</v>
      </c>
      <c r="AD143" s="603">
        <v>1</v>
      </c>
      <c r="AE143" s="603">
        <v>2</v>
      </c>
      <c r="AF143" s="603">
        <v>1</v>
      </c>
      <c r="AG143" s="603">
        <v>2</v>
      </c>
      <c r="AH143" s="603">
        <v>1</v>
      </c>
      <c r="AI143" s="603">
        <v>2</v>
      </c>
      <c r="AJ143" s="603">
        <v>2</v>
      </c>
      <c r="AK143" s="603">
        <v>2</v>
      </c>
      <c r="AL143" s="603">
        <v>2</v>
      </c>
      <c r="AM143" s="603">
        <v>2</v>
      </c>
      <c r="AN143" s="603">
        <v>2</v>
      </c>
      <c r="AO143" s="603">
        <v>2</v>
      </c>
      <c r="AP143" s="603">
        <v>2</v>
      </c>
      <c r="AQ143" s="603">
        <v>1</v>
      </c>
      <c r="AR143" s="603">
        <v>2</v>
      </c>
      <c r="AS143" s="603">
        <v>1</v>
      </c>
      <c r="AT143" s="603">
        <v>2</v>
      </c>
      <c r="AU143" s="603">
        <v>2</v>
      </c>
      <c r="AV143" s="603">
        <v>2</v>
      </c>
      <c r="AW143" s="603">
        <v>1</v>
      </c>
      <c r="AX143" s="603">
        <v>2</v>
      </c>
      <c r="AY143" s="603">
        <v>2</v>
      </c>
      <c r="AZ143" s="603">
        <v>2</v>
      </c>
      <c r="BA143" s="603">
        <v>1</v>
      </c>
      <c r="BB143" s="603">
        <v>1</v>
      </c>
    </row>
    <row r="144" spans="1:54" x14ac:dyDescent="0.25">
      <c r="A144">
        <v>538</v>
      </c>
      <c r="B144">
        <v>538</v>
      </c>
      <c r="C144">
        <v>538</v>
      </c>
      <c r="D144" t="s">
        <v>374</v>
      </c>
      <c r="F144" s="673">
        <v>2</v>
      </c>
      <c r="G144" s="673">
        <v>1</v>
      </c>
      <c r="H144" s="673">
        <v>1</v>
      </c>
      <c r="I144" s="673">
        <v>2</v>
      </c>
      <c r="J144" s="673">
        <v>1</v>
      </c>
      <c r="K144" s="673">
        <v>2</v>
      </c>
      <c r="L144" s="673">
        <v>2</v>
      </c>
      <c r="M144" s="673">
        <v>2</v>
      </c>
      <c r="N144" s="603">
        <v>0</v>
      </c>
      <c r="O144" s="603">
        <v>1</v>
      </c>
      <c r="P144" s="603">
        <v>1</v>
      </c>
      <c r="Q144" s="603">
        <v>2</v>
      </c>
      <c r="R144" s="603">
        <v>1</v>
      </c>
      <c r="S144" s="603">
        <v>2</v>
      </c>
      <c r="T144" s="603">
        <v>1</v>
      </c>
      <c r="U144" s="603">
        <v>2</v>
      </c>
      <c r="V144" s="603">
        <v>2</v>
      </c>
      <c r="W144" s="603">
        <v>1</v>
      </c>
      <c r="X144" s="603">
        <v>2</v>
      </c>
      <c r="Y144" s="603">
        <v>2</v>
      </c>
      <c r="Z144" s="603">
        <v>2</v>
      </c>
      <c r="AA144" s="603">
        <v>2</v>
      </c>
      <c r="AB144" s="603">
        <v>1</v>
      </c>
      <c r="AC144" s="603">
        <v>2</v>
      </c>
      <c r="AD144" s="603">
        <v>2</v>
      </c>
      <c r="AE144" s="603">
        <v>2</v>
      </c>
      <c r="AF144" s="603">
        <v>1</v>
      </c>
      <c r="AG144" s="603">
        <v>2</v>
      </c>
      <c r="AH144" s="603">
        <v>1</v>
      </c>
      <c r="AI144" s="603">
        <v>1</v>
      </c>
      <c r="AJ144" s="603">
        <v>1</v>
      </c>
      <c r="AK144" s="603">
        <v>2</v>
      </c>
      <c r="AL144" s="603">
        <v>2</v>
      </c>
      <c r="AM144" s="603">
        <v>2</v>
      </c>
      <c r="AN144" s="603">
        <v>2</v>
      </c>
      <c r="AO144" s="603">
        <v>1</v>
      </c>
      <c r="AP144" s="603">
        <v>2</v>
      </c>
      <c r="AQ144" s="603">
        <v>1</v>
      </c>
      <c r="AR144" s="603">
        <v>1</v>
      </c>
      <c r="AS144" s="603">
        <v>1</v>
      </c>
      <c r="AT144" s="603">
        <v>2</v>
      </c>
      <c r="AU144" s="603">
        <v>1</v>
      </c>
      <c r="AV144" s="603">
        <v>2</v>
      </c>
      <c r="AW144" s="603">
        <v>1</v>
      </c>
      <c r="AX144" s="603">
        <v>2</v>
      </c>
      <c r="AY144" s="603">
        <v>2</v>
      </c>
      <c r="AZ144" s="603">
        <v>2</v>
      </c>
      <c r="BA144" s="603">
        <v>1</v>
      </c>
      <c r="BB144" s="603">
        <v>1</v>
      </c>
    </row>
    <row r="145" spans="1:54" x14ac:dyDescent="0.25">
      <c r="B145">
        <v>539</v>
      </c>
      <c r="C145">
        <v>539</v>
      </c>
      <c r="D145" t="s">
        <v>338</v>
      </c>
      <c r="F145" s="673">
        <v>0</v>
      </c>
      <c r="G145" s="673">
        <v>0</v>
      </c>
      <c r="H145" s="673">
        <v>0</v>
      </c>
      <c r="I145" s="673">
        <v>0</v>
      </c>
      <c r="J145" s="673">
        <v>0</v>
      </c>
      <c r="K145" s="673">
        <v>0</v>
      </c>
      <c r="L145" s="673">
        <v>0</v>
      </c>
      <c r="M145" s="673">
        <v>0</v>
      </c>
      <c r="N145" s="603">
        <v>0</v>
      </c>
      <c r="O145" s="603">
        <v>0</v>
      </c>
      <c r="P145" s="603">
        <v>0</v>
      </c>
      <c r="Q145" s="603">
        <v>0</v>
      </c>
      <c r="R145" s="603">
        <v>0</v>
      </c>
      <c r="S145" s="603">
        <v>0</v>
      </c>
      <c r="T145" s="603">
        <v>0</v>
      </c>
      <c r="U145" s="603">
        <v>0</v>
      </c>
      <c r="V145" s="603">
        <v>0</v>
      </c>
      <c r="W145" s="603">
        <v>0</v>
      </c>
      <c r="X145" s="603">
        <v>0</v>
      </c>
      <c r="Y145" s="603">
        <v>0</v>
      </c>
      <c r="Z145" s="603">
        <v>0</v>
      </c>
      <c r="AA145" s="603">
        <v>0</v>
      </c>
      <c r="AB145" s="603">
        <v>0</v>
      </c>
      <c r="AC145" s="603">
        <v>0</v>
      </c>
      <c r="AD145" s="603">
        <v>0</v>
      </c>
      <c r="AE145" s="603">
        <v>0</v>
      </c>
      <c r="AF145" s="603">
        <v>0</v>
      </c>
      <c r="AG145" s="603">
        <v>0</v>
      </c>
      <c r="AH145" s="603">
        <v>0</v>
      </c>
      <c r="AI145" s="603">
        <v>0</v>
      </c>
      <c r="AJ145" s="603">
        <v>0</v>
      </c>
      <c r="AK145" s="603">
        <v>0</v>
      </c>
      <c r="AL145" s="603">
        <v>0</v>
      </c>
      <c r="AM145" s="603">
        <v>0</v>
      </c>
      <c r="AN145" s="603">
        <v>0</v>
      </c>
      <c r="AO145" s="603">
        <v>0</v>
      </c>
      <c r="AP145" s="603">
        <v>0</v>
      </c>
      <c r="AQ145" s="603">
        <v>0</v>
      </c>
      <c r="AR145" s="603">
        <v>0</v>
      </c>
      <c r="AS145" s="603">
        <v>0</v>
      </c>
      <c r="AT145" s="603">
        <v>0</v>
      </c>
      <c r="AU145" s="603">
        <v>0</v>
      </c>
      <c r="AV145" s="603">
        <v>0</v>
      </c>
      <c r="AW145" s="603">
        <v>0</v>
      </c>
      <c r="AX145" s="603">
        <v>0</v>
      </c>
      <c r="AY145" s="603">
        <v>0</v>
      </c>
      <c r="AZ145" s="603">
        <v>0</v>
      </c>
      <c r="BA145" s="603">
        <v>0</v>
      </c>
      <c r="BB145" s="603">
        <v>0</v>
      </c>
    </row>
    <row r="146" spans="1:54" x14ac:dyDescent="0.25">
      <c r="A146">
        <v>540</v>
      </c>
      <c r="B146">
        <v>540</v>
      </c>
      <c r="C146">
        <v>540</v>
      </c>
      <c r="F146" s="673">
        <v>0</v>
      </c>
      <c r="G146" s="673">
        <v>0</v>
      </c>
      <c r="H146" s="673">
        <v>0</v>
      </c>
      <c r="I146" s="673">
        <v>0</v>
      </c>
      <c r="J146" s="673">
        <v>0</v>
      </c>
      <c r="K146" s="673">
        <v>0</v>
      </c>
      <c r="L146" s="673">
        <v>0</v>
      </c>
      <c r="M146" s="673">
        <v>0</v>
      </c>
      <c r="N146" s="603">
        <v>0</v>
      </c>
      <c r="O146" s="603">
        <v>0</v>
      </c>
      <c r="P146" s="603">
        <v>0</v>
      </c>
      <c r="Q146" s="603">
        <v>0</v>
      </c>
      <c r="R146" s="603">
        <v>0</v>
      </c>
      <c r="S146" s="603">
        <v>0</v>
      </c>
      <c r="T146" s="603">
        <v>0</v>
      </c>
      <c r="U146" s="603">
        <v>0</v>
      </c>
      <c r="V146" s="603">
        <v>0</v>
      </c>
      <c r="W146" s="603">
        <v>0</v>
      </c>
      <c r="X146" s="603">
        <v>0</v>
      </c>
      <c r="Y146" s="603">
        <v>0</v>
      </c>
      <c r="Z146" s="603">
        <v>0</v>
      </c>
      <c r="AA146" s="603">
        <v>0</v>
      </c>
      <c r="AB146" s="603">
        <v>0</v>
      </c>
      <c r="AC146" s="603">
        <v>0</v>
      </c>
      <c r="AD146" s="603">
        <v>0</v>
      </c>
      <c r="AE146" s="603">
        <v>0</v>
      </c>
      <c r="AF146" s="603">
        <v>0</v>
      </c>
      <c r="AG146" s="603">
        <v>0</v>
      </c>
      <c r="AH146" s="603">
        <v>0</v>
      </c>
      <c r="AI146" s="603">
        <v>0</v>
      </c>
      <c r="AJ146" s="603">
        <v>0</v>
      </c>
      <c r="AK146" s="603">
        <v>0</v>
      </c>
      <c r="AL146" s="603">
        <v>0</v>
      </c>
      <c r="AM146" s="603">
        <v>0</v>
      </c>
      <c r="AN146" s="603">
        <v>0</v>
      </c>
      <c r="AO146" s="603">
        <v>0</v>
      </c>
      <c r="AP146" s="603">
        <v>0</v>
      </c>
      <c r="AQ146" s="603">
        <v>0</v>
      </c>
      <c r="AR146" s="603">
        <v>0</v>
      </c>
      <c r="AS146" s="603">
        <v>0</v>
      </c>
      <c r="AT146" s="603">
        <v>0</v>
      </c>
      <c r="AU146" s="603">
        <v>0</v>
      </c>
      <c r="AV146" s="603">
        <v>0</v>
      </c>
      <c r="AW146" s="603">
        <v>0</v>
      </c>
      <c r="AX146" s="603">
        <v>0</v>
      </c>
      <c r="AY146" s="603">
        <v>0</v>
      </c>
      <c r="AZ146" s="603">
        <v>0</v>
      </c>
      <c r="BA146" s="603">
        <v>0</v>
      </c>
      <c r="BB146" s="603">
        <v>0</v>
      </c>
    </row>
    <row r="147" spans="1:54" x14ac:dyDescent="0.25">
      <c r="A147">
        <v>541</v>
      </c>
      <c r="B147">
        <v>541</v>
      </c>
      <c r="C147">
        <v>541</v>
      </c>
      <c r="D147" t="s">
        <v>573</v>
      </c>
      <c r="F147" s="673">
        <v>-42733</v>
      </c>
      <c r="G147" s="673">
        <v>620038</v>
      </c>
      <c r="H147" s="673">
        <v>-1704039</v>
      </c>
      <c r="I147" s="673">
        <v>1379693</v>
      </c>
      <c r="J147" s="673">
        <v>-155460</v>
      </c>
      <c r="K147" s="673">
        <v>3114391</v>
      </c>
      <c r="L147" s="673">
        <v>23496586</v>
      </c>
      <c r="M147" s="673">
        <v>-540636</v>
      </c>
      <c r="N147" s="603">
        <v>0</v>
      </c>
      <c r="O147" s="603">
        <v>254717</v>
      </c>
      <c r="P147" s="603">
        <v>-169645</v>
      </c>
      <c r="Q147" s="603">
        <v>-12243</v>
      </c>
      <c r="R147" s="603">
        <v>6864249</v>
      </c>
      <c r="S147" s="603">
        <v>21219</v>
      </c>
      <c r="T147" s="603">
        <v>24837</v>
      </c>
      <c r="U147" s="603">
        <v>1796271</v>
      </c>
      <c r="V147" s="603">
        <v>-8609</v>
      </c>
      <c r="W147" s="603">
        <v>5897608</v>
      </c>
      <c r="X147" s="603">
        <v>346099</v>
      </c>
      <c r="Y147" s="603">
        <v>233167</v>
      </c>
      <c r="Z147" s="603">
        <v>475934</v>
      </c>
      <c r="AA147" s="603">
        <v>134551</v>
      </c>
      <c r="AB147" s="603">
        <v>31484</v>
      </c>
      <c r="AC147" s="603">
        <v>10663</v>
      </c>
      <c r="AD147" s="603">
        <v>69914</v>
      </c>
      <c r="AE147" s="603">
        <v>992995</v>
      </c>
      <c r="AF147" s="603">
        <v>376233</v>
      </c>
      <c r="AG147" s="603">
        <v>-82565</v>
      </c>
      <c r="AH147" s="603">
        <v>3343727</v>
      </c>
      <c r="AI147" s="603">
        <v>-2488708</v>
      </c>
      <c r="AJ147" s="603">
        <v>2337407</v>
      </c>
      <c r="AK147" s="603">
        <v>-114875</v>
      </c>
      <c r="AL147" s="603">
        <v>2176488</v>
      </c>
      <c r="AM147" s="603">
        <v>103276</v>
      </c>
      <c r="AN147" s="603">
        <v>18718</v>
      </c>
      <c r="AO147" s="603">
        <v>825632</v>
      </c>
      <c r="AP147" s="603">
        <v>305266</v>
      </c>
      <c r="AQ147" s="603">
        <v>492092</v>
      </c>
      <c r="AR147" s="603">
        <v>-241228</v>
      </c>
      <c r="AS147" s="603">
        <v>294480</v>
      </c>
      <c r="AT147" s="603">
        <v>107005</v>
      </c>
      <c r="AU147" s="603">
        <v>75088</v>
      </c>
      <c r="AV147" s="603">
        <v>-20144</v>
      </c>
      <c r="AW147" s="603">
        <v>1471310</v>
      </c>
      <c r="AX147" s="603">
        <v>0</v>
      </c>
      <c r="AY147" s="603">
        <v>-779</v>
      </c>
      <c r="AZ147" s="603">
        <v>6896</v>
      </c>
      <c r="BA147" s="603">
        <v>-275392</v>
      </c>
      <c r="BB147" s="603">
        <v>190841</v>
      </c>
    </row>
    <row r="148" spans="1:54" x14ac:dyDescent="0.25">
      <c r="A148">
        <v>542</v>
      </c>
      <c r="B148">
        <v>542</v>
      </c>
      <c r="C148">
        <v>542</v>
      </c>
      <c r="D148" t="s">
        <v>347</v>
      </c>
      <c r="F148" s="673">
        <v>0</v>
      </c>
      <c r="G148" s="673">
        <v>0</v>
      </c>
      <c r="H148" s="673">
        <v>0</v>
      </c>
      <c r="I148" s="673">
        <v>0</v>
      </c>
      <c r="J148" s="673">
        <v>10243546</v>
      </c>
      <c r="K148" s="673">
        <v>5861767</v>
      </c>
      <c r="L148" s="673">
        <v>0</v>
      </c>
      <c r="M148" s="673">
        <v>0</v>
      </c>
      <c r="N148" s="603">
        <v>0</v>
      </c>
      <c r="O148" s="603">
        <v>0</v>
      </c>
      <c r="P148" s="603">
        <v>0</v>
      </c>
      <c r="Q148" s="603">
        <v>0</v>
      </c>
      <c r="R148" s="603">
        <v>7257650</v>
      </c>
      <c r="S148" s="603">
        <v>0</v>
      </c>
      <c r="T148" s="603">
        <v>0</v>
      </c>
      <c r="U148" s="603">
        <v>200000</v>
      </c>
      <c r="V148" s="603">
        <v>0</v>
      </c>
      <c r="W148" s="603">
        <v>0</v>
      </c>
      <c r="X148" s="603">
        <v>0</v>
      </c>
      <c r="Y148" s="603">
        <v>0</v>
      </c>
      <c r="Z148" s="603">
        <v>0</v>
      </c>
      <c r="AA148" s="603">
        <v>0</v>
      </c>
      <c r="AB148" s="603">
        <v>0</v>
      </c>
      <c r="AC148" s="603">
        <v>0</v>
      </c>
      <c r="AD148" s="603">
        <v>0</v>
      </c>
      <c r="AE148" s="603">
        <v>0</v>
      </c>
      <c r="AF148" s="603">
        <v>0</v>
      </c>
      <c r="AG148" s="603">
        <v>0</v>
      </c>
      <c r="AH148" s="603">
        <v>0</v>
      </c>
      <c r="AI148" s="603">
        <v>0</v>
      </c>
      <c r="AJ148" s="603">
        <v>0</v>
      </c>
      <c r="AK148" s="603">
        <v>0</v>
      </c>
      <c r="AL148" s="603">
        <v>0</v>
      </c>
      <c r="AM148" s="603">
        <v>0</v>
      </c>
      <c r="AN148" s="603">
        <v>0</v>
      </c>
      <c r="AO148" s="603">
        <v>529996</v>
      </c>
      <c r="AP148" s="603">
        <v>0</v>
      </c>
      <c r="AQ148" s="603">
        <v>0</v>
      </c>
      <c r="AR148" s="603">
        <v>431300</v>
      </c>
      <c r="AS148" s="603">
        <v>0</v>
      </c>
      <c r="AT148" s="603">
        <v>0</v>
      </c>
      <c r="AU148" s="603">
        <v>0</v>
      </c>
      <c r="AV148" s="603">
        <v>0</v>
      </c>
      <c r="AW148" s="603">
        <v>0</v>
      </c>
      <c r="AX148" s="603">
        <v>0</v>
      </c>
      <c r="AY148" s="603">
        <v>0</v>
      </c>
      <c r="AZ148" s="603">
        <v>0</v>
      </c>
      <c r="BA148" s="603">
        <v>0</v>
      </c>
      <c r="BB148" s="603">
        <v>0</v>
      </c>
    </row>
    <row r="149" spans="1:54" x14ac:dyDescent="0.25">
      <c r="C149">
        <v>543</v>
      </c>
      <c r="D149" t="e">
        <v>#VALUE!</v>
      </c>
      <c r="F149" s="673">
        <v>0</v>
      </c>
      <c r="G149" s="673">
        <v>0</v>
      </c>
      <c r="H149" s="673">
        <v>0</v>
      </c>
      <c r="I149" s="673">
        <v>0</v>
      </c>
      <c r="J149" s="673">
        <v>0</v>
      </c>
      <c r="K149" s="673">
        <v>0</v>
      </c>
      <c r="L149" s="673">
        <v>0</v>
      </c>
      <c r="M149" s="673">
        <v>0</v>
      </c>
      <c r="N149" s="603">
        <v>0</v>
      </c>
      <c r="O149" s="603">
        <v>0</v>
      </c>
      <c r="P149" s="603">
        <v>0</v>
      </c>
      <c r="Q149" s="603">
        <v>0</v>
      </c>
      <c r="R149" s="603">
        <v>0</v>
      </c>
      <c r="S149" s="603">
        <v>0</v>
      </c>
      <c r="T149" s="603">
        <v>0</v>
      </c>
      <c r="U149" s="603">
        <v>0</v>
      </c>
      <c r="V149" s="603">
        <v>0</v>
      </c>
      <c r="W149" s="603">
        <v>0</v>
      </c>
      <c r="X149" s="603">
        <v>0</v>
      </c>
      <c r="Y149" s="603">
        <v>0</v>
      </c>
      <c r="Z149" s="603">
        <v>0</v>
      </c>
      <c r="AA149" s="603">
        <v>0</v>
      </c>
      <c r="AB149" s="603">
        <v>0</v>
      </c>
      <c r="AC149" s="603">
        <v>0</v>
      </c>
      <c r="AD149" s="603">
        <v>0</v>
      </c>
      <c r="AE149" s="603">
        <v>0</v>
      </c>
      <c r="AF149" s="603">
        <v>0</v>
      </c>
      <c r="AG149" s="603">
        <v>0</v>
      </c>
      <c r="AH149" s="603">
        <v>0</v>
      </c>
      <c r="AI149" s="603">
        <v>0</v>
      </c>
      <c r="AJ149" s="603">
        <v>0</v>
      </c>
      <c r="AK149" s="603">
        <v>0</v>
      </c>
      <c r="AL149" s="603">
        <v>0</v>
      </c>
      <c r="AM149" s="603">
        <v>0</v>
      </c>
      <c r="AN149" s="603">
        <v>0</v>
      </c>
      <c r="AO149" s="603">
        <v>0</v>
      </c>
      <c r="AP149" s="603">
        <v>0</v>
      </c>
      <c r="AQ149" s="603">
        <v>0</v>
      </c>
      <c r="AR149" s="603">
        <v>0</v>
      </c>
      <c r="AS149" s="603">
        <v>0</v>
      </c>
      <c r="AT149" s="603">
        <v>0</v>
      </c>
      <c r="AU149" s="603">
        <v>0</v>
      </c>
      <c r="AV149" s="603">
        <v>0</v>
      </c>
      <c r="AW149" s="603">
        <v>0</v>
      </c>
      <c r="AX149" s="603">
        <v>0</v>
      </c>
      <c r="AY149" s="603">
        <v>0</v>
      </c>
      <c r="AZ149" s="603">
        <v>0</v>
      </c>
      <c r="BA149" s="603">
        <v>0</v>
      </c>
      <c r="BB149" s="603">
        <v>0</v>
      </c>
    </row>
    <row r="150" spans="1:54" x14ac:dyDescent="0.25">
      <c r="A150">
        <v>544</v>
      </c>
      <c r="B150">
        <v>544</v>
      </c>
      <c r="C150">
        <v>544</v>
      </c>
      <c r="D150" t="s">
        <v>76</v>
      </c>
      <c r="F150" s="673">
        <v>0</v>
      </c>
      <c r="G150" s="673">
        <v>0</v>
      </c>
      <c r="H150" s="673">
        <v>0</v>
      </c>
      <c r="I150" s="673">
        <v>0</v>
      </c>
      <c r="J150" s="673">
        <v>0</v>
      </c>
      <c r="K150" s="673">
        <v>0</v>
      </c>
      <c r="L150" s="673">
        <v>0</v>
      </c>
      <c r="M150" s="673">
        <v>0</v>
      </c>
      <c r="N150" s="603">
        <v>0</v>
      </c>
      <c r="O150" s="603">
        <v>0</v>
      </c>
      <c r="P150" s="603">
        <v>0</v>
      </c>
      <c r="Q150" s="603">
        <v>0</v>
      </c>
      <c r="R150" s="603">
        <v>0</v>
      </c>
      <c r="S150" s="603">
        <v>0</v>
      </c>
      <c r="T150" s="603">
        <v>0</v>
      </c>
      <c r="U150" s="603">
        <v>0</v>
      </c>
      <c r="V150" s="603">
        <v>0</v>
      </c>
      <c r="W150" s="603">
        <v>0</v>
      </c>
      <c r="X150" s="603">
        <v>0</v>
      </c>
      <c r="Y150" s="603">
        <v>0</v>
      </c>
      <c r="Z150" s="603">
        <v>0</v>
      </c>
      <c r="AA150" s="603">
        <v>0</v>
      </c>
      <c r="AB150" s="603">
        <v>0</v>
      </c>
      <c r="AC150" s="603">
        <v>0</v>
      </c>
      <c r="AD150" s="603">
        <v>0</v>
      </c>
      <c r="AE150" s="603">
        <v>0</v>
      </c>
      <c r="AF150" s="603">
        <v>0</v>
      </c>
      <c r="AG150" s="603">
        <v>0</v>
      </c>
      <c r="AH150" s="603">
        <v>0</v>
      </c>
      <c r="AI150" s="603">
        <v>0</v>
      </c>
      <c r="AJ150" s="603">
        <v>0</v>
      </c>
      <c r="AK150" s="603">
        <v>0</v>
      </c>
      <c r="AL150" s="603">
        <v>0</v>
      </c>
      <c r="AM150" s="603">
        <v>0</v>
      </c>
      <c r="AN150" s="603">
        <v>0</v>
      </c>
      <c r="AO150" s="603">
        <v>0</v>
      </c>
      <c r="AP150" s="603">
        <v>0</v>
      </c>
      <c r="AQ150" s="603">
        <v>0</v>
      </c>
      <c r="AR150" s="603">
        <v>0</v>
      </c>
      <c r="AS150" s="603">
        <v>0</v>
      </c>
      <c r="AT150" s="603">
        <v>0</v>
      </c>
      <c r="AU150" s="603">
        <v>0</v>
      </c>
      <c r="AV150" s="603">
        <v>0</v>
      </c>
      <c r="AW150" s="603">
        <v>0</v>
      </c>
      <c r="AX150" s="603">
        <v>0</v>
      </c>
      <c r="AY150" s="603">
        <v>0</v>
      </c>
      <c r="AZ150" s="603">
        <v>0</v>
      </c>
      <c r="BA150" s="603">
        <v>0</v>
      </c>
      <c r="BB150" s="603">
        <v>0</v>
      </c>
    </row>
    <row r="151" spans="1:54" x14ac:dyDescent="0.25">
      <c r="A151">
        <v>545</v>
      </c>
      <c r="B151">
        <v>545</v>
      </c>
      <c r="C151">
        <v>545</v>
      </c>
      <c r="D151" t="s">
        <v>77</v>
      </c>
      <c r="F151" s="673">
        <v>0</v>
      </c>
      <c r="G151" s="673">
        <v>0</v>
      </c>
      <c r="H151" s="673">
        <v>0</v>
      </c>
      <c r="I151" s="673">
        <v>0</v>
      </c>
      <c r="J151" s="673">
        <v>0</v>
      </c>
      <c r="K151" s="673">
        <v>0</v>
      </c>
      <c r="L151" s="673">
        <v>0</v>
      </c>
      <c r="M151" s="673">
        <v>0</v>
      </c>
      <c r="N151" s="603">
        <v>0</v>
      </c>
      <c r="O151" s="603">
        <v>0</v>
      </c>
      <c r="P151" s="603">
        <v>0</v>
      </c>
      <c r="Q151" s="603">
        <v>0</v>
      </c>
      <c r="R151" s="603">
        <v>0</v>
      </c>
      <c r="S151" s="603">
        <v>0</v>
      </c>
      <c r="T151" s="603">
        <v>0</v>
      </c>
      <c r="U151" s="603">
        <v>0</v>
      </c>
      <c r="V151" s="603">
        <v>0</v>
      </c>
      <c r="W151" s="603">
        <v>0</v>
      </c>
      <c r="X151" s="603">
        <v>0</v>
      </c>
      <c r="Y151" s="603">
        <v>0</v>
      </c>
      <c r="Z151" s="603">
        <v>0</v>
      </c>
      <c r="AA151" s="603">
        <v>0</v>
      </c>
      <c r="AB151" s="603">
        <v>0</v>
      </c>
      <c r="AC151" s="603">
        <v>0</v>
      </c>
      <c r="AD151" s="603">
        <v>0</v>
      </c>
      <c r="AE151" s="603">
        <v>0</v>
      </c>
      <c r="AF151" s="603">
        <v>0</v>
      </c>
      <c r="AG151" s="603">
        <v>0</v>
      </c>
      <c r="AH151" s="603">
        <v>0</v>
      </c>
      <c r="AI151" s="603">
        <v>0</v>
      </c>
      <c r="AJ151" s="603">
        <v>0</v>
      </c>
      <c r="AK151" s="603">
        <v>0</v>
      </c>
      <c r="AL151" s="603">
        <v>0</v>
      </c>
      <c r="AM151" s="603">
        <v>0</v>
      </c>
      <c r="AN151" s="603">
        <v>0</v>
      </c>
      <c r="AO151" s="603">
        <v>0</v>
      </c>
      <c r="AP151" s="603">
        <v>0</v>
      </c>
      <c r="AQ151" s="603">
        <v>0</v>
      </c>
      <c r="AR151" s="603">
        <v>0</v>
      </c>
      <c r="AS151" s="603">
        <v>0</v>
      </c>
      <c r="AT151" s="603">
        <v>0</v>
      </c>
      <c r="AU151" s="603">
        <v>0</v>
      </c>
      <c r="AV151" s="603">
        <v>0</v>
      </c>
      <c r="AW151" s="603">
        <v>0</v>
      </c>
      <c r="AX151" s="603">
        <v>0</v>
      </c>
      <c r="AY151" s="603">
        <v>0</v>
      </c>
      <c r="AZ151" s="603">
        <v>0</v>
      </c>
      <c r="BA151" s="603">
        <v>0</v>
      </c>
      <c r="BB151" s="603">
        <v>0</v>
      </c>
    </row>
    <row r="152" spans="1:54" x14ac:dyDescent="0.25">
      <c r="C152">
        <v>546</v>
      </c>
      <c r="D152" t="e">
        <v>#VALUE!</v>
      </c>
      <c r="F152" s="673">
        <v>0</v>
      </c>
      <c r="G152" s="673">
        <v>0</v>
      </c>
      <c r="H152" s="673">
        <v>0</v>
      </c>
      <c r="I152" s="673">
        <v>0</v>
      </c>
      <c r="J152" s="673">
        <v>0</v>
      </c>
      <c r="K152" s="673">
        <v>0</v>
      </c>
      <c r="L152" s="673">
        <v>0</v>
      </c>
      <c r="M152" s="673">
        <v>0</v>
      </c>
      <c r="N152" s="603">
        <v>0</v>
      </c>
      <c r="O152" s="603">
        <v>0</v>
      </c>
      <c r="P152" s="603">
        <v>0</v>
      </c>
      <c r="Q152" s="603">
        <v>0</v>
      </c>
      <c r="R152" s="603">
        <v>0</v>
      </c>
      <c r="S152" s="603">
        <v>0</v>
      </c>
      <c r="T152" s="603">
        <v>0</v>
      </c>
      <c r="U152" s="603">
        <v>0</v>
      </c>
      <c r="V152" s="603">
        <v>0</v>
      </c>
      <c r="W152" s="603">
        <v>0</v>
      </c>
      <c r="X152" s="603">
        <v>0</v>
      </c>
      <c r="Y152" s="603">
        <v>0</v>
      </c>
      <c r="Z152" s="603">
        <v>0</v>
      </c>
      <c r="AA152" s="603">
        <v>0</v>
      </c>
      <c r="AB152" s="603">
        <v>0</v>
      </c>
      <c r="AC152" s="603">
        <v>0</v>
      </c>
      <c r="AD152" s="603">
        <v>0</v>
      </c>
      <c r="AE152" s="603">
        <v>0</v>
      </c>
      <c r="AF152" s="603">
        <v>0</v>
      </c>
      <c r="AG152" s="603">
        <v>0</v>
      </c>
      <c r="AH152" s="603">
        <v>0</v>
      </c>
      <c r="AI152" s="603">
        <v>0</v>
      </c>
      <c r="AJ152" s="603">
        <v>0</v>
      </c>
      <c r="AK152" s="603">
        <v>0</v>
      </c>
      <c r="AL152" s="603">
        <v>0</v>
      </c>
      <c r="AM152" s="603">
        <v>0</v>
      </c>
      <c r="AN152" s="603">
        <v>0</v>
      </c>
      <c r="AO152" s="603">
        <v>0</v>
      </c>
      <c r="AP152" s="603">
        <v>0</v>
      </c>
      <c r="AQ152" s="603">
        <v>0</v>
      </c>
      <c r="AR152" s="603">
        <v>0</v>
      </c>
      <c r="AS152" s="603">
        <v>0</v>
      </c>
      <c r="AT152" s="603">
        <v>0</v>
      </c>
      <c r="AU152" s="603">
        <v>0</v>
      </c>
      <c r="AV152" s="603">
        <v>0</v>
      </c>
      <c r="AW152" s="603">
        <v>0</v>
      </c>
      <c r="AX152" s="603">
        <v>0</v>
      </c>
      <c r="AY152" s="603">
        <v>0</v>
      </c>
      <c r="AZ152" s="603">
        <v>0</v>
      </c>
      <c r="BA152" s="603">
        <v>0</v>
      </c>
      <c r="BB152" s="603">
        <v>0</v>
      </c>
    </row>
    <row r="153" spans="1:54" ht="75" x14ac:dyDescent="0.25">
      <c r="A153">
        <v>547</v>
      </c>
      <c r="B153">
        <v>547</v>
      </c>
      <c r="C153">
        <v>547</v>
      </c>
      <c r="D153" s="612" t="s">
        <v>616</v>
      </c>
      <c r="F153" s="673">
        <v>2</v>
      </c>
      <c r="G153" s="673">
        <v>2</v>
      </c>
      <c r="H153" s="673">
        <v>2</v>
      </c>
      <c r="I153" s="673">
        <v>2</v>
      </c>
      <c r="J153" s="673">
        <v>3</v>
      </c>
      <c r="K153" s="673">
        <v>3</v>
      </c>
      <c r="L153" s="673">
        <v>3</v>
      </c>
      <c r="M153" s="673">
        <v>3</v>
      </c>
      <c r="N153" s="603">
        <v>0</v>
      </c>
      <c r="O153" s="603">
        <v>3</v>
      </c>
      <c r="P153" s="603">
        <v>3</v>
      </c>
      <c r="Q153" s="603">
        <v>2</v>
      </c>
      <c r="R153" s="603">
        <v>3</v>
      </c>
      <c r="S153" s="603">
        <v>2</v>
      </c>
      <c r="T153" s="603">
        <v>2</v>
      </c>
      <c r="U153" s="603">
        <v>2</v>
      </c>
      <c r="V153" s="603">
        <v>2</v>
      </c>
      <c r="W153" s="603">
        <v>3</v>
      </c>
      <c r="X153" s="603">
        <v>2</v>
      </c>
      <c r="Y153" s="603">
        <v>2</v>
      </c>
      <c r="Z153" s="603">
        <v>2</v>
      </c>
      <c r="AA153" s="603">
        <v>2</v>
      </c>
      <c r="AB153" s="603">
        <v>3</v>
      </c>
      <c r="AC153" s="603">
        <v>2</v>
      </c>
      <c r="AD153" s="603">
        <v>2</v>
      </c>
      <c r="AE153" s="603">
        <v>2</v>
      </c>
      <c r="AF153" s="603">
        <v>2</v>
      </c>
      <c r="AG153" s="603">
        <v>2</v>
      </c>
      <c r="AH153" s="603">
        <v>3</v>
      </c>
      <c r="AI153" s="603">
        <v>3</v>
      </c>
      <c r="AJ153" s="603">
        <v>2</v>
      </c>
      <c r="AK153" s="603">
        <v>2</v>
      </c>
      <c r="AL153" s="603">
        <v>1</v>
      </c>
      <c r="AM153" s="603">
        <v>2</v>
      </c>
      <c r="AN153" s="603">
        <v>2</v>
      </c>
      <c r="AO153" s="603">
        <v>2</v>
      </c>
      <c r="AP153" s="603">
        <v>2</v>
      </c>
      <c r="AQ153" s="603">
        <v>2</v>
      </c>
      <c r="AR153" s="603">
        <v>2</v>
      </c>
      <c r="AS153" s="603">
        <v>2</v>
      </c>
      <c r="AT153" s="603">
        <v>2</v>
      </c>
      <c r="AU153" s="603">
        <v>2</v>
      </c>
      <c r="AV153" s="603">
        <v>2</v>
      </c>
      <c r="AW153" s="603">
        <v>3</v>
      </c>
      <c r="AX153" s="603">
        <v>2</v>
      </c>
      <c r="AY153" s="603">
        <v>2</v>
      </c>
      <c r="AZ153" s="603">
        <v>2</v>
      </c>
      <c r="BA153" s="603">
        <v>2</v>
      </c>
      <c r="BB153" s="603">
        <v>2</v>
      </c>
    </row>
    <row r="154" spans="1:54" ht="75" x14ac:dyDescent="0.25">
      <c r="B154">
        <v>551</v>
      </c>
      <c r="C154">
        <v>551</v>
      </c>
      <c r="D154" s="612" t="s">
        <v>970</v>
      </c>
      <c r="F154" s="673">
        <v>0</v>
      </c>
      <c r="G154" s="673">
        <v>0</v>
      </c>
      <c r="H154" s="673">
        <v>0</v>
      </c>
      <c r="I154" s="673">
        <v>0</v>
      </c>
      <c r="J154" s="673">
        <v>0</v>
      </c>
      <c r="K154" s="673">
        <v>0</v>
      </c>
      <c r="L154" s="673">
        <v>0</v>
      </c>
      <c r="M154" s="673">
        <v>0</v>
      </c>
      <c r="N154" s="603">
        <v>0</v>
      </c>
      <c r="O154" s="603">
        <v>0</v>
      </c>
      <c r="P154" s="603">
        <v>0</v>
      </c>
      <c r="Q154" s="603">
        <v>0</v>
      </c>
      <c r="R154" s="603">
        <v>0</v>
      </c>
      <c r="S154" s="603">
        <v>0</v>
      </c>
      <c r="T154" s="603">
        <v>0</v>
      </c>
      <c r="U154" s="603">
        <v>0</v>
      </c>
      <c r="V154" s="603">
        <v>0</v>
      </c>
      <c r="W154" s="603">
        <v>0</v>
      </c>
      <c r="X154" s="603">
        <v>0</v>
      </c>
      <c r="Y154" s="603">
        <v>0</v>
      </c>
      <c r="Z154" s="603">
        <v>0</v>
      </c>
      <c r="AA154" s="603">
        <v>0</v>
      </c>
      <c r="AB154" s="603">
        <v>0</v>
      </c>
      <c r="AC154" s="603">
        <v>0</v>
      </c>
      <c r="AD154" s="603">
        <v>0</v>
      </c>
      <c r="AE154" s="603">
        <v>0</v>
      </c>
      <c r="AF154" s="603">
        <v>0</v>
      </c>
      <c r="AG154" s="603">
        <v>0</v>
      </c>
      <c r="AH154" s="603">
        <v>0</v>
      </c>
      <c r="AI154" s="603">
        <v>0</v>
      </c>
      <c r="AJ154" s="603">
        <v>0</v>
      </c>
      <c r="AK154" s="603">
        <v>0</v>
      </c>
      <c r="AL154" s="603">
        <v>0</v>
      </c>
      <c r="AM154" s="603">
        <v>0</v>
      </c>
      <c r="AN154" s="603">
        <v>0</v>
      </c>
      <c r="AO154" s="603">
        <v>0</v>
      </c>
      <c r="AP154" s="603">
        <v>0</v>
      </c>
      <c r="AQ154" s="603">
        <v>0</v>
      </c>
      <c r="AR154" s="603">
        <v>0</v>
      </c>
      <c r="AS154" s="603">
        <v>0</v>
      </c>
      <c r="AT154" s="603">
        <v>0</v>
      </c>
      <c r="AU154" s="603">
        <v>0</v>
      </c>
      <c r="AV154" s="603">
        <v>0</v>
      </c>
      <c r="AW154" s="603">
        <v>0</v>
      </c>
      <c r="AX154" s="603">
        <v>0</v>
      </c>
      <c r="AY154" s="603">
        <v>0</v>
      </c>
      <c r="AZ154" s="603">
        <v>0</v>
      </c>
      <c r="BA154" s="603">
        <v>0</v>
      </c>
      <c r="BB154" s="603">
        <v>0</v>
      </c>
    </row>
    <row r="155" spans="1:54" x14ac:dyDescent="0.25">
      <c r="A155">
        <v>554</v>
      </c>
      <c r="B155">
        <v>554</v>
      </c>
      <c r="C155">
        <v>554</v>
      </c>
      <c r="D155" t="s">
        <v>591</v>
      </c>
      <c r="F155" s="673">
        <v>0</v>
      </c>
      <c r="G155" s="673">
        <v>0</v>
      </c>
      <c r="H155" s="673">
        <v>0</v>
      </c>
      <c r="I155" s="673">
        <v>0</v>
      </c>
      <c r="J155" s="673">
        <v>0</v>
      </c>
      <c r="K155" s="673">
        <v>0</v>
      </c>
      <c r="L155" s="673">
        <v>6094467</v>
      </c>
      <c r="M155" s="673">
        <v>985879</v>
      </c>
      <c r="N155" s="603">
        <v>0</v>
      </c>
      <c r="O155" s="603">
        <v>0</v>
      </c>
      <c r="P155" s="603">
        <v>0</v>
      </c>
      <c r="Q155" s="603">
        <v>0</v>
      </c>
      <c r="R155" s="603">
        <v>0</v>
      </c>
      <c r="S155" s="603">
        <v>0</v>
      </c>
      <c r="T155" s="603">
        <v>0</v>
      </c>
      <c r="U155" s="603">
        <v>2396290</v>
      </c>
      <c r="V155" s="603">
        <v>0</v>
      </c>
      <c r="W155" s="603">
        <v>0</v>
      </c>
      <c r="X155" s="603">
        <v>0</v>
      </c>
      <c r="Y155" s="603">
        <v>0</v>
      </c>
      <c r="Z155" s="603">
        <v>1335409</v>
      </c>
      <c r="AA155" s="603">
        <v>0</v>
      </c>
      <c r="AB155" s="603">
        <v>0</v>
      </c>
      <c r="AC155" s="603">
        <v>0</v>
      </c>
      <c r="AD155" s="603">
        <v>0</v>
      </c>
      <c r="AE155" s="603">
        <v>0</v>
      </c>
      <c r="AF155" s="603">
        <v>0</v>
      </c>
      <c r="AG155" s="603">
        <v>0</v>
      </c>
      <c r="AH155" s="603">
        <v>301702</v>
      </c>
      <c r="AI155" s="603">
        <v>3554688</v>
      </c>
      <c r="AJ155" s="603">
        <v>0</v>
      </c>
      <c r="AK155" s="603">
        <v>0</v>
      </c>
      <c r="AL155" s="603">
        <v>0</v>
      </c>
      <c r="AM155" s="603">
        <v>0</v>
      </c>
      <c r="AN155" s="603">
        <v>0</v>
      </c>
      <c r="AO155" s="603">
        <v>45128</v>
      </c>
      <c r="AP155" s="603">
        <v>0</v>
      </c>
      <c r="AQ155" s="603">
        <v>0</v>
      </c>
      <c r="AR155" s="603">
        <v>0</v>
      </c>
      <c r="AS155" s="603">
        <v>0</v>
      </c>
      <c r="AT155" s="603">
        <v>0</v>
      </c>
      <c r="AU155" s="603">
        <v>0</v>
      </c>
      <c r="AV155" s="603">
        <v>0</v>
      </c>
      <c r="AW155" s="603">
        <v>0</v>
      </c>
      <c r="AX155" s="603">
        <v>0</v>
      </c>
      <c r="AY155" s="603">
        <v>0</v>
      </c>
      <c r="AZ155" s="603">
        <v>0</v>
      </c>
      <c r="BA155" s="603">
        <v>0</v>
      </c>
      <c r="BB155" s="603">
        <v>0</v>
      </c>
    </row>
    <row r="156" spans="1:54" x14ac:dyDescent="0.25">
      <c r="A156">
        <v>555</v>
      </c>
      <c r="B156">
        <v>555</v>
      </c>
      <c r="C156">
        <v>555</v>
      </c>
      <c r="D156" t="s">
        <v>592</v>
      </c>
      <c r="F156" s="673">
        <v>0</v>
      </c>
      <c r="G156" s="673">
        <v>0</v>
      </c>
      <c r="H156" s="673">
        <v>0</v>
      </c>
      <c r="I156" s="673">
        <v>0</v>
      </c>
      <c r="J156" s="673">
        <v>0</v>
      </c>
      <c r="K156" s="673">
        <v>0</v>
      </c>
      <c r="L156" s="673">
        <v>6094467</v>
      </c>
      <c r="M156" s="673">
        <v>910313</v>
      </c>
      <c r="N156" s="603">
        <v>0</v>
      </c>
      <c r="O156" s="603">
        <v>0</v>
      </c>
      <c r="P156" s="603">
        <v>0</v>
      </c>
      <c r="Q156" s="603">
        <v>0</v>
      </c>
      <c r="R156" s="603">
        <v>0</v>
      </c>
      <c r="S156" s="603">
        <v>0</v>
      </c>
      <c r="T156" s="603">
        <v>0</v>
      </c>
      <c r="U156" s="603">
        <v>2396290</v>
      </c>
      <c r="V156" s="603">
        <v>0</v>
      </c>
      <c r="W156" s="603">
        <v>0</v>
      </c>
      <c r="X156" s="603">
        <v>0</v>
      </c>
      <c r="Y156" s="603">
        <v>0</v>
      </c>
      <c r="Z156" s="603">
        <v>1249609</v>
      </c>
      <c r="AA156" s="603">
        <v>0</v>
      </c>
      <c r="AB156" s="603">
        <v>0</v>
      </c>
      <c r="AC156" s="603">
        <v>0</v>
      </c>
      <c r="AD156" s="603">
        <v>0</v>
      </c>
      <c r="AE156" s="603">
        <v>0</v>
      </c>
      <c r="AF156" s="603">
        <v>0</v>
      </c>
      <c r="AG156" s="603">
        <v>0</v>
      </c>
      <c r="AH156" s="603">
        <v>0</v>
      </c>
      <c r="AI156" s="603">
        <v>3554688</v>
      </c>
      <c r="AJ156" s="603">
        <v>0</v>
      </c>
      <c r="AK156" s="603">
        <v>0</v>
      </c>
      <c r="AL156" s="603">
        <v>0</v>
      </c>
      <c r="AM156" s="603">
        <v>0</v>
      </c>
      <c r="AN156" s="603">
        <v>0</v>
      </c>
      <c r="AO156" s="603">
        <v>0</v>
      </c>
      <c r="AP156" s="603">
        <v>0</v>
      </c>
      <c r="AQ156" s="603">
        <v>0</v>
      </c>
      <c r="AR156" s="603">
        <v>0</v>
      </c>
      <c r="AS156" s="603">
        <v>0</v>
      </c>
      <c r="AT156" s="603">
        <v>0</v>
      </c>
      <c r="AU156" s="603">
        <v>0</v>
      </c>
      <c r="AV156" s="603">
        <v>0</v>
      </c>
      <c r="AW156" s="603">
        <v>0</v>
      </c>
      <c r="AX156" s="603">
        <v>0</v>
      </c>
      <c r="AY156" s="603">
        <v>0</v>
      </c>
      <c r="AZ156" s="603">
        <v>0</v>
      </c>
      <c r="BA156" s="603">
        <v>0</v>
      </c>
      <c r="BB156" s="603">
        <v>0</v>
      </c>
    </row>
    <row r="157" spans="1:54" x14ac:dyDescent="0.25">
      <c r="A157">
        <v>556</v>
      </c>
      <c r="B157">
        <v>556</v>
      </c>
      <c r="C157">
        <v>556</v>
      </c>
      <c r="D157" t="s">
        <v>593</v>
      </c>
      <c r="F157" s="673">
        <v>0</v>
      </c>
      <c r="G157" s="673">
        <v>0</v>
      </c>
      <c r="H157" s="673">
        <v>0</v>
      </c>
      <c r="I157" s="673">
        <v>0</v>
      </c>
      <c r="J157" s="673">
        <v>0</v>
      </c>
      <c r="K157" s="673">
        <v>0</v>
      </c>
      <c r="L157" s="673">
        <v>3411803</v>
      </c>
      <c r="M157" s="673">
        <v>55391</v>
      </c>
      <c r="N157" s="603">
        <v>0</v>
      </c>
      <c r="O157" s="603">
        <v>0</v>
      </c>
      <c r="P157" s="603">
        <v>0</v>
      </c>
      <c r="Q157" s="603">
        <v>0</v>
      </c>
      <c r="R157" s="603">
        <v>0</v>
      </c>
      <c r="S157" s="603">
        <v>0</v>
      </c>
      <c r="T157" s="603">
        <v>0</v>
      </c>
      <c r="U157" s="603">
        <v>0</v>
      </c>
      <c r="V157" s="603">
        <v>0</v>
      </c>
      <c r="W157" s="603">
        <v>0</v>
      </c>
      <c r="X157" s="603">
        <v>0</v>
      </c>
      <c r="Y157" s="603">
        <v>0</v>
      </c>
      <c r="Z157" s="603">
        <v>0</v>
      </c>
      <c r="AA157" s="603">
        <v>0</v>
      </c>
      <c r="AB157" s="603">
        <v>0</v>
      </c>
      <c r="AC157" s="603">
        <v>0</v>
      </c>
      <c r="AD157" s="603">
        <v>0</v>
      </c>
      <c r="AE157" s="603">
        <v>0</v>
      </c>
      <c r="AF157" s="603">
        <v>0</v>
      </c>
      <c r="AG157" s="603">
        <v>0</v>
      </c>
      <c r="AH157" s="603">
        <v>600567</v>
      </c>
      <c r="AI157" s="603">
        <v>1096429</v>
      </c>
      <c r="AJ157" s="603">
        <v>0</v>
      </c>
      <c r="AK157" s="603">
        <v>0</v>
      </c>
      <c r="AL157" s="603">
        <v>0</v>
      </c>
      <c r="AM157" s="603">
        <v>0</v>
      </c>
      <c r="AN157" s="603">
        <v>0</v>
      </c>
      <c r="AO157" s="603">
        <v>691967</v>
      </c>
      <c r="AP157" s="603">
        <v>0</v>
      </c>
      <c r="AQ157" s="603">
        <v>0</v>
      </c>
      <c r="AR157" s="603">
        <v>0</v>
      </c>
      <c r="AS157" s="603">
        <v>0</v>
      </c>
      <c r="AT157" s="603">
        <v>0</v>
      </c>
      <c r="AU157" s="603">
        <v>0</v>
      </c>
      <c r="AV157" s="603">
        <v>0</v>
      </c>
      <c r="AW157" s="603">
        <v>0</v>
      </c>
      <c r="AX157" s="603">
        <v>0</v>
      </c>
      <c r="AY157" s="603">
        <v>0</v>
      </c>
      <c r="AZ157" s="603">
        <v>0</v>
      </c>
      <c r="BA157" s="603">
        <v>0</v>
      </c>
      <c r="BB157" s="603">
        <v>0</v>
      </c>
    </row>
    <row r="158" spans="1:54" x14ac:dyDescent="0.25">
      <c r="A158">
        <v>557</v>
      </c>
      <c r="B158">
        <v>557</v>
      </c>
      <c r="C158">
        <v>557</v>
      </c>
      <c r="D158" t="s">
        <v>594</v>
      </c>
      <c r="F158" s="673">
        <v>0</v>
      </c>
      <c r="G158" s="673">
        <v>0</v>
      </c>
      <c r="H158" s="673">
        <v>0</v>
      </c>
      <c r="I158" s="673">
        <v>0</v>
      </c>
      <c r="J158" s="673">
        <v>0</v>
      </c>
      <c r="K158" s="673">
        <v>0</v>
      </c>
      <c r="L158" s="673">
        <v>2972011</v>
      </c>
      <c r="M158" s="673">
        <v>0</v>
      </c>
      <c r="N158" s="603">
        <v>0</v>
      </c>
      <c r="O158" s="603">
        <v>0</v>
      </c>
      <c r="P158" s="603">
        <v>0</v>
      </c>
      <c r="Q158" s="603">
        <v>0</v>
      </c>
      <c r="R158" s="603">
        <v>0</v>
      </c>
      <c r="S158" s="603">
        <v>0</v>
      </c>
      <c r="T158" s="603">
        <v>0</v>
      </c>
      <c r="U158" s="603">
        <v>0</v>
      </c>
      <c r="V158" s="603">
        <v>0</v>
      </c>
      <c r="W158" s="603">
        <v>0</v>
      </c>
      <c r="X158" s="603">
        <v>0</v>
      </c>
      <c r="Y158" s="603">
        <v>0</v>
      </c>
      <c r="Z158" s="603">
        <v>0</v>
      </c>
      <c r="AA158" s="603">
        <v>0</v>
      </c>
      <c r="AB158" s="603">
        <v>0</v>
      </c>
      <c r="AC158" s="603">
        <v>0</v>
      </c>
      <c r="AD158" s="603">
        <v>0</v>
      </c>
      <c r="AE158" s="603">
        <v>0</v>
      </c>
      <c r="AF158" s="603">
        <v>0</v>
      </c>
      <c r="AG158" s="603">
        <v>0</v>
      </c>
      <c r="AH158" s="603">
        <v>500000</v>
      </c>
      <c r="AI158" s="603">
        <v>850395</v>
      </c>
      <c r="AJ158" s="603">
        <v>0</v>
      </c>
      <c r="AK158" s="603">
        <v>0</v>
      </c>
      <c r="AL158" s="603">
        <v>0</v>
      </c>
      <c r="AM158" s="603">
        <v>0</v>
      </c>
      <c r="AN158" s="603">
        <v>0</v>
      </c>
      <c r="AO158" s="603">
        <v>500000</v>
      </c>
      <c r="AP158" s="603">
        <v>0</v>
      </c>
      <c r="AQ158" s="603">
        <v>0</v>
      </c>
      <c r="AR158" s="603">
        <v>0</v>
      </c>
      <c r="AS158" s="603">
        <v>0</v>
      </c>
      <c r="AT158" s="603">
        <v>0</v>
      </c>
      <c r="AU158" s="603">
        <v>0</v>
      </c>
      <c r="AV158" s="603">
        <v>0</v>
      </c>
      <c r="AW158" s="603">
        <v>0</v>
      </c>
      <c r="AX158" s="603">
        <v>0</v>
      </c>
      <c r="AY158" s="603">
        <v>0</v>
      </c>
      <c r="AZ158" s="603">
        <v>0</v>
      </c>
      <c r="BA158" s="603">
        <v>0</v>
      </c>
      <c r="BB158" s="603">
        <v>0</v>
      </c>
    </row>
    <row r="159" spans="1:54" x14ac:dyDescent="0.25">
      <c r="A159">
        <v>575</v>
      </c>
      <c r="B159">
        <v>575</v>
      </c>
      <c r="C159">
        <v>575</v>
      </c>
      <c r="D159" t="s">
        <v>565</v>
      </c>
      <c r="E159" t="s">
        <v>617</v>
      </c>
      <c r="F159" s="673">
        <v>0</v>
      </c>
      <c r="G159" s="673">
        <v>0</v>
      </c>
      <c r="H159" s="673">
        <v>0</v>
      </c>
      <c r="I159" s="673">
        <v>0</v>
      </c>
      <c r="J159" s="673">
        <v>0</v>
      </c>
      <c r="K159" s="673">
        <v>0</v>
      </c>
      <c r="L159" s="673">
        <v>0</v>
      </c>
      <c r="M159" s="673">
        <v>0</v>
      </c>
      <c r="N159" s="603">
        <v>0</v>
      </c>
      <c r="O159" s="603">
        <v>0</v>
      </c>
      <c r="P159" s="603">
        <v>0</v>
      </c>
      <c r="Q159" s="603">
        <v>0</v>
      </c>
      <c r="R159" s="603">
        <v>0</v>
      </c>
      <c r="S159" s="603">
        <v>0</v>
      </c>
      <c r="T159" s="603">
        <v>0</v>
      </c>
      <c r="U159" s="603">
        <v>0</v>
      </c>
      <c r="V159" s="603">
        <v>0</v>
      </c>
      <c r="W159" s="603">
        <v>0</v>
      </c>
      <c r="X159" s="603">
        <v>0</v>
      </c>
      <c r="Y159" s="603">
        <v>0</v>
      </c>
      <c r="Z159" s="603">
        <v>0</v>
      </c>
      <c r="AA159" s="603">
        <v>0</v>
      </c>
      <c r="AB159" s="603">
        <v>0</v>
      </c>
      <c r="AC159" s="603">
        <v>0</v>
      </c>
      <c r="AD159" s="603">
        <v>0</v>
      </c>
      <c r="AE159" s="603">
        <v>0</v>
      </c>
      <c r="AF159" s="603">
        <v>0</v>
      </c>
      <c r="AG159" s="603">
        <v>0</v>
      </c>
      <c r="AH159" s="603">
        <v>0</v>
      </c>
      <c r="AI159" s="603">
        <v>0</v>
      </c>
      <c r="AJ159" s="603">
        <v>0</v>
      </c>
      <c r="AK159" s="603">
        <v>0</v>
      </c>
      <c r="AL159" s="603">
        <v>0</v>
      </c>
      <c r="AM159" s="603">
        <v>0</v>
      </c>
      <c r="AN159" s="603">
        <v>0</v>
      </c>
      <c r="AO159" s="603">
        <v>0</v>
      </c>
      <c r="AP159" s="603">
        <v>0</v>
      </c>
      <c r="AQ159" s="603">
        <v>0</v>
      </c>
      <c r="AR159" s="603">
        <v>0</v>
      </c>
      <c r="AS159" s="603">
        <v>0</v>
      </c>
      <c r="AT159" s="603">
        <v>0</v>
      </c>
      <c r="AU159" s="603">
        <v>0</v>
      </c>
      <c r="AV159" s="603">
        <v>0</v>
      </c>
      <c r="AW159" s="603">
        <v>0</v>
      </c>
      <c r="AX159" s="603">
        <v>0</v>
      </c>
      <c r="AY159" s="603">
        <v>0</v>
      </c>
      <c r="AZ159" s="603">
        <v>0</v>
      </c>
      <c r="BA159" s="603">
        <v>0</v>
      </c>
      <c r="BB159" s="603">
        <v>0</v>
      </c>
    </row>
    <row r="160" spans="1:54" x14ac:dyDescent="0.25">
      <c r="A160">
        <v>576</v>
      </c>
      <c r="B160">
        <v>576</v>
      </c>
      <c r="C160">
        <v>576</v>
      </c>
      <c r="D160" t="s">
        <v>566</v>
      </c>
      <c r="E160" t="s">
        <v>618</v>
      </c>
      <c r="F160" s="673">
        <v>0</v>
      </c>
      <c r="G160" s="673">
        <v>0</v>
      </c>
      <c r="H160" s="673">
        <v>0</v>
      </c>
      <c r="I160" s="673">
        <v>0</v>
      </c>
      <c r="J160" s="673">
        <v>0</v>
      </c>
      <c r="K160" s="673">
        <v>0</v>
      </c>
      <c r="L160" s="673">
        <v>0</v>
      </c>
      <c r="M160" s="673">
        <v>0</v>
      </c>
      <c r="N160" s="603">
        <v>0</v>
      </c>
      <c r="O160" s="603">
        <v>0</v>
      </c>
      <c r="P160" s="603">
        <v>0</v>
      </c>
      <c r="Q160" s="603">
        <v>0</v>
      </c>
      <c r="R160" s="603">
        <v>0</v>
      </c>
      <c r="S160" s="603">
        <v>0</v>
      </c>
      <c r="T160" s="603">
        <v>0</v>
      </c>
      <c r="U160" s="603">
        <v>0</v>
      </c>
      <c r="V160" s="603">
        <v>0</v>
      </c>
      <c r="W160" s="603">
        <v>0</v>
      </c>
      <c r="X160" s="603">
        <v>0</v>
      </c>
      <c r="Y160" s="603">
        <v>0</v>
      </c>
      <c r="Z160" s="603">
        <v>0</v>
      </c>
      <c r="AA160" s="603">
        <v>0</v>
      </c>
      <c r="AB160" s="603">
        <v>0</v>
      </c>
      <c r="AC160" s="603">
        <v>0</v>
      </c>
      <c r="AD160" s="603">
        <v>0</v>
      </c>
      <c r="AE160" s="603">
        <v>0</v>
      </c>
      <c r="AF160" s="603">
        <v>0</v>
      </c>
      <c r="AG160" s="603">
        <v>0</v>
      </c>
      <c r="AH160" s="603">
        <v>0</v>
      </c>
      <c r="AI160" s="603">
        <v>0</v>
      </c>
      <c r="AJ160" s="603">
        <v>0</v>
      </c>
      <c r="AK160" s="603">
        <v>0</v>
      </c>
      <c r="AL160" s="603">
        <v>0</v>
      </c>
      <c r="AM160" s="603">
        <v>0</v>
      </c>
      <c r="AN160" s="603">
        <v>0</v>
      </c>
      <c r="AO160" s="603">
        <v>0</v>
      </c>
      <c r="AP160" s="603">
        <v>0</v>
      </c>
      <c r="AQ160" s="603">
        <v>0</v>
      </c>
      <c r="AR160" s="603">
        <v>0</v>
      </c>
      <c r="AS160" s="603">
        <v>0</v>
      </c>
      <c r="AT160" s="603">
        <v>0</v>
      </c>
      <c r="AU160" s="603">
        <v>0</v>
      </c>
      <c r="AV160" s="603">
        <v>0</v>
      </c>
      <c r="AW160" s="603">
        <v>0</v>
      </c>
      <c r="AX160" s="603">
        <v>0</v>
      </c>
      <c r="AY160" s="603">
        <v>0</v>
      </c>
      <c r="AZ160" s="603">
        <v>0</v>
      </c>
      <c r="BA160" s="603">
        <v>0</v>
      </c>
      <c r="BB160" s="603">
        <v>0</v>
      </c>
    </row>
    <row r="161" spans="1:54" x14ac:dyDescent="0.25">
      <c r="A161">
        <v>577</v>
      </c>
      <c r="B161">
        <v>577</v>
      </c>
      <c r="C161">
        <v>577</v>
      </c>
      <c r="D161" t="s">
        <v>619</v>
      </c>
      <c r="E161" t="s">
        <v>620</v>
      </c>
      <c r="F161" s="673">
        <v>2</v>
      </c>
      <c r="G161" s="673">
        <v>2</v>
      </c>
      <c r="H161" s="673">
        <v>2</v>
      </c>
      <c r="I161" s="673">
        <v>2</v>
      </c>
      <c r="J161" s="673">
        <v>2</v>
      </c>
      <c r="K161" s="673">
        <v>2</v>
      </c>
      <c r="L161" s="673">
        <v>2</v>
      </c>
      <c r="M161" s="673">
        <v>2</v>
      </c>
      <c r="N161" s="603">
        <v>0</v>
      </c>
      <c r="O161" s="603">
        <v>0</v>
      </c>
      <c r="P161" s="603">
        <v>2</v>
      </c>
      <c r="Q161" s="603">
        <v>2</v>
      </c>
      <c r="R161" s="603">
        <v>2</v>
      </c>
      <c r="S161" s="603">
        <v>0</v>
      </c>
      <c r="T161" s="603">
        <v>2</v>
      </c>
      <c r="U161" s="603">
        <v>2</v>
      </c>
      <c r="V161" s="603">
        <v>2</v>
      </c>
      <c r="W161" s="603">
        <v>2</v>
      </c>
      <c r="X161" s="603">
        <v>1</v>
      </c>
      <c r="Y161" s="603">
        <v>2</v>
      </c>
      <c r="Z161" s="603">
        <v>2</v>
      </c>
      <c r="AA161" s="603">
        <v>2</v>
      </c>
      <c r="AB161" s="603">
        <v>2</v>
      </c>
      <c r="AC161" s="603">
        <v>2</v>
      </c>
      <c r="AD161" s="603">
        <v>0</v>
      </c>
      <c r="AE161" s="603">
        <v>2</v>
      </c>
      <c r="AF161" s="603">
        <v>2</v>
      </c>
      <c r="AG161" s="603">
        <v>0</v>
      </c>
      <c r="AH161" s="603">
        <v>0</v>
      </c>
      <c r="AI161" s="603">
        <v>2</v>
      </c>
      <c r="AJ161" s="603">
        <v>2</v>
      </c>
      <c r="AK161" s="603">
        <v>2</v>
      </c>
      <c r="AL161" s="603">
        <v>2</v>
      </c>
      <c r="AM161" s="603">
        <v>0</v>
      </c>
      <c r="AN161" s="603">
        <v>0</v>
      </c>
      <c r="AO161" s="603">
        <v>2</v>
      </c>
      <c r="AP161" s="603">
        <v>2</v>
      </c>
      <c r="AQ161" s="603">
        <v>2</v>
      </c>
      <c r="AR161" s="603">
        <v>2</v>
      </c>
      <c r="AS161" s="603">
        <v>2</v>
      </c>
      <c r="AT161" s="603">
        <v>2</v>
      </c>
      <c r="AU161" s="603">
        <v>2</v>
      </c>
      <c r="AV161" s="603">
        <v>2</v>
      </c>
      <c r="AW161" s="603">
        <v>2</v>
      </c>
      <c r="AX161" s="603">
        <v>2</v>
      </c>
      <c r="AY161" s="603">
        <v>0</v>
      </c>
      <c r="AZ161" s="603">
        <v>2</v>
      </c>
      <c r="BA161" s="603">
        <v>2</v>
      </c>
      <c r="BB161" s="603">
        <v>2</v>
      </c>
    </row>
    <row r="162" spans="1:54" x14ac:dyDescent="0.25">
      <c r="A162">
        <v>578</v>
      </c>
      <c r="B162">
        <v>578</v>
      </c>
      <c r="C162">
        <v>578</v>
      </c>
      <c r="D162" t="s">
        <v>621</v>
      </c>
      <c r="E162" t="s">
        <v>622</v>
      </c>
      <c r="F162" s="673">
        <v>0</v>
      </c>
      <c r="G162" s="673">
        <v>0</v>
      </c>
      <c r="H162" s="673">
        <v>0</v>
      </c>
      <c r="I162" s="673">
        <v>0</v>
      </c>
      <c r="J162" s="673">
        <v>0</v>
      </c>
      <c r="K162" s="673">
        <v>0</v>
      </c>
      <c r="L162" s="673">
        <v>0</v>
      </c>
      <c r="M162" s="673">
        <v>0</v>
      </c>
      <c r="N162" s="603">
        <v>0</v>
      </c>
      <c r="O162" s="603">
        <v>0</v>
      </c>
      <c r="P162" s="603">
        <v>0</v>
      </c>
      <c r="Q162" s="603">
        <v>0</v>
      </c>
      <c r="R162" s="603">
        <v>0</v>
      </c>
      <c r="S162" s="603">
        <v>0</v>
      </c>
      <c r="T162" s="603">
        <v>0</v>
      </c>
      <c r="U162" s="603">
        <v>0</v>
      </c>
      <c r="V162" s="603">
        <v>0</v>
      </c>
      <c r="W162" s="603">
        <v>0</v>
      </c>
      <c r="X162" s="603">
        <v>0</v>
      </c>
      <c r="Y162" s="603">
        <v>0</v>
      </c>
      <c r="Z162" s="603">
        <v>0</v>
      </c>
      <c r="AA162" s="603">
        <v>0</v>
      </c>
      <c r="AB162" s="603">
        <v>0</v>
      </c>
      <c r="AC162" s="603">
        <v>0</v>
      </c>
      <c r="AD162" s="603">
        <v>0</v>
      </c>
      <c r="AE162" s="603">
        <v>0</v>
      </c>
      <c r="AF162" s="603">
        <v>0</v>
      </c>
      <c r="AG162" s="603">
        <v>0</v>
      </c>
      <c r="AH162" s="603">
        <v>0</v>
      </c>
      <c r="AI162" s="603">
        <v>0</v>
      </c>
      <c r="AJ162" s="603">
        <v>0</v>
      </c>
      <c r="AK162" s="603">
        <v>0</v>
      </c>
      <c r="AL162" s="603">
        <v>0</v>
      </c>
      <c r="AM162" s="603">
        <v>0</v>
      </c>
      <c r="AN162" s="603">
        <v>0</v>
      </c>
      <c r="AO162" s="603">
        <v>0</v>
      </c>
      <c r="AP162" s="603">
        <v>0</v>
      </c>
      <c r="AQ162" s="603">
        <v>0</v>
      </c>
      <c r="AR162" s="603">
        <v>0</v>
      </c>
      <c r="AS162" s="603">
        <v>0</v>
      </c>
      <c r="AT162" s="603">
        <v>0</v>
      </c>
      <c r="AU162" s="603">
        <v>0</v>
      </c>
      <c r="AV162" s="603">
        <v>0</v>
      </c>
      <c r="AW162" s="603">
        <v>0</v>
      </c>
      <c r="AX162" s="603">
        <v>0</v>
      </c>
      <c r="AY162" s="603">
        <v>0</v>
      </c>
      <c r="AZ162" s="603">
        <v>0</v>
      </c>
      <c r="BA162" s="603">
        <v>0</v>
      </c>
      <c r="BB162" s="603">
        <v>0</v>
      </c>
    </row>
    <row r="163" spans="1:54" x14ac:dyDescent="0.25">
      <c r="A163">
        <v>579</v>
      </c>
      <c r="B163">
        <v>579</v>
      </c>
      <c r="C163">
        <v>579</v>
      </c>
      <c r="D163" t="s">
        <v>623</v>
      </c>
      <c r="E163" t="s">
        <v>624</v>
      </c>
      <c r="F163" s="673">
        <v>0</v>
      </c>
      <c r="G163" s="673">
        <v>0</v>
      </c>
      <c r="H163" s="673">
        <v>0</v>
      </c>
      <c r="I163" s="673">
        <v>0</v>
      </c>
      <c r="J163" s="673">
        <v>0</v>
      </c>
      <c r="K163" s="673">
        <v>0</v>
      </c>
      <c r="L163" s="673">
        <v>0</v>
      </c>
      <c r="M163" s="673">
        <v>0</v>
      </c>
      <c r="N163" s="603">
        <v>0</v>
      </c>
      <c r="O163" s="603">
        <v>0</v>
      </c>
      <c r="P163" s="603">
        <v>0</v>
      </c>
      <c r="Q163" s="603">
        <v>0</v>
      </c>
      <c r="R163" s="603">
        <v>0</v>
      </c>
      <c r="S163" s="603">
        <v>0</v>
      </c>
      <c r="T163" s="603">
        <v>0</v>
      </c>
      <c r="U163" s="603">
        <v>0</v>
      </c>
      <c r="V163" s="603">
        <v>0</v>
      </c>
      <c r="W163" s="603">
        <v>0</v>
      </c>
      <c r="X163" s="603">
        <v>0</v>
      </c>
      <c r="Y163" s="603">
        <v>0</v>
      </c>
      <c r="Z163" s="603">
        <v>0</v>
      </c>
      <c r="AA163" s="603">
        <v>0</v>
      </c>
      <c r="AB163" s="603">
        <v>0</v>
      </c>
      <c r="AC163" s="603">
        <v>0</v>
      </c>
      <c r="AD163" s="603">
        <v>0</v>
      </c>
      <c r="AE163" s="603">
        <v>0</v>
      </c>
      <c r="AF163" s="603">
        <v>0</v>
      </c>
      <c r="AG163" s="603">
        <v>0</v>
      </c>
      <c r="AH163" s="603">
        <v>0</v>
      </c>
      <c r="AI163" s="603">
        <v>0</v>
      </c>
      <c r="AJ163" s="603">
        <v>0</v>
      </c>
      <c r="AK163" s="603">
        <v>0</v>
      </c>
      <c r="AL163" s="603">
        <v>0</v>
      </c>
      <c r="AM163" s="603">
        <v>0</v>
      </c>
      <c r="AN163" s="603">
        <v>0</v>
      </c>
      <c r="AO163" s="603">
        <v>0</v>
      </c>
      <c r="AP163" s="603">
        <v>0</v>
      </c>
      <c r="AQ163" s="603">
        <v>0</v>
      </c>
      <c r="AR163" s="603">
        <v>0</v>
      </c>
      <c r="AS163" s="603">
        <v>0</v>
      </c>
      <c r="AT163" s="603">
        <v>0</v>
      </c>
      <c r="AU163" s="603">
        <v>0</v>
      </c>
      <c r="AV163" s="603">
        <v>0</v>
      </c>
      <c r="AW163" s="603">
        <v>0</v>
      </c>
      <c r="AX163" s="603">
        <v>0</v>
      </c>
      <c r="AY163" s="603">
        <v>0</v>
      </c>
      <c r="AZ163" s="603">
        <v>0</v>
      </c>
      <c r="BA163" s="603">
        <v>0</v>
      </c>
      <c r="BB163" s="603">
        <v>0</v>
      </c>
    </row>
    <row r="164" spans="1:54" x14ac:dyDescent="0.25">
      <c r="A164">
        <v>580</v>
      </c>
      <c r="B164">
        <v>580</v>
      </c>
      <c r="D164" t="s">
        <v>588</v>
      </c>
      <c r="F164" s="673">
        <v>0</v>
      </c>
      <c r="G164" s="673">
        <v>0</v>
      </c>
      <c r="H164" s="673">
        <v>0</v>
      </c>
      <c r="I164" s="673">
        <v>0</v>
      </c>
      <c r="J164" s="673">
        <v>0</v>
      </c>
      <c r="K164" s="673">
        <v>0</v>
      </c>
      <c r="L164" s="673">
        <v>0</v>
      </c>
      <c r="M164" s="673">
        <v>0</v>
      </c>
      <c r="N164" s="603">
        <v>0</v>
      </c>
      <c r="O164" s="603">
        <v>0</v>
      </c>
      <c r="P164" s="603">
        <v>0</v>
      </c>
      <c r="Q164" s="603">
        <v>0</v>
      </c>
      <c r="R164" s="603">
        <v>0</v>
      </c>
      <c r="S164" s="603">
        <v>0</v>
      </c>
      <c r="T164" s="603">
        <v>0</v>
      </c>
      <c r="U164" s="603">
        <v>0</v>
      </c>
      <c r="V164" s="603">
        <v>0</v>
      </c>
      <c r="W164" s="603">
        <v>0</v>
      </c>
      <c r="X164" s="603">
        <v>0</v>
      </c>
      <c r="Y164" s="603">
        <v>0</v>
      </c>
      <c r="Z164" s="603">
        <v>0</v>
      </c>
      <c r="AA164" s="603">
        <v>0</v>
      </c>
      <c r="AB164" s="603">
        <v>0</v>
      </c>
      <c r="AC164" s="603">
        <v>0</v>
      </c>
      <c r="AD164" s="603">
        <v>0</v>
      </c>
      <c r="AE164" s="603">
        <v>0</v>
      </c>
      <c r="AF164" s="603">
        <v>0</v>
      </c>
      <c r="AG164" s="603">
        <v>0</v>
      </c>
      <c r="AH164" s="603">
        <v>0</v>
      </c>
      <c r="AI164" s="603">
        <v>0</v>
      </c>
      <c r="AJ164" s="603">
        <v>0</v>
      </c>
      <c r="AK164" s="603">
        <v>0</v>
      </c>
      <c r="AL164" s="603">
        <v>0</v>
      </c>
      <c r="AM164" s="603">
        <v>0</v>
      </c>
      <c r="AN164" s="603">
        <v>0</v>
      </c>
      <c r="AO164" s="603">
        <v>0</v>
      </c>
      <c r="AP164" s="603">
        <v>0</v>
      </c>
      <c r="AQ164" s="603">
        <v>0</v>
      </c>
      <c r="AR164" s="603">
        <v>0</v>
      </c>
      <c r="AS164" s="603">
        <v>0</v>
      </c>
      <c r="AT164" s="603">
        <v>0</v>
      </c>
      <c r="AU164" s="603">
        <v>0</v>
      </c>
      <c r="AV164" s="603">
        <v>0</v>
      </c>
      <c r="AW164" s="603">
        <v>0</v>
      </c>
      <c r="AX164" s="603">
        <v>0</v>
      </c>
      <c r="AY164" s="603">
        <v>0</v>
      </c>
      <c r="AZ164" s="603">
        <v>0</v>
      </c>
      <c r="BA164" s="603">
        <v>0</v>
      </c>
      <c r="BB164" s="603">
        <v>0</v>
      </c>
    </row>
    <row r="165" spans="1:54" x14ac:dyDescent="0.25">
      <c r="A165">
        <v>581</v>
      </c>
      <c r="B165">
        <v>581</v>
      </c>
      <c r="D165" t="s">
        <v>587</v>
      </c>
      <c r="F165" s="673">
        <v>0</v>
      </c>
      <c r="G165" s="673">
        <v>0</v>
      </c>
      <c r="H165" s="673">
        <v>0</v>
      </c>
      <c r="I165" s="673">
        <v>0</v>
      </c>
      <c r="J165" s="673">
        <v>0</v>
      </c>
      <c r="K165" s="673">
        <v>0</v>
      </c>
      <c r="L165" s="673">
        <v>0</v>
      </c>
      <c r="M165" s="673">
        <v>0</v>
      </c>
      <c r="N165" s="603">
        <v>0</v>
      </c>
      <c r="O165" s="603">
        <v>0</v>
      </c>
      <c r="P165" s="603">
        <v>0</v>
      </c>
      <c r="Q165" s="603">
        <v>0</v>
      </c>
      <c r="R165" s="603">
        <v>0</v>
      </c>
      <c r="S165" s="603">
        <v>0</v>
      </c>
      <c r="T165" s="603">
        <v>0</v>
      </c>
      <c r="U165" s="603">
        <v>0</v>
      </c>
      <c r="V165" s="603">
        <v>0</v>
      </c>
      <c r="W165" s="603">
        <v>0</v>
      </c>
      <c r="X165" s="603">
        <v>0</v>
      </c>
      <c r="Y165" s="603">
        <v>0</v>
      </c>
      <c r="Z165" s="603">
        <v>0</v>
      </c>
      <c r="AA165" s="603">
        <v>0</v>
      </c>
      <c r="AB165" s="603">
        <v>0</v>
      </c>
      <c r="AC165" s="603">
        <v>0</v>
      </c>
      <c r="AD165" s="603">
        <v>0</v>
      </c>
      <c r="AE165" s="603">
        <v>0</v>
      </c>
      <c r="AF165" s="603">
        <v>0</v>
      </c>
      <c r="AG165" s="603">
        <v>0</v>
      </c>
      <c r="AH165" s="603">
        <v>0</v>
      </c>
      <c r="AI165" s="603">
        <v>0</v>
      </c>
      <c r="AJ165" s="603">
        <v>0</v>
      </c>
      <c r="AK165" s="603">
        <v>0</v>
      </c>
      <c r="AL165" s="603">
        <v>0</v>
      </c>
      <c r="AM165" s="603">
        <v>0</v>
      </c>
      <c r="AN165" s="603">
        <v>0</v>
      </c>
      <c r="AO165" s="603">
        <v>0</v>
      </c>
      <c r="AP165" s="603">
        <v>0</v>
      </c>
      <c r="AQ165" s="603">
        <v>0</v>
      </c>
      <c r="AR165" s="603">
        <v>0</v>
      </c>
      <c r="AS165" s="603">
        <v>0</v>
      </c>
      <c r="AT165" s="603">
        <v>0</v>
      </c>
      <c r="AU165" s="603">
        <v>0</v>
      </c>
      <c r="AV165" s="603">
        <v>0</v>
      </c>
      <c r="AW165" s="603">
        <v>0</v>
      </c>
      <c r="AX165" s="603">
        <v>0</v>
      </c>
      <c r="AY165" s="603">
        <v>0</v>
      </c>
      <c r="AZ165" s="603">
        <v>0</v>
      </c>
      <c r="BA165" s="603">
        <v>0</v>
      </c>
      <c r="BB165" s="603">
        <v>0</v>
      </c>
    </row>
    <row r="166" spans="1:54" x14ac:dyDescent="0.25">
      <c r="A166">
        <v>586</v>
      </c>
      <c r="B166">
        <v>586</v>
      </c>
      <c r="C166">
        <v>586</v>
      </c>
      <c r="D166" t="s">
        <v>971</v>
      </c>
      <c r="E166" t="s">
        <v>626</v>
      </c>
      <c r="F166" s="673">
        <v>0</v>
      </c>
      <c r="G166" s="673">
        <v>0</v>
      </c>
      <c r="H166" s="673">
        <v>0</v>
      </c>
      <c r="I166" s="673">
        <v>0</v>
      </c>
      <c r="J166" s="673">
        <v>0</v>
      </c>
      <c r="K166" s="673">
        <v>0</v>
      </c>
      <c r="L166" s="673">
        <v>0</v>
      </c>
      <c r="M166" s="673">
        <v>0</v>
      </c>
      <c r="N166" s="603">
        <v>0</v>
      </c>
      <c r="O166" s="603">
        <v>0</v>
      </c>
      <c r="P166" s="603">
        <v>0</v>
      </c>
      <c r="Q166" s="603">
        <v>0</v>
      </c>
      <c r="R166" s="603">
        <v>0</v>
      </c>
      <c r="S166" s="603">
        <v>0</v>
      </c>
      <c r="T166" s="603">
        <v>0</v>
      </c>
      <c r="U166" s="603">
        <v>0</v>
      </c>
      <c r="V166" s="603">
        <v>0</v>
      </c>
      <c r="W166" s="603">
        <v>0</v>
      </c>
      <c r="X166" s="603">
        <v>0</v>
      </c>
      <c r="Y166" s="603">
        <v>0</v>
      </c>
      <c r="Z166" s="603">
        <v>0</v>
      </c>
      <c r="AA166" s="603">
        <v>0</v>
      </c>
      <c r="AB166" s="603">
        <v>0</v>
      </c>
      <c r="AC166" s="603">
        <v>0</v>
      </c>
      <c r="AD166" s="603">
        <v>0</v>
      </c>
      <c r="AE166" s="603">
        <v>0</v>
      </c>
      <c r="AF166" s="603">
        <v>0</v>
      </c>
      <c r="AG166" s="603">
        <v>0</v>
      </c>
      <c r="AH166" s="603">
        <v>0</v>
      </c>
      <c r="AI166" s="603">
        <v>0</v>
      </c>
      <c r="AJ166" s="603">
        <v>0</v>
      </c>
      <c r="AK166" s="603">
        <v>0</v>
      </c>
      <c r="AL166" s="603">
        <v>0</v>
      </c>
      <c r="AM166" s="603">
        <v>0</v>
      </c>
      <c r="AN166" s="603">
        <v>0</v>
      </c>
      <c r="AO166" s="603">
        <v>0</v>
      </c>
      <c r="AP166" s="603">
        <v>0</v>
      </c>
      <c r="AQ166" s="603">
        <v>0</v>
      </c>
      <c r="AR166" s="603">
        <v>0</v>
      </c>
      <c r="AS166" s="603">
        <v>0</v>
      </c>
      <c r="AT166" s="603">
        <v>0</v>
      </c>
      <c r="AU166" s="603">
        <v>0</v>
      </c>
      <c r="AV166" s="603">
        <v>0</v>
      </c>
      <c r="AW166" s="603">
        <v>0</v>
      </c>
      <c r="AX166" s="603">
        <v>0</v>
      </c>
      <c r="AY166" s="603">
        <v>0</v>
      </c>
      <c r="AZ166" s="603">
        <v>0</v>
      </c>
      <c r="BA166" s="603">
        <v>0</v>
      </c>
      <c r="BB166" s="603">
        <v>0</v>
      </c>
    </row>
    <row r="167" spans="1:54" x14ac:dyDescent="0.25">
      <c r="A167">
        <v>591</v>
      </c>
      <c r="B167">
        <v>591</v>
      </c>
      <c r="D167" t="s">
        <v>602</v>
      </c>
      <c r="F167" s="673">
        <v>2297241</v>
      </c>
      <c r="G167" s="673">
        <v>2198970</v>
      </c>
      <c r="H167" s="673">
        <v>5028029</v>
      </c>
      <c r="I167" s="673">
        <v>0</v>
      </c>
      <c r="J167" s="673">
        <v>30107924</v>
      </c>
      <c r="K167" s="673">
        <v>0</v>
      </c>
      <c r="L167" s="673">
        <v>82450913</v>
      </c>
      <c r="M167" s="673">
        <v>7184286</v>
      </c>
      <c r="N167" s="603">
        <v>0</v>
      </c>
      <c r="O167" s="603">
        <v>2729596</v>
      </c>
      <c r="P167" s="603">
        <v>3182811</v>
      </c>
      <c r="Q167" s="603">
        <v>376894</v>
      </c>
      <c r="R167" s="603">
        <v>328301655</v>
      </c>
      <c r="S167" s="603">
        <v>857791</v>
      </c>
      <c r="T167" s="603">
        <v>379142</v>
      </c>
      <c r="U167" s="603">
        <v>2016497</v>
      </c>
      <c r="V167" s="603">
        <v>413670</v>
      </c>
      <c r="W167" s="603">
        <v>242130557</v>
      </c>
      <c r="X167" s="603">
        <v>2703953</v>
      </c>
      <c r="Y167" s="603">
        <v>344059</v>
      </c>
      <c r="Z167" s="603">
        <v>2327458</v>
      </c>
      <c r="AA167" s="603">
        <v>5365766</v>
      </c>
      <c r="AB167" s="603">
        <v>0</v>
      </c>
      <c r="AC167" s="603">
        <v>2546135</v>
      </c>
      <c r="AD167" s="603">
        <v>442620</v>
      </c>
      <c r="AE167" s="603">
        <v>9766647</v>
      </c>
      <c r="AF167" s="603">
        <v>869617</v>
      </c>
      <c r="AG167" s="603">
        <v>900026</v>
      </c>
      <c r="AH167" s="603">
        <v>23984021</v>
      </c>
      <c r="AI167" s="603">
        <v>34919768</v>
      </c>
      <c r="AJ167" s="603">
        <v>7882653</v>
      </c>
      <c r="AK167" s="603">
        <v>417325</v>
      </c>
      <c r="AL167" s="603">
        <v>7612643</v>
      </c>
      <c r="AM167" s="603">
        <v>702222</v>
      </c>
      <c r="AN167" s="603">
        <v>291089</v>
      </c>
      <c r="AO167" s="603">
        <v>8961309</v>
      </c>
      <c r="AP167" s="603">
        <v>1974543</v>
      </c>
      <c r="AQ167" s="603">
        <v>2490864</v>
      </c>
      <c r="AR167" s="603">
        <v>1246505</v>
      </c>
      <c r="AS167" s="603">
        <v>872490</v>
      </c>
      <c r="AT167" s="603">
        <v>629649</v>
      </c>
      <c r="AU167" s="603">
        <v>197998</v>
      </c>
      <c r="AV167" s="603">
        <v>250047</v>
      </c>
      <c r="AW167" s="603">
        <v>5574412</v>
      </c>
      <c r="AX167" s="603">
        <v>55622</v>
      </c>
      <c r="AY167" s="603">
        <v>16534</v>
      </c>
      <c r="AZ167" s="603">
        <v>40675</v>
      </c>
      <c r="BA167" s="603">
        <v>2028134</v>
      </c>
      <c r="BB167" s="603">
        <v>0</v>
      </c>
    </row>
    <row r="168" spans="1:54" x14ac:dyDescent="0.25">
      <c r="A168">
        <v>592</v>
      </c>
      <c r="B168">
        <v>592</v>
      </c>
      <c r="D168" t="s">
        <v>603</v>
      </c>
      <c r="F168" s="673">
        <v>-446664</v>
      </c>
      <c r="G168" s="673">
        <v>1338477</v>
      </c>
      <c r="H168" s="673">
        <v>2233288</v>
      </c>
      <c r="I168" s="673">
        <v>0</v>
      </c>
      <c r="J168" s="673">
        <v>20109330</v>
      </c>
      <c r="K168" s="673">
        <v>0</v>
      </c>
      <c r="L168" s="673">
        <v>23676942</v>
      </c>
      <c r="M168" s="673">
        <v>1960304</v>
      </c>
      <c r="N168" s="603">
        <v>0</v>
      </c>
      <c r="O168" s="603">
        <v>-30414</v>
      </c>
      <c r="P168" s="603">
        <v>492480</v>
      </c>
      <c r="Q168" s="603">
        <v>-95428</v>
      </c>
      <c r="R168" s="603">
        <v>49983644</v>
      </c>
      <c r="S168" s="603">
        <v>225690</v>
      </c>
      <c r="T168" s="603">
        <v>-98339</v>
      </c>
      <c r="U168" s="603">
        <v>1187298</v>
      </c>
      <c r="V168" s="603">
        <v>20187</v>
      </c>
      <c r="W168" s="603">
        <v>19360038</v>
      </c>
      <c r="X168" s="603">
        <v>1607590</v>
      </c>
      <c r="Y168" s="603">
        <v>169219</v>
      </c>
      <c r="Z168" s="603">
        <v>578609</v>
      </c>
      <c r="AA168" s="603">
        <v>96165</v>
      </c>
      <c r="AB168" s="603">
        <v>0</v>
      </c>
      <c r="AC168" s="603">
        <v>-760883</v>
      </c>
      <c r="AD168" s="603">
        <v>-6673</v>
      </c>
      <c r="AE168" s="603">
        <v>706326</v>
      </c>
      <c r="AF168" s="603">
        <v>582866</v>
      </c>
      <c r="AG168" s="603">
        <v>-247305</v>
      </c>
      <c r="AH168" s="603">
        <v>7769700</v>
      </c>
      <c r="AI168" s="603">
        <v>7531609</v>
      </c>
      <c r="AJ168" s="603">
        <v>826806</v>
      </c>
      <c r="AK168" s="603">
        <v>-119066</v>
      </c>
      <c r="AL168" s="603">
        <v>1093902</v>
      </c>
      <c r="AM168" s="603">
        <v>45537</v>
      </c>
      <c r="AN168" s="603">
        <v>-25065</v>
      </c>
      <c r="AO168" s="603">
        <v>5798133</v>
      </c>
      <c r="AP168" s="603">
        <v>183922</v>
      </c>
      <c r="AQ168" s="603">
        <v>402621</v>
      </c>
      <c r="AR168" s="603">
        <v>-3555</v>
      </c>
      <c r="AS168" s="603">
        <v>204168</v>
      </c>
      <c r="AT168" s="603">
        <v>-76213</v>
      </c>
      <c r="AU168" s="603">
        <v>43487</v>
      </c>
      <c r="AV168" s="603">
        <v>-105770</v>
      </c>
      <c r="AW168" s="603">
        <v>254071</v>
      </c>
      <c r="AX168" s="603">
        <v>-55622</v>
      </c>
      <c r="AY168" s="603">
        <v>1656</v>
      </c>
      <c r="AZ168" s="603">
        <v>1926</v>
      </c>
      <c r="BA168" s="603">
        <v>70411</v>
      </c>
      <c r="BB168" s="603">
        <v>0</v>
      </c>
    </row>
    <row r="169" spans="1:54" ht="105" x14ac:dyDescent="0.25">
      <c r="B169">
        <v>595</v>
      </c>
      <c r="D169" s="612" t="s">
        <v>972</v>
      </c>
      <c r="E169" t="s">
        <v>973</v>
      </c>
      <c r="F169" s="673"/>
      <c r="G169" s="673"/>
      <c r="H169" s="673"/>
      <c r="I169" s="673"/>
      <c r="J169" s="673"/>
      <c r="K169" s="673"/>
      <c r="L169" s="673"/>
      <c r="M169" s="673"/>
      <c r="N169" s="603"/>
      <c r="O169" s="603"/>
      <c r="P169" s="603"/>
      <c r="Q169" s="603"/>
      <c r="R169" s="603"/>
      <c r="S169" s="603"/>
      <c r="T169" s="603"/>
      <c r="U169" s="603"/>
      <c r="V169" s="603"/>
      <c r="W169" s="603"/>
      <c r="X169" s="603"/>
      <c r="Y169" s="603"/>
      <c r="Z169" s="603"/>
      <c r="AA169" s="603"/>
      <c r="AB169" s="603"/>
      <c r="AC169" s="603"/>
      <c r="AD169" s="603"/>
      <c r="AE169" s="603"/>
      <c r="AF169" s="603"/>
      <c r="AG169" s="603"/>
      <c r="AH169" s="603"/>
      <c r="AI169" s="603"/>
      <c r="AJ169" s="603"/>
      <c r="AK169" s="603"/>
      <c r="AL169" s="603"/>
      <c r="AM169" s="603"/>
      <c r="AN169" s="603"/>
      <c r="AO169" s="603"/>
      <c r="AP169" s="603"/>
      <c r="AQ169" s="603"/>
      <c r="AR169" s="603"/>
      <c r="AS169" s="603"/>
      <c r="AT169" s="603"/>
      <c r="AU169" s="603"/>
      <c r="AV169" s="603"/>
      <c r="AW169" s="603"/>
      <c r="AX169" s="603"/>
      <c r="AY169" s="603"/>
      <c r="AZ169" s="603"/>
      <c r="BA169" s="603"/>
      <c r="BB169" s="603"/>
    </row>
    <row r="170" spans="1:54" x14ac:dyDescent="0.25">
      <c r="A170">
        <v>596</v>
      </c>
      <c r="B170">
        <v>596</v>
      </c>
      <c r="D170" t="s">
        <v>609</v>
      </c>
      <c r="F170" s="603">
        <v>52</v>
      </c>
      <c r="G170" s="603">
        <v>52</v>
      </c>
      <c r="H170" s="603">
        <v>52</v>
      </c>
      <c r="I170" s="603">
        <v>52</v>
      </c>
      <c r="J170" s="603">
        <v>52</v>
      </c>
      <c r="K170" s="603">
        <v>52</v>
      </c>
      <c r="L170" s="603">
        <v>52</v>
      </c>
      <c r="M170" s="603">
        <v>52</v>
      </c>
      <c r="N170" s="603">
        <v>0</v>
      </c>
      <c r="O170" s="603">
        <v>52</v>
      </c>
      <c r="P170" s="603">
        <v>52</v>
      </c>
      <c r="Q170" s="603">
        <v>52</v>
      </c>
      <c r="R170" s="603">
        <v>52</v>
      </c>
      <c r="S170" s="603">
        <v>52</v>
      </c>
      <c r="T170" s="603">
        <v>52</v>
      </c>
      <c r="U170" s="603">
        <v>52</v>
      </c>
      <c r="V170" s="603">
        <v>52</v>
      </c>
      <c r="W170" s="603">
        <v>52</v>
      </c>
      <c r="X170" s="603">
        <v>52</v>
      </c>
      <c r="Y170" s="603">
        <v>52</v>
      </c>
      <c r="Z170" s="603">
        <v>52</v>
      </c>
      <c r="AA170" s="603">
        <v>52</v>
      </c>
      <c r="AB170" s="603">
        <v>52</v>
      </c>
      <c r="AC170" s="603">
        <v>52</v>
      </c>
      <c r="AD170" s="603">
        <v>52</v>
      </c>
      <c r="AE170" s="603">
        <v>52</v>
      </c>
      <c r="AF170" s="603">
        <v>52</v>
      </c>
      <c r="AG170" s="603">
        <v>52</v>
      </c>
      <c r="AH170" s="603">
        <v>52</v>
      </c>
      <c r="AI170" s="603">
        <v>52</v>
      </c>
      <c r="AJ170" s="603">
        <v>52</v>
      </c>
      <c r="AK170" s="603">
        <v>52</v>
      </c>
      <c r="AL170" s="603">
        <v>52</v>
      </c>
      <c r="AM170" s="603">
        <v>52</v>
      </c>
      <c r="AN170" s="603">
        <v>52</v>
      </c>
      <c r="AO170" s="603">
        <v>52</v>
      </c>
      <c r="AP170" s="603">
        <v>52</v>
      </c>
      <c r="AQ170" s="603">
        <v>52</v>
      </c>
      <c r="AR170" s="603">
        <v>52</v>
      </c>
      <c r="AS170" s="603">
        <v>52</v>
      </c>
      <c r="AT170" s="603">
        <v>52</v>
      </c>
      <c r="AU170" s="603">
        <v>52</v>
      </c>
      <c r="AV170" s="603">
        <v>52</v>
      </c>
      <c r="AW170" s="603">
        <v>52</v>
      </c>
      <c r="AX170" s="603">
        <v>52</v>
      </c>
      <c r="AY170" s="603">
        <v>0</v>
      </c>
      <c r="AZ170" s="603">
        <v>52</v>
      </c>
      <c r="BA170" s="603">
        <v>52</v>
      </c>
      <c r="BB170" s="603">
        <v>52</v>
      </c>
    </row>
    <row r="171" spans="1:54" x14ac:dyDescent="0.25">
      <c r="A171">
        <v>597</v>
      </c>
      <c r="B171">
        <v>597</v>
      </c>
      <c r="D171" t="s">
        <v>974</v>
      </c>
      <c r="F171" s="603">
        <v>15274</v>
      </c>
      <c r="G171" s="603">
        <v>65228</v>
      </c>
      <c r="H171" s="603">
        <v>31212</v>
      </c>
      <c r="I171" s="603">
        <v>0</v>
      </c>
      <c r="J171" s="603">
        <v>1844280</v>
      </c>
      <c r="K171" s="603">
        <v>0</v>
      </c>
      <c r="L171" s="603">
        <v>0</v>
      </c>
      <c r="M171" s="603">
        <v>61891</v>
      </c>
      <c r="N171" s="603">
        <v>0</v>
      </c>
      <c r="O171" s="603">
        <v>14792</v>
      </c>
      <c r="P171" s="603">
        <v>64396</v>
      </c>
      <c r="Q171" s="603">
        <v>0</v>
      </c>
      <c r="R171" s="603">
        <v>7233761</v>
      </c>
      <c r="S171" s="603">
        <v>12851</v>
      </c>
      <c r="T171" s="603">
        <v>0</v>
      </c>
      <c r="U171" s="603">
        <v>22124</v>
      </c>
      <c r="V171" s="603">
        <v>82</v>
      </c>
      <c r="W171" s="603">
        <v>3558759</v>
      </c>
      <c r="X171" s="603">
        <v>11213</v>
      </c>
      <c r="Y171" s="603">
        <v>973</v>
      </c>
      <c r="Z171" s="603">
        <v>1966</v>
      </c>
      <c r="AA171" s="603">
        <v>4982</v>
      </c>
      <c r="AB171" s="603">
        <v>0</v>
      </c>
      <c r="AC171" s="603">
        <v>24039</v>
      </c>
      <c r="AD171" s="603">
        <v>1290</v>
      </c>
      <c r="AE171" s="603">
        <v>280262</v>
      </c>
      <c r="AF171" s="603">
        <v>37139</v>
      </c>
      <c r="AG171" s="603">
        <v>8798</v>
      </c>
      <c r="AH171" s="603">
        <v>891549</v>
      </c>
      <c r="AI171" s="603">
        <v>64842</v>
      </c>
      <c r="AJ171" s="603">
        <v>159703</v>
      </c>
      <c r="AK171" s="603">
        <v>5972</v>
      </c>
      <c r="AL171" s="603">
        <v>281889</v>
      </c>
      <c r="AM171" s="603">
        <v>789</v>
      </c>
      <c r="AN171" s="603">
        <v>12352</v>
      </c>
      <c r="AO171" s="603">
        <v>506201</v>
      </c>
      <c r="AP171" s="603">
        <v>34403</v>
      </c>
      <c r="AQ171" s="603">
        <v>131350</v>
      </c>
      <c r="AR171" s="603">
        <v>0</v>
      </c>
      <c r="AS171" s="603">
        <v>21635</v>
      </c>
      <c r="AT171" s="603">
        <v>0</v>
      </c>
      <c r="AU171" s="603">
        <v>615</v>
      </c>
      <c r="AV171" s="603">
        <v>101</v>
      </c>
      <c r="AW171" s="603">
        <v>314908</v>
      </c>
      <c r="AX171" s="603">
        <v>0</v>
      </c>
      <c r="AY171" s="603">
        <v>0</v>
      </c>
      <c r="AZ171" s="603">
        <v>0</v>
      </c>
      <c r="BA171" s="603">
        <v>134152</v>
      </c>
      <c r="BB171" s="603">
        <v>0</v>
      </c>
    </row>
    <row r="172" spans="1:54" x14ac:dyDescent="0.25">
      <c r="A172">
        <v>995</v>
      </c>
      <c r="B172">
        <v>995</v>
      </c>
      <c r="C172">
        <v>995</v>
      </c>
      <c r="D172" t="s">
        <v>370</v>
      </c>
      <c r="E172" t="s">
        <v>517</v>
      </c>
      <c r="F172" s="603">
        <v>0</v>
      </c>
      <c r="G172" s="603">
        <v>0</v>
      </c>
      <c r="H172" s="603">
        <v>0</v>
      </c>
      <c r="I172" s="603">
        <v>0</v>
      </c>
      <c r="J172" s="603">
        <v>0</v>
      </c>
      <c r="K172" s="603">
        <v>0</v>
      </c>
      <c r="L172" s="603">
        <v>0</v>
      </c>
      <c r="M172" s="603">
        <v>0</v>
      </c>
      <c r="N172" s="603">
        <v>0</v>
      </c>
      <c r="O172" s="603">
        <v>0</v>
      </c>
      <c r="P172" s="603">
        <v>0</v>
      </c>
      <c r="Q172" s="603">
        <v>0</v>
      </c>
      <c r="R172" s="603">
        <v>0.09</v>
      </c>
      <c r="S172" s="603">
        <v>0</v>
      </c>
      <c r="T172" s="603">
        <v>0</v>
      </c>
      <c r="U172" s="603">
        <v>0</v>
      </c>
      <c r="V172" s="603">
        <v>0</v>
      </c>
      <c r="W172" s="603">
        <v>0.08</v>
      </c>
      <c r="X172" s="603">
        <v>0</v>
      </c>
      <c r="Y172" s="603">
        <v>0</v>
      </c>
      <c r="Z172" s="603">
        <v>0</v>
      </c>
      <c r="AA172" s="603">
        <v>0</v>
      </c>
      <c r="AB172" s="603">
        <v>0</v>
      </c>
      <c r="AC172" s="603">
        <v>0</v>
      </c>
      <c r="AD172" s="603">
        <v>0</v>
      </c>
      <c r="AE172" s="603">
        <v>0</v>
      </c>
      <c r="AF172" s="603">
        <v>0</v>
      </c>
      <c r="AG172" s="603">
        <v>0</v>
      </c>
      <c r="AH172" s="603">
        <v>0</v>
      </c>
      <c r="AI172" s="603">
        <v>0</v>
      </c>
      <c r="AJ172" s="603">
        <v>0</v>
      </c>
      <c r="AK172" s="603">
        <v>0</v>
      </c>
      <c r="AL172" s="603">
        <v>0</v>
      </c>
      <c r="AM172" s="603">
        <v>0</v>
      </c>
      <c r="AN172" s="603">
        <v>0</v>
      </c>
      <c r="AO172" s="603">
        <v>0</v>
      </c>
      <c r="AP172" s="603">
        <v>0</v>
      </c>
      <c r="AQ172" s="603">
        <v>0</v>
      </c>
      <c r="AR172" s="603">
        <v>0</v>
      </c>
      <c r="AS172" s="603">
        <v>0</v>
      </c>
      <c r="AT172" s="603">
        <v>0</v>
      </c>
      <c r="AU172" s="603">
        <v>0</v>
      </c>
      <c r="AV172" s="603">
        <v>0</v>
      </c>
      <c r="AW172" s="603">
        <v>0</v>
      </c>
      <c r="AX172" s="603">
        <v>0</v>
      </c>
      <c r="AY172" s="603">
        <v>0</v>
      </c>
      <c r="AZ172" s="603">
        <v>0</v>
      </c>
      <c r="BA172" s="603">
        <v>0</v>
      </c>
      <c r="BB172" s="603">
        <v>0</v>
      </c>
    </row>
    <row r="173" spans="1:54" x14ac:dyDescent="0.25">
      <c r="A173">
        <v>996</v>
      </c>
      <c r="B173">
        <v>996</v>
      </c>
      <c r="C173">
        <v>996</v>
      </c>
      <c r="D173" t="s">
        <v>518</v>
      </c>
      <c r="E173" t="s">
        <v>519</v>
      </c>
      <c r="F173" s="603">
        <v>0.01</v>
      </c>
      <c r="G173" s="603">
        <v>0.01</v>
      </c>
      <c r="H173" s="603">
        <v>0.01</v>
      </c>
      <c r="I173" s="603">
        <v>0.01</v>
      </c>
      <c r="J173" s="603">
        <v>0.01</v>
      </c>
      <c r="K173" s="603">
        <v>0.01</v>
      </c>
      <c r="L173" s="603">
        <v>0.01</v>
      </c>
      <c r="M173" s="603">
        <v>0.01</v>
      </c>
      <c r="N173" s="603">
        <v>0.01</v>
      </c>
      <c r="O173" s="603">
        <v>0.01</v>
      </c>
      <c r="P173" s="603">
        <v>0.01</v>
      </c>
      <c r="Q173" s="603">
        <v>0.01</v>
      </c>
      <c r="R173" s="603">
        <v>0.01</v>
      </c>
      <c r="S173" s="603">
        <v>0.01</v>
      </c>
      <c r="T173" s="603">
        <v>0.01</v>
      </c>
      <c r="U173" s="603">
        <v>0.01</v>
      </c>
      <c r="V173" s="603">
        <v>0</v>
      </c>
      <c r="W173" s="603">
        <v>0</v>
      </c>
      <c r="X173" s="603">
        <v>0.01</v>
      </c>
      <c r="Y173" s="603">
        <v>0.01</v>
      </c>
      <c r="Z173" s="603">
        <v>0.01</v>
      </c>
      <c r="AA173" s="603">
        <v>0.01</v>
      </c>
      <c r="AB173" s="603">
        <v>0.01</v>
      </c>
      <c r="AC173" s="603">
        <v>0.01</v>
      </c>
      <c r="AD173" s="603">
        <v>0.01</v>
      </c>
      <c r="AE173" s="603">
        <v>0.01</v>
      </c>
      <c r="AF173" s="603">
        <v>0.01</v>
      </c>
      <c r="AG173" s="603">
        <v>0.01</v>
      </c>
      <c r="AH173" s="603">
        <v>0.01</v>
      </c>
      <c r="AI173" s="603">
        <v>0.01</v>
      </c>
      <c r="AJ173" s="603">
        <v>0.01</v>
      </c>
      <c r="AK173" s="603">
        <v>0.01</v>
      </c>
      <c r="AL173" s="603">
        <v>0.01</v>
      </c>
      <c r="AM173" s="603">
        <v>0.01</v>
      </c>
      <c r="AN173" s="603">
        <v>0.01</v>
      </c>
      <c r="AO173" s="603">
        <v>0.01</v>
      </c>
      <c r="AP173" s="603">
        <v>0.01</v>
      </c>
      <c r="AQ173" s="603">
        <v>0.01</v>
      </c>
      <c r="AR173" s="603">
        <v>0.01</v>
      </c>
      <c r="AS173" s="603">
        <v>0.01</v>
      </c>
      <c r="AT173" s="603">
        <v>0.01</v>
      </c>
      <c r="AU173" s="603">
        <v>0.01</v>
      </c>
      <c r="AV173" s="603">
        <v>0.01</v>
      </c>
      <c r="AW173" s="603">
        <v>0.01</v>
      </c>
      <c r="AX173" s="603">
        <v>0.01</v>
      </c>
      <c r="AY173" s="603">
        <v>0.01</v>
      </c>
      <c r="AZ173" s="603">
        <v>0.01</v>
      </c>
      <c r="BA173" s="603">
        <v>0.01</v>
      </c>
      <c r="BB173" s="603">
        <v>0.01</v>
      </c>
    </row>
    <row r="174" spans="1:54" x14ac:dyDescent="0.25">
      <c r="A174">
        <v>998</v>
      </c>
      <c r="B174">
        <v>998</v>
      </c>
      <c r="C174">
        <v>998</v>
      </c>
      <c r="D174" t="s">
        <v>372</v>
      </c>
      <c r="E174" t="s">
        <v>520</v>
      </c>
      <c r="F174" s="603">
        <v>59</v>
      </c>
      <c r="G174" s="603">
        <v>59</v>
      </c>
      <c r="H174" s="603">
        <v>59</v>
      </c>
      <c r="I174" s="603">
        <v>59</v>
      </c>
      <c r="J174" s="603">
        <v>59</v>
      </c>
      <c r="K174" s="603">
        <v>59</v>
      </c>
      <c r="L174" s="603">
        <v>59</v>
      </c>
      <c r="M174" s="603">
        <v>59</v>
      </c>
      <c r="N174" s="603">
        <v>59</v>
      </c>
      <c r="O174" s="603">
        <v>59</v>
      </c>
      <c r="P174" s="603">
        <v>59</v>
      </c>
      <c r="Q174" s="603">
        <v>59</v>
      </c>
      <c r="R174" s="603">
        <v>59</v>
      </c>
      <c r="S174" s="603">
        <v>59</v>
      </c>
      <c r="T174" s="603">
        <v>59</v>
      </c>
      <c r="U174" s="603">
        <v>59</v>
      </c>
      <c r="V174" s="603">
        <v>0</v>
      </c>
      <c r="W174" s="603">
        <v>59</v>
      </c>
      <c r="X174" s="603">
        <v>59</v>
      </c>
      <c r="Y174" s="603">
        <v>59</v>
      </c>
      <c r="Z174" s="603">
        <v>59</v>
      </c>
      <c r="AA174" s="603">
        <v>59</v>
      </c>
      <c r="AB174" s="603">
        <v>59</v>
      </c>
      <c r="AC174" s="603">
        <v>59</v>
      </c>
      <c r="AD174" s="603">
        <v>59</v>
      </c>
      <c r="AE174" s="603">
        <v>59</v>
      </c>
      <c r="AF174" s="603">
        <v>59</v>
      </c>
      <c r="AG174" s="603">
        <v>59</v>
      </c>
      <c r="AH174" s="603">
        <v>59</v>
      </c>
      <c r="AI174" s="603">
        <v>59</v>
      </c>
      <c r="AJ174" s="603">
        <v>59</v>
      </c>
      <c r="AK174" s="603">
        <v>59</v>
      </c>
      <c r="AL174" s="603">
        <v>59</v>
      </c>
      <c r="AM174" s="603">
        <v>59</v>
      </c>
      <c r="AN174" s="603">
        <v>59</v>
      </c>
      <c r="AO174" s="603">
        <v>59</v>
      </c>
      <c r="AP174" s="603">
        <v>59</v>
      </c>
      <c r="AQ174" s="603">
        <v>59</v>
      </c>
      <c r="AR174" s="603">
        <v>59</v>
      </c>
      <c r="AS174" s="603">
        <v>59</v>
      </c>
      <c r="AT174" s="603">
        <v>59</v>
      </c>
      <c r="AU174" s="603">
        <v>59</v>
      </c>
      <c r="AV174" s="603">
        <v>59</v>
      </c>
      <c r="AW174" s="603">
        <v>59</v>
      </c>
      <c r="AX174" s="603">
        <v>59</v>
      </c>
      <c r="AY174" s="603">
        <v>59</v>
      </c>
      <c r="AZ174" s="603">
        <v>59</v>
      </c>
      <c r="BA174" s="603">
        <v>59</v>
      </c>
      <c r="BB174" s="603">
        <v>59</v>
      </c>
    </row>
    <row r="175" spans="1:54" x14ac:dyDescent="0.25">
      <c r="A175">
        <v>999</v>
      </c>
      <c r="B175">
        <v>999</v>
      </c>
      <c r="C175">
        <v>999</v>
      </c>
      <c r="D175" t="s">
        <v>373</v>
      </c>
      <c r="E175" t="s">
        <v>521</v>
      </c>
      <c r="F175" s="721">
        <v>591706</v>
      </c>
      <c r="G175" s="721">
        <v>591600</v>
      </c>
      <c r="H175" s="721">
        <v>592152</v>
      </c>
      <c r="I175" s="721">
        <v>591612</v>
      </c>
      <c r="J175" s="721">
        <v>591752</v>
      </c>
      <c r="K175" s="721">
        <v>591715</v>
      </c>
      <c r="L175" s="721">
        <v>592388</v>
      </c>
      <c r="M175" s="721">
        <v>591603</v>
      </c>
      <c r="N175" s="721">
        <v>591604</v>
      </c>
      <c r="O175" s="721">
        <v>591721</v>
      </c>
      <c r="P175" s="721">
        <v>591605</v>
      </c>
      <c r="Q175" s="721">
        <v>591632</v>
      </c>
      <c r="R175" s="721">
        <v>594150</v>
      </c>
      <c r="S175" s="721">
        <v>591606</v>
      </c>
      <c r="T175" s="721">
        <v>592181</v>
      </c>
      <c r="U175" s="721">
        <v>591607</v>
      </c>
      <c r="V175" s="721">
        <v>0</v>
      </c>
      <c r="W175" s="721">
        <v>591737</v>
      </c>
      <c r="X175" s="721">
        <v>591609</v>
      </c>
      <c r="Y175" s="721">
        <v>591610</v>
      </c>
      <c r="Z175" s="721">
        <v>591611</v>
      </c>
      <c r="AA175" s="721">
        <v>591749</v>
      </c>
      <c r="AB175" s="721">
        <v>591613</v>
      </c>
      <c r="AC175" s="721">
        <v>592396</v>
      </c>
      <c r="AD175" s="721">
        <v>591614</v>
      </c>
      <c r="AE175" s="721">
        <v>592180</v>
      </c>
      <c r="AF175" s="721">
        <v>591615</v>
      </c>
      <c r="AG175" s="721">
        <v>591616</v>
      </c>
      <c r="AH175" s="721">
        <v>592158</v>
      </c>
      <c r="AI175" s="721">
        <v>591759</v>
      </c>
      <c r="AJ175" s="721">
        <v>591762</v>
      </c>
      <c r="AK175" s="721">
        <v>591618</v>
      </c>
      <c r="AL175" s="721">
        <v>591619</v>
      </c>
      <c r="AM175" s="721">
        <v>591770</v>
      </c>
      <c r="AN175" s="721">
        <v>591620</v>
      </c>
      <c r="AO175" s="721">
        <v>592357</v>
      </c>
      <c r="AP175" s="721">
        <v>59713</v>
      </c>
      <c r="AQ175" s="721">
        <v>591622</v>
      </c>
      <c r="AR175" s="721">
        <v>591623</v>
      </c>
      <c r="AS175" s="721">
        <v>591624</v>
      </c>
      <c r="AT175" s="721">
        <v>592368</v>
      </c>
      <c r="AU175" s="721">
        <v>592155</v>
      </c>
      <c r="AV175" s="721">
        <v>591633</v>
      </c>
      <c r="AW175" s="721">
        <v>591768</v>
      </c>
      <c r="AX175" s="721">
        <v>591634</v>
      </c>
      <c r="AY175" s="721">
        <v>591627</v>
      </c>
      <c r="AZ175" s="721">
        <v>591628</v>
      </c>
      <c r="BA175" s="721">
        <v>591629</v>
      </c>
      <c r="BB175" s="721">
        <v>591636</v>
      </c>
    </row>
    <row r="176" spans="1:54" x14ac:dyDescent="0.25">
      <c r="C176">
        <v>537</v>
      </c>
      <c r="D176" t="s">
        <v>975</v>
      </c>
      <c r="F176" s="603" t="s">
        <v>75</v>
      </c>
      <c r="G176" s="603" t="s">
        <v>74</v>
      </c>
      <c r="H176" s="603" t="s">
        <v>75</v>
      </c>
      <c r="I176" s="603" t="s">
        <v>75</v>
      </c>
      <c r="J176" s="603" t="s">
        <v>74</v>
      </c>
      <c r="K176" s="603" t="s">
        <v>74</v>
      </c>
      <c r="L176" s="603" t="s">
        <v>75</v>
      </c>
      <c r="M176" s="603" t="s">
        <v>75</v>
      </c>
      <c r="N176" s="603" t="s">
        <v>75</v>
      </c>
      <c r="O176" s="603" t="s">
        <v>74</v>
      </c>
      <c r="P176" s="603" t="s">
        <v>74</v>
      </c>
      <c r="Q176" s="603" t="s">
        <v>75</v>
      </c>
      <c r="R176" s="603" t="s">
        <v>74</v>
      </c>
      <c r="S176" s="603" t="s">
        <v>75</v>
      </c>
      <c r="T176" s="603" t="s">
        <v>74</v>
      </c>
      <c r="U176" s="603" t="s">
        <v>74</v>
      </c>
      <c r="V176" s="603" t="s">
        <v>75</v>
      </c>
      <c r="W176" s="603" t="s">
        <v>74</v>
      </c>
      <c r="X176" s="603" t="s">
        <v>75</v>
      </c>
      <c r="Y176" s="603" t="s">
        <v>75</v>
      </c>
      <c r="Z176" s="603" t="s">
        <v>75</v>
      </c>
      <c r="AA176" s="603" t="s">
        <v>75</v>
      </c>
      <c r="AB176" s="603" t="s">
        <v>74</v>
      </c>
      <c r="AC176" s="603" t="s">
        <v>75</v>
      </c>
      <c r="AD176" s="603" t="s">
        <v>74</v>
      </c>
      <c r="AE176" s="603" t="s">
        <v>75</v>
      </c>
      <c r="AF176" s="603" t="s">
        <v>74</v>
      </c>
      <c r="AG176" s="603" t="s">
        <v>75</v>
      </c>
      <c r="AH176" s="603" t="s">
        <v>74</v>
      </c>
      <c r="AI176" s="603" t="s">
        <v>75</v>
      </c>
      <c r="AJ176" s="603" t="s">
        <v>75</v>
      </c>
      <c r="AK176" s="603" t="s">
        <v>75</v>
      </c>
      <c r="AL176" s="603" t="s">
        <v>75</v>
      </c>
      <c r="AM176" s="603" t="s">
        <v>75</v>
      </c>
      <c r="AN176" s="603" t="s">
        <v>75</v>
      </c>
      <c r="AO176" s="603" t="s">
        <v>75</v>
      </c>
      <c r="AP176" s="603" t="s">
        <v>75</v>
      </c>
      <c r="AQ176" s="603" t="s">
        <v>74</v>
      </c>
      <c r="AR176" s="603" t="s">
        <v>75</v>
      </c>
      <c r="AS176" s="603" t="s">
        <v>74</v>
      </c>
      <c r="AT176" s="603" t="s">
        <v>75</v>
      </c>
      <c r="AU176" s="603" t="s">
        <v>75</v>
      </c>
      <c r="AV176" s="603" t="s">
        <v>75</v>
      </c>
      <c r="AW176" s="603" t="s">
        <v>74</v>
      </c>
      <c r="AX176" s="603" t="s">
        <v>75</v>
      </c>
      <c r="AY176" s="603" t="s">
        <v>75</v>
      </c>
      <c r="AZ176" s="603" t="s">
        <v>75</v>
      </c>
      <c r="BA176" s="603" t="s">
        <v>74</v>
      </c>
      <c r="BB176" s="603" t="s">
        <v>74</v>
      </c>
    </row>
    <row r="177" spans="1:54" x14ac:dyDescent="0.25">
      <c r="C177">
        <v>538</v>
      </c>
      <c r="D177" t="s">
        <v>975</v>
      </c>
      <c r="F177" s="603" t="s">
        <v>75</v>
      </c>
      <c r="G177" s="603" t="s">
        <v>74</v>
      </c>
      <c r="H177" s="603" t="s">
        <v>74</v>
      </c>
      <c r="I177" s="603" t="s">
        <v>75</v>
      </c>
      <c r="J177" s="603" t="s">
        <v>74</v>
      </c>
      <c r="K177" s="603" t="s">
        <v>75</v>
      </c>
      <c r="L177" s="603" t="s">
        <v>75</v>
      </c>
      <c r="M177" s="603" t="s">
        <v>75</v>
      </c>
      <c r="N177" s="603" t="s">
        <v>75</v>
      </c>
      <c r="O177" s="603" t="s">
        <v>74</v>
      </c>
      <c r="P177" s="603" t="s">
        <v>74</v>
      </c>
      <c r="Q177" s="603" t="s">
        <v>75</v>
      </c>
      <c r="R177" s="603" t="s">
        <v>74</v>
      </c>
      <c r="S177" s="603" t="s">
        <v>75</v>
      </c>
      <c r="T177" s="603" t="s">
        <v>74</v>
      </c>
      <c r="U177" s="603" t="s">
        <v>75</v>
      </c>
      <c r="V177" s="603" t="s">
        <v>75</v>
      </c>
      <c r="W177" s="603" t="s">
        <v>74</v>
      </c>
      <c r="X177" s="603" t="s">
        <v>75</v>
      </c>
      <c r="Y177" s="603" t="s">
        <v>75</v>
      </c>
      <c r="Z177" s="603" t="s">
        <v>75</v>
      </c>
      <c r="AA177" s="603" t="s">
        <v>75</v>
      </c>
      <c r="AB177" s="603" t="s">
        <v>74</v>
      </c>
      <c r="AC177" s="603" t="s">
        <v>75</v>
      </c>
      <c r="AD177" s="603" t="s">
        <v>75</v>
      </c>
      <c r="AE177" s="603" t="s">
        <v>75</v>
      </c>
      <c r="AF177" s="603" t="s">
        <v>74</v>
      </c>
      <c r="AG177" s="603" t="s">
        <v>75</v>
      </c>
      <c r="AH177" s="603" t="s">
        <v>74</v>
      </c>
      <c r="AI177" s="603" t="s">
        <v>74</v>
      </c>
      <c r="AJ177" s="603" t="s">
        <v>74</v>
      </c>
      <c r="AK177" s="603" t="s">
        <v>75</v>
      </c>
      <c r="AL177" s="603" t="s">
        <v>75</v>
      </c>
      <c r="AM177" s="603" t="s">
        <v>75</v>
      </c>
      <c r="AN177" s="603" t="s">
        <v>75</v>
      </c>
      <c r="AO177" s="603" t="s">
        <v>74</v>
      </c>
      <c r="AP177" s="603" t="s">
        <v>75</v>
      </c>
      <c r="AQ177" s="603" t="s">
        <v>74</v>
      </c>
      <c r="AR177" s="603" t="s">
        <v>74</v>
      </c>
      <c r="AS177" s="603" t="s">
        <v>74</v>
      </c>
      <c r="AT177" s="603" t="s">
        <v>75</v>
      </c>
      <c r="AU177" s="603" t="s">
        <v>74</v>
      </c>
      <c r="AV177" s="603" t="s">
        <v>75</v>
      </c>
      <c r="AW177" s="603" t="s">
        <v>74</v>
      </c>
      <c r="AX177" s="603" t="s">
        <v>75</v>
      </c>
      <c r="AY177" s="603" t="s">
        <v>75</v>
      </c>
      <c r="AZ177" s="603" t="s">
        <v>75</v>
      </c>
      <c r="BA177" s="603" t="s">
        <v>74</v>
      </c>
      <c r="BB177" s="603" t="s">
        <v>74</v>
      </c>
    </row>
    <row r="178" spans="1:54" x14ac:dyDescent="0.25">
      <c r="A178">
        <v>598</v>
      </c>
      <c r="C178">
        <v>598</v>
      </c>
      <c r="D178" t="s">
        <v>642</v>
      </c>
      <c r="F178" s="603">
        <v>0</v>
      </c>
      <c r="G178" s="603">
        <v>0</v>
      </c>
      <c r="H178" s="603">
        <v>0</v>
      </c>
      <c r="I178" s="603">
        <v>0</v>
      </c>
      <c r="J178" s="603">
        <v>0</v>
      </c>
      <c r="K178" s="603">
        <v>0</v>
      </c>
      <c r="L178" s="603">
        <v>0</v>
      </c>
      <c r="M178" s="603">
        <v>0</v>
      </c>
      <c r="N178" s="603">
        <v>0</v>
      </c>
      <c r="O178" s="603">
        <v>0</v>
      </c>
      <c r="P178" s="603">
        <v>0</v>
      </c>
      <c r="Q178" s="603">
        <v>0</v>
      </c>
      <c r="R178" s="603">
        <v>0</v>
      </c>
      <c r="S178" s="603">
        <v>0</v>
      </c>
      <c r="T178" s="603">
        <v>0</v>
      </c>
      <c r="U178" s="603">
        <v>0</v>
      </c>
      <c r="V178" s="603">
        <v>0</v>
      </c>
      <c r="W178" s="603">
        <v>0</v>
      </c>
      <c r="X178" s="603">
        <v>0</v>
      </c>
      <c r="Y178" s="603">
        <v>0</v>
      </c>
      <c r="Z178" s="603">
        <v>0</v>
      </c>
      <c r="AA178" s="603">
        <v>0</v>
      </c>
      <c r="AB178" s="603">
        <v>0</v>
      </c>
      <c r="AC178" s="603">
        <v>0</v>
      </c>
      <c r="AD178" s="603">
        <v>0</v>
      </c>
      <c r="AE178" s="603">
        <v>0</v>
      </c>
      <c r="AF178" s="603">
        <v>0</v>
      </c>
      <c r="AG178" s="603">
        <v>0</v>
      </c>
      <c r="AH178" s="603">
        <v>0</v>
      </c>
      <c r="AI178" s="603">
        <v>0</v>
      </c>
      <c r="AJ178" s="603">
        <v>0</v>
      </c>
      <c r="AK178" s="603">
        <v>0</v>
      </c>
      <c r="AL178" s="603">
        <v>0</v>
      </c>
      <c r="AM178" s="603">
        <v>0</v>
      </c>
      <c r="AN178" s="603">
        <v>0</v>
      </c>
      <c r="AO178" s="603">
        <v>0</v>
      </c>
      <c r="AP178" s="603">
        <v>0</v>
      </c>
      <c r="AQ178" s="603">
        <v>0</v>
      </c>
      <c r="AR178" s="603">
        <v>0</v>
      </c>
      <c r="AS178" s="603">
        <v>0</v>
      </c>
      <c r="AT178" s="603">
        <v>0</v>
      </c>
      <c r="AU178" s="603">
        <v>0</v>
      </c>
      <c r="AV178" s="603">
        <v>0</v>
      </c>
      <c r="AW178" s="603">
        <v>0</v>
      </c>
      <c r="AX178" s="603">
        <v>0</v>
      </c>
      <c r="AY178" s="603">
        <v>0</v>
      </c>
      <c r="AZ178" s="603">
        <v>0</v>
      </c>
      <c r="BA178" s="603">
        <v>0</v>
      </c>
      <c r="BB178" s="603">
        <v>0</v>
      </c>
    </row>
    <row r="179" spans="1:54" x14ac:dyDescent="0.25">
      <c r="A179">
        <v>599</v>
      </c>
      <c r="C179">
        <v>599</v>
      </c>
      <c r="D179" t="s">
        <v>641</v>
      </c>
      <c r="F179" s="603">
        <v>0</v>
      </c>
      <c r="G179" s="603">
        <v>0</v>
      </c>
      <c r="H179" s="603">
        <v>0</v>
      </c>
      <c r="I179" s="603">
        <v>0</v>
      </c>
      <c r="J179" s="603">
        <v>0</v>
      </c>
      <c r="K179" s="603">
        <v>0</v>
      </c>
      <c r="L179" s="603">
        <v>0</v>
      </c>
      <c r="M179" s="603">
        <v>0</v>
      </c>
      <c r="N179" s="603">
        <v>0</v>
      </c>
      <c r="O179" s="603">
        <v>0</v>
      </c>
      <c r="P179" s="603">
        <v>0</v>
      </c>
      <c r="Q179" s="603">
        <v>0</v>
      </c>
      <c r="R179" s="603">
        <v>0</v>
      </c>
      <c r="S179" s="603">
        <v>0</v>
      </c>
      <c r="T179" s="603">
        <v>0</v>
      </c>
      <c r="U179" s="603">
        <v>0</v>
      </c>
      <c r="V179" s="603">
        <v>0</v>
      </c>
      <c r="W179" s="603">
        <v>0</v>
      </c>
      <c r="X179" s="603">
        <v>0</v>
      </c>
      <c r="Y179" s="603">
        <v>0</v>
      </c>
      <c r="Z179" s="603">
        <v>0</v>
      </c>
      <c r="AA179" s="603">
        <v>0</v>
      </c>
      <c r="AB179" s="603">
        <v>0</v>
      </c>
      <c r="AC179" s="603">
        <v>0</v>
      </c>
      <c r="AD179" s="603">
        <v>0</v>
      </c>
      <c r="AE179" s="603">
        <v>0</v>
      </c>
      <c r="AF179" s="603">
        <v>0</v>
      </c>
      <c r="AG179" s="603">
        <v>0</v>
      </c>
      <c r="AH179" s="603">
        <v>0</v>
      </c>
      <c r="AI179" s="603">
        <v>0</v>
      </c>
      <c r="AJ179" s="603">
        <v>0</v>
      </c>
      <c r="AK179" s="603">
        <v>0</v>
      </c>
      <c r="AL179" s="603">
        <v>0</v>
      </c>
      <c r="AM179" s="603">
        <v>0</v>
      </c>
      <c r="AN179" s="603">
        <v>0</v>
      </c>
      <c r="AO179" s="603">
        <v>0</v>
      </c>
      <c r="AP179" s="603">
        <v>0</v>
      </c>
      <c r="AQ179" s="603">
        <v>0</v>
      </c>
      <c r="AR179" s="603">
        <v>0</v>
      </c>
      <c r="AS179" s="603">
        <v>0</v>
      </c>
      <c r="AT179" s="603">
        <v>0</v>
      </c>
      <c r="AU179" s="603">
        <v>0</v>
      </c>
      <c r="AV179" s="603">
        <v>0</v>
      </c>
      <c r="AW179" s="603">
        <v>0</v>
      </c>
      <c r="AX179" s="603">
        <v>0</v>
      </c>
      <c r="AY179" s="603">
        <v>0</v>
      </c>
      <c r="AZ179" s="603">
        <v>0</v>
      </c>
      <c r="BA179" s="603">
        <v>0</v>
      </c>
      <c r="BB179" s="603">
        <v>0</v>
      </c>
    </row>
    <row r="180" spans="1:54" ht="105" x14ac:dyDescent="0.25">
      <c r="C180">
        <v>600</v>
      </c>
      <c r="D180" s="612" t="s">
        <v>976</v>
      </c>
      <c r="F180" s="603">
        <v>0</v>
      </c>
      <c r="G180" s="603">
        <v>0</v>
      </c>
      <c r="H180" s="603">
        <v>0</v>
      </c>
      <c r="I180" s="603">
        <v>0</v>
      </c>
      <c r="J180" s="603">
        <v>0</v>
      </c>
      <c r="K180" s="603">
        <v>0</v>
      </c>
      <c r="L180" s="603">
        <v>0</v>
      </c>
      <c r="M180" s="603">
        <v>0</v>
      </c>
      <c r="N180" s="603">
        <v>0</v>
      </c>
      <c r="O180" s="603">
        <v>0</v>
      </c>
      <c r="P180" s="603">
        <v>0</v>
      </c>
      <c r="Q180" s="603">
        <v>0</v>
      </c>
      <c r="R180" s="603">
        <v>0</v>
      </c>
      <c r="S180" s="603">
        <v>0</v>
      </c>
      <c r="T180" s="603">
        <v>0</v>
      </c>
      <c r="U180" s="603">
        <v>0</v>
      </c>
      <c r="V180" s="603">
        <v>0</v>
      </c>
      <c r="W180" s="603">
        <v>0</v>
      </c>
      <c r="X180" s="603">
        <v>0</v>
      </c>
      <c r="Y180" s="603">
        <v>0</v>
      </c>
      <c r="Z180" s="603">
        <v>0</v>
      </c>
      <c r="AA180" s="603">
        <v>0</v>
      </c>
      <c r="AB180" s="603">
        <v>0</v>
      </c>
      <c r="AC180" s="603">
        <v>0</v>
      </c>
      <c r="AD180" s="603">
        <v>0</v>
      </c>
      <c r="AE180" s="603">
        <v>0</v>
      </c>
      <c r="AF180" s="603">
        <v>0</v>
      </c>
      <c r="AG180" s="603">
        <v>0</v>
      </c>
      <c r="AH180" s="603">
        <v>0</v>
      </c>
      <c r="AI180" s="603">
        <v>0</v>
      </c>
      <c r="AJ180" s="603">
        <v>0</v>
      </c>
      <c r="AK180" s="603">
        <v>0</v>
      </c>
      <c r="AL180" s="603">
        <v>0</v>
      </c>
      <c r="AM180" s="603">
        <v>0</v>
      </c>
      <c r="AN180" s="603">
        <v>0</v>
      </c>
      <c r="AO180" s="603">
        <v>0</v>
      </c>
      <c r="AP180" s="603">
        <v>0</v>
      </c>
      <c r="AQ180" s="603">
        <v>0</v>
      </c>
      <c r="AR180" s="603">
        <v>0</v>
      </c>
      <c r="AS180" s="603">
        <v>0</v>
      </c>
      <c r="AT180" s="603">
        <v>0</v>
      </c>
      <c r="AU180" s="603">
        <v>0</v>
      </c>
      <c r="AV180" s="603">
        <v>0</v>
      </c>
      <c r="AW180" s="603">
        <v>0</v>
      </c>
      <c r="AX180" s="603">
        <v>0</v>
      </c>
      <c r="AY180" s="603">
        <v>0</v>
      </c>
      <c r="AZ180" s="603">
        <v>0</v>
      </c>
      <c r="BA180" s="603">
        <v>0</v>
      </c>
      <c r="BB180" s="603">
        <v>0</v>
      </c>
    </row>
    <row r="181" spans="1:54" ht="180" x14ac:dyDescent="0.25">
      <c r="C181">
        <v>601</v>
      </c>
      <c r="D181" s="612" t="s">
        <v>977</v>
      </c>
      <c r="F181" s="603">
        <v>0</v>
      </c>
      <c r="G181" s="603">
        <v>0</v>
      </c>
      <c r="H181" s="603">
        <v>0</v>
      </c>
      <c r="I181" s="603">
        <v>0</v>
      </c>
      <c r="J181" s="603">
        <v>0</v>
      </c>
      <c r="K181" s="603">
        <v>0</v>
      </c>
      <c r="L181" s="603">
        <v>0</v>
      </c>
      <c r="M181" s="603">
        <v>0</v>
      </c>
      <c r="N181" s="603">
        <v>0</v>
      </c>
      <c r="O181" s="603">
        <v>0</v>
      </c>
      <c r="P181" s="603">
        <v>0</v>
      </c>
      <c r="Q181" s="603">
        <v>0</v>
      </c>
      <c r="R181" s="603">
        <v>0</v>
      </c>
      <c r="S181" s="603">
        <v>0</v>
      </c>
      <c r="T181" s="603">
        <v>0</v>
      </c>
      <c r="U181" s="603">
        <v>0</v>
      </c>
      <c r="V181" s="603">
        <v>0</v>
      </c>
      <c r="W181" s="603">
        <v>0</v>
      </c>
      <c r="X181" s="603">
        <v>0</v>
      </c>
      <c r="Y181" s="603">
        <v>0</v>
      </c>
      <c r="Z181" s="603">
        <v>0</v>
      </c>
      <c r="AA181" s="603">
        <v>0</v>
      </c>
      <c r="AB181" s="603">
        <v>0</v>
      </c>
      <c r="AC181" s="603">
        <v>0</v>
      </c>
      <c r="AD181" s="603">
        <v>0</v>
      </c>
      <c r="AE181" s="603">
        <v>0</v>
      </c>
      <c r="AF181" s="603">
        <v>0</v>
      </c>
      <c r="AG181" s="603">
        <v>0</v>
      </c>
      <c r="AH181" s="603">
        <v>0</v>
      </c>
      <c r="AI181" s="603">
        <v>0</v>
      </c>
      <c r="AJ181" s="603">
        <v>0</v>
      </c>
      <c r="AK181" s="603">
        <v>0</v>
      </c>
      <c r="AL181" s="603">
        <v>0</v>
      </c>
      <c r="AM181" s="603">
        <v>0</v>
      </c>
      <c r="AN181" s="603">
        <v>0</v>
      </c>
      <c r="AO181" s="603">
        <v>0</v>
      </c>
      <c r="AP181" s="603">
        <v>0</v>
      </c>
      <c r="AQ181" s="603">
        <v>0</v>
      </c>
      <c r="AR181" s="603">
        <v>0</v>
      </c>
      <c r="AS181" s="603">
        <v>0</v>
      </c>
      <c r="AT181" s="603">
        <v>0</v>
      </c>
      <c r="AU181" s="603">
        <v>0</v>
      </c>
      <c r="AV181" s="603">
        <v>0</v>
      </c>
      <c r="AW181" s="603">
        <v>0</v>
      </c>
      <c r="AX181" s="603">
        <v>0</v>
      </c>
      <c r="AY181" s="603">
        <v>0</v>
      </c>
      <c r="AZ181" s="603">
        <v>0</v>
      </c>
      <c r="BA181" s="603">
        <v>0</v>
      </c>
      <c r="BB181" s="603">
        <v>0</v>
      </c>
    </row>
    <row r="182" spans="1:54" x14ac:dyDescent="0.25">
      <c r="A182">
        <v>602</v>
      </c>
      <c r="C182">
        <v>602</v>
      </c>
      <c r="D182" t="s">
        <v>643</v>
      </c>
      <c r="F182" s="603">
        <v>0</v>
      </c>
      <c r="G182" s="603">
        <v>0</v>
      </c>
      <c r="H182" s="603">
        <v>0</v>
      </c>
      <c r="I182" s="603">
        <v>0</v>
      </c>
      <c r="J182" s="603">
        <v>0</v>
      </c>
      <c r="K182" s="603">
        <v>0</v>
      </c>
      <c r="L182" s="603">
        <v>0</v>
      </c>
      <c r="M182" s="603">
        <v>0</v>
      </c>
      <c r="N182" s="603">
        <v>0</v>
      </c>
      <c r="O182" s="603">
        <v>0</v>
      </c>
      <c r="P182" s="603">
        <v>0</v>
      </c>
      <c r="Q182" s="603">
        <v>0</v>
      </c>
      <c r="R182" s="603">
        <v>0</v>
      </c>
      <c r="S182" s="603">
        <v>0</v>
      </c>
      <c r="T182" s="603">
        <v>0</v>
      </c>
      <c r="U182" s="603">
        <v>0</v>
      </c>
      <c r="V182" s="603">
        <v>0</v>
      </c>
      <c r="W182" s="603">
        <v>0</v>
      </c>
      <c r="X182" s="603">
        <v>0</v>
      </c>
      <c r="Y182" s="603">
        <v>0</v>
      </c>
      <c r="Z182" s="603">
        <v>0</v>
      </c>
      <c r="AA182" s="603">
        <v>0</v>
      </c>
      <c r="AB182" s="603">
        <v>0</v>
      </c>
      <c r="AC182" s="603">
        <v>0</v>
      </c>
      <c r="AD182" s="603">
        <v>0</v>
      </c>
      <c r="AE182" s="603">
        <v>0</v>
      </c>
      <c r="AF182" s="603">
        <v>0</v>
      </c>
      <c r="AG182" s="603">
        <v>0</v>
      </c>
      <c r="AH182" s="603">
        <v>0</v>
      </c>
      <c r="AI182" s="603">
        <v>0</v>
      </c>
      <c r="AJ182" s="603">
        <v>0</v>
      </c>
      <c r="AK182" s="603">
        <v>0</v>
      </c>
      <c r="AL182" s="603">
        <v>0</v>
      </c>
      <c r="AM182" s="603">
        <v>0</v>
      </c>
      <c r="AN182" s="603">
        <v>0</v>
      </c>
      <c r="AO182" s="603">
        <v>0</v>
      </c>
      <c r="AP182" s="603">
        <v>0</v>
      </c>
      <c r="AQ182" s="603">
        <v>0</v>
      </c>
      <c r="AR182" s="603">
        <v>0</v>
      </c>
      <c r="AS182" s="603">
        <v>0</v>
      </c>
      <c r="AT182" s="603">
        <v>0</v>
      </c>
      <c r="AU182" s="603">
        <v>0</v>
      </c>
      <c r="AV182" s="603">
        <v>0</v>
      </c>
      <c r="AW182" s="603">
        <v>0</v>
      </c>
      <c r="AX182" s="603">
        <v>0</v>
      </c>
      <c r="AY182" s="603">
        <v>0</v>
      </c>
      <c r="AZ182" s="603">
        <v>0</v>
      </c>
      <c r="BA182" s="603">
        <v>0</v>
      </c>
      <c r="BB182" s="603">
        <v>0</v>
      </c>
    </row>
    <row r="183" spans="1:54" ht="165" x14ac:dyDescent="0.25">
      <c r="A183">
        <v>603</v>
      </c>
      <c r="B183">
        <v>603</v>
      </c>
      <c r="C183">
        <v>603</v>
      </c>
      <c r="D183" s="612" t="s">
        <v>654</v>
      </c>
      <c r="F183" s="603">
        <v>2</v>
      </c>
      <c r="G183" s="603">
        <v>2</v>
      </c>
      <c r="H183" s="603">
        <v>2</v>
      </c>
      <c r="I183" s="603">
        <v>1</v>
      </c>
      <c r="J183" s="603">
        <v>1</v>
      </c>
      <c r="K183" s="603">
        <v>1</v>
      </c>
      <c r="L183" s="603">
        <v>1</v>
      </c>
      <c r="M183" s="603">
        <v>1</v>
      </c>
      <c r="N183" s="603">
        <v>0</v>
      </c>
      <c r="O183" s="603">
        <v>2</v>
      </c>
      <c r="P183" s="603">
        <v>1</v>
      </c>
      <c r="Q183" s="603">
        <v>1</v>
      </c>
      <c r="R183" s="603">
        <v>2</v>
      </c>
      <c r="S183" s="603">
        <v>1</v>
      </c>
      <c r="T183" s="603">
        <v>1</v>
      </c>
      <c r="U183" s="603">
        <v>4</v>
      </c>
      <c r="V183" s="603">
        <v>2</v>
      </c>
      <c r="W183" s="603">
        <v>1</v>
      </c>
      <c r="X183" s="603">
        <v>2</v>
      </c>
      <c r="Y183" s="603">
        <v>1</v>
      </c>
      <c r="Z183" s="603">
        <v>1</v>
      </c>
      <c r="AA183" s="603">
        <v>1</v>
      </c>
      <c r="AB183" s="603">
        <v>2</v>
      </c>
      <c r="AC183" s="603">
        <v>1</v>
      </c>
      <c r="AD183" s="603">
        <v>2</v>
      </c>
      <c r="AE183" s="603">
        <v>1</v>
      </c>
      <c r="AF183" s="603">
        <v>1</v>
      </c>
      <c r="AG183" s="603">
        <v>1</v>
      </c>
      <c r="AH183" s="603">
        <v>1</v>
      </c>
      <c r="AI183" s="603">
        <v>1</v>
      </c>
      <c r="AJ183" s="603">
        <v>1</v>
      </c>
      <c r="AK183" s="603">
        <v>4</v>
      </c>
      <c r="AL183" s="603">
        <v>1</v>
      </c>
      <c r="AM183" s="603">
        <v>6</v>
      </c>
      <c r="AN183" s="603">
        <v>2</v>
      </c>
      <c r="AO183" s="603">
        <v>1</v>
      </c>
      <c r="AP183" s="603">
        <v>2</v>
      </c>
      <c r="AQ183" s="603">
        <v>2</v>
      </c>
      <c r="AR183" s="603">
        <v>1</v>
      </c>
      <c r="AS183" s="603">
        <v>2</v>
      </c>
      <c r="AT183" s="603">
        <v>1</v>
      </c>
      <c r="AU183" s="603">
        <v>1</v>
      </c>
      <c r="AV183" s="603">
        <v>1</v>
      </c>
      <c r="AW183" s="603">
        <v>1</v>
      </c>
      <c r="AX183" s="603">
        <v>1</v>
      </c>
      <c r="AY183" s="603">
        <v>1</v>
      </c>
      <c r="AZ183" s="603">
        <v>1</v>
      </c>
      <c r="BA183" s="603">
        <v>4</v>
      </c>
      <c r="BB183" s="603">
        <v>1</v>
      </c>
    </row>
    <row r="184" spans="1:54" ht="120" x14ac:dyDescent="0.25">
      <c r="B184">
        <v>604</v>
      </c>
      <c r="C184">
        <v>604</v>
      </c>
      <c r="D184" s="612" t="s">
        <v>655</v>
      </c>
      <c r="F184" s="603"/>
      <c r="G184" s="603"/>
      <c r="H184" s="603"/>
      <c r="I184" s="603"/>
      <c r="J184" s="603"/>
      <c r="K184" s="603"/>
      <c r="L184" s="603"/>
      <c r="M184" s="603"/>
      <c r="N184" s="603"/>
      <c r="O184" s="603"/>
      <c r="P184" s="603"/>
      <c r="Q184" s="603"/>
      <c r="R184" s="603"/>
      <c r="S184" s="603"/>
      <c r="T184" s="603"/>
      <c r="U184" s="603"/>
      <c r="V184" s="603"/>
      <c r="W184" s="603"/>
      <c r="X184" s="603"/>
      <c r="Y184" s="603"/>
      <c r="Z184" s="603"/>
      <c r="AA184" s="603"/>
      <c r="AB184" s="603"/>
      <c r="AC184" s="603"/>
      <c r="AD184" s="603"/>
      <c r="AE184" s="603"/>
      <c r="AF184" s="603"/>
      <c r="AG184" s="603"/>
      <c r="AH184" s="603"/>
      <c r="AI184" s="603"/>
      <c r="AJ184" s="603"/>
      <c r="AK184" s="603"/>
      <c r="AL184" s="603"/>
      <c r="AM184" s="603"/>
      <c r="AN184" s="603"/>
      <c r="AO184" s="603"/>
      <c r="AP184" s="603"/>
      <c r="AQ184" s="603"/>
      <c r="AR184" s="603"/>
      <c r="AS184" s="603"/>
      <c r="AT184" s="603"/>
      <c r="AU184" s="603"/>
      <c r="AV184" s="603"/>
      <c r="AW184" s="603"/>
      <c r="AX184" s="603"/>
      <c r="AY184" s="603"/>
      <c r="AZ184" s="603"/>
      <c r="BA184" s="603"/>
      <c r="BB184" s="603"/>
    </row>
    <row r="185" spans="1:54" x14ac:dyDescent="0.25">
      <c r="A185">
        <v>605</v>
      </c>
      <c r="B185">
        <v>605</v>
      </c>
      <c r="C185">
        <v>605</v>
      </c>
      <c r="D185" t="s">
        <v>657</v>
      </c>
      <c r="F185" s="603">
        <v>1</v>
      </c>
      <c r="G185" s="603">
        <v>0</v>
      </c>
      <c r="H185" s="603">
        <v>1</v>
      </c>
      <c r="I185" s="603">
        <v>1</v>
      </c>
      <c r="J185" s="603">
        <v>1</v>
      </c>
      <c r="K185" s="603">
        <v>1</v>
      </c>
      <c r="L185" s="603">
        <v>1</v>
      </c>
      <c r="M185" s="603">
        <v>1</v>
      </c>
      <c r="N185" s="603">
        <v>0</v>
      </c>
      <c r="O185" s="603">
        <v>1</v>
      </c>
      <c r="P185" s="603">
        <v>1</v>
      </c>
      <c r="Q185" s="603">
        <v>1</v>
      </c>
      <c r="R185" s="603">
        <v>1</v>
      </c>
      <c r="S185" s="603">
        <v>1</v>
      </c>
      <c r="T185" s="603">
        <v>1</v>
      </c>
      <c r="U185" s="603">
        <v>1</v>
      </c>
      <c r="V185" s="603">
        <v>1</v>
      </c>
      <c r="W185" s="603">
        <v>1</v>
      </c>
      <c r="X185" s="603">
        <v>1</v>
      </c>
      <c r="Y185" s="603">
        <v>1</v>
      </c>
      <c r="Z185" s="603">
        <v>1</v>
      </c>
      <c r="AA185" s="603">
        <v>1</v>
      </c>
      <c r="AB185" s="603">
        <v>1</v>
      </c>
      <c r="AC185" s="603">
        <v>1</v>
      </c>
      <c r="AD185" s="603">
        <v>1</v>
      </c>
      <c r="AE185" s="603">
        <v>1</v>
      </c>
      <c r="AF185" s="603">
        <v>1</v>
      </c>
      <c r="AG185" s="603">
        <v>1</v>
      </c>
      <c r="AH185" s="603">
        <v>1</v>
      </c>
      <c r="AI185" s="603">
        <v>1</v>
      </c>
      <c r="AJ185" s="603">
        <v>1</v>
      </c>
      <c r="AK185" s="603">
        <v>1</v>
      </c>
      <c r="AL185" s="603">
        <v>1</v>
      </c>
      <c r="AM185" s="603">
        <v>1</v>
      </c>
      <c r="AN185" s="603">
        <v>1</v>
      </c>
      <c r="AO185" s="603">
        <v>1</v>
      </c>
      <c r="AP185" s="603">
        <v>1</v>
      </c>
      <c r="AQ185" s="603">
        <v>1</v>
      </c>
      <c r="AR185" s="603">
        <v>1</v>
      </c>
      <c r="AS185" s="603">
        <v>1</v>
      </c>
      <c r="AT185" s="603">
        <v>1</v>
      </c>
      <c r="AU185" s="603">
        <v>1</v>
      </c>
      <c r="AV185" s="603">
        <v>1</v>
      </c>
      <c r="AW185" s="603">
        <v>1</v>
      </c>
      <c r="AX185" s="603">
        <v>1</v>
      </c>
      <c r="AY185" s="603">
        <v>1</v>
      </c>
      <c r="AZ185" s="603">
        <v>1</v>
      </c>
      <c r="BA185" s="603">
        <v>1</v>
      </c>
      <c r="BB185" s="603">
        <v>1</v>
      </c>
    </row>
    <row r="186" spans="1:54" x14ac:dyDescent="0.25">
      <c r="A186">
        <v>606</v>
      </c>
      <c r="B186">
        <v>606</v>
      </c>
      <c r="C186">
        <v>606</v>
      </c>
      <c r="D186" t="s">
        <v>667</v>
      </c>
      <c r="F186" s="603">
        <v>0</v>
      </c>
      <c r="G186" s="603">
        <v>0</v>
      </c>
      <c r="H186" s="603">
        <v>0</v>
      </c>
      <c r="I186" s="603">
        <v>0</v>
      </c>
      <c r="J186" s="603">
        <v>0</v>
      </c>
      <c r="K186" s="603">
        <v>0</v>
      </c>
      <c r="L186" s="603">
        <v>1</v>
      </c>
      <c r="M186" s="603">
        <v>1</v>
      </c>
      <c r="N186" s="603">
        <v>0</v>
      </c>
      <c r="O186" s="603">
        <v>0</v>
      </c>
      <c r="P186" s="603">
        <v>0</v>
      </c>
      <c r="Q186" s="603">
        <v>0</v>
      </c>
      <c r="R186" s="603">
        <v>0</v>
      </c>
      <c r="S186" s="603">
        <v>0</v>
      </c>
      <c r="T186" s="603">
        <v>0</v>
      </c>
      <c r="U186" s="603">
        <v>1</v>
      </c>
      <c r="V186" s="603">
        <v>0</v>
      </c>
      <c r="W186" s="603">
        <v>0</v>
      </c>
      <c r="X186" s="603">
        <v>0</v>
      </c>
      <c r="Y186" s="603">
        <v>0</v>
      </c>
      <c r="Z186" s="603">
        <v>1</v>
      </c>
      <c r="AA186" s="603">
        <v>0</v>
      </c>
      <c r="AB186" s="603">
        <v>0</v>
      </c>
      <c r="AC186" s="603">
        <v>0</v>
      </c>
      <c r="AD186" s="603">
        <v>0</v>
      </c>
      <c r="AE186" s="603">
        <v>0</v>
      </c>
      <c r="AF186" s="603">
        <v>0</v>
      </c>
      <c r="AG186" s="603">
        <v>0</v>
      </c>
      <c r="AH186" s="603">
        <v>1</v>
      </c>
      <c r="AI186" s="603">
        <v>1</v>
      </c>
      <c r="AJ186" s="603">
        <v>0</v>
      </c>
      <c r="AK186" s="603">
        <v>0</v>
      </c>
      <c r="AL186" s="603">
        <v>0</v>
      </c>
      <c r="AM186" s="603">
        <v>0</v>
      </c>
      <c r="AN186" s="603">
        <v>0</v>
      </c>
      <c r="AO186" s="603">
        <v>1</v>
      </c>
      <c r="AP186" s="603">
        <v>0</v>
      </c>
      <c r="AQ186" s="603">
        <v>0</v>
      </c>
      <c r="AR186" s="603">
        <v>0</v>
      </c>
      <c r="AS186" s="603">
        <v>0</v>
      </c>
      <c r="AT186" s="603">
        <v>0</v>
      </c>
      <c r="AU186" s="603">
        <v>0</v>
      </c>
      <c r="AV186" s="603">
        <v>0</v>
      </c>
      <c r="AW186" s="603">
        <v>0</v>
      </c>
      <c r="AX186" s="603">
        <v>0</v>
      </c>
      <c r="AY186" s="603">
        <v>0</v>
      </c>
      <c r="AZ186" s="603">
        <v>0</v>
      </c>
      <c r="BA186" s="603">
        <v>0</v>
      </c>
      <c r="BB186" s="603">
        <v>0</v>
      </c>
    </row>
    <row r="187" spans="1:54" x14ac:dyDescent="0.25">
      <c r="A187">
        <v>607</v>
      </c>
      <c r="B187">
        <v>607</v>
      </c>
      <c r="C187">
        <v>607</v>
      </c>
      <c r="D187" t="s">
        <v>647</v>
      </c>
      <c r="F187" s="603">
        <v>0</v>
      </c>
      <c r="G187" s="603">
        <v>0</v>
      </c>
      <c r="H187" s="603">
        <v>0</v>
      </c>
      <c r="I187" s="603">
        <v>0</v>
      </c>
      <c r="J187" s="603">
        <v>2922000</v>
      </c>
      <c r="K187" s="603">
        <v>3629930</v>
      </c>
      <c r="L187" s="603">
        <v>7827629</v>
      </c>
      <c r="M187" s="603">
        <v>1874816</v>
      </c>
      <c r="N187" s="603">
        <v>0</v>
      </c>
      <c r="O187" s="603">
        <v>1072353</v>
      </c>
      <c r="P187" s="603">
        <v>1465049</v>
      </c>
      <c r="Q187" s="603">
        <v>0</v>
      </c>
      <c r="R187" s="603">
        <v>28248531</v>
      </c>
      <c r="S187" s="603">
        <v>0</v>
      </c>
      <c r="T187" s="603">
        <v>0</v>
      </c>
      <c r="U187" s="603">
        <v>0</v>
      </c>
      <c r="V187" s="603">
        <v>0</v>
      </c>
      <c r="W187" s="603">
        <v>51362302</v>
      </c>
      <c r="X187" s="603">
        <v>0</v>
      </c>
      <c r="Y187" s="603">
        <v>0</v>
      </c>
      <c r="Z187" s="603">
        <v>0</v>
      </c>
      <c r="AA187" s="603">
        <v>0</v>
      </c>
      <c r="AB187" s="603">
        <v>311124</v>
      </c>
      <c r="AC187" s="603">
        <v>0</v>
      </c>
      <c r="AD187" s="603">
        <v>0</v>
      </c>
      <c r="AE187" s="603">
        <v>0</v>
      </c>
      <c r="AF187" s="603">
        <v>0</v>
      </c>
      <c r="AG187" s="603">
        <v>0</v>
      </c>
      <c r="AH187" s="603">
        <v>4208120</v>
      </c>
      <c r="AI187" s="603">
        <v>12710564</v>
      </c>
      <c r="AJ187" s="603">
        <v>0</v>
      </c>
      <c r="AK187" s="603">
        <v>0</v>
      </c>
      <c r="AL187" s="603">
        <v>3894045</v>
      </c>
      <c r="AM187" s="603">
        <v>0</v>
      </c>
      <c r="AN187" s="603">
        <v>0</v>
      </c>
      <c r="AO187" s="603">
        <v>0</v>
      </c>
      <c r="AP187" s="603">
        <v>0</v>
      </c>
      <c r="AQ187" s="603">
        <v>0</v>
      </c>
      <c r="AR187" s="603">
        <v>0</v>
      </c>
      <c r="AS187" s="603">
        <v>0</v>
      </c>
      <c r="AT187" s="603">
        <v>0</v>
      </c>
      <c r="AU187" s="603">
        <v>0</v>
      </c>
      <c r="AV187" s="603">
        <v>0</v>
      </c>
      <c r="AW187" s="603">
        <v>1679002</v>
      </c>
      <c r="AX187" s="603">
        <v>0</v>
      </c>
      <c r="AY187" s="603">
        <v>0</v>
      </c>
      <c r="AZ187" s="603">
        <v>0</v>
      </c>
      <c r="BA187" s="603">
        <v>0</v>
      </c>
      <c r="BB187" s="603">
        <v>0</v>
      </c>
    </row>
    <row r="188" spans="1:54" x14ac:dyDescent="0.25">
      <c r="A188">
        <v>608</v>
      </c>
      <c r="B188">
        <v>608</v>
      </c>
      <c r="C188">
        <v>608</v>
      </c>
      <c r="D188" t="s">
        <v>648</v>
      </c>
      <c r="F188" s="603">
        <v>0</v>
      </c>
      <c r="G188" s="603">
        <v>0</v>
      </c>
      <c r="H188" s="603">
        <v>0</v>
      </c>
      <c r="I188" s="603">
        <v>0</v>
      </c>
      <c r="J188" s="603">
        <v>0</v>
      </c>
      <c r="K188" s="603">
        <v>0</v>
      </c>
      <c r="L188" s="603">
        <v>0</v>
      </c>
      <c r="M188" s="603">
        <v>0</v>
      </c>
      <c r="N188" s="603">
        <v>0</v>
      </c>
      <c r="O188" s="603">
        <v>0</v>
      </c>
      <c r="P188" s="603">
        <v>0</v>
      </c>
      <c r="Q188" s="603">
        <v>0</v>
      </c>
      <c r="R188" s="603">
        <v>0</v>
      </c>
      <c r="S188" s="603">
        <v>0</v>
      </c>
      <c r="T188" s="603">
        <v>0</v>
      </c>
      <c r="U188" s="603">
        <v>0</v>
      </c>
      <c r="V188" s="603">
        <v>0</v>
      </c>
      <c r="W188" s="603">
        <v>4594696</v>
      </c>
      <c r="X188" s="603">
        <v>0</v>
      </c>
      <c r="Y188" s="603">
        <v>0</v>
      </c>
      <c r="Z188" s="603">
        <v>0</v>
      </c>
      <c r="AA188" s="603">
        <v>0</v>
      </c>
      <c r="AB188" s="603">
        <v>0</v>
      </c>
      <c r="AC188" s="603">
        <v>0</v>
      </c>
      <c r="AD188" s="603">
        <v>0</v>
      </c>
      <c r="AE188" s="603">
        <v>0</v>
      </c>
      <c r="AF188" s="603">
        <v>0</v>
      </c>
      <c r="AG188" s="603">
        <v>0</v>
      </c>
      <c r="AH188" s="603">
        <v>0</v>
      </c>
      <c r="AI188" s="603">
        <v>0</v>
      </c>
      <c r="AJ188" s="603">
        <v>0</v>
      </c>
      <c r="AK188" s="603">
        <v>0</v>
      </c>
      <c r="AL188" s="603">
        <v>0</v>
      </c>
      <c r="AM188" s="603">
        <v>0</v>
      </c>
      <c r="AN188" s="603">
        <v>0</v>
      </c>
      <c r="AO188" s="603">
        <v>0</v>
      </c>
      <c r="AP188" s="603">
        <v>0</v>
      </c>
      <c r="AQ188" s="603">
        <v>0</v>
      </c>
      <c r="AR188" s="603">
        <v>0</v>
      </c>
      <c r="AS188" s="603">
        <v>0</v>
      </c>
      <c r="AT188" s="603">
        <v>0</v>
      </c>
      <c r="AU188" s="603">
        <v>0</v>
      </c>
      <c r="AV188" s="603">
        <v>0</v>
      </c>
      <c r="AW188" s="603">
        <v>0</v>
      </c>
      <c r="AX188" s="603">
        <v>0</v>
      </c>
      <c r="AY188" s="603">
        <v>0</v>
      </c>
      <c r="AZ188" s="603">
        <v>0</v>
      </c>
      <c r="BA188" s="603">
        <v>0</v>
      </c>
      <c r="BB188" s="603">
        <v>0</v>
      </c>
    </row>
    <row r="189" spans="1:54" x14ac:dyDescent="0.25">
      <c r="A189">
        <v>609</v>
      </c>
      <c r="B189">
        <v>609</v>
      </c>
      <c r="C189">
        <v>609</v>
      </c>
      <c r="D189" t="s">
        <v>978</v>
      </c>
      <c r="F189" s="603">
        <v>0</v>
      </c>
      <c r="G189" s="603">
        <v>0</v>
      </c>
      <c r="H189" s="603">
        <v>0</v>
      </c>
      <c r="I189" s="603">
        <v>0</v>
      </c>
      <c r="J189" s="603">
        <v>0</v>
      </c>
      <c r="K189" s="603">
        <v>0</v>
      </c>
      <c r="L189" s="603">
        <v>0</v>
      </c>
      <c r="M189" s="603">
        <v>0</v>
      </c>
      <c r="N189" s="603">
        <v>0</v>
      </c>
      <c r="O189" s="603">
        <v>0</v>
      </c>
      <c r="P189" s="603">
        <v>0</v>
      </c>
      <c r="Q189" s="603">
        <v>0</v>
      </c>
      <c r="R189" s="603">
        <v>0</v>
      </c>
      <c r="S189" s="603">
        <v>0</v>
      </c>
      <c r="T189" s="603">
        <v>0</v>
      </c>
      <c r="U189" s="603">
        <v>0</v>
      </c>
      <c r="V189" s="603">
        <v>0</v>
      </c>
      <c r="W189" s="603">
        <v>8.9</v>
      </c>
      <c r="X189" s="603">
        <v>0</v>
      </c>
      <c r="Y189" s="603">
        <v>0</v>
      </c>
      <c r="Z189" s="603">
        <v>0</v>
      </c>
      <c r="AA189" s="603">
        <v>0</v>
      </c>
      <c r="AB189" s="603">
        <v>0</v>
      </c>
      <c r="AC189" s="603">
        <v>0</v>
      </c>
      <c r="AD189" s="603">
        <v>0</v>
      </c>
      <c r="AE189" s="603">
        <v>0</v>
      </c>
      <c r="AF189" s="603">
        <v>0</v>
      </c>
      <c r="AG189" s="603">
        <v>0</v>
      </c>
      <c r="AH189" s="603">
        <v>0</v>
      </c>
      <c r="AI189" s="603">
        <v>0</v>
      </c>
      <c r="AJ189" s="603">
        <v>0</v>
      </c>
      <c r="AK189" s="603">
        <v>0</v>
      </c>
      <c r="AL189" s="603">
        <v>0</v>
      </c>
      <c r="AM189" s="603">
        <v>0</v>
      </c>
      <c r="AN189" s="603">
        <v>0</v>
      </c>
      <c r="AO189" s="603">
        <v>0</v>
      </c>
      <c r="AP189" s="603">
        <v>0</v>
      </c>
      <c r="AQ189" s="603">
        <v>0</v>
      </c>
      <c r="AR189" s="603">
        <v>0</v>
      </c>
      <c r="AS189" s="603">
        <v>0</v>
      </c>
      <c r="AT189" s="603">
        <v>0</v>
      </c>
      <c r="AU189" s="603">
        <v>0</v>
      </c>
      <c r="AV189" s="603">
        <v>0</v>
      </c>
      <c r="AW189" s="603">
        <v>0</v>
      </c>
      <c r="AX189" s="603">
        <v>0</v>
      </c>
      <c r="AY189" s="603">
        <v>0</v>
      </c>
      <c r="AZ189" s="603">
        <v>0</v>
      </c>
      <c r="BA189" s="603">
        <v>0</v>
      </c>
      <c r="BB189" s="603">
        <v>0</v>
      </c>
    </row>
    <row r="190" spans="1:54" x14ac:dyDescent="0.25">
      <c r="A190">
        <v>610</v>
      </c>
      <c r="B190">
        <v>610</v>
      </c>
      <c r="C190">
        <v>610</v>
      </c>
      <c r="D190" t="s">
        <v>649</v>
      </c>
      <c r="F190" s="603">
        <v>0</v>
      </c>
      <c r="G190" s="603">
        <v>0</v>
      </c>
      <c r="H190" s="603">
        <v>0</v>
      </c>
      <c r="I190" s="603">
        <v>0</v>
      </c>
      <c r="J190" s="603">
        <v>0</v>
      </c>
      <c r="K190" s="603">
        <v>0</v>
      </c>
      <c r="L190" s="603">
        <v>0</v>
      </c>
      <c r="M190" s="603">
        <v>0</v>
      </c>
      <c r="N190" s="603">
        <v>0</v>
      </c>
      <c r="O190" s="603">
        <v>0</v>
      </c>
      <c r="P190" s="603">
        <v>0</v>
      </c>
      <c r="Q190" s="603">
        <v>0</v>
      </c>
      <c r="R190" s="603">
        <v>0</v>
      </c>
      <c r="S190" s="603">
        <v>0</v>
      </c>
      <c r="T190" s="603">
        <v>0</v>
      </c>
      <c r="U190" s="603">
        <v>0</v>
      </c>
      <c r="V190" s="603">
        <v>0</v>
      </c>
      <c r="W190" s="603">
        <v>0</v>
      </c>
      <c r="X190" s="603">
        <v>0</v>
      </c>
      <c r="Y190" s="603">
        <v>0</v>
      </c>
      <c r="Z190" s="603">
        <v>0</v>
      </c>
      <c r="AA190" s="603">
        <v>0</v>
      </c>
      <c r="AB190" s="603">
        <v>0</v>
      </c>
      <c r="AC190" s="603">
        <v>0</v>
      </c>
      <c r="AD190" s="603">
        <v>0</v>
      </c>
      <c r="AE190" s="603">
        <v>0</v>
      </c>
      <c r="AF190" s="603">
        <v>0</v>
      </c>
      <c r="AG190" s="603">
        <v>0</v>
      </c>
      <c r="AH190" s="603">
        <v>0</v>
      </c>
      <c r="AI190" s="603">
        <v>0</v>
      </c>
      <c r="AJ190" s="603">
        <v>0</v>
      </c>
      <c r="AK190" s="603">
        <v>0</v>
      </c>
      <c r="AL190" s="603">
        <v>0</v>
      </c>
      <c r="AM190" s="603">
        <v>0</v>
      </c>
      <c r="AN190" s="603">
        <v>0</v>
      </c>
      <c r="AO190" s="603">
        <v>0</v>
      </c>
      <c r="AP190" s="603">
        <v>0</v>
      </c>
      <c r="AQ190" s="603">
        <v>0</v>
      </c>
      <c r="AR190" s="603">
        <v>0</v>
      </c>
      <c r="AS190" s="603">
        <v>0</v>
      </c>
      <c r="AT190" s="603">
        <v>0</v>
      </c>
      <c r="AU190" s="603">
        <v>0</v>
      </c>
      <c r="AV190" s="603">
        <v>0</v>
      </c>
      <c r="AW190" s="603">
        <v>0</v>
      </c>
      <c r="AX190" s="603">
        <v>0</v>
      </c>
      <c r="AY190" s="603">
        <v>0</v>
      </c>
      <c r="AZ190" s="603">
        <v>0</v>
      </c>
      <c r="BA190" s="603">
        <v>0</v>
      </c>
      <c r="BB190" s="603">
        <v>0</v>
      </c>
    </row>
    <row r="191" spans="1:54" x14ac:dyDescent="0.25">
      <c r="A191">
        <v>611</v>
      </c>
      <c r="B191">
        <v>611</v>
      </c>
      <c r="C191">
        <v>611</v>
      </c>
      <c r="D191" t="s">
        <v>650</v>
      </c>
      <c r="F191" s="603">
        <v>0</v>
      </c>
      <c r="G191" s="603">
        <v>0</v>
      </c>
      <c r="H191" s="603">
        <v>0</v>
      </c>
      <c r="I191" s="603">
        <v>0</v>
      </c>
      <c r="J191" s="603">
        <v>0</v>
      </c>
      <c r="K191" s="603">
        <v>0</v>
      </c>
      <c r="L191" s="603">
        <v>0</v>
      </c>
      <c r="M191" s="603">
        <v>0</v>
      </c>
      <c r="N191" s="603">
        <v>0</v>
      </c>
      <c r="O191" s="603">
        <v>0</v>
      </c>
      <c r="P191" s="603">
        <v>0</v>
      </c>
      <c r="Q191" s="603">
        <v>0</v>
      </c>
      <c r="R191" s="603">
        <v>0</v>
      </c>
      <c r="S191" s="603">
        <v>0</v>
      </c>
      <c r="T191" s="603">
        <v>0</v>
      </c>
      <c r="U191" s="603">
        <v>0</v>
      </c>
      <c r="V191" s="603">
        <v>0</v>
      </c>
      <c r="W191" s="603">
        <v>0</v>
      </c>
      <c r="X191" s="603">
        <v>0</v>
      </c>
      <c r="Y191" s="603">
        <v>0</v>
      </c>
      <c r="Z191" s="603">
        <v>0</v>
      </c>
      <c r="AA191" s="603">
        <v>0</v>
      </c>
      <c r="AB191" s="603">
        <v>0</v>
      </c>
      <c r="AC191" s="603">
        <v>0</v>
      </c>
      <c r="AD191" s="603">
        <v>0</v>
      </c>
      <c r="AE191" s="603">
        <v>0</v>
      </c>
      <c r="AF191" s="603">
        <v>0</v>
      </c>
      <c r="AG191" s="603">
        <v>0</v>
      </c>
      <c r="AH191" s="603">
        <v>0</v>
      </c>
      <c r="AI191" s="603">
        <v>0</v>
      </c>
      <c r="AJ191" s="603">
        <v>0</v>
      </c>
      <c r="AK191" s="603">
        <v>0</v>
      </c>
      <c r="AL191" s="603">
        <v>0</v>
      </c>
      <c r="AM191" s="603">
        <v>0</v>
      </c>
      <c r="AN191" s="603">
        <v>0</v>
      </c>
      <c r="AO191" s="603">
        <v>0</v>
      </c>
      <c r="AP191" s="603">
        <v>0</v>
      </c>
      <c r="AQ191" s="603">
        <v>0</v>
      </c>
      <c r="AR191" s="603">
        <v>0</v>
      </c>
      <c r="AS191" s="603">
        <v>0</v>
      </c>
      <c r="AT191" s="603">
        <v>0</v>
      </c>
      <c r="AU191" s="603">
        <v>0</v>
      </c>
      <c r="AV191" s="603">
        <v>0</v>
      </c>
      <c r="AW191" s="603">
        <v>0</v>
      </c>
      <c r="AX191" s="603">
        <v>0</v>
      </c>
      <c r="AY191" s="603">
        <v>0</v>
      </c>
      <c r="AZ191" s="603">
        <v>0</v>
      </c>
      <c r="BA191" s="603">
        <v>0</v>
      </c>
      <c r="BB191" s="603">
        <v>0</v>
      </c>
    </row>
    <row r="192" spans="1:54" x14ac:dyDescent="0.25">
      <c r="A192">
        <v>612</v>
      </c>
      <c r="B192">
        <v>612</v>
      </c>
      <c r="C192">
        <v>612</v>
      </c>
      <c r="D192" t="s">
        <v>979</v>
      </c>
      <c r="F192" s="603">
        <v>0</v>
      </c>
      <c r="G192" s="603">
        <v>0</v>
      </c>
      <c r="H192" s="603">
        <v>0</v>
      </c>
      <c r="I192" s="603">
        <v>0</v>
      </c>
      <c r="J192" s="603">
        <v>0</v>
      </c>
      <c r="K192" s="603">
        <v>0</v>
      </c>
      <c r="L192" s="603">
        <v>0</v>
      </c>
      <c r="M192" s="603">
        <v>0</v>
      </c>
      <c r="N192" s="603">
        <v>0</v>
      </c>
      <c r="O192" s="603">
        <v>0</v>
      </c>
      <c r="P192" s="603">
        <v>0</v>
      </c>
      <c r="Q192" s="603">
        <v>0</v>
      </c>
      <c r="R192" s="603">
        <v>0</v>
      </c>
      <c r="S192" s="603">
        <v>0</v>
      </c>
      <c r="T192" s="603">
        <v>0</v>
      </c>
      <c r="U192" s="603">
        <v>0</v>
      </c>
      <c r="V192" s="603">
        <v>0</v>
      </c>
      <c r="W192" s="603">
        <v>0</v>
      </c>
      <c r="X192" s="603">
        <v>0</v>
      </c>
      <c r="Y192" s="603">
        <v>0</v>
      </c>
      <c r="Z192" s="603">
        <v>0</v>
      </c>
      <c r="AA192" s="603">
        <v>0</v>
      </c>
      <c r="AB192" s="603">
        <v>0</v>
      </c>
      <c r="AC192" s="603">
        <v>0</v>
      </c>
      <c r="AD192" s="603">
        <v>0</v>
      </c>
      <c r="AE192" s="603">
        <v>0</v>
      </c>
      <c r="AF192" s="603">
        <v>0</v>
      </c>
      <c r="AG192" s="603">
        <v>0</v>
      </c>
      <c r="AH192" s="603">
        <v>0</v>
      </c>
      <c r="AI192" s="603">
        <v>0</v>
      </c>
      <c r="AJ192" s="603">
        <v>0</v>
      </c>
      <c r="AK192" s="603">
        <v>0</v>
      </c>
      <c r="AL192" s="603">
        <v>0</v>
      </c>
      <c r="AM192" s="603">
        <v>0</v>
      </c>
      <c r="AN192" s="603">
        <v>0</v>
      </c>
      <c r="AO192" s="603">
        <v>0</v>
      </c>
      <c r="AP192" s="603">
        <v>0</v>
      </c>
      <c r="AQ192" s="603">
        <v>0</v>
      </c>
      <c r="AR192" s="603">
        <v>0</v>
      </c>
      <c r="AS192" s="603">
        <v>0</v>
      </c>
      <c r="AT192" s="603">
        <v>0</v>
      </c>
      <c r="AU192" s="603">
        <v>0</v>
      </c>
      <c r="AV192" s="603">
        <v>0</v>
      </c>
      <c r="AW192" s="603">
        <v>0</v>
      </c>
      <c r="AX192" s="603">
        <v>0</v>
      </c>
      <c r="AY192" s="603">
        <v>0</v>
      </c>
      <c r="AZ192" s="603">
        <v>0</v>
      </c>
      <c r="BA192" s="603">
        <v>0</v>
      </c>
      <c r="BB192" s="603">
        <v>0</v>
      </c>
    </row>
    <row r="193" spans="1:54" x14ac:dyDescent="0.25">
      <c r="A193">
        <v>613</v>
      </c>
      <c r="B193">
        <v>613</v>
      </c>
      <c r="C193">
        <v>613</v>
      </c>
      <c r="D193" t="s">
        <v>658</v>
      </c>
      <c r="F193" s="603">
        <v>0</v>
      </c>
      <c r="G193" s="603">
        <v>0</v>
      </c>
      <c r="H193" s="603">
        <v>0</v>
      </c>
      <c r="I193" s="603">
        <v>0</v>
      </c>
      <c r="J193" s="603">
        <v>0</v>
      </c>
      <c r="K193" s="603">
        <v>0</v>
      </c>
      <c r="L193" s="603">
        <v>0</v>
      </c>
      <c r="M193" s="603">
        <v>0</v>
      </c>
      <c r="N193" s="603">
        <v>0</v>
      </c>
      <c r="O193" s="603">
        <v>0</v>
      </c>
      <c r="P193" s="603">
        <v>0</v>
      </c>
      <c r="Q193" s="603">
        <v>0</v>
      </c>
      <c r="R193" s="603">
        <v>0</v>
      </c>
      <c r="S193" s="603">
        <v>0</v>
      </c>
      <c r="T193" s="603">
        <v>0</v>
      </c>
      <c r="U193" s="603">
        <v>0</v>
      </c>
      <c r="V193" s="603">
        <v>0</v>
      </c>
      <c r="W193" s="603">
        <v>0</v>
      </c>
      <c r="X193" s="603">
        <v>0</v>
      </c>
      <c r="Y193" s="603">
        <v>0</v>
      </c>
      <c r="Z193" s="603">
        <v>0</v>
      </c>
      <c r="AA193" s="603">
        <v>0</v>
      </c>
      <c r="AB193" s="603">
        <v>0</v>
      </c>
      <c r="AC193" s="603">
        <v>0</v>
      </c>
      <c r="AD193" s="603">
        <v>0</v>
      </c>
      <c r="AE193" s="603">
        <v>0</v>
      </c>
      <c r="AF193" s="603">
        <v>0</v>
      </c>
      <c r="AG193" s="603">
        <v>0</v>
      </c>
      <c r="AH193" s="603">
        <v>0</v>
      </c>
      <c r="AI193" s="603">
        <v>0</v>
      </c>
      <c r="AJ193" s="603">
        <v>0</v>
      </c>
      <c r="AK193" s="603">
        <v>0</v>
      </c>
      <c r="AL193" s="603">
        <v>0</v>
      </c>
      <c r="AM193" s="603">
        <v>0</v>
      </c>
      <c r="AN193" s="603">
        <v>0</v>
      </c>
      <c r="AO193" s="603">
        <v>0</v>
      </c>
      <c r="AP193" s="603">
        <v>0</v>
      </c>
      <c r="AQ193" s="603">
        <v>0</v>
      </c>
      <c r="AR193" s="603">
        <v>0</v>
      </c>
      <c r="AS193" s="603">
        <v>0</v>
      </c>
      <c r="AT193" s="603">
        <v>0</v>
      </c>
      <c r="AU193" s="603">
        <v>0</v>
      </c>
      <c r="AV193" s="603">
        <v>0</v>
      </c>
      <c r="AW193" s="603">
        <v>0</v>
      </c>
      <c r="AX193" s="603">
        <v>0</v>
      </c>
      <c r="AY193" s="603">
        <v>0</v>
      </c>
      <c r="AZ193" s="603">
        <v>0</v>
      </c>
      <c r="BA193" s="603">
        <v>0</v>
      </c>
      <c r="BB193" s="603">
        <v>0</v>
      </c>
    </row>
    <row r="194" spans="1:54" x14ac:dyDescent="0.25">
      <c r="A194">
        <v>614</v>
      </c>
      <c r="B194">
        <v>614</v>
      </c>
      <c r="C194">
        <v>614</v>
      </c>
      <c r="D194" t="s">
        <v>651</v>
      </c>
      <c r="F194" s="603">
        <v>0</v>
      </c>
      <c r="G194" s="603">
        <v>0</v>
      </c>
      <c r="H194" s="603">
        <v>0</v>
      </c>
      <c r="I194" s="603">
        <v>0</v>
      </c>
      <c r="J194" s="603">
        <v>0</v>
      </c>
      <c r="K194" s="603">
        <v>0</v>
      </c>
      <c r="L194" s="603">
        <v>0</v>
      </c>
      <c r="M194" s="603">
        <v>0</v>
      </c>
      <c r="N194" s="603">
        <v>0</v>
      </c>
      <c r="O194" s="603">
        <v>0</v>
      </c>
      <c r="P194" s="603">
        <v>0</v>
      </c>
      <c r="Q194" s="603">
        <v>0</v>
      </c>
      <c r="R194" s="603">
        <v>0</v>
      </c>
      <c r="S194" s="603">
        <v>0</v>
      </c>
      <c r="T194" s="603">
        <v>0</v>
      </c>
      <c r="U194" s="603">
        <v>0</v>
      </c>
      <c r="V194" s="603">
        <v>0</v>
      </c>
      <c r="W194" s="603">
        <v>0</v>
      </c>
      <c r="X194" s="603">
        <v>0</v>
      </c>
      <c r="Y194" s="603">
        <v>0</v>
      </c>
      <c r="Z194" s="603">
        <v>0</v>
      </c>
      <c r="AA194" s="603">
        <v>0</v>
      </c>
      <c r="AB194" s="603">
        <v>0</v>
      </c>
      <c r="AC194" s="603">
        <v>0</v>
      </c>
      <c r="AD194" s="603">
        <v>0</v>
      </c>
      <c r="AE194" s="603">
        <v>0</v>
      </c>
      <c r="AF194" s="603">
        <v>0</v>
      </c>
      <c r="AG194" s="603">
        <v>0</v>
      </c>
      <c r="AH194" s="603">
        <v>0</v>
      </c>
      <c r="AI194" s="603">
        <v>0</v>
      </c>
      <c r="AJ194" s="603">
        <v>0</v>
      </c>
      <c r="AK194" s="603">
        <v>0</v>
      </c>
      <c r="AL194" s="603">
        <v>0</v>
      </c>
      <c r="AM194" s="603">
        <v>0</v>
      </c>
      <c r="AN194" s="603">
        <v>0</v>
      </c>
      <c r="AO194" s="603">
        <v>0</v>
      </c>
      <c r="AP194" s="603">
        <v>0</v>
      </c>
      <c r="AQ194" s="603">
        <v>0</v>
      </c>
      <c r="AR194" s="603">
        <v>0</v>
      </c>
      <c r="AS194" s="603">
        <v>0</v>
      </c>
      <c r="AT194" s="603">
        <v>0</v>
      </c>
      <c r="AU194" s="603">
        <v>0</v>
      </c>
      <c r="AV194" s="603">
        <v>0</v>
      </c>
      <c r="AW194" s="603">
        <v>0</v>
      </c>
      <c r="AX194" s="603">
        <v>0</v>
      </c>
      <c r="AY194" s="603">
        <v>0</v>
      </c>
      <c r="AZ194" s="603">
        <v>0</v>
      </c>
      <c r="BA194" s="603">
        <v>0</v>
      </c>
      <c r="BB194" s="603">
        <v>0</v>
      </c>
    </row>
    <row r="195" spans="1:54" x14ac:dyDescent="0.25">
      <c r="A195">
        <v>615</v>
      </c>
      <c r="B195">
        <v>615</v>
      </c>
      <c r="C195">
        <v>615</v>
      </c>
      <c r="D195" t="s">
        <v>980</v>
      </c>
      <c r="F195" s="603">
        <v>0</v>
      </c>
      <c r="G195" s="603">
        <v>0</v>
      </c>
      <c r="H195" s="603">
        <v>0</v>
      </c>
      <c r="I195" s="603">
        <v>0</v>
      </c>
      <c r="J195" s="603">
        <v>0</v>
      </c>
      <c r="K195" s="603">
        <v>0</v>
      </c>
      <c r="L195" s="603">
        <v>0</v>
      </c>
      <c r="M195" s="603">
        <v>0</v>
      </c>
      <c r="N195" s="603">
        <v>0</v>
      </c>
      <c r="O195" s="603">
        <v>0</v>
      </c>
      <c r="P195" s="603">
        <v>0</v>
      </c>
      <c r="Q195" s="603">
        <v>0</v>
      </c>
      <c r="R195" s="603">
        <v>0</v>
      </c>
      <c r="S195" s="603">
        <v>0</v>
      </c>
      <c r="T195" s="603">
        <v>0</v>
      </c>
      <c r="U195" s="603">
        <v>0</v>
      </c>
      <c r="V195" s="603">
        <v>0</v>
      </c>
      <c r="W195" s="603">
        <v>0</v>
      </c>
      <c r="X195" s="603">
        <v>0</v>
      </c>
      <c r="Y195" s="603">
        <v>0</v>
      </c>
      <c r="Z195" s="603">
        <v>0</v>
      </c>
      <c r="AA195" s="603">
        <v>0</v>
      </c>
      <c r="AB195" s="603">
        <v>0</v>
      </c>
      <c r="AC195" s="603">
        <v>0</v>
      </c>
      <c r="AD195" s="603">
        <v>0</v>
      </c>
      <c r="AE195" s="603">
        <v>0</v>
      </c>
      <c r="AF195" s="603">
        <v>0</v>
      </c>
      <c r="AG195" s="603">
        <v>0</v>
      </c>
      <c r="AH195" s="603">
        <v>0</v>
      </c>
      <c r="AI195" s="603">
        <v>0</v>
      </c>
      <c r="AJ195" s="603">
        <v>0</v>
      </c>
      <c r="AK195" s="603">
        <v>0</v>
      </c>
      <c r="AL195" s="603">
        <v>0</v>
      </c>
      <c r="AM195" s="603">
        <v>0</v>
      </c>
      <c r="AN195" s="603">
        <v>0</v>
      </c>
      <c r="AO195" s="603">
        <v>0</v>
      </c>
      <c r="AP195" s="603">
        <v>0</v>
      </c>
      <c r="AQ195" s="603">
        <v>0</v>
      </c>
      <c r="AR195" s="603">
        <v>0</v>
      </c>
      <c r="AS195" s="603">
        <v>0</v>
      </c>
      <c r="AT195" s="603">
        <v>0</v>
      </c>
      <c r="AU195" s="603">
        <v>0</v>
      </c>
      <c r="AV195" s="603">
        <v>0</v>
      </c>
      <c r="AW195" s="603">
        <v>0</v>
      </c>
      <c r="AX195" s="603">
        <v>0</v>
      </c>
      <c r="AY195" s="603">
        <v>0</v>
      </c>
      <c r="AZ195" s="603">
        <v>0</v>
      </c>
      <c r="BA195" s="603">
        <v>0</v>
      </c>
      <c r="BB195" s="603">
        <v>0</v>
      </c>
    </row>
    <row r="196" spans="1:54" x14ac:dyDescent="0.25">
      <c r="A196">
        <v>616</v>
      </c>
      <c r="B196">
        <v>616</v>
      </c>
      <c r="C196">
        <v>616</v>
      </c>
      <c r="D196" t="s">
        <v>652</v>
      </c>
      <c r="F196" s="603">
        <v>0</v>
      </c>
      <c r="G196" s="603">
        <v>0</v>
      </c>
      <c r="H196" s="603">
        <v>0</v>
      </c>
      <c r="I196" s="603">
        <v>0</v>
      </c>
      <c r="J196" s="603">
        <v>0</v>
      </c>
      <c r="K196" s="603">
        <v>0</v>
      </c>
      <c r="L196" s="603">
        <v>0</v>
      </c>
      <c r="M196" s="603">
        <v>0</v>
      </c>
      <c r="N196" s="603">
        <v>0</v>
      </c>
      <c r="O196" s="603">
        <v>0</v>
      </c>
      <c r="P196" s="603">
        <v>0</v>
      </c>
      <c r="Q196" s="603">
        <v>0</v>
      </c>
      <c r="R196" s="603">
        <v>0</v>
      </c>
      <c r="S196" s="603">
        <v>0</v>
      </c>
      <c r="T196" s="603">
        <v>0</v>
      </c>
      <c r="U196" s="603">
        <v>0</v>
      </c>
      <c r="V196" s="603">
        <v>0</v>
      </c>
      <c r="W196" s="603">
        <v>0</v>
      </c>
      <c r="X196" s="603">
        <v>0</v>
      </c>
      <c r="Y196" s="603">
        <v>0</v>
      </c>
      <c r="Z196" s="603">
        <v>0</v>
      </c>
      <c r="AA196" s="603">
        <v>0</v>
      </c>
      <c r="AB196" s="603">
        <v>0</v>
      </c>
      <c r="AC196" s="603">
        <v>0</v>
      </c>
      <c r="AD196" s="603">
        <v>0</v>
      </c>
      <c r="AE196" s="603">
        <v>0</v>
      </c>
      <c r="AF196" s="603">
        <v>0</v>
      </c>
      <c r="AG196" s="603">
        <v>0</v>
      </c>
      <c r="AH196" s="603">
        <v>0</v>
      </c>
      <c r="AI196" s="603">
        <v>0</v>
      </c>
      <c r="AJ196" s="603">
        <v>0</v>
      </c>
      <c r="AK196" s="603">
        <v>0</v>
      </c>
      <c r="AL196" s="603">
        <v>0</v>
      </c>
      <c r="AM196" s="603">
        <v>0</v>
      </c>
      <c r="AN196" s="603">
        <v>0</v>
      </c>
      <c r="AO196" s="603">
        <v>0</v>
      </c>
      <c r="AP196" s="603">
        <v>0</v>
      </c>
      <c r="AQ196" s="603">
        <v>0</v>
      </c>
      <c r="AR196" s="603">
        <v>0</v>
      </c>
      <c r="AS196" s="603">
        <v>0</v>
      </c>
      <c r="AT196" s="603">
        <v>0</v>
      </c>
      <c r="AU196" s="603">
        <v>0</v>
      </c>
      <c r="AV196" s="603">
        <v>0</v>
      </c>
      <c r="AW196" s="603">
        <v>0</v>
      </c>
      <c r="AX196" s="603">
        <v>0</v>
      </c>
      <c r="AY196" s="603">
        <v>0</v>
      </c>
      <c r="AZ196" s="603">
        <v>0</v>
      </c>
      <c r="BA196" s="603">
        <v>0</v>
      </c>
      <c r="BB196" s="603">
        <v>0</v>
      </c>
    </row>
    <row r="197" spans="1:54" x14ac:dyDescent="0.25">
      <c r="A197">
        <v>617</v>
      </c>
      <c r="B197">
        <v>617</v>
      </c>
      <c r="C197">
        <v>617</v>
      </c>
      <c r="D197" t="s">
        <v>653</v>
      </c>
      <c r="F197" s="603">
        <v>0</v>
      </c>
      <c r="G197" s="603">
        <v>0</v>
      </c>
      <c r="H197" s="603">
        <v>0</v>
      </c>
      <c r="I197" s="603">
        <v>0</v>
      </c>
      <c r="J197" s="603">
        <v>0</v>
      </c>
      <c r="K197" s="603">
        <v>0</v>
      </c>
      <c r="L197" s="603">
        <v>0</v>
      </c>
      <c r="M197" s="603">
        <v>0</v>
      </c>
      <c r="N197" s="603">
        <v>0</v>
      </c>
      <c r="O197" s="603">
        <v>0</v>
      </c>
      <c r="P197" s="603">
        <v>0</v>
      </c>
      <c r="Q197" s="603">
        <v>0</v>
      </c>
      <c r="R197" s="603">
        <v>0</v>
      </c>
      <c r="S197" s="603">
        <v>0</v>
      </c>
      <c r="T197" s="603">
        <v>0</v>
      </c>
      <c r="U197" s="603">
        <v>0</v>
      </c>
      <c r="V197" s="603">
        <v>0</v>
      </c>
      <c r="W197" s="603">
        <v>0</v>
      </c>
      <c r="X197" s="603">
        <v>0</v>
      </c>
      <c r="Y197" s="603">
        <v>0</v>
      </c>
      <c r="Z197" s="603">
        <v>0</v>
      </c>
      <c r="AA197" s="603">
        <v>0</v>
      </c>
      <c r="AB197" s="603">
        <v>0</v>
      </c>
      <c r="AC197" s="603">
        <v>0</v>
      </c>
      <c r="AD197" s="603">
        <v>0</v>
      </c>
      <c r="AE197" s="603">
        <v>0</v>
      </c>
      <c r="AF197" s="603">
        <v>0</v>
      </c>
      <c r="AG197" s="603">
        <v>0</v>
      </c>
      <c r="AH197" s="603">
        <v>0</v>
      </c>
      <c r="AI197" s="603">
        <v>0</v>
      </c>
      <c r="AJ197" s="603">
        <v>0</v>
      </c>
      <c r="AK197" s="603">
        <v>0</v>
      </c>
      <c r="AL197" s="603">
        <v>0</v>
      </c>
      <c r="AM197" s="603">
        <v>0</v>
      </c>
      <c r="AN197" s="603">
        <v>0</v>
      </c>
      <c r="AO197" s="603">
        <v>0</v>
      </c>
      <c r="AP197" s="603">
        <v>0</v>
      </c>
      <c r="AQ197" s="603">
        <v>0</v>
      </c>
      <c r="AR197" s="603">
        <v>0</v>
      </c>
      <c r="AS197" s="603">
        <v>0</v>
      </c>
      <c r="AT197" s="603">
        <v>0</v>
      </c>
      <c r="AU197" s="603">
        <v>0</v>
      </c>
      <c r="AV197" s="603">
        <v>0</v>
      </c>
      <c r="AW197" s="603">
        <v>0</v>
      </c>
      <c r="AX197" s="603">
        <v>0</v>
      </c>
      <c r="AY197" s="603">
        <v>0</v>
      </c>
      <c r="AZ197" s="603">
        <v>0</v>
      </c>
      <c r="BA197" s="603">
        <v>0</v>
      </c>
      <c r="BB197" s="603">
        <v>0</v>
      </c>
    </row>
    <row r="198" spans="1:54" x14ac:dyDescent="0.25">
      <c r="A198">
        <v>618</v>
      </c>
      <c r="B198">
        <v>618</v>
      </c>
      <c r="C198">
        <v>618</v>
      </c>
      <c r="D198" t="s">
        <v>981</v>
      </c>
      <c r="F198" s="603">
        <v>0</v>
      </c>
      <c r="G198" s="603">
        <v>0</v>
      </c>
      <c r="H198" s="603">
        <v>0</v>
      </c>
      <c r="I198" s="603">
        <v>0</v>
      </c>
      <c r="J198" s="603">
        <v>0</v>
      </c>
      <c r="K198" s="603">
        <v>0</v>
      </c>
      <c r="L198" s="603">
        <v>0</v>
      </c>
      <c r="M198" s="603">
        <v>0</v>
      </c>
      <c r="N198" s="603">
        <v>0</v>
      </c>
      <c r="O198" s="603">
        <v>0</v>
      </c>
      <c r="P198" s="603">
        <v>0</v>
      </c>
      <c r="Q198" s="603">
        <v>0</v>
      </c>
      <c r="R198" s="603">
        <v>0</v>
      </c>
      <c r="S198" s="603">
        <v>0</v>
      </c>
      <c r="T198" s="603">
        <v>0</v>
      </c>
      <c r="U198" s="603">
        <v>0</v>
      </c>
      <c r="V198" s="603">
        <v>0</v>
      </c>
      <c r="W198" s="603">
        <v>0</v>
      </c>
      <c r="X198" s="603">
        <v>0</v>
      </c>
      <c r="Y198" s="603">
        <v>0</v>
      </c>
      <c r="Z198" s="603">
        <v>0</v>
      </c>
      <c r="AA198" s="603">
        <v>0</v>
      </c>
      <c r="AB198" s="603">
        <v>0</v>
      </c>
      <c r="AC198" s="603">
        <v>0</v>
      </c>
      <c r="AD198" s="603">
        <v>0</v>
      </c>
      <c r="AE198" s="603">
        <v>0</v>
      </c>
      <c r="AF198" s="603">
        <v>0</v>
      </c>
      <c r="AG198" s="603">
        <v>0</v>
      </c>
      <c r="AH198" s="603">
        <v>0</v>
      </c>
      <c r="AI198" s="603">
        <v>0</v>
      </c>
      <c r="AJ198" s="603">
        <v>0</v>
      </c>
      <c r="AK198" s="603">
        <v>0</v>
      </c>
      <c r="AL198" s="603">
        <v>0</v>
      </c>
      <c r="AM198" s="603">
        <v>0</v>
      </c>
      <c r="AN198" s="603">
        <v>0</v>
      </c>
      <c r="AO198" s="603">
        <v>0</v>
      </c>
      <c r="AP198" s="603">
        <v>0</v>
      </c>
      <c r="AQ198" s="603">
        <v>0</v>
      </c>
      <c r="AR198" s="603">
        <v>0</v>
      </c>
      <c r="AS198" s="603">
        <v>0</v>
      </c>
      <c r="AT198" s="603">
        <v>0</v>
      </c>
      <c r="AU198" s="603">
        <v>0</v>
      </c>
      <c r="AV198" s="603">
        <v>0</v>
      </c>
      <c r="AW198" s="603">
        <v>0</v>
      </c>
      <c r="AX198" s="603">
        <v>0</v>
      </c>
      <c r="AY198" s="603">
        <v>0</v>
      </c>
      <c r="AZ198" s="603">
        <v>0</v>
      </c>
      <c r="BA198" s="603">
        <v>0</v>
      </c>
      <c r="BB198" s="603">
        <v>0</v>
      </c>
    </row>
    <row r="199" spans="1:54" x14ac:dyDescent="0.25">
      <c r="A199">
        <v>619</v>
      </c>
      <c r="B199">
        <v>619</v>
      </c>
      <c r="C199" t="s">
        <v>982</v>
      </c>
      <c r="F199" s="603">
        <v>0</v>
      </c>
      <c r="G199" s="603">
        <v>0</v>
      </c>
      <c r="H199" s="603">
        <v>0</v>
      </c>
      <c r="I199" s="603">
        <v>0</v>
      </c>
      <c r="J199" s="603">
        <v>0</v>
      </c>
      <c r="K199" s="603">
        <v>0</v>
      </c>
      <c r="L199" s="603">
        <v>0</v>
      </c>
      <c r="M199" s="603">
        <v>0</v>
      </c>
      <c r="N199" s="603">
        <v>0</v>
      </c>
      <c r="O199" s="603">
        <v>0</v>
      </c>
      <c r="P199" s="603">
        <v>0</v>
      </c>
      <c r="Q199" s="603">
        <v>0</v>
      </c>
      <c r="R199" s="603">
        <v>0</v>
      </c>
      <c r="S199" s="603">
        <v>0</v>
      </c>
      <c r="T199" s="603">
        <v>0</v>
      </c>
      <c r="U199" s="603">
        <v>0</v>
      </c>
      <c r="V199" s="603">
        <v>0</v>
      </c>
      <c r="W199" s="603">
        <v>0</v>
      </c>
      <c r="X199" s="603">
        <v>0</v>
      </c>
      <c r="Y199" s="603">
        <v>0</v>
      </c>
      <c r="Z199" s="603">
        <v>0</v>
      </c>
      <c r="AA199" s="603">
        <v>0</v>
      </c>
      <c r="AB199" s="603">
        <v>0</v>
      </c>
      <c r="AC199" s="603">
        <v>0</v>
      </c>
      <c r="AD199" s="603">
        <v>0</v>
      </c>
      <c r="AE199" s="603">
        <v>0</v>
      </c>
      <c r="AF199" s="603">
        <v>0</v>
      </c>
      <c r="AG199" s="603">
        <v>0</v>
      </c>
      <c r="AH199" s="603">
        <v>0</v>
      </c>
      <c r="AI199" s="603">
        <v>0</v>
      </c>
      <c r="AJ199" s="603">
        <v>0</v>
      </c>
      <c r="AK199" s="603">
        <v>0</v>
      </c>
      <c r="AL199" s="603">
        <v>0</v>
      </c>
      <c r="AM199" s="603">
        <v>0</v>
      </c>
      <c r="AN199" s="603">
        <v>0</v>
      </c>
      <c r="AO199" s="603">
        <v>0</v>
      </c>
      <c r="AP199" s="603">
        <v>0</v>
      </c>
      <c r="AQ199" s="603">
        <v>0</v>
      </c>
      <c r="AR199" s="603">
        <v>0</v>
      </c>
      <c r="AS199" s="603">
        <v>0</v>
      </c>
      <c r="AT199" s="603">
        <v>0</v>
      </c>
      <c r="AU199" s="603">
        <v>0</v>
      </c>
      <c r="AV199" s="603">
        <v>0</v>
      </c>
      <c r="AW199" s="603">
        <v>0</v>
      </c>
      <c r="AX199" s="603">
        <v>0</v>
      </c>
      <c r="AY199" s="603">
        <v>0</v>
      </c>
      <c r="AZ199" s="603">
        <v>0</v>
      </c>
      <c r="BA199" s="603">
        <v>0</v>
      </c>
      <c r="BB199" s="603">
        <v>0</v>
      </c>
    </row>
    <row r="200" spans="1:54" x14ac:dyDescent="0.25">
      <c r="A200">
        <v>620</v>
      </c>
      <c r="B200">
        <v>620</v>
      </c>
      <c r="C200">
        <v>620</v>
      </c>
      <c r="D200" t="s">
        <v>662</v>
      </c>
      <c r="F200" s="603">
        <v>2</v>
      </c>
      <c r="G200" s="603">
        <v>2</v>
      </c>
      <c r="H200" s="603">
        <v>2</v>
      </c>
      <c r="I200" s="603">
        <v>2</v>
      </c>
      <c r="J200" s="603">
        <v>2</v>
      </c>
      <c r="K200" s="603">
        <v>2</v>
      </c>
      <c r="L200" s="603">
        <v>2</v>
      </c>
      <c r="M200" s="603">
        <v>1</v>
      </c>
      <c r="N200" s="603">
        <v>0</v>
      </c>
      <c r="O200" s="603">
        <v>2</v>
      </c>
      <c r="P200" s="603">
        <v>2</v>
      </c>
      <c r="Q200" s="603">
        <v>2</v>
      </c>
      <c r="R200" s="603">
        <v>2</v>
      </c>
      <c r="S200" s="603">
        <v>2</v>
      </c>
      <c r="T200" s="603">
        <v>2</v>
      </c>
      <c r="U200" s="603">
        <v>2</v>
      </c>
      <c r="V200" s="603">
        <v>1</v>
      </c>
      <c r="W200" s="603">
        <v>1</v>
      </c>
      <c r="X200" s="603">
        <v>2</v>
      </c>
      <c r="Y200" s="603">
        <v>2</v>
      </c>
      <c r="Z200" s="603">
        <v>2</v>
      </c>
      <c r="AA200" s="603">
        <v>2</v>
      </c>
      <c r="AB200" s="603">
        <v>2</v>
      </c>
      <c r="AC200" s="603">
        <v>2</v>
      </c>
      <c r="AD200" s="603">
        <v>2</v>
      </c>
      <c r="AE200" s="603">
        <v>1</v>
      </c>
      <c r="AF200" s="603">
        <v>2</v>
      </c>
      <c r="AG200" s="603">
        <v>2</v>
      </c>
      <c r="AH200" s="603">
        <v>2</v>
      </c>
      <c r="AI200" s="603">
        <v>1</v>
      </c>
      <c r="AJ200" s="603">
        <v>2</v>
      </c>
      <c r="AK200" s="603">
        <v>2</v>
      </c>
      <c r="AL200" s="603">
        <v>2</v>
      </c>
      <c r="AM200" s="603">
        <v>2</v>
      </c>
      <c r="AN200" s="603">
        <v>2</v>
      </c>
      <c r="AO200" s="603">
        <v>1</v>
      </c>
      <c r="AP200" s="603">
        <v>2</v>
      </c>
      <c r="AQ200" s="603">
        <v>2</v>
      </c>
      <c r="AR200" s="603">
        <v>2</v>
      </c>
      <c r="AS200" s="603">
        <v>2</v>
      </c>
      <c r="AT200" s="603">
        <v>2</v>
      </c>
      <c r="AU200" s="603">
        <v>2</v>
      </c>
      <c r="AV200" s="603">
        <v>2</v>
      </c>
      <c r="AW200" s="603">
        <v>1</v>
      </c>
      <c r="AX200" s="603">
        <v>2</v>
      </c>
      <c r="AY200" s="603">
        <v>2</v>
      </c>
      <c r="AZ200" s="603">
        <v>2</v>
      </c>
      <c r="BA200" s="603">
        <v>2</v>
      </c>
      <c r="BB200" s="603">
        <v>2</v>
      </c>
    </row>
    <row r="201" spans="1:54" x14ac:dyDescent="0.25">
      <c r="A201">
        <v>622</v>
      </c>
      <c r="C201">
        <v>622</v>
      </c>
      <c r="D201" t="s">
        <v>673</v>
      </c>
      <c r="F201" s="603">
        <v>76627</v>
      </c>
      <c r="G201" s="603">
        <v>0</v>
      </c>
      <c r="H201" s="603">
        <v>354902</v>
      </c>
      <c r="I201" s="603">
        <v>631755</v>
      </c>
      <c r="J201" s="603">
        <v>0</v>
      </c>
      <c r="K201" s="603">
        <v>1291503</v>
      </c>
      <c r="L201" s="603">
        <v>5260906</v>
      </c>
      <c r="M201" s="603">
        <v>0</v>
      </c>
      <c r="N201" s="603">
        <v>0</v>
      </c>
      <c r="O201" s="603">
        <v>0</v>
      </c>
      <c r="P201" s="603">
        <v>444102</v>
      </c>
      <c r="Q201" s="603">
        <v>0</v>
      </c>
      <c r="R201" s="603">
        <v>13227476</v>
      </c>
      <c r="S201" s="603">
        <v>60968</v>
      </c>
      <c r="T201" s="603">
        <v>0</v>
      </c>
      <c r="U201" s="603">
        <v>144238</v>
      </c>
      <c r="V201" s="603">
        <v>0</v>
      </c>
      <c r="W201" s="603">
        <v>10970895</v>
      </c>
      <c r="X201" s="603">
        <v>0</v>
      </c>
      <c r="Y201" s="603">
        <v>0</v>
      </c>
      <c r="Z201" s="603">
        <v>0</v>
      </c>
      <c r="AA201" s="603">
        <v>17555</v>
      </c>
      <c r="AB201" s="603">
        <v>170809</v>
      </c>
      <c r="AC201" s="603">
        <v>0</v>
      </c>
      <c r="AD201" s="603">
        <v>13997</v>
      </c>
      <c r="AE201" s="603">
        <v>0</v>
      </c>
      <c r="AF201" s="603">
        <v>0</v>
      </c>
      <c r="AG201" s="603">
        <v>76152</v>
      </c>
      <c r="AH201" s="603">
        <v>2101422</v>
      </c>
      <c r="AI201" s="603">
        <v>2982507</v>
      </c>
      <c r="AJ201" s="603">
        <v>399502</v>
      </c>
      <c r="AK201" s="603">
        <v>0</v>
      </c>
      <c r="AL201" s="603">
        <v>752032</v>
      </c>
      <c r="AM201" s="603">
        <v>0</v>
      </c>
      <c r="AN201" s="603">
        <v>0</v>
      </c>
      <c r="AO201" s="603">
        <v>611355</v>
      </c>
      <c r="AP201" s="603">
        <v>47210</v>
      </c>
      <c r="AQ201" s="603">
        <v>0</v>
      </c>
      <c r="AR201" s="603">
        <v>47684</v>
      </c>
      <c r="AS201" s="603">
        <v>0</v>
      </c>
      <c r="AT201" s="603">
        <v>0</v>
      </c>
      <c r="AU201" s="603">
        <v>0</v>
      </c>
      <c r="AV201" s="603">
        <v>0</v>
      </c>
      <c r="AW201" s="603">
        <v>441018</v>
      </c>
      <c r="AX201" s="603">
        <v>0</v>
      </c>
      <c r="AY201" s="603">
        <v>0</v>
      </c>
      <c r="AZ201" s="603">
        <v>0</v>
      </c>
      <c r="BA201" s="603">
        <v>237234</v>
      </c>
      <c r="BB201" s="603">
        <v>102248</v>
      </c>
    </row>
    <row r="202" spans="1:54" ht="105" x14ac:dyDescent="0.25">
      <c r="A202">
        <v>625</v>
      </c>
      <c r="C202">
        <v>625</v>
      </c>
      <c r="D202" s="612" t="s">
        <v>810</v>
      </c>
      <c r="F202" s="603">
        <v>1</v>
      </c>
      <c r="G202" s="603">
        <v>1</v>
      </c>
      <c r="H202" s="603">
        <v>1</v>
      </c>
      <c r="I202" s="603">
        <v>1</v>
      </c>
      <c r="J202" s="603">
        <v>1</v>
      </c>
      <c r="K202" s="603">
        <v>1</v>
      </c>
      <c r="L202" s="603">
        <v>1</v>
      </c>
      <c r="M202" s="603">
        <v>1</v>
      </c>
      <c r="N202" s="603">
        <v>0</v>
      </c>
      <c r="O202" s="603">
        <v>1</v>
      </c>
      <c r="P202" s="603">
        <v>1</v>
      </c>
      <c r="Q202" s="603">
        <v>3</v>
      </c>
      <c r="R202" s="603">
        <v>1</v>
      </c>
      <c r="S202" s="603">
        <v>1</v>
      </c>
      <c r="T202" s="603">
        <v>1</v>
      </c>
      <c r="U202" s="603">
        <v>4</v>
      </c>
      <c r="V202" s="603">
        <v>1</v>
      </c>
      <c r="W202" s="603">
        <v>1</v>
      </c>
      <c r="X202" s="603">
        <v>1</v>
      </c>
      <c r="Y202" s="603">
        <v>1</v>
      </c>
      <c r="Z202" s="603">
        <v>1</v>
      </c>
      <c r="AA202" s="603">
        <v>1</v>
      </c>
      <c r="AB202" s="603">
        <v>1</v>
      </c>
      <c r="AC202" s="603">
        <v>1</v>
      </c>
      <c r="AD202" s="603">
        <v>1</v>
      </c>
      <c r="AE202" s="603">
        <v>1</v>
      </c>
      <c r="AF202" s="603">
        <v>1</v>
      </c>
      <c r="AG202" s="603">
        <v>1</v>
      </c>
      <c r="AH202" s="603">
        <v>1</v>
      </c>
      <c r="AI202" s="603">
        <v>1</v>
      </c>
      <c r="AJ202" s="603">
        <v>1</v>
      </c>
      <c r="AK202" s="603">
        <v>4</v>
      </c>
      <c r="AL202" s="603">
        <v>1</v>
      </c>
      <c r="AM202" s="603">
        <v>1</v>
      </c>
      <c r="AN202" s="603">
        <v>1</v>
      </c>
      <c r="AO202" s="603">
        <v>1</v>
      </c>
      <c r="AP202" s="603">
        <v>1</v>
      </c>
      <c r="AQ202" s="603">
        <v>1</v>
      </c>
      <c r="AR202" s="603">
        <v>1</v>
      </c>
      <c r="AS202" s="603">
        <v>1</v>
      </c>
      <c r="AT202" s="603">
        <v>1</v>
      </c>
      <c r="AU202" s="603">
        <v>1</v>
      </c>
      <c r="AV202" s="603">
        <v>3</v>
      </c>
      <c r="AW202" s="603">
        <v>1</v>
      </c>
      <c r="AX202" s="603">
        <v>1</v>
      </c>
      <c r="AY202" s="603">
        <v>1</v>
      </c>
      <c r="AZ202" s="603">
        <v>1</v>
      </c>
      <c r="BA202" s="603">
        <v>3</v>
      </c>
      <c r="BB202" s="603">
        <v>1</v>
      </c>
    </row>
    <row r="203" spans="1:54" x14ac:dyDescent="0.25">
      <c r="F203" s="603"/>
      <c r="G203" s="603"/>
      <c r="H203" s="603"/>
      <c r="I203" s="603"/>
      <c r="J203" s="603"/>
      <c r="K203" s="603"/>
      <c r="L203" s="603"/>
      <c r="M203" s="603"/>
      <c r="N203" s="603"/>
      <c r="O203" s="603"/>
      <c r="P203" s="603"/>
      <c r="Q203" s="603"/>
      <c r="R203" s="603"/>
      <c r="S203" s="603"/>
      <c r="T203" s="603"/>
      <c r="U203" s="603"/>
      <c r="V203" s="603"/>
      <c r="W203" s="603"/>
      <c r="X203" s="603"/>
      <c r="Y203" s="603"/>
      <c r="Z203" s="603"/>
      <c r="AA203" s="603"/>
      <c r="AB203" s="603"/>
      <c r="AC203" s="603"/>
      <c r="AD203" s="603"/>
      <c r="AE203" s="603"/>
      <c r="AF203" s="603"/>
      <c r="AG203" s="603"/>
      <c r="AH203" s="603"/>
      <c r="AI203" s="603"/>
      <c r="AJ203" s="603"/>
      <c r="AK203" s="603"/>
      <c r="AL203" s="603"/>
      <c r="AM203" s="603"/>
      <c r="AN203" s="603"/>
      <c r="AO203" s="603"/>
      <c r="AP203" s="603"/>
      <c r="AQ203" s="603"/>
      <c r="AR203" s="603"/>
      <c r="AS203" s="603"/>
      <c r="AT203" s="603"/>
      <c r="AU203" s="603"/>
      <c r="AV203" s="603"/>
      <c r="AW203" s="603"/>
      <c r="AX203" s="603"/>
      <c r="AY203" s="603"/>
      <c r="AZ203" s="603"/>
      <c r="BA203" s="603"/>
      <c r="BB203" s="603"/>
    </row>
    <row r="204" spans="1:54" x14ac:dyDescent="0.25">
      <c r="F204" s="603"/>
      <c r="G204" s="603"/>
      <c r="H204" s="603"/>
      <c r="I204" s="603"/>
      <c r="J204" s="603"/>
      <c r="K204" s="603"/>
      <c r="L204" s="603"/>
      <c r="M204" s="603"/>
      <c r="O204" s="603"/>
      <c r="P204" s="603"/>
      <c r="Q204" s="603"/>
      <c r="R204" s="603"/>
      <c r="S204" s="603"/>
      <c r="T204" s="603"/>
      <c r="U204" s="603"/>
      <c r="V204" s="603"/>
      <c r="W204" s="603"/>
      <c r="X204" s="603"/>
      <c r="Y204" s="603"/>
      <c r="Z204" s="603"/>
      <c r="AA204" s="603"/>
      <c r="AB204" s="603"/>
      <c r="AC204" s="603"/>
      <c r="AD204" s="603"/>
      <c r="AE204" s="603"/>
      <c r="AF204" s="603"/>
      <c r="AG204" s="603"/>
      <c r="AH204" s="603"/>
      <c r="AI204" s="603"/>
      <c r="AJ204" s="603"/>
      <c r="AK204" s="603"/>
      <c r="AL204" s="603"/>
      <c r="AM204" s="603"/>
      <c r="AN204" s="603"/>
      <c r="AO204" s="603"/>
      <c r="AP204" s="603"/>
      <c r="AQ204" s="603"/>
      <c r="AR204" s="603"/>
      <c r="AS204" s="603"/>
      <c r="AT204" s="603"/>
      <c r="AU204" s="603"/>
      <c r="AV204" s="603"/>
      <c r="AW204" s="603"/>
      <c r="AX204" s="603"/>
      <c r="AY204" s="603"/>
      <c r="AZ204" s="603"/>
      <c r="BA204" s="603"/>
      <c r="BB204" s="603"/>
    </row>
    <row r="205" spans="1:54" x14ac:dyDescent="0.25">
      <c r="F205" s="603"/>
      <c r="G205" s="603"/>
      <c r="H205" s="603"/>
      <c r="I205" s="603"/>
      <c r="J205" s="603"/>
      <c r="K205" s="603"/>
      <c r="L205" s="603"/>
      <c r="M205" s="603"/>
      <c r="N205" s="603"/>
      <c r="O205" s="603"/>
      <c r="P205" s="603"/>
      <c r="Q205" s="603"/>
      <c r="R205" s="603"/>
      <c r="S205" s="603"/>
      <c r="T205" s="603"/>
      <c r="U205" s="603"/>
      <c r="V205" s="603"/>
      <c r="W205" s="603"/>
      <c r="X205" s="603"/>
      <c r="Y205" s="603"/>
      <c r="Z205" s="603"/>
      <c r="AA205" s="603"/>
      <c r="AB205" s="603"/>
      <c r="AC205" s="603"/>
      <c r="AD205" s="603"/>
      <c r="AE205" s="603"/>
      <c r="AF205" s="603"/>
      <c r="AG205" s="603"/>
      <c r="AH205" s="603"/>
      <c r="AI205" s="603"/>
      <c r="AJ205" s="603"/>
      <c r="AK205" s="603"/>
      <c r="AL205" s="603"/>
      <c r="AM205" s="603"/>
      <c r="AN205" s="603"/>
      <c r="AO205" s="603"/>
      <c r="AP205" s="603"/>
      <c r="AQ205" s="603"/>
      <c r="AR205" s="603"/>
      <c r="AS205" s="603"/>
      <c r="AT205" s="603"/>
      <c r="AU205" s="603"/>
      <c r="AV205" s="603"/>
      <c r="AW205" s="603"/>
      <c r="AX205" s="603"/>
      <c r="AY205" s="603"/>
      <c r="AZ205" s="603"/>
      <c r="BA205" s="603"/>
      <c r="BB205" s="603"/>
    </row>
    <row r="206" spans="1:54" x14ac:dyDescent="0.25">
      <c r="F206" s="603"/>
      <c r="G206" s="603"/>
      <c r="H206" s="603"/>
      <c r="I206" s="603"/>
      <c r="J206" s="603"/>
      <c r="K206" s="603"/>
      <c r="L206" s="603"/>
      <c r="M206" s="603"/>
      <c r="O206" s="603"/>
      <c r="P206" s="603"/>
      <c r="R206" s="603"/>
      <c r="T206" s="603"/>
      <c r="U206" s="603"/>
      <c r="V206" s="603"/>
      <c r="W206" s="603"/>
      <c r="X206" s="603"/>
      <c r="Y206" s="603"/>
      <c r="Z206" s="603"/>
      <c r="AA206" s="603"/>
      <c r="AB206" s="603"/>
      <c r="AC206" s="603"/>
      <c r="AD206" s="603"/>
      <c r="AE206" s="603"/>
      <c r="AF206" s="603"/>
      <c r="AG206" s="603"/>
      <c r="AH206" s="603"/>
      <c r="AI206" s="603"/>
      <c r="AJ206" s="603"/>
      <c r="AK206" s="603"/>
      <c r="AM206" s="603"/>
      <c r="AN206" s="603"/>
      <c r="AO206" s="603"/>
      <c r="AP206" s="603"/>
      <c r="AQ206" s="603"/>
      <c r="AR206" s="603"/>
      <c r="AS206" s="603"/>
      <c r="AT206" s="603"/>
      <c r="AU206" s="603"/>
      <c r="AW206" s="603"/>
      <c r="AX206" s="603"/>
      <c r="AY206" s="603"/>
      <c r="AZ206" s="603"/>
      <c r="BA206" s="603"/>
      <c r="BB206" s="603"/>
    </row>
    <row r="207" spans="1:54" x14ac:dyDescent="0.25">
      <c r="AW207" s="603"/>
      <c r="BA207" s="603"/>
      <c r="BB207" s="603"/>
    </row>
    <row r="210" spans="1:54" x14ac:dyDescent="0.25">
      <c r="A210">
        <v>647</v>
      </c>
      <c r="B210">
        <v>647</v>
      </c>
      <c r="C210" t="s">
        <v>989</v>
      </c>
      <c r="F210">
        <v>0</v>
      </c>
      <c r="G210" s="594">
        <v>0</v>
      </c>
      <c r="H210" s="594">
        <v>0</v>
      </c>
      <c r="I210" s="594">
        <v>0</v>
      </c>
      <c r="J210" s="594">
        <v>0</v>
      </c>
      <c r="K210" s="594">
        <v>0</v>
      </c>
      <c r="L210" s="594">
        <v>0</v>
      </c>
      <c r="M210" s="594">
        <v>0</v>
      </c>
      <c r="N210" s="594">
        <v>0</v>
      </c>
      <c r="O210" s="594">
        <v>0</v>
      </c>
      <c r="P210" s="594">
        <v>0</v>
      </c>
      <c r="Q210" s="594">
        <v>0</v>
      </c>
      <c r="R210" s="594">
        <v>0</v>
      </c>
      <c r="S210" s="594">
        <v>0</v>
      </c>
      <c r="T210" s="594">
        <v>0</v>
      </c>
      <c r="U210" s="594">
        <v>0</v>
      </c>
      <c r="V210" s="594">
        <v>0</v>
      </c>
      <c r="W210" s="594">
        <v>0</v>
      </c>
      <c r="X210" s="594">
        <v>0</v>
      </c>
      <c r="Y210" s="594">
        <v>0</v>
      </c>
      <c r="Z210" s="594">
        <v>0</v>
      </c>
      <c r="AA210" s="594">
        <v>0</v>
      </c>
      <c r="AB210" s="594">
        <v>0</v>
      </c>
      <c r="AC210" s="594">
        <v>0</v>
      </c>
      <c r="AD210" s="594">
        <v>0</v>
      </c>
      <c r="AE210" s="594">
        <v>0</v>
      </c>
      <c r="AF210" s="594">
        <v>0</v>
      </c>
      <c r="AG210" s="594">
        <v>0</v>
      </c>
      <c r="AH210" s="594">
        <v>0</v>
      </c>
      <c r="AI210" s="594">
        <v>0</v>
      </c>
      <c r="AJ210" s="594">
        <v>0</v>
      </c>
      <c r="AK210" s="594">
        <v>0</v>
      </c>
      <c r="AL210" s="594">
        <v>0</v>
      </c>
      <c r="AM210" s="594">
        <v>0</v>
      </c>
      <c r="AN210" s="594">
        <v>0</v>
      </c>
      <c r="AO210" s="594">
        <v>0</v>
      </c>
      <c r="AP210" s="594">
        <v>0</v>
      </c>
      <c r="AQ210" s="594">
        <v>0</v>
      </c>
      <c r="AR210" s="594">
        <v>0</v>
      </c>
      <c r="AS210" s="594">
        <v>0</v>
      </c>
      <c r="AT210" s="594">
        <v>0</v>
      </c>
      <c r="AU210" s="594">
        <v>0</v>
      </c>
      <c r="AV210" s="594">
        <v>0</v>
      </c>
      <c r="AW210" s="594">
        <v>0</v>
      </c>
      <c r="AX210" s="594">
        <v>0</v>
      </c>
      <c r="AY210" s="594">
        <v>0</v>
      </c>
      <c r="AZ210" s="594">
        <v>0</v>
      </c>
      <c r="BA210" s="594">
        <v>0</v>
      </c>
      <c r="BB210" s="594">
        <v>0</v>
      </c>
    </row>
    <row r="211" spans="1:54" x14ac:dyDescent="0.25">
      <c r="A211" t="s">
        <v>990</v>
      </c>
      <c r="C211" t="s">
        <v>991</v>
      </c>
      <c r="F211" s="689">
        <f>+F113+F142-F3-F4-F5+F210</f>
        <v>0</v>
      </c>
      <c r="G211" s="689">
        <f t="shared" ref="G211:BB211" si="0">+G113+G142-G3-G4-G5+G210</f>
        <v>0</v>
      </c>
      <c r="H211" s="689">
        <f t="shared" si="0"/>
        <v>0</v>
      </c>
      <c r="I211" s="689">
        <f t="shared" si="0"/>
        <v>0</v>
      </c>
      <c r="J211" s="689">
        <f t="shared" si="0"/>
        <v>0</v>
      </c>
      <c r="K211" s="689">
        <f t="shared" si="0"/>
        <v>0</v>
      </c>
      <c r="L211" s="689">
        <f t="shared" si="0"/>
        <v>0</v>
      </c>
      <c r="M211" s="689">
        <f t="shared" si="0"/>
        <v>0</v>
      </c>
      <c r="N211" s="689">
        <f t="shared" si="0"/>
        <v>0</v>
      </c>
      <c r="O211" s="689">
        <f t="shared" si="0"/>
        <v>0</v>
      </c>
      <c r="P211" s="689">
        <f t="shared" si="0"/>
        <v>0</v>
      </c>
      <c r="Q211" s="689">
        <f t="shared" si="0"/>
        <v>0</v>
      </c>
      <c r="R211" s="689">
        <f t="shared" si="0"/>
        <v>0</v>
      </c>
      <c r="S211" s="689">
        <f t="shared" si="0"/>
        <v>0</v>
      </c>
      <c r="T211" s="689">
        <f t="shared" si="0"/>
        <v>0</v>
      </c>
      <c r="U211" s="689">
        <f t="shared" si="0"/>
        <v>0</v>
      </c>
      <c r="V211" s="689">
        <f t="shared" si="0"/>
        <v>0</v>
      </c>
      <c r="W211" s="689">
        <f t="shared" si="0"/>
        <v>0</v>
      </c>
      <c r="X211" s="689">
        <f t="shared" si="0"/>
        <v>0</v>
      </c>
      <c r="Y211" s="689">
        <f t="shared" si="0"/>
        <v>0</v>
      </c>
      <c r="Z211" s="689">
        <f t="shared" si="0"/>
        <v>0</v>
      </c>
      <c r="AA211" s="689">
        <f t="shared" si="0"/>
        <v>0</v>
      </c>
      <c r="AB211" s="689">
        <f t="shared" si="0"/>
        <v>0</v>
      </c>
      <c r="AC211" s="689">
        <f t="shared" si="0"/>
        <v>0</v>
      </c>
      <c r="AD211" s="689">
        <f t="shared" si="0"/>
        <v>0</v>
      </c>
      <c r="AE211" s="689">
        <f t="shared" si="0"/>
        <v>0</v>
      </c>
      <c r="AF211" s="689">
        <f t="shared" si="0"/>
        <v>0</v>
      </c>
      <c r="AG211" s="689">
        <f t="shared" si="0"/>
        <v>0</v>
      </c>
      <c r="AH211" s="689">
        <f t="shared" si="0"/>
        <v>0</v>
      </c>
      <c r="AI211" s="689">
        <f t="shared" si="0"/>
        <v>0</v>
      </c>
      <c r="AJ211" s="689">
        <f t="shared" si="0"/>
        <v>0</v>
      </c>
      <c r="AK211" s="689">
        <f t="shared" si="0"/>
        <v>518580</v>
      </c>
      <c r="AL211" s="689">
        <f t="shared" si="0"/>
        <v>0</v>
      </c>
      <c r="AM211" s="689">
        <f t="shared" si="0"/>
        <v>0</v>
      </c>
      <c r="AN211" s="689">
        <f t="shared" si="0"/>
        <v>0</v>
      </c>
      <c r="AO211" s="689">
        <f t="shared" si="0"/>
        <v>0</v>
      </c>
      <c r="AP211" s="689">
        <f t="shared" si="0"/>
        <v>0</v>
      </c>
      <c r="AQ211" s="689">
        <f t="shared" si="0"/>
        <v>0</v>
      </c>
      <c r="AR211" s="689">
        <f t="shared" si="0"/>
        <v>0</v>
      </c>
      <c r="AS211" s="689">
        <f t="shared" si="0"/>
        <v>0</v>
      </c>
      <c r="AT211" s="689">
        <f t="shared" si="0"/>
        <v>0</v>
      </c>
      <c r="AU211" s="689">
        <f t="shared" si="0"/>
        <v>0</v>
      </c>
      <c r="AV211" s="689">
        <f t="shared" si="0"/>
        <v>0</v>
      </c>
      <c r="AW211" s="689">
        <f t="shared" si="0"/>
        <v>0</v>
      </c>
      <c r="AX211" s="689">
        <f t="shared" si="0"/>
        <v>0</v>
      </c>
      <c r="AY211" s="689">
        <f t="shared" si="0"/>
        <v>0</v>
      </c>
      <c r="AZ211" s="689">
        <f t="shared" si="0"/>
        <v>0</v>
      </c>
      <c r="BA211" s="689">
        <f t="shared" si="0"/>
        <v>0</v>
      </c>
      <c r="BB211" s="689">
        <f t="shared" si="0"/>
        <v>0</v>
      </c>
    </row>
    <row r="212" spans="1:54" x14ac:dyDescent="0.25">
      <c r="A212" t="s">
        <v>992</v>
      </c>
      <c r="C212" t="s">
        <v>993</v>
      </c>
      <c r="F212" s="689">
        <f>+F139+F11+F116-F140-F115</f>
        <v>0</v>
      </c>
      <c r="G212" s="689">
        <f t="shared" ref="G212:BB212" si="1">+G139+G11+G116-G140-G115</f>
        <v>0</v>
      </c>
      <c r="H212" s="689">
        <f t="shared" si="1"/>
        <v>0</v>
      </c>
      <c r="I212" s="689">
        <f t="shared" si="1"/>
        <v>0</v>
      </c>
      <c r="J212" s="689">
        <f t="shared" si="1"/>
        <v>0</v>
      </c>
      <c r="K212" s="689">
        <f t="shared" si="1"/>
        <v>0</v>
      </c>
      <c r="L212" s="689">
        <f t="shared" si="1"/>
        <v>0</v>
      </c>
      <c r="M212" s="689">
        <f t="shared" si="1"/>
        <v>0</v>
      </c>
      <c r="N212" s="689">
        <f t="shared" si="1"/>
        <v>0</v>
      </c>
      <c r="O212" s="689">
        <f t="shared" si="1"/>
        <v>0</v>
      </c>
      <c r="P212" s="689">
        <f t="shared" si="1"/>
        <v>0</v>
      </c>
      <c r="Q212" s="689">
        <f t="shared" si="1"/>
        <v>0</v>
      </c>
      <c r="R212" s="689">
        <f t="shared" si="1"/>
        <v>0</v>
      </c>
      <c r="S212" s="689">
        <f t="shared" si="1"/>
        <v>0</v>
      </c>
      <c r="T212" s="689">
        <f t="shared" si="1"/>
        <v>0</v>
      </c>
      <c r="U212" s="689">
        <f t="shared" si="1"/>
        <v>0</v>
      </c>
      <c r="V212" s="689">
        <f t="shared" si="1"/>
        <v>0</v>
      </c>
      <c r="W212" s="689">
        <f t="shared" si="1"/>
        <v>0</v>
      </c>
      <c r="X212" s="689">
        <f t="shared" si="1"/>
        <v>0</v>
      </c>
      <c r="Y212" s="689">
        <f t="shared" si="1"/>
        <v>0</v>
      </c>
      <c r="Z212" s="689">
        <f t="shared" si="1"/>
        <v>0</v>
      </c>
      <c r="AA212" s="689">
        <f t="shared" si="1"/>
        <v>0</v>
      </c>
      <c r="AB212" s="689">
        <f t="shared" si="1"/>
        <v>0</v>
      </c>
      <c r="AC212" s="689">
        <f t="shared" si="1"/>
        <v>0</v>
      </c>
      <c r="AD212" s="689">
        <f t="shared" si="1"/>
        <v>0</v>
      </c>
      <c r="AE212" s="689">
        <f t="shared" si="1"/>
        <v>0</v>
      </c>
      <c r="AF212" s="689">
        <f t="shared" si="1"/>
        <v>0</v>
      </c>
      <c r="AG212" s="689">
        <f t="shared" si="1"/>
        <v>0</v>
      </c>
      <c r="AH212" s="689">
        <f t="shared" si="1"/>
        <v>0</v>
      </c>
      <c r="AI212" s="689">
        <f t="shared" si="1"/>
        <v>0</v>
      </c>
      <c r="AJ212" s="689">
        <f t="shared" si="1"/>
        <v>0</v>
      </c>
      <c r="AK212" s="689">
        <f t="shared" si="1"/>
        <v>75148</v>
      </c>
      <c r="AL212" s="689">
        <f t="shared" si="1"/>
        <v>0</v>
      </c>
      <c r="AM212" s="689">
        <f t="shared" si="1"/>
        <v>0</v>
      </c>
      <c r="AN212" s="689">
        <f t="shared" si="1"/>
        <v>0</v>
      </c>
      <c r="AO212" s="689">
        <f t="shared" si="1"/>
        <v>0</v>
      </c>
      <c r="AP212" s="689">
        <f t="shared" si="1"/>
        <v>0</v>
      </c>
      <c r="AQ212" s="689">
        <f t="shared" si="1"/>
        <v>0</v>
      </c>
      <c r="AR212" s="689">
        <f t="shared" si="1"/>
        <v>0</v>
      </c>
      <c r="AS212" s="689">
        <f t="shared" si="1"/>
        <v>0</v>
      </c>
      <c r="AT212" s="689">
        <f t="shared" si="1"/>
        <v>0</v>
      </c>
      <c r="AU212" s="689">
        <f t="shared" si="1"/>
        <v>0</v>
      </c>
      <c r="AV212" s="689">
        <f t="shared" si="1"/>
        <v>0</v>
      </c>
      <c r="AW212" s="689">
        <f t="shared" si="1"/>
        <v>0</v>
      </c>
      <c r="AX212" s="689">
        <f t="shared" si="1"/>
        <v>0</v>
      </c>
      <c r="AY212" s="689">
        <f t="shared" si="1"/>
        <v>0</v>
      </c>
      <c r="AZ212" s="689">
        <f t="shared" si="1"/>
        <v>0</v>
      </c>
      <c r="BA212" s="689">
        <f t="shared" si="1"/>
        <v>0</v>
      </c>
      <c r="BB212" s="689">
        <f t="shared" si="1"/>
        <v>0</v>
      </c>
    </row>
    <row r="213" spans="1:54" x14ac:dyDescent="0.25">
      <c r="A213" t="s">
        <v>994</v>
      </c>
      <c r="C213" t="s">
        <v>995</v>
      </c>
      <c r="F213" s="690" t="e">
        <f>+F211/F212</f>
        <v>#DIV/0!</v>
      </c>
      <c r="G213" s="690" t="e">
        <f t="shared" ref="G213:BB213" si="2">+G211/G212</f>
        <v>#DIV/0!</v>
      </c>
      <c r="H213" s="690" t="e">
        <f t="shared" si="2"/>
        <v>#DIV/0!</v>
      </c>
      <c r="I213" s="690" t="e">
        <f t="shared" si="2"/>
        <v>#DIV/0!</v>
      </c>
      <c r="J213" s="690" t="e">
        <f t="shared" si="2"/>
        <v>#DIV/0!</v>
      </c>
      <c r="K213" s="690" t="e">
        <f t="shared" si="2"/>
        <v>#DIV/0!</v>
      </c>
      <c r="L213" s="690" t="e">
        <f t="shared" si="2"/>
        <v>#DIV/0!</v>
      </c>
      <c r="M213" s="690" t="e">
        <f t="shared" si="2"/>
        <v>#DIV/0!</v>
      </c>
      <c r="N213" s="690" t="e">
        <f t="shared" si="2"/>
        <v>#DIV/0!</v>
      </c>
      <c r="O213" s="690" t="e">
        <f t="shared" si="2"/>
        <v>#DIV/0!</v>
      </c>
      <c r="P213" s="690" t="e">
        <f t="shared" si="2"/>
        <v>#DIV/0!</v>
      </c>
      <c r="Q213" s="690" t="e">
        <f t="shared" si="2"/>
        <v>#DIV/0!</v>
      </c>
      <c r="R213" s="690" t="e">
        <f t="shared" si="2"/>
        <v>#DIV/0!</v>
      </c>
      <c r="S213" s="690" t="e">
        <f t="shared" si="2"/>
        <v>#DIV/0!</v>
      </c>
      <c r="T213" s="690" t="e">
        <f t="shared" si="2"/>
        <v>#DIV/0!</v>
      </c>
      <c r="U213" s="690" t="e">
        <f t="shared" si="2"/>
        <v>#DIV/0!</v>
      </c>
      <c r="V213" s="690" t="e">
        <f t="shared" si="2"/>
        <v>#DIV/0!</v>
      </c>
      <c r="W213" s="690" t="e">
        <f t="shared" si="2"/>
        <v>#DIV/0!</v>
      </c>
      <c r="X213" s="690" t="e">
        <f t="shared" si="2"/>
        <v>#DIV/0!</v>
      </c>
      <c r="Y213" s="690" t="e">
        <f t="shared" si="2"/>
        <v>#DIV/0!</v>
      </c>
      <c r="Z213" s="690" t="e">
        <f t="shared" si="2"/>
        <v>#DIV/0!</v>
      </c>
      <c r="AA213" s="690" t="e">
        <f t="shared" si="2"/>
        <v>#DIV/0!</v>
      </c>
      <c r="AB213" s="690" t="e">
        <f t="shared" si="2"/>
        <v>#DIV/0!</v>
      </c>
      <c r="AC213" s="690" t="e">
        <f t="shared" si="2"/>
        <v>#DIV/0!</v>
      </c>
      <c r="AD213" s="690" t="e">
        <f t="shared" si="2"/>
        <v>#DIV/0!</v>
      </c>
      <c r="AE213" s="690" t="e">
        <f t="shared" si="2"/>
        <v>#DIV/0!</v>
      </c>
      <c r="AF213" s="690" t="e">
        <f t="shared" si="2"/>
        <v>#DIV/0!</v>
      </c>
      <c r="AG213" s="690" t="e">
        <f t="shared" si="2"/>
        <v>#DIV/0!</v>
      </c>
      <c r="AH213" s="690" t="e">
        <f t="shared" si="2"/>
        <v>#DIV/0!</v>
      </c>
      <c r="AI213" s="690" t="e">
        <f t="shared" si="2"/>
        <v>#DIV/0!</v>
      </c>
      <c r="AJ213" s="690" t="e">
        <f t="shared" si="2"/>
        <v>#DIV/0!</v>
      </c>
      <c r="AK213" s="690">
        <f t="shared" si="2"/>
        <v>6.9007824559535846</v>
      </c>
      <c r="AL213" s="690" t="e">
        <f t="shared" si="2"/>
        <v>#DIV/0!</v>
      </c>
      <c r="AM213" s="690" t="e">
        <f t="shared" si="2"/>
        <v>#DIV/0!</v>
      </c>
      <c r="AN213" s="690" t="e">
        <f t="shared" si="2"/>
        <v>#DIV/0!</v>
      </c>
      <c r="AO213" s="690" t="e">
        <f t="shared" si="2"/>
        <v>#DIV/0!</v>
      </c>
      <c r="AP213" s="690" t="e">
        <f t="shared" si="2"/>
        <v>#DIV/0!</v>
      </c>
      <c r="AQ213" s="690" t="e">
        <f t="shared" si="2"/>
        <v>#DIV/0!</v>
      </c>
      <c r="AR213" s="690" t="e">
        <f t="shared" si="2"/>
        <v>#DIV/0!</v>
      </c>
      <c r="AS213" s="690" t="e">
        <f t="shared" si="2"/>
        <v>#DIV/0!</v>
      </c>
      <c r="AT213" s="690" t="e">
        <f t="shared" si="2"/>
        <v>#DIV/0!</v>
      </c>
      <c r="AU213" s="690" t="e">
        <f t="shared" si="2"/>
        <v>#DIV/0!</v>
      </c>
      <c r="AV213" s="690" t="e">
        <f t="shared" si="2"/>
        <v>#DIV/0!</v>
      </c>
      <c r="AW213" s="690" t="e">
        <f t="shared" si="2"/>
        <v>#DIV/0!</v>
      </c>
      <c r="AX213" s="690" t="e">
        <f t="shared" si="2"/>
        <v>#DIV/0!</v>
      </c>
      <c r="AY213" s="690" t="e">
        <f t="shared" si="2"/>
        <v>#DIV/0!</v>
      </c>
      <c r="AZ213" s="690" t="e">
        <f t="shared" si="2"/>
        <v>#DIV/0!</v>
      </c>
      <c r="BA213" s="690" t="e">
        <f t="shared" si="2"/>
        <v>#DIV/0!</v>
      </c>
      <c r="BB213" s="690" t="e">
        <f t="shared" si="2"/>
        <v>#DIV/0!</v>
      </c>
    </row>
    <row r="214" spans="1:54" x14ac:dyDescent="0.25">
      <c r="A214" t="s">
        <v>996</v>
      </c>
      <c r="C214" t="s">
        <v>765</v>
      </c>
      <c r="F214" s="689">
        <f>+F60+F32</f>
        <v>315560</v>
      </c>
      <c r="G214" s="689">
        <f t="shared" ref="G214:BB214" si="3">+G60+G32</f>
        <v>507403</v>
      </c>
      <c r="H214" s="689">
        <f t="shared" si="3"/>
        <v>2452593</v>
      </c>
      <c r="I214" s="689">
        <f t="shared" si="3"/>
        <v>767217</v>
      </c>
      <c r="J214" s="689">
        <f t="shared" si="3"/>
        <v>8505560</v>
      </c>
      <c r="K214" s="689">
        <f t="shared" si="3"/>
        <v>2637228</v>
      </c>
      <c r="L214" s="689">
        <f t="shared" si="3"/>
        <v>21818590</v>
      </c>
      <c r="M214" s="689">
        <f t="shared" si="3"/>
        <v>1571608</v>
      </c>
      <c r="N214" s="689">
        <f t="shared" si="3"/>
        <v>0</v>
      </c>
      <c r="O214" s="689">
        <f t="shared" si="3"/>
        <v>859689</v>
      </c>
      <c r="P214" s="689">
        <f t="shared" si="3"/>
        <v>1039831</v>
      </c>
      <c r="Q214" s="689">
        <f t="shared" si="3"/>
        <v>0</v>
      </c>
      <c r="R214" s="689">
        <f>+R60+R32</f>
        <v>39644833</v>
      </c>
      <c r="S214" s="689">
        <f t="shared" si="3"/>
        <v>212497</v>
      </c>
      <c r="T214" s="689">
        <f t="shared" si="3"/>
        <v>136189</v>
      </c>
      <c r="U214" s="689">
        <f t="shared" si="3"/>
        <v>105380</v>
      </c>
      <c r="V214" s="689">
        <f t="shared" si="3"/>
        <v>11421</v>
      </c>
      <c r="W214" s="689">
        <f t="shared" si="3"/>
        <v>11443630</v>
      </c>
      <c r="X214" s="689">
        <f t="shared" si="3"/>
        <v>940887</v>
      </c>
      <c r="Y214" s="689">
        <f t="shared" si="3"/>
        <v>41762</v>
      </c>
      <c r="Z214" s="689">
        <f t="shared" si="3"/>
        <v>180464</v>
      </c>
      <c r="AA214" s="689">
        <f t="shared" si="3"/>
        <v>2044289</v>
      </c>
      <c r="AB214" s="689">
        <f t="shared" si="3"/>
        <v>226798</v>
      </c>
      <c r="AC214" s="689">
        <f t="shared" si="3"/>
        <v>796603</v>
      </c>
      <c r="AD214" s="689">
        <f t="shared" si="3"/>
        <v>0</v>
      </c>
      <c r="AE214" s="689">
        <f t="shared" si="3"/>
        <v>5166043</v>
      </c>
      <c r="AF214" s="689">
        <f t="shared" si="3"/>
        <v>345835</v>
      </c>
      <c r="AG214" s="689">
        <f t="shared" si="3"/>
        <v>117460</v>
      </c>
      <c r="AH214" s="689">
        <f t="shared" si="3"/>
        <v>5493288</v>
      </c>
      <c r="AI214" s="689">
        <f t="shared" si="3"/>
        <v>7478450</v>
      </c>
      <c r="AJ214" s="689">
        <f t="shared" si="3"/>
        <v>2071336</v>
      </c>
      <c r="AK214" s="689">
        <f t="shared" si="3"/>
        <v>9536</v>
      </c>
      <c r="AL214" s="689">
        <f t="shared" si="3"/>
        <v>658404</v>
      </c>
      <c r="AM214" s="689">
        <f t="shared" si="3"/>
        <v>156905</v>
      </c>
      <c r="AN214" s="689">
        <f t="shared" si="3"/>
        <v>0</v>
      </c>
      <c r="AO214" s="689">
        <f t="shared" si="3"/>
        <v>3424581</v>
      </c>
      <c r="AP214" s="689">
        <f t="shared" si="3"/>
        <v>481757</v>
      </c>
      <c r="AQ214" s="689">
        <f t="shared" si="3"/>
        <v>409558</v>
      </c>
      <c r="AR214" s="689">
        <f t="shared" si="3"/>
        <v>0</v>
      </c>
      <c r="AS214" s="689">
        <f t="shared" si="3"/>
        <v>142099</v>
      </c>
      <c r="AT214" s="689">
        <f t="shared" si="3"/>
        <v>363037</v>
      </c>
      <c r="AU214" s="689">
        <f t="shared" si="3"/>
        <v>0</v>
      </c>
      <c r="AV214" s="689">
        <f t="shared" si="3"/>
        <v>0</v>
      </c>
      <c r="AW214" s="689">
        <f t="shared" si="3"/>
        <v>642583</v>
      </c>
      <c r="AX214" s="689">
        <f t="shared" si="3"/>
        <v>0</v>
      </c>
      <c r="AY214" s="689">
        <f t="shared" si="3"/>
        <v>11233</v>
      </c>
      <c r="AZ214" s="689">
        <f t="shared" si="3"/>
        <v>0</v>
      </c>
      <c r="BA214" s="689">
        <f t="shared" si="3"/>
        <v>2381</v>
      </c>
      <c r="BB214" s="689">
        <f t="shared" si="3"/>
        <v>717107</v>
      </c>
    </row>
    <row r="215" spans="1:54" x14ac:dyDescent="0.25">
      <c r="A215" t="s">
        <v>1004</v>
      </c>
      <c r="C215" t="s">
        <v>763</v>
      </c>
      <c r="F215" s="689">
        <f>+F40+F38</f>
        <v>0</v>
      </c>
      <c r="G215" s="689">
        <f t="shared" ref="G215:BB215" si="4">+G40+G38</f>
        <v>0</v>
      </c>
      <c r="H215" s="689">
        <f t="shared" si="4"/>
        <v>0</v>
      </c>
      <c r="I215" s="689">
        <f t="shared" si="4"/>
        <v>0</v>
      </c>
      <c r="J215" s="689">
        <f t="shared" si="4"/>
        <v>0</v>
      </c>
      <c r="K215" s="689">
        <f t="shared" si="4"/>
        <v>0</v>
      </c>
      <c r="L215" s="689">
        <f t="shared" si="4"/>
        <v>0</v>
      </c>
      <c r="M215" s="689">
        <f t="shared" si="4"/>
        <v>0</v>
      </c>
      <c r="N215" s="689">
        <f t="shared" si="4"/>
        <v>0</v>
      </c>
      <c r="O215" s="689">
        <f t="shared" si="4"/>
        <v>0</v>
      </c>
      <c r="P215" s="689">
        <f t="shared" si="4"/>
        <v>0</v>
      </c>
      <c r="Q215" s="689">
        <f t="shared" si="4"/>
        <v>0</v>
      </c>
      <c r="R215" s="689">
        <f t="shared" si="4"/>
        <v>9981829</v>
      </c>
      <c r="S215" s="689">
        <f t="shared" si="4"/>
        <v>0</v>
      </c>
      <c r="T215" s="689">
        <f t="shared" si="4"/>
        <v>0</v>
      </c>
      <c r="U215" s="689">
        <f t="shared" si="4"/>
        <v>0</v>
      </c>
      <c r="V215" s="689">
        <f t="shared" si="4"/>
        <v>0</v>
      </c>
      <c r="W215" s="689">
        <f t="shared" si="4"/>
        <v>3964422</v>
      </c>
      <c r="X215" s="689">
        <f t="shared" si="4"/>
        <v>0</v>
      </c>
      <c r="Y215" s="689">
        <f t="shared" si="4"/>
        <v>0</v>
      </c>
      <c r="Z215" s="689">
        <f t="shared" si="4"/>
        <v>0</v>
      </c>
      <c r="AA215" s="689">
        <f t="shared" si="4"/>
        <v>0</v>
      </c>
      <c r="AB215" s="689">
        <f t="shared" si="4"/>
        <v>0</v>
      </c>
      <c r="AC215" s="689">
        <f t="shared" si="4"/>
        <v>0</v>
      </c>
      <c r="AD215" s="689">
        <f t="shared" si="4"/>
        <v>0</v>
      </c>
      <c r="AE215" s="689">
        <f t="shared" si="4"/>
        <v>0</v>
      </c>
      <c r="AF215" s="689">
        <f t="shared" si="4"/>
        <v>0</v>
      </c>
      <c r="AG215" s="689">
        <f t="shared" si="4"/>
        <v>0</v>
      </c>
      <c r="AH215" s="689">
        <f t="shared" si="4"/>
        <v>0</v>
      </c>
      <c r="AI215" s="689">
        <f t="shared" si="4"/>
        <v>0</v>
      </c>
      <c r="AJ215" s="689">
        <f t="shared" si="4"/>
        <v>0</v>
      </c>
      <c r="AK215" s="689">
        <f t="shared" si="4"/>
        <v>0</v>
      </c>
      <c r="AL215" s="689">
        <f t="shared" si="4"/>
        <v>0</v>
      </c>
      <c r="AM215" s="689">
        <f t="shared" si="4"/>
        <v>0</v>
      </c>
      <c r="AN215" s="689">
        <f t="shared" si="4"/>
        <v>0</v>
      </c>
      <c r="AO215" s="689">
        <f t="shared" si="4"/>
        <v>0</v>
      </c>
      <c r="AP215" s="689">
        <f t="shared" si="4"/>
        <v>0</v>
      </c>
      <c r="AQ215" s="689">
        <f t="shared" si="4"/>
        <v>0</v>
      </c>
      <c r="AR215" s="689">
        <f t="shared" si="4"/>
        <v>0</v>
      </c>
      <c r="AS215" s="689">
        <f t="shared" si="4"/>
        <v>0</v>
      </c>
      <c r="AT215" s="689">
        <f t="shared" si="4"/>
        <v>0</v>
      </c>
      <c r="AU215" s="689">
        <f t="shared" si="4"/>
        <v>0</v>
      </c>
      <c r="AV215" s="689">
        <f t="shared" si="4"/>
        <v>0</v>
      </c>
      <c r="AW215" s="689">
        <f t="shared" si="4"/>
        <v>0</v>
      </c>
      <c r="AX215" s="689">
        <f t="shared" si="4"/>
        <v>0</v>
      </c>
      <c r="AY215" s="689">
        <f t="shared" si="4"/>
        <v>0</v>
      </c>
      <c r="AZ215" s="689">
        <f t="shared" si="4"/>
        <v>0</v>
      </c>
      <c r="BA215" s="689">
        <f t="shared" si="4"/>
        <v>0</v>
      </c>
      <c r="BB215" s="689">
        <f t="shared" si="4"/>
        <v>0</v>
      </c>
    </row>
    <row r="216" spans="1:54" x14ac:dyDescent="0.25">
      <c r="A216" t="s">
        <v>997</v>
      </c>
      <c r="C216" t="s">
        <v>998</v>
      </c>
      <c r="F216" s="689">
        <f>+F14-F117</f>
        <v>1580415</v>
      </c>
      <c r="G216" s="689">
        <f t="shared" ref="G216:BB216" si="5">+G14-G117</f>
        <v>5597218</v>
      </c>
      <c r="H216" s="689">
        <f t="shared" si="5"/>
        <v>8522835</v>
      </c>
      <c r="I216" s="689">
        <f t="shared" si="5"/>
        <v>12567689</v>
      </c>
      <c r="J216" s="689">
        <f t="shared" si="5"/>
        <v>72184956</v>
      </c>
      <c r="K216" s="689">
        <f t="shared" si="5"/>
        <v>21103895</v>
      </c>
      <c r="L216" s="689">
        <f t="shared" si="5"/>
        <v>126747150</v>
      </c>
      <c r="M216" s="689">
        <f t="shared" si="5"/>
        <v>7189668</v>
      </c>
      <c r="N216" s="689">
        <f t="shared" si="5"/>
        <v>0</v>
      </c>
      <c r="O216" s="689">
        <f t="shared" si="5"/>
        <v>2982298</v>
      </c>
      <c r="P216" s="689">
        <f t="shared" si="5"/>
        <v>4856875</v>
      </c>
      <c r="Q216" s="689">
        <f t="shared" si="5"/>
        <v>182209</v>
      </c>
      <c r="R216" s="689">
        <f t="shared" si="5"/>
        <v>57831882</v>
      </c>
      <c r="S216" s="689">
        <f t="shared" si="5"/>
        <v>1498302</v>
      </c>
      <c r="T216" s="689">
        <f t="shared" si="5"/>
        <v>509118</v>
      </c>
      <c r="U216" s="689">
        <f t="shared" si="5"/>
        <v>7820822</v>
      </c>
      <c r="V216" s="689">
        <f t="shared" si="5"/>
        <v>1646724</v>
      </c>
      <c r="W216" s="689">
        <f t="shared" si="5"/>
        <v>21158394</v>
      </c>
      <c r="X216" s="689">
        <f t="shared" si="5"/>
        <v>3277498</v>
      </c>
      <c r="Y216" s="689">
        <f t="shared" si="5"/>
        <v>1026913</v>
      </c>
      <c r="Z216" s="689">
        <f t="shared" si="5"/>
        <v>3383084</v>
      </c>
      <c r="AA216" s="689">
        <f t="shared" si="5"/>
        <v>3842229</v>
      </c>
      <c r="AB216" s="689">
        <f t="shared" si="5"/>
        <v>1380833</v>
      </c>
      <c r="AC216" s="689">
        <f t="shared" si="5"/>
        <v>2193752</v>
      </c>
      <c r="AD216" s="689">
        <f t="shared" si="5"/>
        <v>1042578</v>
      </c>
      <c r="AE216" s="689">
        <f t="shared" si="5"/>
        <v>11003350</v>
      </c>
      <c r="AF216" s="689">
        <f t="shared" si="5"/>
        <v>1965558</v>
      </c>
      <c r="AG216" s="689">
        <f t="shared" si="5"/>
        <v>699519</v>
      </c>
      <c r="AH216" s="689">
        <f t="shared" si="5"/>
        <v>47042202</v>
      </c>
      <c r="AI216" s="689">
        <f t="shared" si="5"/>
        <v>20526115</v>
      </c>
      <c r="AJ216" s="689">
        <f t="shared" si="5"/>
        <v>16780783</v>
      </c>
      <c r="AK216" s="689">
        <f t="shared" si="5"/>
        <v>273052</v>
      </c>
      <c r="AL216" s="689">
        <f t="shared" si="5"/>
        <v>13752117</v>
      </c>
      <c r="AM216" s="689">
        <f t="shared" si="5"/>
        <v>567121</v>
      </c>
      <c r="AN216" s="689">
        <f t="shared" si="5"/>
        <v>1433585</v>
      </c>
      <c r="AO216" s="689">
        <f t="shared" si="5"/>
        <v>32173971</v>
      </c>
      <c r="AP216" s="689">
        <f t="shared" si="5"/>
        <v>3391971</v>
      </c>
      <c r="AQ216" s="689">
        <f t="shared" si="5"/>
        <v>6864259</v>
      </c>
      <c r="AR216" s="689">
        <f t="shared" si="5"/>
        <v>2129052</v>
      </c>
      <c r="AS216" s="689">
        <f t="shared" si="5"/>
        <v>1234002</v>
      </c>
      <c r="AT216" s="689">
        <f t="shared" si="5"/>
        <v>101700</v>
      </c>
      <c r="AU216" s="689">
        <f t="shared" si="5"/>
        <v>199253</v>
      </c>
      <c r="AV216" s="689">
        <f t="shared" si="5"/>
        <v>172167</v>
      </c>
      <c r="AW216" s="689">
        <f t="shared" si="5"/>
        <v>14560095</v>
      </c>
      <c r="AX216" s="689">
        <f t="shared" si="5"/>
        <v>0</v>
      </c>
      <c r="AY216" s="689">
        <f t="shared" si="5"/>
        <v>39981</v>
      </c>
      <c r="AZ216" s="689">
        <f t="shared" si="5"/>
        <v>34157</v>
      </c>
      <c r="BA216" s="689">
        <f t="shared" si="5"/>
        <v>3741210</v>
      </c>
      <c r="BB216" s="689">
        <f t="shared" si="5"/>
        <v>2153828</v>
      </c>
    </row>
    <row r="217" spans="1:54" x14ac:dyDescent="0.25">
      <c r="A217" t="s">
        <v>999</v>
      </c>
      <c r="C217" t="s">
        <v>766</v>
      </c>
      <c r="F217" s="691">
        <f>+F26*365/F31</f>
        <v>74.108440643267045</v>
      </c>
      <c r="G217" s="691">
        <f t="shared" ref="G217:BB217" si="6">+G26*365/G31</f>
        <v>45.837654375272741</v>
      </c>
      <c r="H217" s="691">
        <f t="shared" si="6"/>
        <v>50.867181802532471</v>
      </c>
      <c r="I217" s="691">
        <f t="shared" si="6"/>
        <v>110.29211638344212</v>
      </c>
      <c r="J217" s="691">
        <f t="shared" si="6"/>
        <v>65.723781569198096</v>
      </c>
      <c r="K217" s="691">
        <f t="shared" si="6"/>
        <v>28.892365382512565</v>
      </c>
      <c r="L217" s="691">
        <f t="shared" si="6"/>
        <v>74.435846534344847</v>
      </c>
      <c r="M217" s="691">
        <f t="shared" si="6"/>
        <v>48.900012931854057</v>
      </c>
      <c r="N217" s="691" t="e">
        <f t="shared" si="6"/>
        <v>#DIV/0!</v>
      </c>
      <c r="O217" s="691">
        <f t="shared" si="6"/>
        <v>8.460311078884537</v>
      </c>
      <c r="P217" s="691">
        <f t="shared" si="6"/>
        <v>49.783568147915922</v>
      </c>
      <c r="Q217" s="691">
        <f t="shared" si="6"/>
        <v>194.48969455039258</v>
      </c>
      <c r="R217" s="691">
        <f t="shared" si="6"/>
        <v>84.994708770848277</v>
      </c>
      <c r="S217" s="691">
        <f t="shared" si="6"/>
        <v>54.464920979003622</v>
      </c>
      <c r="T217" s="691">
        <f t="shared" si="6"/>
        <v>44.676485331363445</v>
      </c>
      <c r="U217" s="691">
        <f t="shared" si="6"/>
        <v>49.870304038452261</v>
      </c>
      <c r="V217" s="691">
        <f t="shared" si="6"/>
        <v>97.388442327946606</v>
      </c>
      <c r="W217" s="691">
        <f t="shared" si="6"/>
        <v>44.006290784309392</v>
      </c>
      <c r="X217" s="691">
        <f t="shared" si="6"/>
        <v>56.617714233938116</v>
      </c>
      <c r="Y217" s="691">
        <f t="shared" si="6"/>
        <v>40.963743867546839</v>
      </c>
      <c r="Z217" s="691">
        <f t="shared" si="6"/>
        <v>56.869315181406435</v>
      </c>
      <c r="AA217" s="691">
        <f t="shared" si="6"/>
        <v>38.29058581854612</v>
      </c>
      <c r="AB217" s="691">
        <f t="shared" si="6"/>
        <v>37.167390426965589</v>
      </c>
      <c r="AC217" s="691">
        <f t="shared" si="6"/>
        <v>0</v>
      </c>
      <c r="AD217" s="691">
        <f t="shared" si="6"/>
        <v>50.389387000903859</v>
      </c>
      <c r="AE217" s="691">
        <f t="shared" si="6"/>
        <v>0.74150165337482976</v>
      </c>
      <c r="AF217" s="691">
        <f t="shared" si="6"/>
        <v>52.743750966345409</v>
      </c>
      <c r="AG217" s="691">
        <f t="shared" si="6"/>
        <v>36.528849141584935</v>
      </c>
      <c r="AH217" s="691">
        <f t="shared" si="6"/>
        <v>74.540074734325742</v>
      </c>
      <c r="AI217" s="691">
        <f t="shared" si="6"/>
        <v>35.858298540448324</v>
      </c>
      <c r="AJ217" s="691">
        <f t="shared" si="6"/>
        <v>20.906014401135376</v>
      </c>
      <c r="AK217" s="691">
        <f t="shared" si="6"/>
        <v>4.2771084337349397</v>
      </c>
      <c r="AL217" s="691">
        <f t="shared" si="6"/>
        <v>24.399906471957269</v>
      </c>
      <c r="AM217" s="691">
        <f t="shared" si="6"/>
        <v>48.62213101105398</v>
      </c>
      <c r="AN217" s="691">
        <f t="shared" si="6"/>
        <v>50.44969825812646</v>
      </c>
      <c r="AO217" s="691">
        <f t="shared" si="6"/>
        <v>56.010708744595085</v>
      </c>
      <c r="AP217" s="691">
        <f t="shared" si="6"/>
        <v>37.125169215596003</v>
      </c>
      <c r="AQ217" s="691">
        <f t="shared" si="6"/>
        <v>74.20885762923325</v>
      </c>
      <c r="AR217" s="691">
        <f t="shared" si="6"/>
        <v>40.277881951958037</v>
      </c>
      <c r="AS217" s="691">
        <f t="shared" si="6"/>
        <v>51.422173937581128</v>
      </c>
      <c r="AT217" s="691">
        <f t="shared" si="6"/>
        <v>67.852319863747496</v>
      </c>
      <c r="AU217" s="691">
        <f t="shared" si="6"/>
        <v>1.31438127090301</v>
      </c>
      <c r="AV217" s="691">
        <f t="shared" si="6"/>
        <v>51.611597790896973</v>
      </c>
      <c r="AW217" s="691">
        <f t="shared" si="6"/>
        <v>61.718869297159031</v>
      </c>
      <c r="AX217" s="691" t="e">
        <f t="shared" si="6"/>
        <v>#DIV/0!</v>
      </c>
      <c r="AY217" s="691" t="e">
        <f t="shared" si="6"/>
        <v>#DIV/0!</v>
      </c>
      <c r="AZ217" s="691">
        <f t="shared" si="6"/>
        <v>15.532897901318954</v>
      </c>
      <c r="BA217" s="691">
        <f t="shared" si="6"/>
        <v>70.029175428389408</v>
      </c>
      <c r="BB217" s="691">
        <f t="shared" si="6"/>
        <v>90.227840039722906</v>
      </c>
    </row>
    <row r="218" spans="1:54" x14ac:dyDescent="0.25">
      <c r="A218" t="s">
        <v>1000</v>
      </c>
      <c r="C218" t="s">
        <v>767</v>
      </c>
      <c r="F218" s="690" t="e">
        <f>+F34*365/F37</f>
        <v>#DIV/0!</v>
      </c>
      <c r="G218" s="690" t="e">
        <f t="shared" ref="G218:BB218" si="7">+G34*365/G37</f>
        <v>#DIV/0!</v>
      </c>
      <c r="H218" s="690" t="e">
        <f t="shared" si="7"/>
        <v>#DIV/0!</v>
      </c>
      <c r="I218" s="690" t="e">
        <f t="shared" si="7"/>
        <v>#DIV/0!</v>
      </c>
      <c r="J218" s="690" t="e">
        <f t="shared" si="7"/>
        <v>#DIV/0!</v>
      </c>
      <c r="K218" s="690" t="e">
        <f t="shared" si="7"/>
        <v>#DIV/0!</v>
      </c>
      <c r="L218" s="690" t="e">
        <f t="shared" si="7"/>
        <v>#DIV/0!</v>
      </c>
      <c r="M218" s="690" t="e">
        <f t="shared" si="7"/>
        <v>#DIV/0!</v>
      </c>
      <c r="N218" s="690" t="e">
        <f t="shared" si="7"/>
        <v>#DIV/0!</v>
      </c>
      <c r="O218" s="690" t="e">
        <f t="shared" si="7"/>
        <v>#DIV/0!</v>
      </c>
      <c r="P218" s="690" t="e">
        <f t="shared" si="7"/>
        <v>#DIV/0!</v>
      </c>
      <c r="Q218" s="690" t="e">
        <f t="shared" si="7"/>
        <v>#DIV/0!</v>
      </c>
      <c r="R218" s="690">
        <f t="shared" si="7"/>
        <v>59.860236493340132</v>
      </c>
      <c r="S218" s="690" t="e">
        <f t="shared" si="7"/>
        <v>#DIV/0!</v>
      </c>
      <c r="T218" s="690" t="e">
        <f t="shared" si="7"/>
        <v>#DIV/0!</v>
      </c>
      <c r="U218" s="690" t="e">
        <f t="shared" si="7"/>
        <v>#DIV/0!</v>
      </c>
      <c r="V218" s="690" t="e">
        <f t="shared" si="7"/>
        <v>#DIV/0!</v>
      </c>
      <c r="W218" s="690">
        <f t="shared" si="7"/>
        <v>39.768728636186857</v>
      </c>
      <c r="X218" s="690" t="e">
        <f t="shared" si="7"/>
        <v>#DIV/0!</v>
      </c>
      <c r="Y218" s="690" t="e">
        <f t="shared" si="7"/>
        <v>#DIV/0!</v>
      </c>
      <c r="Z218" s="690" t="e">
        <f t="shared" si="7"/>
        <v>#DIV/0!</v>
      </c>
      <c r="AA218" s="690" t="e">
        <f t="shared" si="7"/>
        <v>#DIV/0!</v>
      </c>
      <c r="AB218" s="690" t="e">
        <f t="shared" si="7"/>
        <v>#DIV/0!</v>
      </c>
      <c r="AC218" s="690" t="e">
        <f t="shared" si="7"/>
        <v>#DIV/0!</v>
      </c>
      <c r="AD218" s="690" t="e">
        <f t="shared" si="7"/>
        <v>#DIV/0!</v>
      </c>
      <c r="AE218" s="690" t="e">
        <f t="shared" si="7"/>
        <v>#DIV/0!</v>
      </c>
      <c r="AF218" s="690" t="e">
        <f t="shared" si="7"/>
        <v>#DIV/0!</v>
      </c>
      <c r="AG218" s="690" t="e">
        <f t="shared" si="7"/>
        <v>#DIV/0!</v>
      </c>
      <c r="AH218" s="690" t="e">
        <f t="shared" si="7"/>
        <v>#DIV/0!</v>
      </c>
      <c r="AI218" s="690" t="e">
        <f t="shared" si="7"/>
        <v>#DIV/0!</v>
      </c>
      <c r="AJ218" s="690" t="e">
        <f t="shared" si="7"/>
        <v>#DIV/0!</v>
      </c>
      <c r="AK218" s="690" t="e">
        <f t="shared" si="7"/>
        <v>#DIV/0!</v>
      </c>
      <c r="AL218" s="690" t="e">
        <f t="shared" si="7"/>
        <v>#DIV/0!</v>
      </c>
      <c r="AM218" s="690" t="e">
        <f t="shared" si="7"/>
        <v>#DIV/0!</v>
      </c>
      <c r="AN218" s="690" t="e">
        <f t="shared" si="7"/>
        <v>#DIV/0!</v>
      </c>
      <c r="AO218" s="690" t="e">
        <f t="shared" si="7"/>
        <v>#DIV/0!</v>
      </c>
      <c r="AP218" s="690" t="e">
        <f t="shared" si="7"/>
        <v>#DIV/0!</v>
      </c>
      <c r="AQ218" s="690" t="e">
        <f t="shared" si="7"/>
        <v>#DIV/0!</v>
      </c>
      <c r="AR218" s="690" t="e">
        <f t="shared" si="7"/>
        <v>#DIV/0!</v>
      </c>
      <c r="AS218" s="690" t="e">
        <f t="shared" si="7"/>
        <v>#DIV/0!</v>
      </c>
      <c r="AT218" s="690" t="e">
        <f t="shared" si="7"/>
        <v>#DIV/0!</v>
      </c>
      <c r="AU218" s="690" t="e">
        <f t="shared" si="7"/>
        <v>#DIV/0!</v>
      </c>
      <c r="AV218" s="690" t="e">
        <f t="shared" si="7"/>
        <v>#DIV/0!</v>
      </c>
      <c r="AW218" s="690" t="e">
        <f t="shared" si="7"/>
        <v>#DIV/0!</v>
      </c>
      <c r="AX218" s="690" t="e">
        <f t="shared" si="7"/>
        <v>#DIV/0!</v>
      </c>
      <c r="AY218" s="690" t="e">
        <f t="shared" si="7"/>
        <v>#DIV/0!</v>
      </c>
      <c r="AZ218" s="690" t="e">
        <f t="shared" si="7"/>
        <v>#DIV/0!</v>
      </c>
      <c r="BA218" s="690" t="e">
        <f t="shared" si="7"/>
        <v>#DIV/0!</v>
      </c>
      <c r="BB218" s="690" t="e">
        <f t="shared" si="7"/>
        <v>#DIV/0!</v>
      </c>
    </row>
    <row r="219" spans="1:54" x14ac:dyDescent="0.25">
      <c r="A219" t="s">
        <v>1001</v>
      </c>
      <c r="C219" t="s">
        <v>998</v>
      </c>
      <c r="F219" s="689">
        <f>+'2019 Data(H)'!F14-'2019 Data(H)'!F117</f>
        <v>1580415</v>
      </c>
      <c r="G219" s="689">
        <f>+'2019 Data(H)'!G14-'2019 Data(H)'!G117</f>
        <v>5597218</v>
      </c>
      <c r="H219" s="689">
        <f>+'2019 Data(H)'!H14-'2019 Data(H)'!H117</f>
        <v>8522835</v>
      </c>
      <c r="I219" s="689">
        <f>+'2019 Data(H)'!I14-'2019 Data(H)'!I117</f>
        <v>12567689</v>
      </c>
      <c r="J219" s="689">
        <f>+'2019 Data(H)'!J14-'2019 Data(H)'!J117</f>
        <v>72184956</v>
      </c>
      <c r="K219" s="689">
        <f>+'2019 Data(H)'!K14-'2019 Data(H)'!K117</f>
        <v>21103895</v>
      </c>
      <c r="L219" s="689">
        <f>+'2019 Data(H)'!L14-'2019 Data(H)'!L117</f>
        <v>126747150</v>
      </c>
      <c r="M219" s="689">
        <f>+'2019 Data(H)'!M14-'2019 Data(H)'!M117</f>
        <v>7189668</v>
      </c>
      <c r="N219" s="689">
        <f>+'2019 Data(H)'!N14-'2019 Data(H)'!N117</f>
        <v>0</v>
      </c>
      <c r="O219" s="689">
        <f>+'2019 Data(H)'!O14-'2019 Data(H)'!O117</f>
        <v>2982298</v>
      </c>
      <c r="P219" s="689">
        <f>+'2019 Data(H)'!P14-'2019 Data(H)'!P117</f>
        <v>4856875</v>
      </c>
      <c r="Q219" s="689">
        <f>+'2019 Data(H)'!Q14-'2019 Data(H)'!Q117</f>
        <v>182209</v>
      </c>
      <c r="R219" s="689">
        <f>+'2019 Data(H)'!R14-'2019 Data(H)'!R117</f>
        <v>57831882</v>
      </c>
      <c r="S219" s="689">
        <f>+'2019 Data(H)'!S14-'2019 Data(H)'!S117</f>
        <v>1498302</v>
      </c>
      <c r="T219" s="689">
        <f>+'2019 Data(H)'!T14-'2019 Data(H)'!T117</f>
        <v>509118</v>
      </c>
      <c r="U219" s="689">
        <f>+'2019 Data(H)'!U14-'2019 Data(H)'!U117</f>
        <v>7820822</v>
      </c>
      <c r="V219" s="689">
        <f>+'2019 Data(H)'!V14-'2019 Data(H)'!V117</f>
        <v>1646724</v>
      </c>
      <c r="W219" s="689">
        <f>+'2019 Data(H)'!W14-'2019 Data(H)'!W117</f>
        <v>21158394</v>
      </c>
      <c r="X219" s="689">
        <f>+'2019 Data(H)'!X14-'2019 Data(H)'!X117</f>
        <v>3277498</v>
      </c>
      <c r="Y219" s="689">
        <f>+'2019 Data(H)'!Y14-'2019 Data(H)'!Y117</f>
        <v>1026913</v>
      </c>
      <c r="Z219" s="689">
        <f>+'2019 Data(H)'!Z14-'2019 Data(H)'!Z117</f>
        <v>3383084</v>
      </c>
      <c r="AA219" s="689">
        <f>+'2019 Data(H)'!AA14-'2019 Data(H)'!AA117</f>
        <v>3842229</v>
      </c>
      <c r="AB219" s="689">
        <f>+'2019 Data(H)'!AB14-'2019 Data(H)'!AB117</f>
        <v>1380833</v>
      </c>
      <c r="AC219" s="689">
        <f>+'2019 Data(H)'!AC14-'2019 Data(H)'!AC117</f>
        <v>2193752</v>
      </c>
      <c r="AD219" s="689">
        <f>+'2019 Data(H)'!AD14-'2019 Data(H)'!AD117</f>
        <v>1042578</v>
      </c>
      <c r="AE219" s="689">
        <f>+'2019 Data(H)'!AE14-'2019 Data(H)'!AE117</f>
        <v>11003350</v>
      </c>
      <c r="AF219" s="689">
        <f>+'2019 Data(H)'!AF14-'2019 Data(H)'!AF117</f>
        <v>1965558</v>
      </c>
      <c r="AG219" s="689">
        <f>+'2019 Data(H)'!AG14-'2019 Data(H)'!AG117</f>
        <v>699519</v>
      </c>
      <c r="AH219" s="689">
        <f>+'2019 Data(H)'!AH14-'2019 Data(H)'!AH117</f>
        <v>47042202</v>
      </c>
      <c r="AI219" s="689">
        <f>+'2019 Data(H)'!AI14-'2019 Data(H)'!AI117</f>
        <v>20526115</v>
      </c>
      <c r="AJ219" s="689">
        <f>+'2019 Data(H)'!AJ14-'2019 Data(H)'!AJ117</f>
        <v>16780783</v>
      </c>
      <c r="AK219" s="689">
        <f>+'2019 Data(H)'!AK14-'2019 Data(H)'!AK117</f>
        <v>273052</v>
      </c>
      <c r="AL219" s="689">
        <f>+'2019 Data(H)'!AL14-'2019 Data(H)'!AL117</f>
        <v>13752117</v>
      </c>
      <c r="AM219" s="689">
        <f>+'2019 Data(H)'!AM14-'2019 Data(H)'!AM117</f>
        <v>567121</v>
      </c>
      <c r="AN219" s="689">
        <f>+'2019 Data(H)'!AN14-'2019 Data(H)'!AN117</f>
        <v>1433585</v>
      </c>
      <c r="AO219" s="689">
        <f>+'2019 Data(H)'!AO14-'2019 Data(H)'!AO117</f>
        <v>32173971</v>
      </c>
      <c r="AP219" s="689">
        <f>+'2019 Data(H)'!AP14-'2019 Data(H)'!AP117</f>
        <v>3391971</v>
      </c>
      <c r="AQ219" s="689">
        <f>+'2019 Data(H)'!AQ14-'2019 Data(H)'!AQ117</f>
        <v>6864259</v>
      </c>
      <c r="AR219" s="689">
        <f>+'2019 Data(H)'!AR14-'2019 Data(H)'!AR117</f>
        <v>2129052</v>
      </c>
      <c r="AS219" s="689">
        <f>+'2019 Data(H)'!AS14-'2019 Data(H)'!AS117</f>
        <v>1234002</v>
      </c>
      <c r="AT219" s="689">
        <f>+'2019 Data(H)'!AT14-'2019 Data(H)'!AT117</f>
        <v>101700</v>
      </c>
      <c r="AU219" s="689">
        <f>+'2019 Data(H)'!AU14-'2019 Data(H)'!AU117</f>
        <v>199253</v>
      </c>
      <c r="AV219" s="689">
        <f>+'2019 Data(H)'!AV14-'2019 Data(H)'!AV117</f>
        <v>172167</v>
      </c>
      <c r="AW219" s="689">
        <f>+'2019 Data(H)'!AW14-'2019 Data(H)'!AW117</f>
        <v>14560095</v>
      </c>
      <c r="AX219" s="689">
        <f>+'2019 Data(H)'!AX14-'2019 Data(H)'!AX117</f>
        <v>0</v>
      </c>
      <c r="AY219" s="689">
        <f>+'2019 Data(H)'!AY14-'2019 Data(H)'!AY117</f>
        <v>39981</v>
      </c>
      <c r="AZ219" s="689">
        <f>+'2019 Data(H)'!AZ14-'2019 Data(H)'!AZ117</f>
        <v>34157</v>
      </c>
      <c r="BA219" s="689">
        <f>+'2019 Data(H)'!BA14-'2019 Data(H)'!BA117</f>
        <v>3741210</v>
      </c>
      <c r="BB219" s="689">
        <f>+'2019 Data(H)'!BB14-'2019 Data(H)'!BB117</f>
        <v>2153828</v>
      </c>
    </row>
    <row r="220" spans="1:54" x14ac:dyDescent="0.25">
      <c r="A220" t="s">
        <v>1002</v>
      </c>
      <c r="C220" t="s">
        <v>1003</v>
      </c>
      <c r="F220" s="689">
        <f>+F16-F118</f>
        <v>0</v>
      </c>
      <c r="G220" s="689">
        <f t="shared" ref="G220:BB220" si="8">+G16-G118</f>
        <v>0</v>
      </c>
      <c r="H220" s="689">
        <f t="shared" si="8"/>
        <v>0</v>
      </c>
      <c r="I220" s="689">
        <f t="shared" si="8"/>
        <v>0</v>
      </c>
      <c r="J220" s="689">
        <f t="shared" si="8"/>
        <v>0</v>
      </c>
      <c r="K220" s="689">
        <f t="shared" si="8"/>
        <v>0</v>
      </c>
      <c r="L220" s="689">
        <f t="shared" si="8"/>
        <v>0</v>
      </c>
      <c r="M220" s="689">
        <f t="shared" si="8"/>
        <v>0</v>
      </c>
      <c r="N220" s="689">
        <f t="shared" si="8"/>
        <v>0</v>
      </c>
      <c r="O220" s="689">
        <f t="shared" si="8"/>
        <v>0</v>
      </c>
      <c r="P220" s="689">
        <f t="shared" si="8"/>
        <v>0</v>
      </c>
      <c r="Q220" s="689">
        <f t="shared" si="8"/>
        <v>0</v>
      </c>
      <c r="R220" s="689">
        <f t="shared" si="8"/>
        <v>122393721</v>
      </c>
      <c r="S220" s="689">
        <f t="shared" si="8"/>
        <v>0</v>
      </c>
      <c r="T220" s="689">
        <f t="shared" si="8"/>
        <v>0</v>
      </c>
      <c r="U220" s="689">
        <f t="shared" si="8"/>
        <v>0</v>
      </c>
      <c r="V220" s="689">
        <f t="shared" si="8"/>
        <v>0</v>
      </c>
      <c r="W220" s="689">
        <f t="shared" si="8"/>
        <v>68417703</v>
      </c>
      <c r="X220" s="689">
        <f t="shared" si="8"/>
        <v>0</v>
      </c>
      <c r="Y220" s="689">
        <f t="shared" si="8"/>
        <v>0</v>
      </c>
      <c r="Z220" s="689">
        <f t="shared" si="8"/>
        <v>0</v>
      </c>
      <c r="AA220" s="689">
        <f t="shared" si="8"/>
        <v>0</v>
      </c>
      <c r="AB220" s="689">
        <f t="shared" si="8"/>
        <v>0</v>
      </c>
      <c r="AC220" s="689">
        <f t="shared" si="8"/>
        <v>0</v>
      </c>
      <c r="AD220" s="689">
        <f t="shared" si="8"/>
        <v>0</v>
      </c>
      <c r="AE220" s="689">
        <f t="shared" si="8"/>
        <v>0</v>
      </c>
      <c r="AF220" s="689">
        <f t="shared" si="8"/>
        <v>0</v>
      </c>
      <c r="AG220" s="689">
        <f t="shared" si="8"/>
        <v>0</v>
      </c>
      <c r="AH220" s="689">
        <f t="shared" si="8"/>
        <v>0</v>
      </c>
      <c r="AI220" s="689">
        <f t="shared" si="8"/>
        <v>0</v>
      </c>
      <c r="AJ220" s="689">
        <f t="shared" si="8"/>
        <v>0</v>
      </c>
      <c r="AK220" s="689">
        <f t="shared" si="8"/>
        <v>0</v>
      </c>
      <c r="AL220" s="689">
        <f t="shared" si="8"/>
        <v>0</v>
      </c>
      <c r="AM220" s="689">
        <f t="shared" si="8"/>
        <v>0</v>
      </c>
      <c r="AN220" s="689">
        <f t="shared" si="8"/>
        <v>0</v>
      </c>
      <c r="AO220" s="689">
        <f t="shared" si="8"/>
        <v>0</v>
      </c>
      <c r="AP220" s="689">
        <f t="shared" si="8"/>
        <v>0</v>
      </c>
      <c r="AQ220" s="689">
        <f t="shared" si="8"/>
        <v>0</v>
      </c>
      <c r="AR220" s="689">
        <f t="shared" si="8"/>
        <v>0</v>
      </c>
      <c r="AS220" s="689">
        <f t="shared" si="8"/>
        <v>0</v>
      </c>
      <c r="AT220" s="689">
        <f t="shared" si="8"/>
        <v>0</v>
      </c>
      <c r="AU220" s="689">
        <f t="shared" si="8"/>
        <v>0</v>
      </c>
      <c r="AV220" s="689">
        <f t="shared" si="8"/>
        <v>0</v>
      </c>
      <c r="AW220" s="689">
        <f t="shared" si="8"/>
        <v>0</v>
      </c>
      <c r="AX220" s="689">
        <f t="shared" si="8"/>
        <v>0</v>
      </c>
      <c r="AY220" s="689">
        <f t="shared" si="8"/>
        <v>0</v>
      </c>
      <c r="AZ220" s="689">
        <f t="shared" si="8"/>
        <v>0</v>
      </c>
      <c r="BA220" s="689">
        <f t="shared" si="8"/>
        <v>0</v>
      </c>
      <c r="BB220" s="689">
        <f t="shared" si="8"/>
        <v>0</v>
      </c>
    </row>
    <row r="223" spans="1:54" x14ac:dyDescent="0.25">
      <c r="F223">
        <v>90349238.010000005</v>
      </c>
      <c r="G223" s="699">
        <v>133710828.01000001</v>
      </c>
      <c r="H223">
        <v>248376349.00999999</v>
      </c>
      <c r="I223">
        <v>132994351.01000001</v>
      </c>
      <c r="J223">
        <v>2586259121.0100002</v>
      </c>
      <c r="K223">
        <v>839207175.00999999</v>
      </c>
      <c r="L223">
        <v>4200948603.0100002</v>
      </c>
      <c r="M223">
        <v>257871643.15000001</v>
      </c>
      <c r="N223">
        <v>591663.01</v>
      </c>
      <c r="O223">
        <v>162491604.00999999</v>
      </c>
      <c r="P223">
        <v>162970447.00999999</v>
      </c>
      <c r="Q223">
        <v>16558848.01</v>
      </c>
      <c r="R223">
        <v>8643100037.1000004</v>
      </c>
      <c r="S223">
        <v>33046210.010000002</v>
      </c>
      <c r="T223">
        <v>23280069.010000002</v>
      </c>
      <c r="U223">
        <v>153006092.00999999</v>
      </c>
      <c r="V223">
        <v>24673946</v>
      </c>
      <c r="W223">
        <v>4219160144.98</v>
      </c>
      <c r="X223">
        <v>130854416.01000001</v>
      </c>
      <c r="Y223">
        <v>17680417.010000002</v>
      </c>
      <c r="Z223">
        <v>89058365.510000005</v>
      </c>
      <c r="AA223">
        <v>257762850.00999999</v>
      </c>
      <c r="AB223">
        <v>53092254.009999998</v>
      </c>
      <c r="AC223">
        <v>122872177.01000001</v>
      </c>
      <c r="AD223">
        <v>18882324.010000002</v>
      </c>
      <c r="AE223">
        <v>594277772.00999999</v>
      </c>
      <c r="AF223">
        <v>69283533.010000005</v>
      </c>
      <c r="AG223">
        <v>27753975.010000002</v>
      </c>
      <c r="AH223">
        <v>1255491937.01</v>
      </c>
      <c r="AI223">
        <v>1826316126.01</v>
      </c>
      <c r="AJ223">
        <v>574030917.00999999</v>
      </c>
      <c r="AK223">
        <v>8387875.79</v>
      </c>
      <c r="AL223">
        <v>333867792.00999999</v>
      </c>
      <c r="AM223">
        <v>34665689.009999998</v>
      </c>
      <c r="AN223">
        <v>13622553.369999999</v>
      </c>
      <c r="AO223">
        <v>509145885.00999999</v>
      </c>
      <c r="AP223">
        <v>87761079.010000005</v>
      </c>
      <c r="AQ223">
        <v>150698235.00999999</v>
      </c>
      <c r="AR223">
        <v>39908973.009999998</v>
      </c>
      <c r="AS223">
        <v>37877736.009999998</v>
      </c>
      <c r="AT223">
        <v>49464029.009999998</v>
      </c>
      <c r="AU223">
        <v>7168393.0099999998</v>
      </c>
      <c r="AV223">
        <v>15668934.01</v>
      </c>
      <c r="AW223">
        <v>284961110.00999999</v>
      </c>
      <c r="AX223">
        <v>35375559.009999998</v>
      </c>
      <c r="AY223">
        <v>1443674.01</v>
      </c>
      <c r="AZ223">
        <v>1837105.01</v>
      </c>
      <c r="BA223">
        <v>65376629.009999998</v>
      </c>
      <c r="BB223">
        <v>117151389.01000001</v>
      </c>
    </row>
    <row r="224" spans="1:54" x14ac:dyDescent="0.25">
      <c r="F224">
        <f>F205-F223</f>
        <v>-90349238.010000005</v>
      </c>
      <c r="G224" s="594">
        <f t="shared" ref="G224:BB224" si="9">G205-G223</f>
        <v>-133710828.01000001</v>
      </c>
      <c r="H224" s="594">
        <f t="shared" si="9"/>
        <v>-248376349.00999999</v>
      </c>
      <c r="I224" s="594">
        <f t="shared" si="9"/>
        <v>-132994351.01000001</v>
      </c>
      <c r="J224" s="594">
        <f t="shared" si="9"/>
        <v>-2586259121.0100002</v>
      </c>
      <c r="K224" s="594">
        <f t="shared" si="9"/>
        <v>-839207175.00999999</v>
      </c>
      <c r="L224" s="594">
        <f t="shared" si="9"/>
        <v>-4200948603.0100002</v>
      </c>
      <c r="M224" s="594">
        <f t="shared" si="9"/>
        <v>-257871643.15000001</v>
      </c>
      <c r="N224" s="594">
        <f t="shared" si="9"/>
        <v>-591663.01</v>
      </c>
      <c r="O224" s="594">
        <f t="shared" si="9"/>
        <v>-162491604.00999999</v>
      </c>
      <c r="P224" s="594">
        <f t="shared" si="9"/>
        <v>-162970447.00999999</v>
      </c>
      <c r="Q224" s="594">
        <f t="shared" si="9"/>
        <v>-16558848.01</v>
      </c>
      <c r="R224" s="594">
        <f t="shared" si="9"/>
        <v>-8643100037.1000004</v>
      </c>
      <c r="S224" s="594">
        <f t="shared" si="9"/>
        <v>-33046210.010000002</v>
      </c>
      <c r="T224" s="594">
        <f t="shared" si="9"/>
        <v>-23280069.010000002</v>
      </c>
      <c r="U224" s="594">
        <f t="shared" si="9"/>
        <v>-153006092.00999999</v>
      </c>
      <c r="V224" s="594">
        <f t="shared" si="9"/>
        <v>-24673946</v>
      </c>
      <c r="W224" s="594">
        <f t="shared" si="9"/>
        <v>-4219160144.98</v>
      </c>
      <c r="X224" s="594">
        <f t="shared" si="9"/>
        <v>-130854416.01000001</v>
      </c>
      <c r="Y224" s="594">
        <f t="shared" si="9"/>
        <v>-17680417.010000002</v>
      </c>
      <c r="Z224" s="594">
        <f t="shared" si="9"/>
        <v>-89058365.510000005</v>
      </c>
      <c r="AA224" s="594">
        <f t="shared" si="9"/>
        <v>-257762850.00999999</v>
      </c>
      <c r="AB224" s="594">
        <f t="shared" si="9"/>
        <v>-53092254.009999998</v>
      </c>
      <c r="AC224" s="594">
        <f t="shared" si="9"/>
        <v>-122872177.01000001</v>
      </c>
      <c r="AD224" s="594">
        <f t="shared" si="9"/>
        <v>-18882324.010000002</v>
      </c>
      <c r="AE224" s="594">
        <f t="shared" si="9"/>
        <v>-594277772.00999999</v>
      </c>
      <c r="AF224" s="594">
        <f t="shared" si="9"/>
        <v>-69283533.010000005</v>
      </c>
      <c r="AG224" s="594">
        <f t="shared" si="9"/>
        <v>-27753975.010000002</v>
      </c>
      <c r="AH224" s="594">
        <f t="shared" si="9"/>
        <v>-1255491937.01</v>
      </c>
      <c r="AI224" s="594">
        <f t="shared" si="9"/>
        <v>-1826316126.01</v>
      </c>
      <c r="AJ224" s="594">
        <f t="shared" si="9"/>
        <v>-574030917.00999999</v>
      </c>
      <c r="AK224" s="594">
        <f t="shared" si="9"/>
        <v>-8387875.79</v>
      </c>
      <c r="AL224" s="594">
        <f t="shared" si="9"/>
        <v>-333867792.00999999</v>
      </c>
      <c r="AM224" s="594">
        <f t="shared" si="9"/>
        <v>-34665689.009999998</v>
      </c>
      <c r="AN224" s="594">
        <f t="shared" si="9"/>
        <v>-13622553.369999999</v>
      </c>
      <c r="AO224" s="594">
        <f t="shared" si="9"/>
        <v>-509145885.00999999</v>
      </c>
      <c r="AP224" s="594">
        <f t="shared" si="9"/>
        <v>-87761079.010000005</v>
      </c>
      <c r="AQ224" s="594">
        <f t="shared" si="9"/>
        <v>-150698235.00999999</v>
      </c>
      <c r="AR224" s="594">
        <f t="shared" si="9"/>
        <v>-39908973.009999998</v>
      </c>
      <c r="AS224" s="594">
        <f t="shared" si="9"/>
        <v>-37877736.009999998</v>
      </c>
      <c r="AT224" s="594">
        <f t="shared" si="9"/>
        <v>-49464029.009999998</v>
      </c>
      <c r="AU224" s="594">
        <f t="shared" si="9"/>
        <v>-7168393.0099999998</v>
      </c>
      <c r="AV224" s="594">
        <f t="shared" si="9"/>
        <v>-15668934.01</v>
      </c>
      <c r="AW224" s="594">
        <f t="shared" si="9"/>
        <v>-284961110.00999999</v>
      </c>
      <c r="AX224" s="594">
        <f t="shared" si="9"/>
        <v>-35375559.009999998</v>
      </c>
      <c r="AY224" s="594">
        <f t="shared" si="9"/>
        <v>-1443674.01</v>
      </c>
      <c r="AZ224" s="594">
        <f t="shared" si="9"/>
        <v>-1837105.01</v>
      </c>
      <c r="BA224" s="594">
        <f t="shared" si="9"/>
        <v>-65376629.009999998</v>
      </c>
      <c r="BB224" s="594">
        <f t="shared" si="9"/>
        <v>-117151389.01000001</v>
      </c>
    </row>
  </sheetData>
  <sheetProtection password="CEAA" sheet="1" objects="1" scenarios="1"/>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022E4-EF36-4D24-B6C7-0392C06D04BC}">
  <dimension ref="A1:J201"/>
  <sheetViews>
    <sheetView workbookViewId="0">
      <selection activeCell="M11" sqref="M11"/>
    </sheetView>
  </sheetViews>
  <sheetFormatPr defaultRowHeight="15" x14ac:dyDescent="0.25"/>
  <cols>
    <col min="2" max="2" width="14.42578125" customWidth="1"/>
    <col min="5" max="5" width="13.42578125" style="603" customWidth="1"/>
    <col min="6" max="6" width="12.5703125" customWidth="1"/>
    <col min="7" max="7" width="13.85546875" customWidth="1"/>
    <col min="8" max="8" width="7.85546875" customWidth="1"/>
    <col min="9" max="9" width="15.42578125" style="603" customWidth="1"/>
    <col min="10" max="10" width="14.85546875" customWidth="1"/>
  </cols>
  <sheetData>
    <row r="1" spans="1:10" x14ac:dyDescent="0.25">
      <c r="B1" t="s">
        <v>1013</v>
      </c>
      <c r="E1" s="603" t="s">
        <v>1014</v>
      </c>
      <c r="I1" s="603" t="s">
        <v>1015</v>
      </c>
    </row>
    <row r="2" spans="1:10" x14ac:dyDescent="0.25">
      <c r="A2">
        <v>4</v>
      </c>
      <c r="B2" s="700">
        <v>0</v>
      </c>
      <c r="D2">
        <v>4</v>
      </c>
      <c r="E2" s="603">
        <v>0</v>
      </c>
      <c r="F2" s="701">
        <f>B2-E2</f>
        <v>0</v>
      </c>
      <c r="H2" s="603">
        <v>4</v>
      </c>
      <c r="I2" s="603">
        <v>0</v>
      </c>
      <c r="J2" s="603">
        <f>E2-I2</f>
        <v>0</v>
      </c>
    </row>
    <row r="3" spans="1:10" x14ac:dyDescent="0.25">
      <c r="A3">
        <v>5</v>
      </c>
      <c r="B3" s="700">
        <v>0</v>
      </c>
      <c r="D3">
        <v>5</v>
      </c>
      <c r="E3" s="603">
        <v>0</v>
      </c>
      <c r="F3" s="701">
        <f t="shared" ref="F3:F66" si="0">B3-E3</f>
        <v>0</v>
      </c>
      <c r="H3" s="603">
        <v>5</v>
      </c>
      <c r="I3" s="603">
        <v>0</v>
      </c>
      <c r="J3" s="603">
        <f t="shared" ref="J3:J66" si="1">E3-I3</f>
        <v>0</v>
      </c>
    </row>
    <row r="4" spans="1:10" x14ac:dyDescent="0.25">
      <c r="A4">
        <v>6</v>
      </c>
      <c r="B4" s="700">
        <v>0</v>
      </c>
      <c r="D4">
        <v>6</v>
      </c>
      <c r="E4" s="603">
        <v>0</v>
      </c>
      <c r="F4" s="701">
        <f t="shared" si="0"/>
        <v>0</v>
      </c>
      <c r="H4" s="603">
        <v>6</v>
      </c>
      <c r="I4" s="603">
        <v>0</v>
      </c>
      <c r="J4" s="603">
        <f t="shared" si="1"/>
        <v>0</v>
      </c>
    </row>
    <row r="5" spans="1:10" x14ac:dyDescent="0.25">
      <c r="A5">
        <v>7</v>
      </c>
      <c r="B5" s="700">
        <v>0</v>
      </c>
      <c r="D5">
        <v>7</v>
      </c>
      <c r="E5" s="603">
        <v>0</v>
      </c>
      <c r="F5" s="701">
        <f t="shared" si="0"/>
        <v>0</v>
      </c>
      <c r="H5" s="603">
        <v>7</v>
      </c>
      <c r="I5" s="603">
        <v>0</v>
      </c>
      <c r="J5" s="603">
        <f t="shared" si="1"/>
        <v>0</v>
      </c>
    </row>
    <row r="6" spans="1:10" x14ac:dyDescent="0.25">
      <c r="A6">
        <v>9</v>
      </c>
      <c r="B6" s="700">
        <v>0</v>
      </c>
      <c r="D6">
        <v>9</v>
      </c>
      <c r="E6" s="603">
        <v>0</v>
      </c>
      <c r="F6" s="701">
        <f t="shared" si="0"/>
        <v>0</v>
      </c>
      <c r="H6" s="603">
        <v>9</v>
      </c>
      <c r="I6" s="603">
        <v>0</v>
      </c>
      <c r="J6" s="603">
        <f t="shared" si="1"/>
        <v>0</v>
      </c>
    </row>
    <row r="7" spans="1:10" x14ac:dyDescent="0.25">
      <c r="A7">
        <v>16</v>
      </c>
      <c r="B7" s="700">
        <v>0</v>
      </c>
      <c r="D7">
        <v>16</v>
      </c>
      <c r="E7" s="603">
        <v>0</v>
      </c>
      <c r="F7" s="701">
        <f t="shared" si="0"/>
        <v>0</v>
      </c>
      <c r="H7" s="603">
        <v>16</v>
      </c>
      <c r="I7" s="603">
        <v>0</v>
      </c>
      <c r="J7" s="603">
        <f t="shared" si="1"/>
        <v>0</v>
      </c>
    </row>
    <row r="8" spans="1:10" x14ac:dyDescent="0.25">
      <c r="A8">
        <v>17</v>
      </c>
      <c r="B8" s="700">
        <v>0</v>
      </c>
      <c r="D8">
        <v>17</v>
      </c>
      <c r="E8" s="603">
        <v>0</v>
      </c>
      <c r="F8" s="701">
        <f t="shared" si="0"/>
        <v>0</v>
      </c>
      <c r="H8" s="603">
        <v>17</v>
      </c>
      <c r="I8" s="603">
        <v>0</v>
      </c>
      <c r="J8" s="603">
        <f t="shared" si="1"/>
        <v>0</v>
      </c>
    </row>
    <row r="9" spans="1:10" x14ac:dyDescent="0.25">
      <c r="A9">
        <v>20</v>
      </c>
      <c r="B9" s="700">
        <v>0</v>
      </c>
      <c r="D9">
        <v>20</v>
      </c>
      <c r="E9" s="603">
        <v>0</v>
      </c>
      <c r="F9" s="701">
        <f t="shared" si="0"/>
        <v>0</v>
      </c>
      <c r="H9" s="603">
        <v>20</v>
      </c>
      <c r="I9" s="603">
        <v>0</v>
      </c>
      <c r="J9" s="603">
        <f t="shared" si="1"/>
        <v>0</v>
      </c>
    </row>
    <row r="10" spans="1:10" x14ac:dyDescent="0.25">
      <c r="A10">
        <v>22</v>
      </c>
      <c r="B10" s="700">
        <v>0</v>
      </c>
      <c r="D10">
        <v>22</v>
      </c>
      <c r="E10" s="603">
        <v>0</v>
      </c>
      <c r="F10" s="701">
        <f t="shared" si="0"/>
        <v>0</v>
      </c>
      <c r="H10" s="603">
        <v>22</v>
      </c>
      <c r="I10" s="603">
        <v>0</v>
      </c>
      <c r="J10" s="603">
        <f t="shared" si="1"/>
        <v>0</v>
      </c>
    </row>
    <row r="11" spans="1:10" x14ac:dyDescent="0.25">
      <c r="A11">
        <v>23</v>
      </c>
      <c r="B11" s="700">
        <v>0</v>
      </c>
      <c r="D11">
        <v>23</v>
      </c>
      <c r="E11" s="603">
        <v>0</v>
      </c>
      <c r="F11" s="701">
        <f t="shared" si="0"/>
        <v>0</v>
      </c>
      <c r="H11" s="603">
        <v>23</v>
      </c>
      <c r="I11" s="603">
        <v>0</v>
      </c>
      <c r="J11" s="603">
        <f t="shared" si="1"/>
        <v>0</v>
      </c>
    </row>
    <row r="12" spans="1:10" x14ac:dyDescent="0.25">
      <c r="A12">
        <v>44</v>
      </c>
      <c r="B12" s="700">
        <v>5600294</v>
      </c>
      <c r="D12">
        <v>44</v>
      </c>
      <c r="E12" s="603">
        <v>5600294</v>
      </c>
      <c r="F12" s="701">
        <f t="shared" si="0"/>
        <v>0</v>
      </c>
      <c r="H12" s="603">
        <v>44</v>
      </c>
      <c r="I12" s="603">
        <v>5600294</v>
      </c>
      <c r="J12" s="603">
        <f t="shared" si="1"/>
        <v>0</v>
      </c>
    </row>
    <row r="13" spans="1:10" x14ac:dyDescent="0.25">
      <c r="A13">
        <v>45</v>
      </c>
      <c r="B13" s="700">
        <v>492353</v>
      </c>
      <c r="D13">
        <v>45</v>
      </c>
      <c r="E13" s="603">
        <v>492353</v>
      </c>
      <c r="F13" s="701">
        <f t="shared" si="0"/>
        <v>0</v>
      </c>
      <c r="H13" s="603">
        <v>45</v>
      </c>
      <c r="I13" s="603">
        <v>492353</v>
      </c>
      <c r="J13" s="603">
        <f t="shared" si="1"/>
        <v>0</v>
      </c>
    </row>
    <row r="14" spans="1:10" x14ac:dyDescent="0.25">
      <c r="A14">
        <v>47</v>
      </c>
      <c r="B14" s="700">
        <v>0</v>
      </c>
      <c r="D14">
        <v>47</v>
      </c>
      <c r="E14" s="603">
        <v>0</v>
      </c>
      <c r="F14" s="701">
        <f t="shared" si="0"/>
        <v>0</v>
      </c>
      <c r="H14" s="603">
        <v>47</v>
      </c>
      <c r="I14" s="603">
        <v>0</v>
      </c>
      <c r="J14" s="603">
        <f t="shared" si="1"/>
        <v>0</v>
      </c>
    </row>
    <row r="15" spans="1:10" x14ac:dyDescent="0.25">
      <c r="A15">
        <v>48</v>
      </c>
      <c r="B15" s="700">
        <v>0</v>
      </c>
      <c r="D15">
        <v>48</v>
      </c>
      <c r="E15" s="603">
        <v>0</v>
      </c>
      <c r="F15" s="701">
        <f t="shared" si="0"/>
        <v>0</v>
      </c>
      <c r="H15" s="603">
        <v>48</v>
      </c>
      <c r="I15" s="603">
        <v>0</v>
      </c>
      <c r="J15" s="603">
        <f t="shared" si="1"/>
        <v>0</v>
      </c>
    </row>
    <row r="16" spans="1:10" x14ac:dyDescent="0.25">
      <c r="A16">
        <v>49</v>
      </c>
      <c r="B16" s="700">
        <v>662248</v>
      </c>
      <c r="D16">
        <v>49</v>
      </c>
      <c r="E16" s="603">
        <v>662248</v>
      </c>
      <c r="F16" s="701">
        <f t="shared" si="0"/>
        <v>0</v>
      </c>
      <c r="H16" s="603">
        <v>49</v>
      </c>
      <c r="I16" s="603">
        <v>662248</v>
      </c>
      <c r="J16" s="603">
        <f t="shared" si="1"/>
        <v>0</v>
      </c>
    </row>
    <row r="17" spans="1:10" x14ac:dyDescent="0.25">
      <c r="A17">
        <v>50</v>
      </c>
      <c r="B17" s="700">
        <v>1338477</v>
      </c>
      <c r="D17">
        <v>50</v>
      </c>
      <c r="E17" s="603">
        <v>1338477</v>
      </c>
      <c r="F17" s="701">
        <f t="shared" si="0"/>
        <v>0</v>
      </c>
      <c r="H17" s="603">
        <v>50</v>
      </c>
      <c r="I17" s="603">
        <v>1338477</v>
      </c>
      <c r="J17" s="603">
        <f t="shared" si="1"/>
        <v>0</v>
      </c>
    </row>
    <row r="18" spans="1:10" x14ac:dyDescent="0.25">
      <c r="A18">
        <v>51</v>
      </c>
      <c r="B18" s="700">
        <v>1159331</v>
      </c>
      <c r="D18">
        <v>51</v>
      </c>
      <c r="E18" s="603">
        <v>1159331</v>
      </c>
      <c r="F18" s="701">
        <f t="shared" si="0"/>
        <v>0</v>
      </c>
      <c r="H18" s="603">
        <v>51</v>
      </c>
      <c r="I18" s="603">
        <v>1159331</v>
      </c>
      <c r="J18" s="603">
        <f t="shared" si="1"/>
        <v>0</v>
      </c>
    </row>
    <row r="19" spans="1:10" x14ac:dyDescent="0.25">
      <c r="A19">
        <v>52</v>
      </c>
      <c r="B19" s="700">
        <v>0</v>
      </c>
      <c r="D19">
        <v>52</v>
      </c>
      <c r="E19" s="603">
        <v>0</v>
      </c>
      <c r="F19" s="701">
        <f t="shared" si="0"/>
        <v>0</v>
      </c>
      <c r="H19" s="603">
        <v>52</v>
      </c>
      <c r="I19" s="603">
        <v>0</v>
      </c>
      <c r="J19" s="603">
        <f t="shared" si="1"/>
        <v>0</v>
      </c>
    </row>
    <row r="20" spans="1:10" x14ac:dyDescent="0.25">
      <c r="A20">
        <v>53</v>
      </c>
      <c r="B20" s="700">
        <v>0</v>
      </c>
      <c r="D20">
        <v>53</v>
      </c>
      <c r="E20" s="603">
        <v>0</v>
      </c>
      <c r="F20" s="701">
        <f t="shared" si="0"/>
        <v>0</v>
      </c>
      <c r="H20" s="603">
        <v>53</v>
      </c>
      <c r="I20" s="603">
        <v>0</v>
      </c>
      <c r="J20" s="603">
        <f t="shared" si="1"/>
        <v>0</v>
      </c>
    </row>
    <row r="21" spans="1:10" x14ac:dyDescent="0.25">
      <c r="A21">
        <v>55</v>
      </c>
      <c r="B21" s="700">
        <v>0</v>
      </c>
      <c r="D21">
        <v>55</v>
      </c>
      <c r="E21" s="603">
        <v>0</v>
      </c>
      <c r="F21" s="701">
        <f t="shared" si="0"/>
        <v>0</v>
      </c>
      <c r="H21" s="603">
        <v>55</v>
      </c>
      <c r="I21" s="603">
        <v>0</v>
      </c>
      <c r="J21" s="603">
        <f t="shared" si="1"/>
        <v>0</v>
      </c>
    </row>
    <row r="22" spans="1:10" x14ac:dyDescent="0.25">
      <c r="A22">
        <v>61</v>
      </c>
      <c r="B22" s="700">
        <v>0</v>
      </c>
      <c r="D22">
        <v>61</v>
      </c>
      <c r="E22" s="603">
        <v>0</v>
      </c>
      <c r="F22" s="701">
        <f t="shared" si="0"/>
        <v>0</v>
      </c>
      <c r="H22" s="603">
        <v>61</v>
      </c>
      <c r="I22" s="603">
        <v>0</v>
      </c>
      <c r="J22" s="603">
        <f t="shared" si="1"/>
        <v>0</v>
      </c>
    </row>
    <row r="23" spans="1:10" x14ac:dyDescent="0.25">
      <c r="A23">
        <v>80</v>
      </c>
      <c r="B23" s="700">
        <v>5266799</v>
      </c>
      <c r="D23">
        <v>80</v>
      </c>
      <c r="E23" s="603">
        <v>5266799</v>
      </c>
      <c r="F23" s="701">
        <f t="shared" si="0"/>
        <v>0</v>
      </c>
      <c r="H23" s="603">
        <v>80</v>
      </c>
      <c r="I23" s="603">
        <v>5266799</v>
      </c>
      <c r="J23" s="603">
        <f t="shared" si="1"/>
        <v>0</v>
      </c>
    </row>
    <row r="24" spans="1:10" x14ac:dyDescent="0.25">
      <c r="A24">
        <v>81</v>
      </c>
      <c r="B24" s="700">
        <v>302740</v>
      </c>
      <c r="D24">
        <v>81</v>
      </c>
      <c r="E24" s="603">
        <v>302740</v>
      </c>
      <c r="F24" s="701">
        <f t="shared" si="0"/>
        <v>0</v>
      </c>
      <c r="H24" s="603">
        <v>81</v>
      </c>
      <c r="I24" s="603">
        <v>302740</v>
      </c>
      <c r="J24" s="603">
        <f t="shared" si="1"/>
        <v>0</v>
      </c>
    </row>
    <row r="25" spans="1:10" x14ac:dyDescent="0.25">
      <c r="A25">
        <v>82</v>
      </c>
      <c r="B25" s="700">
        <v>6000333</v>
      </c>
      <c r="D25">
        <v>82</v>
      </c>
      <c r="E25" s="603">
        <v>6000333</v>
      </c>
      <c r="F25" s="701">
        <f t="shared" si="0"/>
        <v>0</v>
      </c>
      <c r="H25" s="603">
        <v>82</v>
      </c>
      <c r="I25" s="603">
        <v>6000333</v>
      </c>
      <c r="J25" s="603">
        <f t="shared" si="1"/>
        <v>0</v>
      </c>
    </row>
    <row r="26" spans="1:10" x14ac:dyDescent="0.25">
      <c r="A26">
        <v>83</v>
      </c>
      <c r="B26" s="700">
        <v>18598487</v>
      </c>
      <c r="D26">
        <v>83</v>
      </c>
      <c r="E26" s="603">
        <v>18598487</v>
      </c>
      <c r="F26" s="701">
        <f t="shared" si="0"/>
        <v>0</v>
      </c>
      <c r="H26" s="603">
        <v>83</v>
      </c>
      <c r="I26" s="603">
        <v>18598487</v>
      </c>
      <c r="J26" s="603">
        <f t="shared" si="1"/>
        <v>0</v>
      </c>
    </row>
    <row r="27" spans="1:10" x14ac:dyDescent="0.25">
      <c r="A27">
        <v>84</v>
      </c>
      <c r="B27" s="700">
        <v>2642627</v>
      </c>
      <c r="D27">
        <v>84</v>
      </c>
      <c r="E27" s="603">
        <v>2642627</v>
      </c>
      <c r="F27" s="701">
        <f t="shared" si="0"/>
        <v>0</v>
      </c>
      <c r="H27" s="603">
        <v>84</v>
      </c>
      <c r="I27" s="603">
        <v>2642627</v>
      </c>
      <c r="J27" s="603">
        <f t="shared" si="1"/>
        <v>0</v>
      </c>
    </row>
    <row r="28" spans="1:10" x14ac:dyDescent="0.25">
      <c r="A28">
        <v>85</v>
      </c>
      <c r="B28" s="700">
        <v>2120508</v>
      </c>
      <c r="D28">
        <v>85</v>
      </c>
      <c r="E28" s="603">
        <v>2120508</v>
      </c>
      <c r="F28" s="701">
        <f t="shared" si="0"/>
        <v>0</v>
      </c>
      <c r="H28" s="603">
        <v>85</v>
      </c>
      <c r="I28" s="603">
        <v>2120508</v>
      </c>
      <c r="J28" s="603">
        <f t="shared" si="1"/>
        <v>0</v>
      </c>
    </row>
    <row r="29" spans="1:10" x14ac:dyDescent="0.25">
      <c r="A29">
        <v>88</v>
      </c>
      <c r="B29" s="700">
        <v>2410684</v>
      </c>
      <c r="D29">
        <v>88</v>
      </c>
      <c r="E29" s="603">
        <v>2410684</v>
      </c>
      <c r="F29" s="701">
        <f t="shared" si="0"/>
        <v>0</v>
      </c>
      <c r="H29" s="603">
        <v>88</v>
      </c>
      <c r="I29" s="603">
        <v>2410684</v>
      </c>
      <c r="J29" s="603">
        <f t="shared" si="1"/>
        <v>0</v>
      </c>
    </row>
    <row r="30" spans="1:10" x14ac:dyDescent="0.25">
      <c r="A30">
        <v>89</v>
      </c>
      <c r="B30" s="700">
        <v>70205</v>
      </c>
      <c r="D30">
        <v>89</v>
      </c>
      <c r="E30" s="603">
        <v>70205</v>
      </c>
      <c r="F30" s="701">
        <f t="shared" si="0"/>
        <v>0</v>
      </c>
      <c r="H30" s="603">
        <v>89</v>
      </c>
      <c r="I30" s="603">
        <v>70205</v>
      </c>
      <c r="J30" s="603">
        <f t="shared" si="1"/>
        <v>0</v>
      </c>
    </row>
    <row r="31" spans="1:10" x14ac:dyDescent="0.25">
      <c r="A31">
        <v>90</v>
      </c>
      <c r="B31" s="700">
        <v>0</v>
      </c>
      <c r="D31">
        <v>90</v>
      </c>
      <c r="E31" s="603">
        <v>0</v>
      </c>
      <c r="F31" s="701">
        <f t="shared" si="0"/>
        <v>0</v>
      </c>
      <c r="H31" s="603">
        <v>90</v>
      </c>
      <c r="I31" s="603">
        <v>0</v>
      </c>
      <c r="J31" s="603">
        <f t="shared" si="1"/>
        <v>0</v>
      </c>
    </row>
    <row r="32" spans="1:10" x14ac:dyDescent="0.25">
      <c r="A32">
        <v>91</v>
      </c>
      <c r="B32" s="700">
        <v>0</v>
      </c>
      <c r="D32">
        <v>91</v>
      </c>
      <c r="E32" s="603">
        <v>0</v>
      </c>
      <c r="F32" s="701">
        <f t="shared" si="0"/>
        <v>0</v>
      </c>
      <c r="H32" s="603">
        <v>91</v>
      </c>
      <c r="I32" s="603">
        <v>0</v>
      </c>
      <c r="J32" s="603">
        <f t="shared" si="1"/>
        <v>0</v>
      </c>
    </row>
    <row r="33" spans="1:10" x14ac:dyDescent="0.25">
      <c r="A33">
        <v>93</v>
      </c>
      <c r="B33" s="700">
        <v>0</v>
      </c>
      <c r="D33">
        <v>93</v>
      </c>
      <c r="E33" s="603">
        <v>0</v>
      </c>
      <c r="F33" s="701">
        <f t="shared" si="0"/>
        <v>0</v>
      </c>
      <c r="H33" s="603">
        <v>93</v>
      </c>
      <c r="I33" s="603">
        <v>0</v>
      </c>
      <c r="J33" s="603">
        <f t="shared" si="1"/>
        <v>0</v>
      </c>
    </row>
    <row r="34" spans="1:10" x14ac:dyDescent="0.25">
      <c r="A34">
        <v>94</v>
      </c>
      <c r="B34" s="700">
        <v>0</v>
      </c>
      <c r="D34">
        <v>94</v>
      </c>
      <c r="E34" s="603">
        <v>0</v>
      </c>
      <c r="F34" s="701">
        <f t="shared" si="0"/>
        <v>0</v>
      </c>
      <c r="H34" s="603">
        <v>94</v>
      </c>
      <c r="I34" s="603">
        <v>0</v>
      </c>
      <c r="J34" s="603">
        <f t="shared" si="1"/>
        <v>0</v>
      </c>
    </row>
    <row r="35" spans="1:10" x14ac:dyDescent="0.25">
      <c r="A35">
        <v>97</v>
      </c>
      <c r="B35" s="700">
        <v>0</v>
      </c>
      <c r="D35">
        <v>97</v>
      </c>
      <c r="E35" s="603">
        <v>0</v>
      </c>
      <c r="F35" s="701">
        <f t="shared" si="0"/>
        <v>0</v>
      </c>
      <c r="H35" s="603">
        <v>97</v>
      </c>
      <c r="I35" s="603">
        <v>0</v>
      </c>
      <c r="J35" s="603">
        <f t="shared" si="1"/>
        <v>0</v>
      </c>
    </row>
    <row r="36" spans="1:10" x14ac:dyDescent="0.25">
      <c r="A36">
        <v>98</v>
      </c>
      <c r="B36" s="700">
        <v>0</v>
      </c>
      <c r="D36">
        <v>98</v>
      </c>
      <c r="E36" s="603">
        <v>0</v>
      </c>
      <c r="F36" s="701">
        <f t="shared" si="0"/>
        <v>0</v>
      </c>
      <c r="H36" s="603">
        <v>98</v>
      </c>
      <c r="I36" s="603">
        <v>0</v>
      </c>
      <c r="J36" s="603">
        <f t="shared" si="1"/>
        <v>0</v>
      </c>
    </row>
    <row r="37" spans="1:10" x14ac:dyDescent="0.25">
      <c r="A37">
        <v>99</v>
      </c>
      <c r="B37" s="700">
        <v>0</v>
      </c>
      <c r="D37">
        <v>99</v>
      </c>
      <c r="E37" s="603">
        <v>0</v>
      </c>
      <c r="F37" s="701">
        <f t="shared" si="0"/>
        <v>0</v>
      </c>
      <c r="H37" s="603">
        <v>99</v>
      </c>
      <c r="I37" s="603">
        <v>0</v>
      </c>
      <c r="J37" s="603">
        <f t="shared" si="1"/>
        <v>0</v>
      </c>
    </row>
    <row r="38" spans="1:10" x14ac:dyDescent="0.25">
      <c r="A38">
        <v>100</v>
      </c>
      <c r="B38" s="700">
        <v>0</v>
      </c>
      <c r="D38">
        <v>100</v>
      </c>
      <c r="E38" s="603">
        <v>0</v>
      </c>
      <c r="F38" s="701">
        <f t="shared" si="0"/>
        <v>0</v>
      </c>
      <c r="H38" s="603">
        <v>100</v>
      </c>
      <c r="I38" s="603">
        <v>0</v>
      </c>
      <c r="J38" s="603">
        <f t="shared" si="1"/>
        <v>0</v>
      </c>
    </row>
    <row r="39" spans="1:10" x14ac:dyDescent="0.25">
      <c r="A39">
        <v>101</v>
      </c>
      <c r="B39" s="700">
        <v>0</v>
      </c>
      <c r="D39">
        <v>101</v>
      </c>
      <c r="E39" s="603">
        <v>0</v>
      </c>
      <c r="F39" s="701">
        <f t="shared" si="0"/>
        <v>0</v>
      </c>
      <c r="H39" s="603">
        <v>101</v>
      </c>
      <c r="I39" s="603">
        <v>0</v>
      </c>
      <c r="J39" s="603">
        <f t="shared" si="1"/>
        <v>0</v>
      </c>
    </row>
    <row r="40" spans="1:10" x14ac:dyDescent="0.25">
      <c r="A40">
        <v>102</v>
      </c>
      <c r="B40" s="700">
        <v>0</v>
      </c>
      <c r="D40">
        <v>102</v>
      </c>
      <c r="E40" s="603">
        <v>0</v>
      </c>
      <c r="F40" s="701">
        <f t="shared" si="0"/>
        <v>0</v>
      </c>
      <c r="H40" s="603">
        <v>102</v>
      </c>
      <c r="I40" s="603">
        <v>0</v>
      </c>
      <c r="J40" s="603">
        <f t="shared" si="1"/>
        <v>0</v>
      </c>
    </row>
    <row r="41" spans="1:10" x14ac:dyDescent="0.25">
      <c r="A41">
        <v>103</v>
      </c>
      <c r="B41" s="700">
        <v>0</v>
      </c>
      <c r="D41">
        <v>103</v>
      </c>
      <c r="E41" s="603">
        <v>0</v>
      </c>
      <c r="F41" s="701">
        <f t="shared" si="0"/>
        <v>0</v>
      </c>
      <c r="H41" s="603">
        <v>103</v>
      </c>
      <c r="I41" s="603">
        <v>0</v>
      </c>
      <c r="J41" s="603">
        <f t="shared" si="1"/>
        <v>0</v>
      </c>
    </row>
    <row r="42" spans="1:10" x14ac:dyDescent="0.25">
      <c r="A42">
        <v>191</v>
      </c>
      <c r="B42" s="700">
        <v>819535</v>
      </c>
      <c r="D42">
        <v>191</v>
      </c>
      <c r="E42" s="603">
        <v>819535</v>
      </c>
      <c r="F42" s="701">
        <f t="shared" si="0"/>
        <v>0</v>
      </c>
      <c r="H42" s="603">
        <v>191</v>
      </c>
      <c r="I42" s="603">
        <v>819535</v>
      </c>
      <c r="J42" s="603">
        <f t="shared" si="1"/>
        <v>0</v>
      </c>
    </row>
    <row r="43" spans="1:10" x14ac:dyDescent="0.25">
      <c r="A43">
        <v>192</v>
      </c>
      <c r="B43" s="700">
        <v>0</v>
      </c>
      <c r="D43">
        <v>192</v>
      </c>
      <c r="E43" s="603">
        <v>0</v>
      </c>
      <c r="F43" s="701">
        <f t="shared" si="0"/>
        <v>0</v>
      </c>
      <c r="H43" s="603">
        <v>192</v>
      </c>
      <c r="I43" s="603">
        <v>0</v>
      </c>
      <c r="J43" s="603">
        <f t="shared" si="1"/>
        <v>0</v>
      </c>
    </row>
    <row r="44" spans="1:10" x14ac:dyDescent="0.25">
      <c r="A44">
        <v>252</v>
      </c>
      <c r="B44" s="700">
        <v>0</v>
      </c>
      <c r="D44">
        <v>252</v>
      </c>
      <c r="E44" s="603">
        <v>0</v>
      </c>
      <c r="F44" s="701">
        <f t="shared" si="0"/>
        <v>0</v>
      </c>
      <c r="H44" s="603">
        <v>252</v>
      </c>
      <c r="I44" s="603">
        <v>0</v>
      </c>
      <c r="J44" s="603">
        <f t="shared" si="1"/>
        <v>0</v>
      </c>
    </row>
    <row r="45" spans="1:10" x14ac:dyDescent="0.25">
      <c r="A45">
        <v>253</v>
      </c>
      <c r="B45" s="700">
        <v>0</v>
      </c>
      <c r="D45">
        <v>253</v>
      </c>
      <c r="E45" s="603">
        <v>0</v>
      </c>
      <c r="F45" s="701">
        <f t="shared" si="0"/>
        <v>0</v>
      </c>
      <c r="H45" s="603">
        <v>253</v>
      </c>
      <c r="I45" s="603">
        <v>0</v>
      </c>
      <c r="J45" s="603">
        <f t="shared" si="1"/>
        <v>0</v>
      </c>
    </row>
    <row r="46" spans="1:10" x14ac:dyDescent="0.25">
      <c r="A46">
        <v>254</v>
      </c>
      <c r="B46" s="700">
        <v>0</v>
      </c>
      <c r="D46">
        <v>254</v>
      </c>
      <c r="E46" s="603">
        <v>0</v>
      </c>
      <c r="F46" s="701">
        <f t="shared" si="0"/>
        <v>0</v>
      </c>
      <c r="H46" s="603">
        <v>254</v>
      </c>
      <c r="I46" s="603">
        <v>0</v>
      </c>
      <c r="J46" s="603">
        <f t="shared" si="1"/>
        <v>0</v>
      </c>
    </row>
    <row r="47" spans="1:10" x14ac:dyDescent="0.25">
      <c r="A47">
        <v>255</v>
      </c>
      <c r="B47" s="700">
        <v>0</v>
      </c>
      <c r="D47">
        <v>255</v>
      </c>
      <c r="E47" s="603">
        <v>0</v>
      </c>
      <c r="F47" s="701">
        <f t="shared" si="0"/>
        <v>0</v>
      </c>
      <c r="H47" s="603">
        <v>255</v>
      </c>
      <c r="I47" s="603">
        <v>0</v>
      </c>
      <c r="J47" s="603">
        <f t="shared" si="1"/>
        <v>0</v>
      </c>
    </row>
    <row r="48" spans="1:10" x14ac:dyDescent="0.25">
      <c r="A48">
        <v>327</v>
      </c>
      <c r="B48" s="700">
        <v>529738</v>
      </c>
      <c r="D48">
        <v>327</v>
      </c>
      <c r="E48" s="603">
        <v>529738</v>
      </c>
      <c r="F48" s="701">
        <f t="shared" si="0"/>
        <v>0</v>
      </c>
      <c r="H48" s="603">
        <v>327</v>
      </c>
      <c r="I48" s="603">
        <v>529738</v>
      </c>
      <c r="J48" s="603">
        <f t="shared" si="1"/>
        <v>0</v>
      </c>
    </row>
    <row r="49" spans="1:10" x14ac:dyDescent="0.25">
      <c r="A49">
        <v>328</v>
      </c>
      <c r="B49" s="700">
        <v>463987</v>
      </c>
      <c r="D49">
        <v>328</v>
      </c>
      <c r="E49" s="603">
        <v>463987</v>
      </c>
      <c r="F49" s="701">
        <f t="shared" si="0"/>
        <v>0</v>
      </c>
      <c r="H49" s="603">
        <v>328</v>
      </c>
      <c r="I49" s="603">
        <v>463987</v>
      </c>
      <c r="J49" s="603">
        <f t="shared" si="1"/>
        <v>0</v>
      </c>
    </row>
    <row r="50" spans="1:10" x14ac:dyDescent="0.25">
      <c r="A50">
        <v>331</v>
      </c>
      <c r="B50" s="700">
        <v>437198</v>
      </c>
      <c r="D50">
        <v>331</v>
      </c>
      <c r="E50" s="603">
        <v>437198</v>
      </c>
      <c r="F50" s="701">
        <f t="shared" si="0"/>
        <v>0</v>
      </c>
      <c r="H50" s="603">
        <v>331</v>
      </c>
      <c r="I50" s="603">
        <v>437198</v>
      </c>
      <c r="J50" s="603">
        <f t="shared" si="1"/>
        <v>0</v>
      </c>
    </row>
    <row r="51" spans="1:10" x14ac:dyDescent="0.25">
      <c r="A51">
        <v>332</v>
      </c>
      <c r="B51" s="700">
        <v>965472</v>
      </c>
      <c r="D51">
        <v>332</v>
      </c>
      <c r="E51" s="603">
        <v>965472</v>
      </c>
      <c r="F51" s="701">
        <f t="shared" si="0"/>
        <v>0</v>
      </c>
      <c r="H51" s="603">
        <v>332</v>
      </c>
      <c r="I51" s="603">
        <v>965472</v>
      </c>
      <c r="J51" s="603">
        <f t="shared" si="1"/>
        <v>0</v>
      </c>
    </row>
    <row r="52" spans="1:10" x14ac:dyDescent="0.25">
      <c r="A52">
        <v>333</v>
      </c>
      <c r="B52" s="700">
        <v>0</v>
      </c>
      <c r="D52">
        <v>333</v>
      </c>
      <c r="E52" s="603">
        <v>0</v>
      </c>
      <c r="F52" s="701">
        <f t="shared" si="0"/>
        <v>0</v>
      </c>
      <c r="H52" s="603">
        <v>333</v>
      </c>
      <c r="I52" s="603">
        <v>0</v>
      </c>
      <c r="J52" s="603">
        <f t="shared" si="1"/>
        <v>0</v>
      </c>
    </row>
    <row r="53" spans="1:10" x14ac:dyDescent="0.25">
      <c r="A53">
        <v>334</v>
      </c>
      <c r="B53" s="700">
        <v>0</v>
      </c>
      <c r="D53">
        <v>334</v>
      </c>
      <c r="E53" s="603">
        <v>0</v>
      </c>
      <c r="F53" s="701">
        <f t="shared" si="0"/>
        <v>0</v>
      </c>
      <c r="H53" s="603">
        <v>334</v>
      </c>
      <c r="I53" s="603">
        <v>0</v>
      </c>
      <c r="J53" s="603">
        <f t="shared" si="1"/>
        <v>0</v>
      </c>
    </row>
    <row r="54" spans="1:10" x14ac:dyDescent="0.25">
      <c r="A54">
        <v>335</v>
      </c>
      <c r="B54" s="700">
        <v>0</v>
      </c>
      <c r="D54">
        <v>335</v>
      </c>
      <c r="E54" s="603">
        <v>0</v>
      </c>
      <c r="F54" s="701">
        <f t="shared" si="0"/>
        <v>0</v>
      </c>
      <c r="H54" s="603">
        <v>335</v>
      </c>
      <c r="I54" s="603">
        <v>0</v>
      </c>
      <c r="J54" s="603">
        <f t="shared" si="1"/>
        <v>0</v>
      </c>
    </row>
    <row r="55" spans="1:10" x14ac:dyDescent="0.25">
      <c r="A55">
        <v>336</v>
      </c>
      <c r="B55" s="700">
        <v>0</v>
      </c>
      <c r="D55">
        <v>336</v>
      </c>
      <c r="E55" s="603">
        <v>0</v>
      </c>
      <c r="F55" s="701">
        <f t="shared" si="0"/>
        <v>0</v>
      </c>
      <c r="H55" s="603">
        <v>336</v>
      </c>
      <c r="I55" s="603">
        <v>0</v>
      </c>
      <c r="J55" s="603">
        <f t="shared" si="1"/>
        <v>0</v>
      </c>
    </row>
    <row r="56" spans="1:10" x14ac:dyDescent="0.25">
      <c r="A56">
        <v>337</v>
      </c>
      <c r="B56" s="700">
        <v>0</v>
      </c>
      <c r="D56">
        <v>337</v>
      </c>
      <c r="E56" s="603">
        <v>0</v>
      </c>
      <c r="F56" s="701">
        <f t="shared" si="0"/>
        <v>0</v>
      </c>
      <c r="H56" s="603">
        <v>337</v>
      </c>
      <c r="I56" s="603">
        <v>0</v>
      </c>
      <c r="J56" s="603">
        <f t="shared" si="1"/>
        <v>0</v>
      </c>
    </row>
    <row r="57" spans="1:10" x14ac:dyDescent="0.25">
      <c r="A57">
        <v>338</v>
      </c>
      <c r="B57" s="700">
        <v>0</v>
      </c>
      <c r="D57">
        <v>338</v>
      </c>
      <c r="E57" s="603">
        <v>0</v>
      </c>
      <c r="F57" s="701">
        <f t="shared" si="0"/>
        <v>0</v>
      </c>
      <c r="H57" s="603">
        <v>338</v>
      </c>
      <c r="I57" s="603">
        <v>0</v>
      </c>
      <c r="J57" s="603">
        <f t="shared" si="1"/>
        <v>0</v>
      </c>
    </row>
    <row r="58" spans="1:10" x14ac:dyDescent="0.25">
      <c r="A58">
        <v>339</v>
      </c>
      <c r="B58" s="700">
        <v>0</v>
      </c>
      <c r="D58">
        <v>339</v>
      </c>
      <c r="E58" s="603">
        <v>0</v>
      </c>
      <c r="F58" s="701">
        <f t="shared" si="0"/>
        <v>0</v>
      </c>
      <c r="H58" s="603">
        <v>339</v>
      </c>
      <c r="I58" s="603">
        <v>0</v>
      </c>
      <c r="J58" s="603">
        <f t="shared" si="1"/>
        <v>0</v>
      </c>
    </row>
    <row r="59" spans="1:10" x14ac:dyDescent="0.25">
      <c r="A59">
        <v>341</v>
      </c>
      <c r="B59" s="700">
        <v>0</v>
      </c>
      <c r="D59">
        <v>341</v>
      </c>
      <c r="E59" s="603">
        <v>0</v>
      </c>
      <c r="F59" s="701">
        <f t="shared" si="0"/>
        <v>0</v>
      </c>
      <c r="H59" s="603">
        <v>341</v>
      </c>
      <c r="I59" s="603">
        <v>0</v>
      </c>
      <c r="J59" s="603">
        <f t="shared" si="1"/>
        <v>0</v>
      </c>
    </row>
    <row r="60" spans="1:10" x14ac:dyDescent="0.25">
      <c r="A60">
        <v>343</v>
      </c>
      <c r="B60" s="700">
        <v>0</v>
      </c>
      <c r="D60">
        <v>343</v>
      </c>
      <c r="E60" s="603">
        <v>0</v>
      </c>
      <c r="F60" s="701">
        <f t="shared" si="0"/>
        <v>0</v>
      </c>
      <c r="H60" s="603">
        <v>343</v>
      </c>
      <c r="I60" s="603">
        <v>0</v>
      </c>
      <c r="J60" s="603">
        <f t="shared" si="1"/>
        <v>0</v>
      </c>
    </row>
    <row r="61" spans="1:10" x14ac:dyDescent="0.25">
      <c r="A61">
        <v>344</v>
      </c>
      <c r="B61" s="700">
        <v>0</v>
      </c>
      <c r="D61">
        <v>344</v>
      </c>
      <c r="E61" s="603">
        <v>0</v>
      </c>
      <c r="F61" s="701">
        <f t="shared" si="0"/>
        <v>0</v>
      </c>
      <c r="H61" s="603">
        <v>344</v>
      </c>
      <c r="I61" s="603">
        <v>0</v>
      </c>
      <c r="J61" s="603">
        <f t="shared" si="1"/>
        <v>0</v>
      </c>
    </row>
    <row r="62" spans="1:10" x14ac:dyDescent="0.25">
      <c r="A62">
        <v>349</v>
      </c>
      <c r="B62" s="700">
        <v>6564001</v>
      </c>
      <c r="D62">
        <v>349</v>
      </c>
      <c r="E62" s="603">
        <v>6564001</v>
      </c>
      <c r="F62" s="701">
        <f t="shared" si="0"/>
        <v>0</v>
      </c>
      <c r="H62" s="603">
        <v>349</v>
      </c>
      <c r="I62" s="603">
        <v>6564001</v>
      </c>
      <c r="J62" s="603">
        <f t="shared" si="1"/>
        <v>0</v>
      </c>
    </row>
    <row r="63" spans="1:10" x14ac:dyDescent="0.25">
      <c r="A63">
        <v>350</v>
      </c>
      <c r="B63" s="700">
        <v>75285</v>
      </c>
      <c r="D63">
        <v>350</v>
      </c>
      <c r="E63" s="603">
        <v>75285</v>
      </c>
      <c r="F63" s="701">
        <f t="shared" si="0"/>
        <v>0</v>
      </c>
      <c r="H63" s="603">
        <v>350</v>
      </c>
      <c r="I63" s="603">
        <v>75285</v>
      </c>
      <c r="J63" s="603">
        <f t="shared" si="1"/>
        <v>0</v>
      </c>
    </row>
    <row r="64" spans="1:10" x14ac:dyDescent="0.25">
      <c r="A64">
        <v>351</v>
      </c>
      <c r="B64" s="700">
        <v>78462</v>
      </c>
      <c r="D64">
        <v>351</v>
      </c>
      <c r="E64" s="603">
        <v>78462</v>
      </c>
      <c r="F64" s="701">
        <f t="shared" si="0"/>
        <v>0</v>
      </c>
      <c r="H64" s="603">
        <v>351</v>
      </c>
      <c r="I64" s="603">
        <v>78462</v>
      </c>
      <c r="J64" s="603">
        <f t="shared" si="1"/>
        <v>0</v>
      </c>
    </row>
    <row r="65" spans="1:10" x14ac:dyDescent="0.25">
      <c r="A65">
        <v>352</v>
      </c>
      <c r="B65" s="700">
        <v>0</v>
      </c>
      <c r="D65">
        <v>352</v>
      </c>
      <c r="E65" s="603">
        <v>0</v>
      </c>
      <c r="F65" s="701">
        <f t="shared" si="0"/>
        <v>0</v>
      </c>
      <c r="H65" s="603">
        <v>352</v>
      </c>
      <c r="I65" s="603">
        <v>0</v>
      </c>
      <c r="J65" s="603">
        <f t="shared" si="1"/>
        <v>0</v>
      </c>
    </row>
    <row r="66" spans="1:10" x14ac:dyDescent="0.25">
      <c r="A66">
        <v>353</v>
      </c>
      <c r="B66" s="700">
        <v>0</v>
      </c>
      <c r="D66">
        <v>353</v>
      </c>
      <c r="E66" s="603">
        <v>0</v>
      </c>
      <c r="F66" s="701">
        <f t="shared" si="0"/>
        <v>0</v>
      </c>
      <c r="H66" s="603">
        <v>353</v>
      </c>
      <c r="I66" s="603">
        <v>0</v>
      </c>
      <c r="J66" s="603">
        <f t="shared" si="1"/>
        <v>0</v>
      </c>
    </row>
    <row r="67" spans="1:10" x14ac:dyDescent="0.25">
      <c r="A67">
        <v>356</v>
      </c>
      <c r="B67" s="700">
        <v>0</v>
      </c>
      <c r="D67">
        <v>356</v>
      </c>
      <c r="E67" s="603">
        <v>0</v>
      </c>
      <c r="F67" s="701">
        <f t="shared" ref="F67:F130" si="2">B67-E67</f>
        <v>0</v>
      </c>
      <c r="H67" s="603">
        <v>356</v>
      </c>
      <c r="I67" s="603">
        <v>0</v>
      </c>
      <c r="J67" s="603">
        <f t="shared" ref="J67:J130" si="3">E67-I67</f>
        <v>0</v>
      </c>
    </row>
    <row r="68" spans="1:10" x14ac:dyDescent="0.25">
      <c r="A68">
        <v>357</v>
      </c>
      <c r="B68" s="700">
        <v>0</v>
      </c>
      <c r="D68">
        <v>357</v>
      </c>
      <c r="E68" s="603">
        <v>0</v>
      </c>
      <c r="F68" s="701">
        <f t="shared" si="2"/>
        <v>0</v>
      </c>
      <c r="H68" s="603">
        <v>357</v>
      </c>
      <c r="I68" s="603">
        <v>0</v>
      </c>
      <c r="J68" s="603">
        <f t="shared" si="3"/>
        <v>0</v>
      </c>
    </row>
    <row r="69" spans="1:10" x14ac:dyDescent="0.25">
      <c r="A69">
        <v>359</v>
      </c>
      <c r="B69" s="700">
        <v>0</v>
      </c>
      <c r="D69">
        <v>359</v>
      </c>
      <c r="E69" s="603">
        <v>0</v>
      </c>
      <c r="F69" s="701">
        <f t="shared" si="2"/>
        <v>0</v>
      </c>
      <c r="H69" s="603">
        <v>359</v>
      </c>
      <c r="I69" s="603">
        <v>0</v>
      </c>
      <c r="J69" s="603">
        <f t="shared" si="3"/>
        <v>0</v>
      </c>
    </row>
    <row r="70" spans="1:10" x14ac:dyDescent="0.25">
      <c r="A70">
        <v>360</v>
      </c>
      <c r="B70" s="700">
        <v>0</v>
      </c>
      <c r="D70">
        <v>360</v>
      </c>
      <c r="E70" s="603">
        <v>0</v>
      </c>
      <c r="F70" s="701">
        <f t="shared" si="2"/>
        <v>0</v>
      </c>
      <c r="H70" s="603">
        <v>360</v>
      </c>
      <c r="I70" s="603">
        <v>0</v>
      </c>
      <c r="J70" s="603">
        <f t="shared" si="3"/>
        <v>0</v>
      </c>
    </row>
    <row r="71" spans="1:10" x14ac:dyDescent="0.25">
      <c r="A71">
        <v>361</v>
      </c>
      <c r="B71" s="700">
        <v>0</v>
      </c>
      <c r="D71">
        <v>361</v>
      </c>
      <c r="E71" s="603">
        <v>0</v>
      </c>
      <c r="F71" s="701">
        <f t="shared" si="2"/>
        <v>0</v>
      </c>
      <c r="H71" s="603">
        <v>361</v>
      </c>
      <c r="I71" s="603">
        <v>0</v>
      </c>
      <c r="J71" s="603">
        <f t="shared" si="3"/>
        <v>0</v>
      </c>
    </row>
    <row r="72" spans="1:10" x14ac:dyDescent="0.25">
      <c r="A72">
        <v>362</v>
      </c>
      <c r="B72" s="700">
        <v>0</v>
      </c>
      <c r="D72">
        <v>362</v>
      </c>
      <c r="E72" s="603">
        <v>0</v>
      </c>
      <c r="F72" s="701">
        <f t="shared" si="2"/>
        <v>0</v>
      </c>
      <c r="H72" s="603">
        <v>362</v>
      </c>
      <c r="I72" s="603">
        <v>0</v>
      </c>
      <c r="J72" s="603">
        <f t="shared" si="3"/>
        <v>0</v>
      </c>
    </row>
    <row r="73" spans="1:10" x14ac:dyDescent="0.25">
      <c r="A73">
        <v>363</v>
      </c>
      <c r="B73" s="700">
        <v>0</v>
      </c>
      <c r="D73">
        <v>363</v>
      </c>
      <c r="E73" s="603">
        <v>0</v>
      </c>
      <c r="F73" s="701">
        <f t="shared" si="2"/>
        <v>0</v>
      </c>
      <c r="H73" s="603">
        <v>363</v>
      </c>
      <c r="I73" s="603">
        <v>0</v>
      </c>
      <c r="J73" s="603">
        <f t="shared" si="3"/>
        <v>0</v>
      </c>
    </row>
    <row r="74" spans="1:10" x14ac:dyDescent="0.25">
      <c r="A74">
        <v>364</v>
      </c>
      <c r="B74" s="700">
        <v>0</v>
      </c>
      <c r="D74">
        <v>364</v>
      </c>
      <c r="E74" s="603">
        <v>0</v>
      </c>
      <c r="F74" s="701">
        <f t="shared" si="2"/>
        <v>0</v>
      </c>
      <c r="H74" s="603">
        <v>364</v>
      </c>
      <c r="I74" s="603">
        <v>0</v>
      </c>
      <c r="J74" s="603">
        <f t="shared" si="3"/>
        <v>0</v>
      </c>
    </row>
    <row r="75" spans="1:10" x14ac:dyDescent="0.25">
      <c r="A75">
        <v>365</v>
      </c>
      <c r="B75" s="700">
        <v>0</v>
      </c>
      <c r="D75">
        <v>365</v>
      </c>
      <c r="E75" s="603">
        <v>0</v>
      </c>
      <c r="F75" s="701">
        <f t="shared" si="2"/>
        <v>0</v>
      </c>
      <c r="H75" s="603">
        <v>365</v>
      </c>
      <c r="I75" s="603">
        <v>0</v>
      </c>
      <c r="J75" s="603">
        <f t="shared" si="3"/>
        <v>0</v>
      </c>
    </row>
    <row r="76" spans="1:10" x14ac:dyDescent="0.25">
      <c r="A76">
        <v>366</v>
      </c>
      <c r="B76" s="700">
        <v>0</v>
      </c>
      <c r="D76">
        <v>366</v>
      </c>
      <c r="E76" s="603">
        <v>0</v>
      </c>
      <c r="F76" s="701">
        <f t="shared" si="2"/>
        <v>0</v>
      </c>
      <c r="H76" s="603">
        <v>366</v>
      </c>
      <c r="I76" s="603">
        <v>0</v>
      </c>
      <c r="J76" s="603">
        <f t="shared" si="3"/>
        <v>0</v>
      </c>
    </row>
    <row r="77" spans="1:10" x14ac:dyDescent="0.25">
      <c r="A77">
        <v>368</v>
      </c>
      <c r="B77" s="700">
        <v>0</v>
      </c>
      <c r="D77">
        <v>368</v>
      </c>
      <c r="E77" s="603">
        <v>0</v>
      </c>
      <c r="F77" s="701">
        <f t="shared" si="2"/>
        <v>0</v>
      </c>
      <c r="H77" s="603">
        <v>368</v>
      </c>
      <c r="I77" s="603">
        <v>0</v>
      </c>
      <c r="J77" s="603">
        <f t="shared" si="3"/>
        <v>0</v>
      </c>
    </row>
    <row r="78" spans="1:10" x14ac:dyDescent="0.25">
      <c r="A78">
        <v>369</v>
      </c>
      <c r="B78" s="700">
        <v>0</v>
      </c>
      <c r="D78">
        <v>369</v>
      </c>
      <c r="E78" s="603">
        <v>0</v>
      </c>
      <c r="F78" s="701">
        <f t="shared" si="2"/>
        <v>0</v>
      </c>
      <c r="H78" s="603">
        <v>369</v>
      </c>
      <c r="I78" s="603">
        <v>0</v>
      </c>
      <c r="J78" s="603">
        <f t="shared" si="3"/>
        <v>0</v>
      </c>
    </row>
    <row r="79" spans="1:10" x14ac:dyDescent="0.25">
      <c r="A79">
        <v>370</v>
      </c>
      <c r="B79" s="700">
        <v>0</v>
      </c>
      <c r="D79">
        <v>370</v>
      </c>
      <c r="E79" s="603">
        <v>0</v>
      </c>
      <c r="F79" s="701">
        <f t="shared" si="2"/>
        <v>0</v>
      </c>
      <c r="H79" s="603">
        <v>370</v>
      </c>
      <c r="I79" s="603">
        <v>0</v>
      </c>
      <c r="J79" s="603">
        <f t="shared" si="3"/>
        <v>0</v>
      </c>
    </row>
    <row r="80" spans="1:10" x14ac:dyDescent="0.25">
      <c r="A80">
        <v>373</v>
      </c>
      <c r="B80" s="700">
        <v>0</v>
      </c>
      <c r="D80">
        <v>373</v>
      </c>
      <c r="E80" s="603">
        <v>0</v>
      </c>
      <c r="F80" s="701">
        <f t="shared" si="2"/>
        <v>0</v>
      </c>
      <c r="H80" s="603">
        <v>373</v>
      </c>
      <c r="I80" s="603">
        <v>0</v>
      </c>
      <c r="J80" s="603">
        <f t="shared" si="3"/>
        <v>0</v>
      </c>
    </row>
    <row r="81" spans="1:10" x14ac:dyDescent="0.25">
      <c r="A81">
        <v>375</v>
      </c>
      <c r="B81" s="700">
        <v>6056032</v>
      </c>
      <c r="D81">
        <v>375</v>
      </c>
      <c r="E81" s="603">
        <v>6056032</v>
      </c>
      <c r="F81" s="701">
        <f t="shared" si="2"/>
        <v>0</v>
      </c>
      <c r="H81" s="603">
        <v>375</v>
      </c>
      <c r="I81" s="603">
        <v>6056032</v>
      </c>
      <c r="J81" s="603">
        <f t="shared" si="3"/>
        <v>0</v>
      </c>
    </row>
    <row r="82" spans="1:10" x14ac:dyDescent="0.25">
      <c r="A82">
        <v>376</v>
      </c>
      <c r="B82" s="700">
        <v>0</v>
      </c>
      <c r="D82">
        <v>376</v>
      </c>
      <c r="E82" s="603">
        <v>0</v>
      </c>
      <c r="F82" s="701">
        <f t="shared" si="2"/>
        <v>0</v>
      </c>
      <c r="H82" s="603">
        <v>376</v>
      </c>
      <c r="I82" s="603">
        <v>0</v>
      </c>
      <c r="J82" s="603">
        <f t="shared" si="3"/>
        <v>0</v>
      </c>
    </row>
    <row r="83" spans="1:10" x14ac:dyDescent="0.25">
      <c r="A83">
        <v>377</v>
      </c>
      <c r="B83" s="700">
        <v>0</v>
      </c>
      <c r="D83">
        <v>377</v>
      </c>
      <c r="E83" s="603">
        <v>0</v>
      </c>
      <c r="F83" s="701">
        <f t="shared" si="2"/>
        <v>0</v>
      </c>
      <c r="H83" s="603">
        <v>377</v>
      </c>
      <c r="I83" s="603">
        <v>0</v>
      </c>
      <c r="J83" s="603">
        <f t="shared" si="3"/>
        <v>0</v>
      </c>
    </row>
    <row r="84" spans="1:10" x14ac:dyDescent="0.25">
      <c r="A84">
        <v>378</v>
      </c>
      <c r="B84" s="700">
        <v>0</v>
      </c>
      <c r="D84">
        <v>378</v>
      </c>
      <c r="E84" s="603">
        <v>0</v>
      </c>
      <c r="F84" s="701">
        <f t="shared" si="2"/>
        <v>0</v>
      </c>
      <c r="H84" s="603">
        <v>378</v>
      </c>
      <c r="I84" s="603">
        <v>0</v>
      </c>
      <c r="J84" s="603">
        <f t="shared" si="3"/>
        <v>0</v>
      </c>
    </row>
    <row r="85" spans="1:10" x14ac:dyDescent="0.25">
      <c r="A85">
        <v>379</v>
      </c>
      <c r="B85" s="700">
        <v>0</v>
      </c>
      <c r="D85">
        <v>379</v>
      </c>
      <c r="E85" s="603">
        <v>0</v>
      </c>
      <c r="F85" s="701">
        <f t="shared" si="2"/>
        <v>0</v>
      </c>
      <c r="H85" s="603">
        <v>379</v>
      </c>
      <c r="I85" s="603">
        <v>0</v>
      </c>
      <c r="J85" s="603">
        <f t="shared" si="3"/>
        <v>0</v>
      </c>
    </row>
    <row r="86" spans="1:10" x14ac:dyDescent="0.25">
      <c r="A86">
        <v>380</v>
      </c>
      <c r="B86" s="700">
        <v>0</v>
      </c>
      <c r="D86">
        <v>380</v>
      </c>
      <c r="E86" s="603">
        <v>0</v>
      </c>
      <c r="F86" s="701">
        <f t="shared" si="2"/>
        <v>0</v>
      </c>
      <c r="H86" s="603">
        <v>380</v>
      </c>
      <c r="I86" s="603">
        <v>0</v>
      </c>
      <c r="J86" s="603">
        <f t="shared" si="3"/>
        <v>0</v>
      </c>
    </row>
    <row r="87" spans="1:10" x14ac:dyDescent="0.25">
      <c r="A87">
        <v>381</v>
      </c>
      <c r="B87" s="700">
        <v>25162488</v>
      </c>
      <c r="D87">
        <v>381</v>
      </c>
      <c r="E87" s="603">
        <v>25162488</v>
      </c>
      <c r="F87" s="701">
        <f t="shared" si="2"/>
        <v>0</v>
      </c>
      <c r="H87" s="603">
        <v>381</v>
      </c>
      <c r="I87" s="603">
        <v>25162488</v>
      </c>
      <c r="J87" s="603">
        <f t="shared" si="3"/>
        <v>0</v>
      </c>
    </row>
    <row r="88" spans="1:10" x14ac:dyDescent="0.25">
      <c r="A88">
        <v>382</v>
      </c>
      <c r="B88" s="700">
        <v>0</v>
      </c>
      <c r="D88">
        <v>382</v>
      </c>
      <c r="E88" s="603">
        <v>0</v>
      </c>
      <c r="F88" s="701">
        <f t="shared" si="2"/>
        <v>0</v>
      </c>
      <c r="H88" s="603">
        <v>382</v>
      </c>
      <c r="I88" s="603">
        <v>0</v>
      </c>
      <c r="J88" s="603">
        <f t="shared" si="3"/>
        <v>0</v>
      </c>
    </row>
    <row r="89" spans="1:10" x14ac:dyDescent="0.25">
      <c r="A89">
        <v>383</v>
      </c>
      <c r="B89" s="700">
        <v>0</v>
      </c>
      <c r="D89">
        <v>383</v>
      </c>
      <c r="E89" s="603">
        <v>0</v>
      </c>
      <c r="F89" s="701">
        <f t="shared" si="2"/>
        <v>0</v>
      </c>
      <c r="H89" s="603">
        <v>383</v>
      </c>
      <c r="I89" s="603">
        <v>0</v>
      </c>
      <c r="J89" s="603">
        <f t="shared" si="3"/>
        <v>0</v>
      </c>
    </row>
    <row r="90" spans="1:10" x14ac:dyDescent="0.25">
      <c r="A90">
        <v>384</v>
      </c>
      <c r="B90" s="700">
        <v>0</v>
      </c>
      <c r="D90">
        <v>384</v>
      </c>
      <c r="E90" s="603">
        <v>0</v>
      </c>
      <c r="F90" s="701">
        <f t="shared" si="2"/>
        <v>0</v>
      </c>
      <c r="H90" s="603">
        <v>384</v>
      </c>
      <c r="I90" s="603">
        <v>0</v>
      </c>
      <c r="J90" s="603">
        <f t="shared" si="3"/>
        <v>0</v>
      </c>
    </row>
    <row r="91" spans="1:10" x14ac:dyDescent="0.25">
      <c r="A91">
        <v>385</v>
      </c>
      <c r="B91" s="700">
        <v>0</v>
      </c>
      <c r="D91">
        <v>385</v>
      </c>
      <c r="E91" s="603">
        <v>0</v>
      </c>
      <c r="F91" s="701">
        <f t="shared" si="2"/>
        <v>0</v>
      </c>
      <c r="H91" s="603">
        <v>385</v>
      </c>
      <c r="I91" s="603">
        <v>0</v>
      </c>
      <c r="J91" s="603">
        <f t="shared" si="3"/>
        <v>0</v>
      </c>
    </row>
    <row r="92" spans="1:10" x14ac:dyDescent="0.25">
      <c r="A92">
        <v>386</v>
      </c>
      <c r="B92" s="700">
        <v>0</v>
      </c>
      <c r="D92">
        <v>386</v>
      </c>
      <c r="E92" s="603">
        <v>0</v>
      </c>
      <c r="F92" s="701">
        <f t="shared" si="2"/>
        <v>0</v>
      </c>
      <c r="H92" s="603">
        <v>386</v>
      </c>
      <c r="I92" s="603">
        <v>0</v>
      </c>
      <c r="J92" s="603">
        <f t="shared" si="3"/>
        <v>0</v>
      </c>
    </row>
    <row r="93" spans="1:10" x14ac:dyDescent="0.25">
      <c r="A93">
        <v>387</v>
      </c>
      <c r="B93" s="700">
        <v>0</v>
      </c>
      <c r="D93">
        <v>387</v>
      </c>
      <c r="E93" s="603">
        <v>0</v>
      </c>
      <c r="F93" s="701">
        <f t="shared" si="2"/>
        <v>0</v>
      </c>
      <c r="H93" s="603">
        <v>387</v>
      </c>
      <c r="I93" s="603">
        <v>0</v>
      </c>
      <c r="J93" s="603">
        <f t="shared" si="3"/>
        <v>0</v>
      </c>
    </row>
    <row r="94" spans="1:10" x14ac:dyDescent="0.25">
      <c r="A94">
        <v>388</v>
      </c>
      <c r="B94" s="700">
        <v>0</v>
      </c>
      <c r="D94">
        <v>388</v>
      </c>
      <c r="E94" s="603">
        <v>0</v>
      </c>
      <c r="F94" s="701">
        <f t="shared" si="2"/>
        <v>0</v>
      </c>
      <c r="H94" s="603">
        <v>388</v>
      </c>
      <c r="I94" s="603">
        <v>0</v>
      </c>
      <c r="J94" s="603">
        <f t="shared" si="3"/>
        <v>0</v>
      </c>
    </row>
    <row r="95" spans="1:10" x14ac:dyDescent="0.25">
      <c r="A95">
        <v>389</v>
      </c>
      <c r="B95" s="700">
        <v>0</v>
      </c>
      <c r="D95">
        <v>389</v>
      </c>
      <c r="E95" s="603">
        <v>0</v>
      </c>
      <c r="F95" s="701">
        <f t="shared" si="2"/>
        <v>0</v>
      </c>
      <c r="H95" s="603">
        <v>389</v>
      </c>
      <c r="I95" s="603">
        <v>0</v>
      </c>
      <c r="J95" s="603">
        <f t="shared" si="3"/>
        <v>0</v>
      </c>
    </row>
    <row r="96" spans="1:10" x14ac:dyDescent="0.25">
      <c r="A96">
        <v>391</v>
      </c>
      <c r="B96" s="700">
        <v>0</v>
      </c>
      <c r="D96">
        <v>391</v>
      </c>
      <c r="E96" s="603">
        <v>0</v>
      </c>
      <c r="F96" s="701">
        <f t="shared" si="2"/>
        <v>0</v>
      </c>
      <c r="H96" s="603">
        <v>391</v>
      </c>
      <c r="I96" s="603">
        <v>0</v>
      </c>
      <c r="J96" s="603">
        <f t="shared" si="3"/>
        <v>0</v>
      </c>
    </row>
    <row r="97" spans="1:10" x14ac:dyDescent="0.25">
      <c r="A97">
        <v>500</v>
      </c>
      <c r="B97" s="700">
        <v>0</v>
      </c>
      <c r="D97">
        <v>500</v>
      </c>
      <c r="E97" s="603">
        <v>0</v>
      </c>
      <c r="F97" s="701">
        <f t="shared" si="2"/>
        <v>0</v>
      </c>
      <c r="H97" s="603">
        <v>500</v>
      </c>
      <c r="I97" s="603">
        <v>0</v>
      </c>
      <c r="J97" s="603">
        <f t="shared" si="3"/>
        <v>0</v>
      </c>
    </row>
    <row r="98" spans="1:10" x14ac:dyDescent="0.25">
      <c r="A98">
        <v>502</v>
      </c>
      <c r="B98" s="700">
        <v>5266799</v>
      </c>
      <c r="D98">
        <v>502</v>
      </c>
      <c r="E98" s="603">
        <v>5266799</v>
      </c>
      <c r="F98" s="701">
        <f t="shared" si="2"/>
        <v>0</v>
      </c>
      <c r="H98" s="603">
        <v>502</v>
      </c>
      <c r="I98" s="603">
        <v>5266799</v>
      </c>
      <c r="J98" s="603">
        <f t="shared" si="3"/>
        <v>0</v>
      </c>
    </row>
    <row r="99" spans="1:10" x14ac:dyDescent="0.25">
      <c r="A99">
        <v>503</v>
      </c>
      <c r="B99" s="700">
        <v>784922</v>
      </c>
      <c r="D99">
        <v>503</v>
      </c>
      <c r="E99" s="603">
        <v>784922</v>
      </c>
      <c r="F99" s="701">
        <f t="shared" si="2"/>
        <v>0</v>
      </c>
      <c r="H99" s="603">
        <v>503</v>
      </c>
      <c r="I99" s="603">
        <v>784922</v>
      </c>
      <c r="J99" s="603">
        <f t="shared" si="3"/>
        <v>0</v>
      </c>
    </row>
    <row r="100" spans="1:10" x14ac:dyDescent="0.25">
      <c r="A100">
        <v>504</v>
      </c>
      <c r="B100" s="700">
        <v>0</v>
      </c>
      <c r="D100">
        <v>504</v>
      </c>
      <c r="E100" s="603">
        <v>0</v>
      </c>
      <c r="F100" s="701">
        <f t="shared" si="2"/>
        <v>0</v>
      </c>
      <c r="H100" s="603">
        <v>504</v>
      </c>
      <c r="I100" s="603">
        <v>0</v>
      </c>
      <c r="J100" s="603">
        <f t="shared" si="3"/>
        <v>0</v>
      </c>
    </row>
    <row r="101" spans="1:10" x14ac:dyDescent="0.25">
      <c r="A101">
        <v>505</v>
      </c>
      <c r="B101" s="700">
        <v>0</v>
      </c>
      <c r="D101">
        <v>505</v>
      </c>
      <c r="E101" s="603">
        <v>0</v>
      </c>
      <c r="F101" s="701">
        <f t="shared" si="2"/>
        <v>0</v>
      </c>
      <c r="H101" s="603">
        <v>505</v>
      </c>
      <c r="I101" s="603">
        <v>0</v>
      </c>
      <c r="J101" s="603">
        <f t="shared" si="3"/>
        <v>0</v>
      </c>
    </row>
    <row r="102" spans="1:10" x14ac:dyDescent="0.25">
      <c r="A102">
        <v>506</v>
      </c>
      <c r="B102" s="700">
        <v>0</v>
      </c>
      <c r="D102">
        <v>506</v>
      </c>
      <c r="E102" s="603">
        <v>0</v>
      </c>
      <c r="F102" s="701">
        <f t="shared" si="2"/>
        <v>0</v>
      </c>
      <c r="H102" s="603">
        <v>506</v>
      </c>
      <c r="I102" s="603">
        <v>0</v>
      </c>
      <c r="J102" s="603">
        <f t="shared" si="3"/>
        <v>0</v>
      </c>
    </row>
    <row r="103" spans="1:10" x14ac:dyDescent="0.25">
      <c r="A103">
        <v>507</v>
      </c>
      <c r="B103" s="700">
        <v>0</v>
      </c>
      <c r="D103">
        <v>507</v>
      </c>
      <c r="E103" s="603">
        <v>0</v>
      </c>
      <c r="F103" s="701">
        <f t="shared" si="2"/>
        <v>0</v>
      </c>
      <c r="H103" s="603">
        <v>507</v>
      </c>
      <c r="I103" s="603">
        <v>0</v>
      </c>
      <c r="J103" s="603">
        <f t="shared" si="3"/>
        <v>0</v>
      </c>
    </row>
    <row r="104" spans="1:10" x14ac:dyDescent="0.25">
      <c r="A104">
        <v>508</v>
      </c>
      <c r="B104" s="700">
        <v>0</v>
      </c>
      <c r="D104">
        <v>508</v>
      </c>
      <c r="E104" s="603">
        <v>0</v>
      </c>
      <c r="F104" s="701">
        <f t="shared" si="2"/>
        <v>0</v>
      </c>
      <c r="H104" s="603">
        <v>508</v>
      </c>
      <c r="I104" s="603">
        <v>0</v>
      </c>
      <c r="J104" s="603">
        <f t="shared" si="3"/>
        <v>0</v>
      </c>
    </row>
    <row r="105" spans="1:10" x14ac:dyDescent="0.25">
      <c r="A105">
        <v>509</v>
      </c>
      <c r="B105" s="700">
        <v>0</v>
      </c>
      <c r="D105">
        <v>509</v>
      </c>
      <c r="E105" s="603">
        <v>0</v>
      </c>
      <c r="F105" s="701">
        <f t="shared" si="2"/>
        <v>0</v>
      </c>
      <c r="H105" s="603">
        <v>509</v>
      </c>
      <c r="I105" s="603">
        <v>0</v>
      </c>
      <c r="J105" s="603">
        <f t="shared" si="3"/>
        <v>0</v>
      </c>
    </row>
    <row r="106" spans="1:10" x14ac:dyDescent="0.25">
      <c r="A106">
        <v>510</v>
      </c>
      <c r="B106" s="700">
        <v>3076</v>
      </c>
      <c r="D106">
        <v>510</v>
      </c>
      <c r="E106" s="603">
        <v>3076</v>
      </c>
      <c r="F106" s="701">
        <f t="shared" si="2"/>
        <v>0</v>
      </c>
      <c r="H106" s="603">
        <v>510</v>
      </c>
      <c r="I106" s="603">
        <v>3076</v>
      </c>
      <c r="J106" s="603">
        <f t="shared" si="3"/>
        <v>0</v>
      </c>
    </row>
    <row r="107" spans="1:10" x14ac:dyDescent="0.25">
      <c r="A107">
        <v>511</v>
      </c>
      <c r="B107" s="700">
        <v>0</v>
      </c>
      <c r="D107">
        <v>511</v>
      </c>
      <c r="E107" s="603">
        <v>0</v>
      </c>
      <c r="F107" s="701">
        <f t="shared" si="2"/>
        <v>0</v>
      </c>
      <c r="H107" s="603">
        <v>511</v>
      </c>
      <c r="I107" s="603">
        <v>0</v>
      </c>
      <c r="J107" s="603">
        <f t="shared" si="3"/>
        <v>0</v>
      </c>
    </row>
    <row r="108" spans="1:10" x14ac:dyDescent="0.25">
      <c r="A108">
        <v>512</v>
      </c>
      <c r="B108" s="700">
        <v>0</v>
      </c>
      <c r="D108">
        <v>512</v>
      </c>
      <c r="E108" s="603">
        <v>0</v>
      </c>
      <c r="F108" s="701">
        <f t="shared" si="2"/>
        <v>0</v>
      </c>
      <c r="H108" s="603">
        <v>512</v>
      </c>
      <c r="I108" s="603">
        <v>0</v>
      </c>
      <c r="J108" s="603">
        <f t="shared" si="3"/>
        <v>0</v>
      </c>
    </row>
    <row r="109" spans="1:10" x14ac:dyDescent="0.25">
      <c r="A109">
        <v>513</v>
      </c>
      <c r="B109" s="700">
        <v>0</v>
      </c>
      <c r="D109">
        <v>513</v>
      </c>
      <c r="E109" s="603">
        <v>0</v>
      </c>
      <c r="F109" s="701">
        <f t="shared" si="2"/>
        <v>0</v>
      </c>
      <c r="H109" s="603">
        <v>513</v>
      </c>
      <c r="I109" s="603">
        <v>0</v>
      </c>
      <c r="J109" s="603">
        <f t="shared" si="3"/>
        <v>0</v>
      </c>
    </row>
    <row r="110" spans="1:10" x14ac:dyDescent="0.25">
      <c r="A110">
        <v>514</v>
      </c>
      <c r="B110" s="700">
        <v>0</v>
      </c>
      <c r="D110">
        <v>514</v>
      </c>
      <c r="E110" s="603">
        <v>0</v>
      </c>
      <c r="F110" s="701">
        <f t="shared" si="2"/>
        <v>0</v>
      </c>
      <c r="H110" s="603">
        <v>514</v>
      </c>
      <c r="I110" s="603">
        <v>0</v>
      </c>
      <c r="J110" s="603">
        <f t="shared" si="3"/>
        <v>0</v>
      </c>
    </row>
    <row r="111" spans="1:10" x14ac:dyDescent="0.25">
      <c r="A111">
        <v>515</v>
      </c>
      <c r="B111" s="700">
        <v>351832</v>
      </c>
      <c r="D111">
        <v>515</v>
      </c>
      <c r="E111" s="603">
        <v>351832</v>
      </c>
      <c r="F111" s="701">
        <f t="shared" si="2"/>
        <v>0</v>
      </c>
      <c r="H111" s="603">
        <v>515</v>
      </c>
      <c r="I111" s="603">
        <v>351832</v>
      </c>
      <c r="J111" s="603">
        <f t="shared" si="3"/>
        <v>0</v>
      </c>
    </row>
    <row r="112" spans="1:10" x14ac:dyDescent="0.25">
      <c r="A112">
        <v>516</v>
      </c>
      <c r="B112" s="700">
        <v>25123887</v>
      </c>
      <c r="D112">
        <v>516</v>
      </c>
      <c r="E112" s="603">
        <v>25123887</v>
      </c>
      <c r="F112" s="701">
        <f t="shared" si="2"/>
        <v>0</v>
      </c>
      <c r="H112" s="603">
        <v>516</v>
      </c>
      <c r="I112" s="603">
        <v>25123887</v>
      </c>
      <c r="J112" s="603">
        <f t="shared" si="3"/>
        <v>0</v>
      </c>
    </row>
    <row r="113" spans="1:10" x14ac:dyDescent="0.25">
      <c r="A113">
        <v>517</v>
      </c>
      <c r="B113" s="700">
        <v>0</v>
      </c>
      <c r="D113">
        <v>517</v>
      </c>
      <c r="E113" s="603">
        <v>0</v>
      </c>
      <c r="F113" s="701">
        <f t="shared" si="2"/>
        <v>0</v>
      </c>
      <c r="H113" s="603">
        <v>517</v>
      </c>
      <c r="I113" s="603">
        <v>0</v>
      </c>
      <c r="J113" s="603">
        <f t="shared" si="3"/>
        <v>0</v>
      </c>
    </row>
    <row r="114" spans="1:10" x14ac:dyDescent="0.25">
      <c r="A114">
        <v>518</v>
      </c>
      <c r="B114" s="700">
        <v>358705</v>
      </c>
      <c r="D114">
        <v>518</v>
      </c>
      <c r="E114" s="603">
        <v>358705</v>
      </c>
      <c r="F114" s="701">
        <f t="shared" si="2"/>
        <v>0</v>
      </c>
      <c r="H114" s="603">
        <v>518</v>
      </c>
      <c r="I114" s="603">
        <v>358705</v>
      </c>
      <c r="J114" s="603">
        <f t="shared" si="3"/>
        <v>0</v>
      </c>
    </row>
    <row r="115" spans="1:10" x14ac:dyDescent="0.25">
      <c r="A115">
        <v>519</v>
      </c>
      <c r="B115" s="700">
        <v>8796</v>
      </c>
      <c r="D115">
        <v>519</v>
      </c>
      <c r="E115" s="603">
        <v>8796</v>
      </c>
      <c r="F115" s="701">
        <f t="shared" si="2"/>
        <v>0</v>
      </c>
      <c r="H115" s="603">
        <v>519</v>
      </c>
      <c r="I115" s="603">
        <v>8796</v>
      </c>
      <c r="J115" s="603">
        <f t="shared" si="3"/>
        <v>0</v>
      </c>
    </row>
    <row r="116" spans="1:10" x14ac:dyDescent="0.25">
      <c r="A116">
        <v>520</v>
      </c>
      <c r="B116" s="700">
        <v>0</v>
      </c>
      <c r="D116">
        <v>520</v>
      </c>
      <c r="E116" s="603">
        <v>0</v>
      </c>
      <c r="F116" s="701">
        <f t="shared" si="2"/>
        <v>0</v>
      </c>
      <c r="H116" s="603">
        <v>520</v>
      </c>
      <c r="I116" s="603">
        <v>0</v>
      </c>
      <c r="J116" s="603">
        <f t="shared" si="3"/>
        <v>0</v>
      </c>
    </row>
    <row r="117" spans="1:10" x14ac:dyDescent="0.25">
      <c r="A117">
        <v>521</v>
      </c>
      <c r="B117" s="700">
        <v>0</v>
      </c>
      <c r="D117">
        <v>521</v>
      </c>
      <c r="E117" s="603">
        <v>0</v>
      </c>
      <c r="F117" s="701">
        <f t="shared" si="2"/>
        <v>0</v>
      </c>
      <c r="H117" s="603">
        <v>521</v>
      </c>
      <c r="I117" s="603">
        <v>0</v>
      </c>
      <c r="J117" s="603">
        <f t="shared" si="3"/>
        <v>0</v>
      </c>
    </row>
    <row r="118" spans="1:10" x14ac:dyDescent="0.25">
      <c r="A118">
        <v>522</v>
      </c>
      <c r="B118" s="700">
        <v>33834</v>
      </c>
      <c r="D118">
        <v>522</v>
      </c>
      <c r="E118" s="603">
        <v>33834</v>
      </c>
      <c r="F118" s="701">
        <f t="shared" si="2"/>
        <v>0</v>
      </c>
      <c r="H118" s="603">
        <v>522</v>
      </c>
      <c r="I118" s="603">
        <v>33834</v>
      </c>
      <c r="J118" s="603">
        <f t="shared" si="3"/>
        <v>0</v>
      </c>
    </row>
    <row r="119" spans="1:10" x14ac:dyDescent="0.25">
      <c r="A119">
        <v>523</v>
      </c>
      <c r="B119" s="700">
        <v>52776</v>
      </c>
      <c r="D119">
        <v>523</v>
      </c>
      <c r="E119" s="603">
        <v>52776</v>
      </c>
      <c r="F119" s="701">
        <f t="shared" si="2"/>
        <v>0</v>
      </c>
      <c r="H119" s="603">
        <v>523</v>
      </c>
      <c r="I119" s="603">
        <v>52776</v>
      </c>
      <c r="J119" s="603">
        <f t="shared" si="3"/>
        <v>0</v>
      </c>
    </row>
    <row r="120" spans="1:10" x14ac:dyDescent="0.25">
      <c r="A120">
        <v>524</v>
      </c>
      <c r="B120" s="700">
        <v>8541713</v>
      </c>
      <c r="D120">
        <v>524</v>
      </c>
      <c r="E120" s="603">
        <v>8541713</v>
      </c>
      <c r="F120" s="701">
        <f t="shared" si="2"/>
        <v>0</v>
      </c>
      <c r="H120" s="603">
        <v>524</v>
      </c>
      <c r="I120" s="603">
        <v>8541713</v>
      </c>
      <c r="J120" s="603">
        <f t="shared" si="3"/>
        <v>0</v>
      </c>
    </row>
    <row r="121" spans="1:10" x14ac:dyDescent="0.25">
      <c r="A121">
        <v>525</v>
      </c>
      <c r="B121" s="700">
        <v>0</v>
      </c>
      <c r="D121">
        <v>525</v>
      </c>
      <c r="E121" s="603">
        <v>0</v>
      </c>
      <c r="F121" s="701">
        <f t="shared" si="2"/>
        <v>0</v>
      </c>
      <c r="H121" s="603">
        <v>525</v>
      </c>
      <c r="I121" s="603">
        <v>0</v>
      </c>
      <c r="J121" s="603">
        <f t="shared" si="3"/>
        <v>0</v>
      </c>
    </row>
    <row r="122" spans="1:10" x14ac:dyDescent="0.25">
      <c r="A122">
        <v>526</v>
      </c>
      <c r="B122" s="700">
        <v>256927</v>
      </c>
      <c r="D122">
        <v>526</v>
      </c>
      <c r="E122" s="603">
        <v>256927</v>
      </c>
      <c r="F122" s="701">
        <f t="shared" si="2"/>
        <v>0</v>
      </c>
      <c r="H122" s="603">
        <v>526</v>
      </c>
      <c r="I122" s="603">
        <v>256927</v>
      </c>
      <c r="J122" s="603">
        <f t="shared" si="3"/>
        <v>0</v>
      </c>
    </row>
    <row r="123" spans="1:10" x14ac:dyDescent="0.25">
      <c r="A123">
        <v>527</v>
      </c>
      <c r="B123" s="700">
        <v>0</v>
      </c>
      <c r="D123">
        <v>527</v>
      </c>
      <c r="E123" s="603">
        <v>0</v>
      </c>
      <c r="F123" s="701">
        <f t="shared" si="2"/>
        <v>0</v>
      </c>
      <c r="H123" s="603">
        <v>527</v>
      </c>
      <c r="I123" s="603">
        <v>0</v>
      </c>
      <c r="J123" s="603">
        <f t="shared" si="3"/>
        <v>0</v>
      </c>
    </row>
    <row r="124" spans="1:10" x14ac:dyDescent="0.25">
      <c r="A124">
        <v>528</v>
      </c>
      <c r="B124" s="700">
        <v>0</v>
      </c>
      <c r="D124">
        <v>528</v>
      </c>
      <c r="E124" s="603">
        <v>0</v>
      </c>
      <c r="F124" s="701">
        <f t="shared" si="2"/>
        <v>0</v>
      </c>
      <c r="H124" s="603">
        <v>528</v>
      </c>
      <c r="I124" s="603">
        <v>0</v>
      </c>
      <c r="J124" s="603">
        <f t="shared" si="3"/>
        <v>0</v>
      </c>
    </row>
    <row r="125" spans="1:10" x14ac:dyDescent="0.25">
      <c r="A125">
        <v>529</v>
      </c>
      <c r="B125" s="700">
        <v>0</v>
      </c>
      <c r="D125">
        <v>529</v>
      </c>
      <c r="E125" s="603">
        <v>0</v>
      </c>
      <c r="F125" s="701">
        <f t="shared" si="2"/>
        <v>0</v>
      </c>
      <c r="H125" s="603">
        <v>529</v>
      </c>
      <c r="I125" s="603">
        <v>0</v>
      </c>
      <c r="J125" s="603">
        <f t="shared" si="3"/>
        <v>0</v>
      </c>
    </row>
    <row r="126" spans="1:10" x14ac:dyDescent="0.25">
      <c r="A126">
        <v>530</v>
      </c>
      <c r="B126" s="700">
        <v>0</v>
      </c>
      <c r="D126">
        <v>530</v>
      </c>
      <c r="E126" s="603">
        <v>0</v>
      </c>
      <c r="F126" s="701">
        <f t="shared" si="2"/>
        <v>0</v>
      </c>
      <c r="H126" s="603">
        <v>530</v>
      </c>
      <c r="I126" s="603">
        <v>0</v>
      </c>
      <c r="J126" s="603">
        <f t="shared" si="3"/>
        <v>0</v>
      </c>
    </row>
    <row r="127" spans="1:10" x14ac:dyDescent="0.25">
      <c r="A127">
        <v>531</v>
      </c>
      <c r="B127" s="700">
        <v>0</v>
      </c>
      <c r="D127">
        <v>531</v>
      </c>
      <c r="E127" s="603">
        <v>0</v>
      </c>
      <c r="F127" s="701">
        <f t="shared" si="2"/>
        <v>0</v>
      </c>
      <c r="H127" s="603">
        <v>531</v>
      </c>
      <c r="I127" s="603">
        <v>0</v>
      </c>
      <c r="J127" s="603">
        <f t="shared" si="3"/>
        <v>0</v>
      </c>
    </row>
    <row r="128" spans="1:10" x14ac:dyDescent="0.25">
      <c r="A128">
        <v>532</v>
      </c>
      <c r="B128" s="700">
        <v>0</v>
      </c>
      <c r="D128">
        <v>532</v>
      </c>
      <c r="E128" s="603">
        <v>0</v>
      </c>
      <c r="F128" s="701">
        <f t="shared" si="2"/>
        <v>0</v>
      </c>
      <c r="H128" s="603">
        <v>532</v>
      </c>
      <c r="I128" s="603">
        <v>0</v>
      </c>
      <c r="J128" s="603">
        <f t="shared" si="3"/>
        <v>0</v>
      </c>
    </row>
    <row r="129" spans="1:10" x14ac:dyDescent="0.25">
      <c r="A129">
        <v>533</v>
      </c>
      <c r="B129" s="700">
        <v>0</v>
      </c>
      <c r="D129">
        <v>533</v>
      </c>
      <c r="E129" s="603">
        <v>0</v>
      </c>
      <c r="F129" s="701">
        <f t="shared" si="2"/>
        <v>0</v>
      </c>
      <c r="H129" s="603">
        <v>533</v>
      </c>
      <c r="I129" s="603">
        <v>0</v>
      </c>
      <c r="J129" s="603">
        <f t="shared" si="3"/>
        <v>0</v>
      </c>
    </row>
    <row r="130" spans="1:10" x14ac:dyDescent="0.25">
      <c r="A130">
        <v>535</v>
      </c>
      <c r="B130" s="700">
        <v>295842</v>
      </c>
      <c r="D130">
        <v>535</v>
      </c>
      <c r="E130" s="603">
        <v>295842</v>
      </c>
      <c r="F130" s="701">
        <f t="shared" si="2"/>
        <v>0</v>
      </c>
      <c r="H130" s="603">
        <v>535</v>
      </c>
      <c r="I130" s="603">
        <v>295842</v>
      </c>
      <c r="J130" s="603">
        <f t="shared" si="3"/>
        <v>0</v>
      </c>
    </row>
    <row r="131" spans="1:10" x14ac:dyDescent="0.25">
      <c r="A131">
        <v>536</v>
      </c>
      <c r="B131" s="700">
        <v>0</v>
      </c>
      <c r="D131">
        <v>536</v>
      </c>
      <c r="E131" s="603">
        <v>0</v>
      </c>
      <c r="F131" s="701">
        <f t="shared" ref="F131:F181" si="4">B131-E131</f>
        <v>0</v>
      </c>
      <c r="H131" s="603">
        <v>536</v>
      </c>
      <c r="I131" s="603">
        <v>0</v>
      </c>
      <c r="J131" s="603">
        <f t="shared" ref="J131:J182" si="5">E131-I131</f>
        <v>0</v>
      </c>
    </row>
    <row r="132" spans="1:10" x14ac:dyDescent="0.25">
      <c r="A132">
        <v>537</v>
      </c>
      <c r="B132" s="700">
        <v>1</v>
      </c>
      <c r="D132">
        <v>537</v>
      </c>
      <c r="E132" s="603">
        <v>1</v>
      </c>
      <c r="F132" s="701">
        <f t="shared" si="4"/>
        <v>0</v>
      </c>
      <c r="H132" s="603">
        <v>537</v>
      </c>
      <c r="I132" s="603">
        <v>1</v>
      </c>
      <c r="J132" s="603">
        <f t="shared" si="5"/>
        <v>0</v>
      </c>
    </row>
    <row r="133" spans="1:10" x14ac:dyDescent="0.25">
      <c r="A133">
        <v>538</v>
      </c>
      <c r="B133" s="700">
        <v>1</v>
      </c>
      <c r="D133">
        <v>538</v>
      </c>
      <c r="E133" s="603">
        <v>1</v>
      </c>
      <c r="F133" s="701">
        <f t="shared" si="4"/>
        <v>0</v>
      </c>
      <c r="H133" s="603">
        <v>538</v>
      </c>
      <c r="I133" s="603">
        <v>1</v>
      </c>
      <c r="J133" s="603">
        <f t="shared" si="5"/>
        <v>0</v>
      </c>
    </row>
    <row r="134" spans="1:10" x14ac:dyDescent="0.25">
      <c r="A134">
        <v>540</v>
      </c>
      <c r="B134" s="700">
        <v>0</v>
      </c>
      <c r="D134">
        <v>540</v>
      </c>
      <c r="E134" s="603">
        <v>0</v>
      </c>
      <c r="F134" s="701">
        <f t="shared" si="4"/>
        <v>0</v>
      </c>
      <c r="H134" s="603">
        <v>540</v>
      </c>
      <c r="I134" s="603">
        <v>0</v>
      </c>
      <c r="J134" s="603">
        <f t="shared" si="5"/>
        <v>0</v>
      </c>
    </row>
    <row r="135" spans="1:10" x14ac:dyDescent="0.25">
      <c r="A135">
        <v>541</v>
      </c>
      <c r="B135" s="700">
        <v>620038</v>
      </c>
      <c r="D135">
        <v>541</v>
      </c>
      <c r="E135" s="603">
        <v>620038</v>
      </c>
      <c r="F135" s="701">
        <f t="shared" si="4"/>
        <v>0</v>
      </c>
      <c r="H135" s="603">
        <v>541</v>
      </c>
      <c r="I135" s="603">
        <v>620038</v>
      </c>
      <c r="J135" s="603">
        <f t="shared" si="5"/>
        <v>0</v>
      </c>
    </row>
    <row r="136" spans="1:10" x14ac:dyDescent="0.25">
      <c r="A136">
        <v>542</v>
      </c>
      <c r="B136" s="700">
        <v>0</v>
      </c>
      <c r="D136">
        <v>542</v>
      </c>
      <c r="E136" s="603">
        <v>0</v>
      </c>
      <c r="F136" s="701">
        <f t="shared" si="4"/>
        <v>0</v>
      </c>
      <c r="H136" s="603">
        <v>542</v>
      </c>
      <c r="I136" s="603">
        <v>0</v>
      </c>
      <c r="J136" s="603">
        <f t="shared" si="5"/>
        <v>0</v>
      </c>
    </row>
    <row r="137" spans="1:10" x14ac:dyDescent="0.25">
      <c r="A137">
        <v>544</v>
      </c>
      <c r="B137" s="700">
        <v>0</v>
      </c>
      <c r="D137">
        <v>544</v>
      </c>
      <c r="E137" s="603">
        <v>0</v>
      </c>
      <c r="F137" s="701">
        <f t="shared" si="4"/>
        <v>0</v>
      </c>
      <c r="H137" s="603">
        <v>544</v>
      </c>
      <c r="I137" s="603">
        <v>0</v>
      </c>
      <c r="J137" s="603">
        <f t="shared" si="5"/>
        <v>0</v>
      </c>
    </row>
    <row r="138" spans="1:10" x14ac:dyDescent="0.25">
      <c r="A138">
        <v>545</v>
      </c>
      <c r="B138" s="700">
        <v>0</v>
      </c>
      <c r="D138">
        <v>545</v>
      </c>
      <c r="E138" s="603">
        <v>0</v>
      </c>
      <c r="F138" s="701">
        <f t="shared" si="4"/>
        <v>0</v>
      </c>
      <c r="H138" s="603">
        <v>545</v>
      </c>
      <c r="I138" s="603">
        <v>0</v>
      </c>
      <c r="J138" s="603">
        <f t="shared" si="5"/>
        <v>0</v>
      </c>
    </row>
    <row r="139" spans="1:10" x14ac:dyDescent="0.25">
      <c r="A139">
        <v>547</v>
      </c>
      <c r="B139" s="700">
        <v>2</v>
      </c>
      <c r="D139">
        <v>547</v>
      </c>
      <c r="E139" s="603">
        <v>2</v>
      </c>
      <c r="F139" s="701">
        <f t="shared" si="4"/>
        <v>0</v>
      </c>
      <c r="H139" s="603">
        <v>547</v>
      </c>
      <c r="I139" s="603">
        <v>2</v>
      </c>
      <c r="J139" s="603">
        <f t="shared" si="5"/>
        <v>0</v>
      </c>
    </row>
    <row r="140" spans="1:10" x14ac:dyDescent="0.25">
      <c r="A140">
        <v>554</v>
      </c>
      <c r="B140" s="700">
        <v>0</v>
      </c>
      <c r="D140">
        <v>554</v>
      </c>
      <c r="E140" s="603">
        <v>0</v>
      </c>
      <c r="F140" s="701">
        <f t="shared" si="4"/>
        <v>0</v>
      </c>
      <c r="H140" s="603">
        <v>554</v>
      </c>
      <c r="I140" s="603">
        <v>0</v>
      </c>
      <c r="J140" s="603">
        <f t="shared" si="5"/>
        <v>0</v>
      </c>
    </row>
    <row r="141" spans="1:10" x14ac:dyDescent="0.25">
      <c r="A141">
        <v>555</v>
      </c>
      <c r="B141" s="700">
        <v>0</v>
      </c>
      <c r="D141">
        <v>555</v>
      </c>
      <c r="E141" s="603">
        <v>0</v>
      </c>
      <c r="F141" s="701">
        <f t="shared" si="4"/>
        <v>0</v>
      </c>
      <c r="H141" s="603">
        <v>555</v>
      </c>
      <c r="I141" s="603">
        <v>0</v>
      </c>
      <c r="J141" s="603">
        <f t="shared" si="5"/>
        <v>0</v>
      </c>
    </row>
    <row r="142" spans="1:10" x14ac:dyDescent="0.25">
      <c r="A142">
        <v>556</v>
      </c>
      <c r="B142" s="700">
        <v>0</v>
      </c>
      <c r="D142">
        <v>556</v>
      </c>
      <c r="E142" s="603">
        <v>0</v>
      </c>
      <c r="F142" s="701">
        <f t="shared" si="4"/>
        <v>0</v>
      </c>
      <c r="H142" s="603">
        <v>556</v>
      </c>
      <c r="I142" s="603">
        <v>0</v>
      </c>
      <c r="J142" s="603">
        <f t="shared" si="5"/>
        <v>0</v>
      </c>
    </row>
    <row r="143" spans="1:10" x14ac:dyDescent="0.25">
      <c r="A143">
        <v>557</v>
      </c>
      <c r="B143" s="700">
        <v>0</v>
      </c>
      <c r="D143">
        <v>557</v>
      </c>
      <c r="E143" s="603">
        <v>0</v>
      </c>
      <c r="F143" s="701">
        <f t="shared" si="4"/>
        <v>0</v>
      </c>
      <c r="H143" s="603">
        <v>557</v>
      </c>
      <c r="I143" s="603">
        <v>0</v>
      </c>
      <c r="J143" s="603">
        <f t="shared" si="5"/>
        <v>0</v>
      </c>
    </row>
    <row r="144" spans="1:10" x14ac:dyDescent="0.25">
      <c r="A144">
        <v>575</v>
      </c>
      <c r="B144" s="700">
        <v>0</v>
      </c>
      <c r="D144">
        <v>575</v>
      </c>
      <c r="E144" s="603">
        <v>0</v>
      </c>
      <c r="F144" s="701">
        <f t="shared" si="4"/>
        <v>0</v>
      </c>
      <c r="H144" s="603">
        <v>575</v>
      </c>
      <c r="I144" s="603">
        <v>0</v>
      </c>
      <c r="J144" s="603">
        <f t="shared" si="5"/>
        <v>0</v>
      </c>
    </row>
    <row r="145" spans="1:10" x14ac:dyDescent="0.25">
      <c r="A145">
        <v>576</v>
      </c>
      <c r="B145" s="700">
        <v>0</v>
      </c>
      <c r="D145">
        <v>576</v>
      </c>
      <c r="E145" s="603">
        <v>0</v>
      </c>
      <c r="F145" s="701">
        <f t="shared" si="4"/>
        <v>0</v>
      </c>
      <c r="H145" s="603">
        <v>576</v>
      </c>
      <c r="I145" s="603">
        <v>0</v>
      </c>
      <c r="J145" s="603">
        <f t="shared" si="5"/>
        <v>0</v>
      </c>
    </row>
    <row r="146" spans="1:10" x14ac:dyDescent="0.25">
      <c r="A146">
        <v>577</v>
      </c>
      <c r="B146" s="700">
        <v>2</v>
      </c>
      <c r="D146">
        <v>577</v>
      </c>
      <c r="E146" s="603">
        <v>2</v>
      </c>
      <c r="F146" s="701">
        <f t="shared" si="4"/>
        <v>0</v>
      </c>
      <c r="H146" s="603">
        <v>577</v>
      </c>
      <c r="I146" s="603">
        <v>2</v>
      </c>
      <c r="J146" s="603">
        <f t="shared" si="5"/>
        <v>0</v>
      </c>
    </row>
    <row r="147" spans="1:10" x14ac:dyDescent="0.25">
      <c r="A147">
        <v>578</v>
      </c>
      <c r="B147" s="700">
        <v>0</v>
      </c>
      <c r="D147">
        <v>578</v>
      </c>
      <c r="E147" s="603">
        <v>0</v>
      </c>
      <c r="F147" s="701">
        <f t="shared" si="4"/>
        <v>0</v>
      </c>
      <c r="H147" s="603">
        <v>578</v>
      </c>
      <c r="I147" s="603">
        <v>0</v>
      </c>
      <c r="J147" s="603">
        <f t="shared" si="5"/>
        <v>0</v>
      </c>
    </row>
    <row r="148" spans="1:10" x14ac:dyDescent="0.25">
      <c r="A148">
        <v>579</v>
      </c>
      <c r="B148" s="700">
        <v>0</v>
      </c>
      <c r="D148">
        <v>579</v>
      </c>
      <c r="E148" s="603">
        <v>0</v>
      </c>
      <c r="F148" s="701">
        <f t="shared" si="4"/>
        <v>0</v>
      </c>
      <c r="H148" s="603">
        <v>579</v>
      </c>
      <c r="I148" s="603">
        <v>0</v>
      </c>
      <c r="J148" s="603">
        <f t="shared" si="5"/>
        <v>0</v>
      </c>
    </row>
    <row r="149" spans="1:10" x14ac:dyDescent="0.25">
      <c r="A149">
        <v>580</v>
      </c>
      <c r="B149" s="700">
        <v>0</v>
      </c>
      <c r="D149">
        <v>580</v>
      </c>
      <c r="E149" s="603">
        <v>0</v>
      </c>
      <c r="F149" s="701">
        <f t="shared" si="4"/>
        <v>0</v>
      </c>
      <c r="H149" s="603">
        <v>580</v>
      </c>
      <c r="I149" s="603">
        <v>0</v>
      </c>
      <c r="J149" s="603">
        <f t="shared" si="5"/>
        <v>0</v>
      </c>
    </row>
    <row r="150" spans="1:10" x14ac:dyDescent="0.25">
      <c r="A150">
        <v>581</v>
      </c>
      <c r="B150" s="700">
        <v>0</v>
      </c>
      <c r="D150">
        <v>581</v>
      </c>
      <c r="E150" s="603">
        <v>0</v>
      </c>
      <c r="F150" s="701">
        <f t="shared" si="4"/>
        <v>0</v>
      </c>
      <c r="H150" s="603">
        <v>581</v>
      </c>
      <c r="I150" s="603">
        <v>0</v>
      </c>
      <c r="J150" s="603">
        <f t="shared" si="5"/>
        <v>0</v>
      </c>
    </row>
    <row r="151" spans="1:10" x14ac:dyDescent="0.25">
      <c r="A151">
        <v>586</v>
      </c>
      <c r="B151" s="700">
        <v>0</v>
      </c>
      <c r="D151">
        <v>586</v>
      </c>
      <c r="E151" s="603">
        <v>0</v>
      </c>
      <c r="F151" s="701">
        <f t="shared" si="4"/>
        <v>0</v>
      </c>
      <c r="H151" s="603">
        <v>586</v>
      </c>
      <c r="I151" s="603">
        <v>0</v>
      </c>
      <c r="J151" s="603">
        <f t="shared" si="5"/>
        <v>0</v>
      </c>
    </row>
    <row r="152" spans="1:10" x14ac:dyDescent="0.25">
      <c r="A152">
        <v>591</v>
      </c>
      <c r="B152" s="700">
        <v>2198970</v>
      </c>
      <c r="D152">
        <v>591</v>
      </c>
      <c r="E152" s="603">
        <v>2198970</v>
      </c>
      <c r="F152" s="701">
        <f t="shared" si="4"/>
        <v>0</v>
      </c>
      <c r="H152" s="603">
        <v>591</v>
      </c>
      <c r="I152" s="603">
        <v>2198970</v>
      </c>
      <c r="J152" s="603">
        <f t="shared" si="5"/>
        <v>0</v>
      </c>
    </row>
    <row r="153" spans="1:10" x14ac:dyDescent="0.25">
      <c r="A153">
        <v>592</v>
      </c>
      <c r="B153" s="700">
        <v>1338477</v>
      </c>
      <c r="D153">
        <v>592</v>
      </c>
      <c r="E153" s="603">
        <v>1338477</v>
      </c>
      <c r="F153" s="701">
        <f t="shared" si="4"/>
        <v>0</v>
      </c>
      <c r="H153" s="603">
        <v>592</v>
      </c>
      <c r="I153" s="603">
        <v>1338477</v>
      </c>
      <c r="J153" s="603">
        <f t="shared" si="5"/>
        <v>0</v>
      </c>
    </row>
    <row r="154" spans="1:10" x14ac:dyDescent="0.25">
      <c r="A154">
        <v>596</v>
      </c>
      <c r="B154" s="700">
        <v>52</v>
      </c>
      <c r="D154">
        <v>596</v>
      </c>
      <c r="E154" s="603">
        <v>52</v>
      </c>
      <c r="F154" s="701">
        <f t="shared" si="4"/>
        <v>0</v>
      </c>
      <c r="H154" s="603">
        <v>596</v>
      </c>
      <c r="I154" s="603">
        <v>52</v>
      </c>
      <c r="J154" s="603">
        <f t="shared" si="5"/>
        <v>0</v>
      </c>
    </row>
    <row r="155" spans="1:10" x14ac:dyDescent="0.25">
      <c r="A155">
        <v>597</v>
      </c>
      <c r="B155" s="700">
        <v>65228</v>
      </c>
      <c r="D155">
        <v>597</v>
      </c>
      <c r="E155" s="603">
        <v>65228</v>
      </c>
      <c r="F155" s="701">
        <f t="shared" si="4"/>
        <v>0</v>
      </c>
      <c r="H155" s="603">
        <v>597</v>
      </c>
      <c r="I155" s="603">
        <v>65228</v>
      </c>
      <c r="J155" s="603">
        <f t="shared" si="5"/>
        <v>0</v>
      </c>
    </row>
    <row r="156" spans="1:10" x14ac:dyDescent="0.25">
      <c r="A156">
        <v>598</v>
      </c>
      <c r="B156" s="700">
        <v>0</v>
      </c>
      <c r="D156">
        <v>598</v>
      </c>
      <c r="E156" s="603">
        <v>0</v>
      </c>
      <c r="F156" s="701">
        <f t="shared" si="4"/>
        <v>0</v>
      </c>
      <c r="H156" s="603">
        <v>598</v>
      </c>
      <c r="I156" s="603">
        <v>0</v>
      </c>
      <c r="J156" s="603">
        <f t="shared" si="5"/>
        <v>0</v>
      </c>
    </row>
    <row r="157" spans="1:10" x14ac:dyDescent="0.25">
      <c r="A157">
        <v>599</v>
      </c>
      <c r="B157" s="700">
        <v>0</v>
      </c>
      <c r="D157">
        <v>599</v>
      </c>
      <c r="E157" s="603">
        <v>0</v>
      </c>
      <c r="F157" s="701">
        <f t="shared" si="4"/>
        <v>0</v>
      </c>
      <c r="H157" s="603">
        <v>599</v>
      </c>
      <c r="I157" s="603">
        <v>0</v>
      </c>
      <c r="J157" s="603">
        <f t="shared" si="5"/>
        <v>0</v>
      </c>
    </row>
    <row r="158" spans="1:10" x14ac:dyDescent="0.25">
      <c r="A158">
        <v>602</v>
      </c>
      <c r="B158" s="700">
        <v>0</v>
      </c>
      <c r="D158">
        <v>602</v>
      </c>
      <c r="E158" s="603">
        <v>0</v>
      </c>
      <c r="F158" s="701">
        <f t="shared" si="4"/>
        <v>0</v>
      </c>
      <c r="H158" s="603">
        <v>602</v>
      </c>
      <c r="I158" s="603">
        <v>0</v>
      </c>
      <c r="J158" s="603">
        <f t="shared" si="5"/>
        <v>0</v>
      </c>
    </row>
    <row r="159" spans="1:10" x14ac:dyDescent="0.25">
      <c r="A159">
        <v>603</v>
      </c>
      <c r="B159" s="700">
        <v>2</v>
      </c>
      <c r="D159">
        <v>603</v>
      </c>
      <c r="E159" s="603">
        <v>2</v>
      </c>
      <c r="F159" s="701">
        <f t="shared" si="4"/>
        <v>0</v>
      </c>
      <c r="H159" s="603">
        <v>603</v>
      </c>
      <c r="I159" s="603">
        <v>2</v>
      </c>
      <c r="J159" s="603">
        <f t="shared" si="5"/>
        <v>0</v>
      </c>
    </row>
    <row r="160" spans="1:10" x14ac:dyDescent="0.25">
      <c r="A160">
        <v>605</v>
      </c>
      <c r="B160" s="700">
        <v>0</v>
      </c>
      <c r="D160">
        <v>605</v>
      </c>
      <c r="E160" s="603">
        <v>0</v>
      </c>
      <c r="F160" s="701">
        <f t="shared" si="4"/>
        <v>0</v>
      </c>
      <c r="H160" s="603">
        <v>605</v>
      </c>
      <c r="I160" s="603">
        <v>0</v>
      </c>
      <c r="J160" s="603">
        <f t="shared" si="5"/>
        <v>0</v>
      </c>
    </row>
    <row r="161" spans="1:10" x14ac:dyDescent="0.25">
      <c r="A161">
        <v>606</v>
      </c>
      <c r="B161" s="700">
        <v>0</v>
      </c>
      <c r="D161">
        <v>606</v>
      </c>
      <c r="E161" s="603">
        <v>0</v>
      </c>
      <c r="F161" s="701">
        <f t="shared" si="4"/>
        <v>0</v>
      </c>
      <c r="H161" s="603">
        <v>606</v>
      </c>
      <c r="I161" s="603">
        <v>0</v>
      </c>
      <c r="J161" s="603">
        <f t="shared" si="5"/>
        <v>0</v>
      </c>
    </row>
    <row r="162" spans="1:10" x14ac:dyDescent="0.25">
      <c r="A162">
        <v>607</v>
      </c>
      <c r="B162" s="700">
        <v>0</v>
      </c>
      <c r="D162">
        <v>607</v>
      </c>
      <c r="E162" s="603">
        <v>0</v>
      </c>
      <c r="F162" s="701">
        <f t="shared" si="4"/>
        <v>0</v>
      </c>
      <c r="H162" s="603">
        <v>607</v>
      </c>
      <c r="I162" s="603">
        <v>0</v>
      </c>
      <c r="J162" s="603">
        <f t="shared" si="5"/>
        <v>0</v>
      </c>
    </row>
    <row r="163" spans="1:10" x14ac:dyDescent="0.25">
      <c r="A163">
        <v>608</v>
      </c>
      <c r="B163" s="700">
        <v>0</v>
      </c>
      <c r="D163">
        <v>608</v>
      </c>
      <c r="E163" s="603">
        <v>0</v>
      </c>
      <c r="F163" s="701">
        <f t="shared" si="4"/>
        <v>0</v>
      </c>
      <c r="H163" s="603">
        <v>608</v>
      </c>
      <c r="I163" s="603">
        <v>0</v>
      </c>
      <c r="J163" s="603">
        <f t="shared" si="5"/>
        <v>0</v>
      </c>
    </row>
    <row r="164" spans="1:10" x14ac:dyDescent="0.25">
      <c r="A164">
        <v>609</v>
      </c>
      <c r="B164" s="700">
        <v>0</v>
      </c>
      <c r="D164">
        <v>609</v>
      </c>
      <c r="E164" s="603">
        <v>0</v>
      </c>
      <c r="F164" s="701">
        <f t="shared" si="4"/>
        <v>0</v>
      </c>
      <c r="H164" s="603">
        <v>609</v>
      </c>
      <c r="I164" s="603">
        <v>0</v>
      </c>
      <c r="J164" s="603">
        <f t="shared" si="5"/>
        <v>0</v>
      </c>
    </row>
    <row r="165" spans="1:10" x14ac:dyDescent="0.25">
      <c r="A165">
        <v>610</v>
      </c>
      <c r="B165" s="700">
        <v>0</v>
      </c>
      <c r="D165">
        <v>610</v>
      </c>
      <c r="E165" s="603">
        <v>0</v>
      </c>
      <c r="F165" s="701">
        <f t="shared" si="4"/>
        <v>0</v>
      </c>
      <c r="H165" s="603">
        <v>610</v>
      </c>
      <c r="I165" s="603">
        <v>0</v>
      </c>
      <c r="J165" s="603">
        <f t="shared" si="5"/>
        <v>0</v>
      </c>
    </row>
    <row r="166" spans="1:10" x14ac:dyDescent="0.25">
      <c r="A166">
        <v>611</v>
      </c>
      <c r="B166" s="700">
        <v>0</v>
      </c>
      <c r="D166">
        <v>611</v>
      </c>
      <c r="E166" s="603">
        <v>0</v>
      </c>
      <c r="F166" s="701">
        <f t="shared" si="4"/>
        <v>0</v>
      </c>
      <c r="H166" s="603">
        <v>611</v>
      </c>
      <c r="I166" s="603">
        <v>0</v>
      </c>
      <c r="J166" s="603">
        <f t="shared" si="5"/>
        <v>0</v>
      </c>
    </row>
    <row r="167" spans="1:10" x14ac:dyDescent="0.25">
      <c r="A167">
        <v>612</v>
      </c>
      <c r="B167" s="700">
        <v>0</v>
      </c>
      <c r="D167">
        <v>612</v>
      </c>
      <c r="E167" s="603">
        <v>0</v>
      </c>
      <c r="F167" s="701">
        <f t="shared" si="4"/>
        <v>0</v>
      </c>
      <c r="H167" s="603">
        <v>612</v>
      </c>
      <c r="I167" s="603">
        <v>0</v>
      </c>
      <c r="J167" s="603">
        <f t="shared" si="5"/>
        <v>0</v>
      </c>
    </row>
    <row r="168" spans="1:10" x14ac:dyDescent="0.25">
      <c r="A168">
        <v>613</v>
      </c>
      <c r="B168" s="700">
        <v>0</v>
      </c>
      <c r="D168">
        <v>613</v>
      </c>
      <c r="E168" s="603">
        <v>0</v>
      </c>
      <c r="F168" s="701">
        <f t="shared" si="4"/>
        <v>0</v>
      </c>
      <c r="H168" s="603">
        <v>613</v>
      </c>
      <c r="I168" s="603">
        <v>0</v>
      </c>
      <c r="J168" s="603">
        <f t="shared" si="5"/>
        <v>0</v>
      </c>
    </row>
    <row r="169" spans="1:10" x14ac:dyDescent="0.25">
      <c r="A169">
        <v>614</v>
      </c>
      <c r="B169" s="700">
        <v>0</v>
      </c>
      <c r="D169">
        <v>614</v>
      </c>
      <c r="E169" s="603">
        <v>0</v>
      </c>
      <c r="F169" s="701">
        <f t="shared" si="4"/>
        <v>0</v>
      </c>
      <c r="H169" s="603">
        <v>614</v>
      </c>
      <c r="I169" s="603">
        <v>0</v>
      </c>
      <c r="J169" s="603">
        <f t="shared" si="5"/>
        <v>0</v>
      </c>
    </row>
    <row r="170" spans="1:10" x14ac:dyDescent="0.25">
      <c r="A170">
        <v>615</v>
      </c>
      <c r="B170" s="700">
        <v>0</v>
      </c>
      <c r="D170">
        <v>615</v>
      </c>
      <c r="E170" s="603">
        <v>0</v>
      </c>
      <c r="F170" s="701">
        <f t="shared" si="4"/>
        <v>0</v>
      </c>
      <c r="H170" s="603">
        <v>615</v>
      </c>
      <c r="I170" s="603">
        <v>0</v>
      </c>
      <c r="J170" s="603">
        <f t="shared" si="5"/>
        <v>0</v>
      </c>
    </row>
    <row r="171" spans="1:10" x14ac:dyDescent="0.25">
      <c r="A171">
        <v>616</v>
      </c>
      <c r="B171" s="700">
        <v>0</v>
      </c>
      <c r="D171">
        <v>616</v>
      </c>
      <c r="E171" s="603">
        <v>0</v>
      </c>
      <c r="F171" s="701">
        <f t="shared" si="4"/>
        <v>0</v>
      </c>
      <c r="H171" s="603">
        <v>616</v>
      </c>
      <c r="I171" s="603">
        <v>0</v>
      </c>
      <c r="J171" s="603">
        <f t="shared" si="5"/>
        <v>0</v>
      </c>
    </row>
    <row r="172" spans="1:10" x14ac:dyDescent="0.25">
      <c r="A172">
        <v>617</v>
      </c>
      <c r="B172" s="700">
        <v>0</v>
      </c>
      <c r="D172">
        <v>617</v>
      </c>
      <c r="E172" s="603">
        <v>0</v>
      </c>
      <c r="F172" s="701">
        <f t="shared" si="4"/>
        <v>0</v>
      </c>
      <c r="H172" s="603">
        <v>617</v>
      </c>
      <c r="I172" s="603">
        <v>0</v>
      </c>
      <c r="J172" s="603">
        <f t="shared" si="5"/>
        <v>0</v>
      </c>
    </row>
    <row r="173" spans="1:10" x14ac:dyDescent="0.25">
      <c r="A173">
        <v>618</v>
      </c>
      <c r="B173" s="700">
        <v>0</v>
      </c>
      <c r="D173">
        <v>618</v>
      </c>
      <c r="E173" s="603">
        <v>0</v>
      </c>
      <c r="F173" s="701">
        <f t="shared" si="4"/>
        <v>0</v>
      </c>
      <c r="H173" s="603">
        <v>618</v>
      </c>
      <c r="I173" s="603">
        <v>0</v>
      </c>
      <c r="J173" s="603">
        <f t="shared" si="5"/>
        <v>0</v>
      </c>
    </row>
    <row r="174" spans="1:10" x14ac:dyDescent="0.25">
      <c r="A174">
        <v>619</v>
      </c>
      <c r="B174" s="700">
        <v>0</v>
      </c>
      <c r="D174">
        <v>619</v>
      </c>
      <c r="E174" s="603">
        <v>0</v>
      </c>
      <c r="F174" s="701">
        <f t="shared" si="4"/>
        <v>0</v>
      </c>
      <c r="H174" s="603">
        <v>619</v>
      </c>
      <c r="I174" s="603">
        <v>0</v>
      </c>
      <c r="J174" s="603">
        <f t="shared" si="5"/>
        <v>0</v>
      </c>
    </row>
    <row r="175" spans="1:10" x14ac:dyDescent="0.25">
      <c r="A175">
        <v>620</v>
      </c>
      <c r="B175" s="700">
        <v>2</v>
      </c>
      <c r="D175">
        <v>620</v>
      </c>
      <c r="E175" s="603">
        <v>2</v>
      </c>
      <c r="F175" s="701">
        <f t="shared" si="4"/>
        <v>0</v>
      </c>
      <c r="H175" s="603">
        <v>620</v>
      </c>
      <c r="I175" s="603">
        <v>2</v>
      </c>
      <c r="J175" s="603">
        <f t="shared" si="5"/>
        <v>0</v>
      </c>
    </row>
    <row r="176" spans="1:10" x14ac:dyDescent="0.25">
      <c r="A176">
        <v>622</v>
      </c>
      <c r="B176" s="700">
        <v>0</v>
      </c>
      <c r="D176">
        <v>622</v>
      </c>
      <c r="E176" s="603">
        <v>0</v>
      </c>
      <c r="F176" s="701">
        <f t="shared" si="4"/>
        <v>0</v>
      </c>
      <c r="H176" s="603">
        <v>622</v>
      </c>
      <c r="I176" s="603">
        <v>0</v>
      </c>
      <c r="J176" s="603">
        <f t="shared" si="5"/>
        <v>0</v>
      </c>
    </row>
    <row r="177" spans="1:10" x14ac:dyDescent="0.25">
      <c r="A177">
        <v>625</v>
      </c>
      <c r="B177" s="700">
        <v>1</v>
      </c>
      <c r="D177">
        <v>625</v>
      </c>
      <c r="E177" s="603">
        <v>1</v>
      </c>
      <c r="F177" s="701">
        <f t="shared" si="4"/>
        <v>0</v>
      </c>
      <c r="H177" s="603">
        <v>625</v>
      </c>
      <c r="I177" s="603">
        <v>1</v>
      </c>
      <c r="J177" s="603">
        <f t="shared" si="5"/>
        <v>0</v>
      </c>
    </row>
    <row r="178" spans="1:10" x14ac:dyDescent="0.25">
      <c r="A178">
        <v>995</v>
      </c>
      <c r="B178" s="700">
        <v>0</v>
      </c>
      <c r="D178">
        <v>995</v>
      </c>
      <c r="E178" s="603">
        <v>0</v>
      </c>
      <c r="F178" s="701">
        <f t="shared" si="4"/>
        <v>0</v>
      </c>
      <c r="H178" s="603">
        <v>995</v>
      </c>
      <c r="I178" s="603">
        <v>0</v>
      </c>
      <c r="J178" s="603">
        <f t="shared" si="5"/>
        <v>0</v>
      </c>
    </row>
    <row r="179" spans="1:10" x14ac:dyDescent="0.25">
      <c r="A179">
        <v>996</v>
      </c>
      <c r="B179" s="700">
        <v>0.01</v>
      </c>
      <c r="D179">
        <v>996</v>
      </c>
      <c r="E179" s="603">
        <v>0.01</v>
      </c>
      <c r="F179" s="701">
        <f t="shared" si="4"/>
        <v>0</v>
      </c>
      <c r="H179" s="603">
        <v>996</v>
      </c>
      <c r="I179" s="603">
        <v>0.01</v>
      </c>
      <c r="J179" s="603">
        <f t="shared" si="5"/>
        <v>0</v>
      </c>
    </row>
    <row r="180" spans="1:10" x14ac:dyDescent="0.25">
      <c r="A180">
        <v>998</v>
      </c>
      <c r="B180" s="700">
        <v>59</v>
      </c>
      <c r="D180">
        <v>998</v>
      </c>
      <c r="E180" s="603">
        <v>59</v>
      </c>
      <c r="F180" s="701">
        <f t="shared" si="4"/>
        <v>0</v>
      </c>
      <c r="H180" s="603">
        <v>998</v>
      </c>
      <c r="I180" s="603">
        <v>59</v>
      </c>
      <c r="J180" s="603">
        <f t="shared" si="5"/>
        <v>0</v>
      </c>
    </row>
    <row r="181" spans="1:10" x14ac:dyDescent="0.25">
      <c r="A181">
        <v>999</v>
      </c>
      <c r="B181" s="700">
        <v>591600</v>
      </c>
      <c r="D181">
        <v>999</v>
      </c>
      <c r="E181" s="603">
        <v>591600</v>
      </c>
      <c r="F181" s="701">
        <f t="shared" si="4"/>
        <v>0</v>
      </c>
      <c r="H181" s="603">
        <v>999</v>
      </c>
      <c r="I181" s="603">
        <v>591600</v>
      </c>
      <c r="J181" s="603">
        <f t="shared" si="5"/>
        <v>0</v>
      </c>
    </row>
    <row r="182" spans="1:10" x14ac:dyDescent="0.25">
      <c r="B182" s="701">
        <f>SUM(B2:B181)</f>
        <v>133710828.01000001</v>
      </c>
      <c r="E182" s="603">
        <f>SUM(E2:E181)</f>
        <v>133710828.01000001</v>
      </c>
      <c r="F182" s="701"/>
      <c r="H182" s="603"/>
      <c r="J182" s="603">
        <f t="shared" si="5"/>
        <v>133710828.01000001</v>
      </c>
    </row>
    <row r="183" spans="1:10" x14ac:dyDescent="0.25">
      <c r="F183" s="701"/>
      <c r="H183" s="603"/>
      <c r="J183" s="603"/>
    </row>
    <row r="184" spans="1:10" x14ac:dyDescent="0.25">
      <c r="F184" s="701"/>
      <c r="H184" s="603"/>
      <c r="J184" s="603"/>
    </row>
    <row r="185" spans="1:10" x14ac:dyDescent="0.25">
      <c r="F185" s="701"/>
      <c r="H185" s="603"/>
      <c r="J185" s="603"/>
    </row>
    <row r="186" spans="1:10" x14ac:dyDescent="0.25">
      <c r="F186" s="701"/>
      <c r="H186" s="603"/>
      <c r="J186" s="603"/>
    </row>
    <row r="187" spans="1:10" x14ac:dyDescent="0.25">
      <c r="F187" s="701"/>
      <c r="H187" s="603"/>
      <c r="J187" s="603"/>
    </row>
    <row r="188" spans="1:10" x14ac:dyDescent="0.25">
      <c r="F188" s="701"/>
      <c r="H188" s="603"/>
      <c r="J188" s="603"/>
    </row>
    <row r="189" spans="1:10" x14ac:dyDescent="0.25">
      <c r="F189" s="701"/>
      <c r="H189" s="603"/>
      <c r="J189" s="603"/>
    </row>
    <row r="190" spans="1:10" x14ac:dyDescent="0.25">
      <c r="F190" s="701"/>
      <c r="H190" s="603"/>
      <c r="J190" s="603"/>
    </row>
    <row r="191" spans="1:10" x14ac:dyDescent="0.25">
      <c r="F191" s="701"/>
      <c r="H191" s="603"/>
      <c r="J191" s="603"/>
    </row>
    <row r="192" spans="1:10" x14ac:dyDescent="0.25">
      <c r="F192" s="701"/>
      <c r="H192" s="603"/>
      <c r="J192" s="603"/>
    </row>
    <row r="193" spans="6:10" x14ac:dyDescent="0.25">
      <c r="F193" s="701"/>
      <c r="H193" s="603"/>
      <c r="J193" s="603"/>
    </row>
    <row r="194" spans="6:10" x14ac:dyDescent="0.25">
      <c r="F194" s="701"/>
      <c r="H194" s="603"/>
      <c r="J194" s="603"/>
    </row>
    <row r="195" spans="6:10" x14ac:dyDescent="0.25">
      <c r="F195" s="701"/>
      <c r="H195" s="603"/>
      <c r="J195" s="603"/>
    </row>
    <row r="196" spans="6:10" x14ac:dyDescent="0.25">
      <c r="H196" s="603"/>
    </row>
    <row r="197" spans="6:10" x14ac:dyDescent="0.25">
      <c r="H197" s="603"/>
    </row>
    <row r="198" spans="6:10" x14ac:dyDescent="0.25">
      <c r="H198" s="603"/>
    </row>
    <row r="199" spans="6:10" x14ac:dyDescent="0.25">
      <c r="H199" s="603"/>
    </row>
    <row r="200" spans="6:10" x14ac:dyDescent="0.25">
      <c r="H200" s="603"/>
    </row>
    <row r="201" spans="6:10" x14ac:dyDescent="0.25">
      <c r="H201" s="603"/>
    </row>
  </sheetData>
  <sortState xmlns:xlrd2="http://schemas.microsoft.com/office/spreadsheetml/2017/richdata2" ref="H2:I201">
    <sortCondition ref="H2:H201"/>
  </sortState>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1"/>
  <dimension ref="A1:BB219"/>
  <sheetViews>
    <sheetView workbookViewId="0">
      <pane xSplit="4" ySplit="1" topLeftCell="E2" activePane="bottomRight" state="frozen"/>
      <selection pane="topRight" activeCell="E1" sqref="E1"/>
      <selection pane="bottomLeft" activeCell="A2" sqref="A2"/>
      <selection pane="bottomRight" activeCell="F225" sqref="F225"/>
    </sheetView>
  </sheetViews>
  <sheetFormatPr defaultRowHeight="15" x14ac:dyDescent="0.25"/>
  <cols>
    <col min="2" max="2" width="18.28515625" customWidth="1"/>
    <col min="3" max="3" width="20.140625" customWidth="1"/>
    <col min="4" max="4" width="41.7109375" customWidth="1"/>
    <col min="5" max="71" width="18.5703125" customWidth="1"/>
  </cols>
  <sheetData>
    <row r="1" spans="1:54" x14ac:dyDescent="0.25">
      <c r="A1" t="s">
        <v>985</v>
      </c>
      <c r="B1" t="s">
        <v>912</v>
      </c>
      <c r="F1" t="s">
        <v>913</v>
      </c>
      <c r="G1" t="s">
        <v>914</v>
      </c>
      <c r="H1" t="s">
        <v>915</v>
      </c>
      <c r="I1" t="s">
        <v>916</v>
      </c>
      <c r="J1" t="s">
        <v>917</v>
      </c>
      <c r="K1" t="s">
        <v>918</v>
      </c>
      <c r="L1" t="s">
        <v>919</v>
      </c>
      <c r="M1" t="s">
        <v>920</v>
      </c>
      <c r="N1" t="s">
        <v>986</v>
      </c>
      <c r="O1" t="s">
        <v>921</v>
      </c>
      <c r="P1" t="s">
        <v>922</v>
      </c>
      <c r="Q1" t="s">
        <v>923</v>
      </c>
      <c r="R1" t="s">
        <v>925</v>
      </c>
      <c r="S1" t="s">
        <v>926</v>
      </c>
      <c r="T1" t="s">
        <v>927</v>
      </c>
      <c r="U1" t="s">
        <v>928</v>
      </c>
      <c r="V1" t="s">
        <v>929</v>
      </c>
      <c r="W1" t="s">
        <v>930</v>
      </c>
      <c r="X1" t="s">
        <v>931</v>
      </c>
      <c r="Y1" t="s">
        <v>932</v>
      </c>
      <c r="Z1" t="s">
        <v>933</v>
      </c>
      <c r="AA1" t="s">
        <v>934</v>
      </c>
      <c r="AB1" t="s">
        <v>935</v>
      </c>
      <c r="AC1" t="s">
        <v>936</v>
      </c>
      <c r="AD1" t="s">
        <v>937</v>
      </c>
      <c r="AE1" t="s">
        <v>938</v>
      </c>
      <c r="AF1" t="s">
        <v>939</v>
      </c>
      <c r="AG1" t="s">
        <v>940</v>
      </c>
      <c r="AH1" t="s">
        <v>941</v>
      </c>
      <c r="AI1" t="s">
        <v>942</v>
      </c>
      <c r="AJ1" t="s">
        <v>924</v>
      </c>
      <c r="AK1" t="s">
        <v>943</v>
      </c>
      <c r="AL1" t="s">
        <v>944</v>
      </c>
      <c r="AM1" t="s">
        <v>945</v>
      </c>
      <c r="AN1" t="s">
        <v>946</v>
      </c>
      <c r="AO1" t="s">
        <v>947</v>
      </c>
      <c r="AP1" t="s">
        <v>948</v>
      </c>
      <c r="AQ1" t="s">
        <v>949</v>
      </c>
      <c r="AR1" t="s">
        <v>950</v>
      </c>
      <c r="AS1" t="s">
        <v>951</v>
      </c>
      <c r="AT1" t="s">
        <v>952</v>
      </c>
      <c r="AU1" t="s">
        <v>953</v>
      </c>
      <c r="AV1" t="s">
        <v>954</v>
      </c>
      <c r="AW1" t="s">
        <v>955</v>
      </c>
      <c r="AX1" t="s">
        <v>956</v>
      </c>
      <c r="AY1" t="s">
        <v>957</v>
      </c>
      <c r="AZ1" t="s">
        <v>958</v>
      </c>
      <c r="BA1" t="s">
        <v>959</v>
      </c>
      <c r="BB1" t="s">
        <v>960</v>
      </c>
    </row>
    <row r="2" spans="1:54" x14ac:dyDescent="0.25">
      <c r="F2">
        <v>591706</v>
      </c>
      <c r="G2">
        <v>591600</v>
      </c>
      <c r="H2">
        <v>592152</v>
      </c>
      <c r="I2">
        <v>591612</v>
      </c>
      <c r="J2">
        <v>591752</v>
      </c>
      <c r="K2">
        <v>591715</v>
      </c>
      <c r="L2">
        <v>592388</v>
      </c>
      <c r="M2">
        <v>591603</v>
      </c>
      <c r="N2">
        <v>591604</v>
      </c>
      <c r="O2">
        <v>591721</v>
      </c>
      <c r="P2">
        <v>591605</v>
      </c>
      <c r="Q2">
        <v>591632</v>
      </c>
      <c r="R2">
        <v>591606</v>
      </c>
      <c r="S2">
        <v>592181</v>
      </c>
      <c r="T2">
        <v>591607</v>
      </c>
      <c r="U2">
        <v>591608</v>
      </c>
      <c r="V2">
        <v>591737</v>
      </c>
      <c r="W2">
        <v>591609</v>
      </c>
      <c r="X2">
        <v>591610</v>
      </c>
      <c r="Y2">
        <v>591611</v>
      </c>
      <c r="Z2">
        <v>591749</v>
      </c>
      <c r="AA2">
        <v>591613</v>
      </c>
      <c r="AB2">
        <v>592396</v>
      </c>
      <c r="AC2">
        <v>591614</v>
      </c>
      <c r="AD2">
        <v>592180</v>
      </c>
      <c r="AE2">
        <v>591615</v>
      </c>
      <c r="AF2">
        <v>591616</v>
      </c>
      <c r="AG2">
        <v>592158</v>
      </c>
      <c r="AH2">
        <v>591759</v>
      </c>
      <c r="AI2">
        <v>591762</v>
      </c>
      <c r="AJ2">
        <v>594150</v>
      </c>
      <c r="AK2">
        <v>591618</v>
      </c>
      <c r="AL2">
        <v>591619</v>
      </c>
      <c r="AM2">
        <v>591770</v>
      </c>
      <c r="AN2">
        <v>591620</v>
      </c>
      <c r="AO2">
        <v>592357</v>
      </c>
      <c r="AP2">
        <v>59713</v>
      </c>
      <c r="AQ2">
        <v>591622</v>
      </c>
      <c r="AR2">
        <v>591623</v>
      </c>
      <c r="AS2">
        <v>591624</v>
      </c>
      <c r="AT2">
        <v>592368</v>
      </c>
      <c r="AU2">
        <v>592155</v>
      </c>
      <c r="AV2">
        <v>591633</v>
      </c>
      <c r="AW2">
        <v>591768</v>
      </c>
      <c r="AX2">
        <v>591634</v>
      </c>
      <c r="AY2">
        <v>591627</v>
      </c>
      <c r="AZ2">
        <v>591628</v>
      </c>
      <c r="BA2">
        <v>591629</v>
      </c>
      <c r="BB2">
        <v>591636</v>
      </c>
    </row>
    <row r="3" spans="1:54" x14ac:dyDescent="0.25">
      <c r="A3">
        <v>4</v>
      </c>
      <c r="B3">
        <v>4</v>
      </c>
      <c r="C3">
        <v>4</v>
      </c>
      <c r="D3" t="s">
        <v>610</v>
      </c>
      <c r="E3" t="s">
        <v>377</v>
      </c>
      <c r="F3" s="673">
        <v>0</v>
      </c>
      <c r="G3" s="673">
        <v>0</v>
      </c>
      <c r="H3" s="673">
        <v>0</v>
      </c>
      <c r="I3" s="673">
        <v>0</v>
      </c>
      <c r="J3" s="673">
        <v>0</v>
      </c>
      <c r="K3" s="673">
        <v>0</v>
      </c>
      <c r="L3" s="673">
        <v>0</v>
      </c>
      <c r="M3" s="673">
        <v>0</v>
      </c>
      <c r="N3" s="673">
        <v>0</v>
      </c>
      <c r="O3" s="673">
        <v>0</v>
      </c>
      <c r="P3" s="673">
        <v>0</v>
      </c>
      <c r="Q3" s="673">
        <v>0</v>
      </c>
      <c r="R3" s="673">
        <v>0</v>
      </c>
      <c r="S3" s="673">
        <v>0</v>
      </c>
      <c r="T3" s="673">
        <v>0</v>
      </c>
      <c r="U3" s="673">
        <v>0</v>
      </c>
      <c r="V3" s="673">
        <v>0</v>
      </c>
      <c r="W3" s="673">
        <v>0</v>
      </c>
      <c r="X3" s="673">
        <v>0</v>
      </c>
      <c r="Y3" s="673">
        <v>0</v>
      </c>
      <c r="Z3" s="673">
        <v>0</v>
      </c>
      <c r="AA3" s="673">
        <v>0</v>
      </c>
      <c r="AB3" s="673">
        <v>0</v>
      </c>
      <c r="AC3" s="673">
        <v>0</v>
      </c>
      <c r="AD3" s="673">
        <v>0</v>
      </c>
      <c r="AE3" s="673">
        <v>0</v>
      </c>
      <c r="AF3" s="673">
        <v>0</v>
      </c>
      <c r="AG3" s="673">
        <v>0</v>
      </c>
      <c r="AH3" s="673">
        <v>0</v>
      </c>
      <c r="AI3" s="673">
        <v>0</v>
      </c>
      <c r="AJ3" s="673">
        <v>0</v>
      </c>
      <c r="AK3" s="673">
        <v>4192</v>
      </c>
      <c r="AL3" s="673">
        <v>0</v>
      </c>
      <c r="AM3" s="673">
        <v>0</v>
      </c>
      <c r="AN3" s="673">
        <v>0</v>
      </c>
      <c r="AO3" s="673">
        <v>0</v>
      </c>
      <c r="AP3" s="673">
        <v>0</v>
      </c>
      <c r="AQ3" s="673">
        <v>0</v>
      </c>
      <c r="AR3" s="673">
        <v>0</v>
      </c>
      <c r="AS3" s="673">
        <v>0</v>
      </c>
      <c r="AT3" s="673">
        <v>0</v>
      </c>
      <c r="AU3" s="673">
        <v>0</v>
      </c>
      <c r="AV3" s="673">
        <v>0</v>
      </c>
      <c r="AW3" s="673">
        <v>0</v>
      </c>
      <c r="AX3" s="673">
        <v>0</v>
      </c>
      <c r="AY3" s="673">
        <v>0</v>
      </c>
      <c r="AZ3" s="673">
        <v>0</v>
      </c>
      <c r="BA3" s="673">
        <v>0</v>
      </c>
      <c r="BB3" s="673">
        <v>0</v>
      </c>
    </row>
    <row r="4" spans="1:54" x14ac:dyDescent="0.25">
      <c r="A4">
        <v>5</v>
      </c>
      <c r="B4">
        <v>5</v>
      </c>
      <c r="C4">
        <v>5</v>
      </c>
      <c r="D4" t="s">
        <v>143</v>
      </c>
      <c r="E4" t="s">
        <v>378</v>
      </c>
      <c r="F4" s="673">
        <v>0</v>
      </c>
      <c r="G4" s="673">
        <v>0</v>
      </c>
      <c r="H4" s="673">
        <v>0</v>
      </c>
      <c r="I4" s="673">
        <v>0</v>
      </c>
      <c r="J4" s="673">
        <v>0</v>
      </c>
      <c r="K4" s="673">
        <v>0</v>
      </c>
      <c r="L4" s="673">
        <v>0</v>
      </c>
      <c r="M4" s="673">
        <v>0</v>
      </c>
      <c r="N4" s="673">
        <v>0</v>
      </c>
      <c r="O4" s="673">
        <v>0</v>
      </c>
      <c r="P4" s="673">
        <v>0</v>
      </c>
      <c r="Q4" s="673">
        <v>0</v>
      </c>
      <c r="R4" s="673">
        <v>0</v>
      </c>
      <c r="S4" s="673">
        <v>0</v>
      </c>
      <c r="T4" s="673">
        <v>0</v>
      </c>
      <c r="U4" s="673">
        <v>0</v>
      </c>
      <c r="V4" s="673">
        <v>0</v>
      </c>
      <c r="W4" s="673">
        <v>0</v>
      </c>
      <c r="X4" s="673">
        <v>0</v>
      </c>
      <c r="Y4" s="673">
        <v>0</v>
      </c>
      <c r="Z4" s="673">
        <v>0</v>
      </c>
      <c r="AA4" s="673">
        <v>0</v>
      </c>
      <c r="AB4" s="673">
        <v>0</v>
      </c>
      <c r="AC4" s="673">
        <v>0</v>
      </c>
      <c r="AD4" s="673">
        <v>0</v>
      </c>
      <c r="AE4" s="673">
        <v>0</v>
      </c>
      <c r="AF4" s="673">
        <v>0</v>
      </c>
      <c r="AG4" s="673">
        <v>0</v>
      </c>
      <c r="AH4" s="673">
        <v>0</v>
      </c>
      <c r="AI4" s="673">
        <v>0</v>
      </c>
      <c r="AJ4" s="673">
        <v>0</v>
      </c>
      <c r="AK4" s="673">
        <v>0</v>
      </c>
      <c r="AL4" s="673">
        <v>0</v>
      </c>
      <c r="AM4" s="673">
        <v>0</v>
      </c>
      <c r="AN4" s="673">
        <v>0</v>
      </c>
      <c r="AO4" s="673">
        <v>0</v>
      </c>
      <c r="AP4" s="673">
        <v>0</v>
      </c>
      <c r="AQ4" s="673">
        <v>0</v>
      </c>
      <c r="AR4" s="673">
        <v>0</v>
      </c>
      <c r="AS4" s="673">
        <v>0</v>
      </c>
      <c r="AT4" s="673">
        <v>0</v>
      </c>
      <c r="AU4" s="673">
        <v>0</v>
      </c>
      <c r="AV4" s="673">
        <v>0</v>
      </c>
      <c r="AW4" s="673">
        <v>0</v>
      </c>
      <c r="AX4" s="673">
        <v>0</v>
      </c>
      <c r="AY4" s="673">
        <v>0</v>
      </c>
      <c r="AZ4" s="673">
        <v>0</v>
      </c>
      <c r="BA4" s="673">
        <v>0</v>
      </c>
      <c r="BB4" s="673">
        <v>0</v>
      </c>
    </row>
    <row r="5" spans="1:54" x14ac:dyDescent="0.25">
      <c r="A5">
        <v>6</v>
      </c>
      <c r="B5">
        <v>6</v>
      </c>
      <c r="C5">
        <v>6</v>
      </c>
      <c r="D5" t="s">
        <v>346</v>
      </c>
      <c r="E5" t="s">
        <v>379</v>
      </c>
      <c r="F5" s="673">
        <v>0</v>
      </c>
      <c r="G5" s="673">
        <v>0</v>
      </c>
      <c r="H5" s="673">
        <v>0</v>
      </c>
      <c r="I5" s="673">
        <v>0</v>
      </c>
      <c r="J5" s="673">
        <v>0</v>
      </c>
      <c r="K5" s="673">
        <v>0</v>
      </c>
      <c r="L5" s="673">
        <v>0</v>
      </c>
      <c r="M5" s="673">
        <v>0</v>
      </c>
      <c r="N5" s="673">
        <v>0</v>
      </c>
      <c r="O5" s="673">
        <v>0</v>
      </c>
      <c r="P5" s="673">
        <v>0</v>
      </c>
      <c r="Q5" s="673">
        <v>0</v>
      </c>
      <c r="R5" s="673">
        <v>0</v>
      </c>
      <c r="S5" s="673">
        <v>0</v>
      </c>
      <c r="T5" s="673">
        <v>0</v>
      </c>
      <c r="U5" s="673">
        <v>0</v>
      </c>
      <c r="V5" s="673">
        <v>0</v>
      </c>
      <c r="W5" s="673">
        <v>0</v>
      </c>
      <c r="X5" s="673">
        <v>0</v>
      </c>
      <c r="Y5" s="673">
        <v>0</v>
      </c>
      <c r="Z5" s="673">
        <v>0</v>
      </c>
      <c r="AA5" s="673">
        <v>0</v>
      </c>
      <c r="AB5" s="673">
        <v>0</v>
      </c>
      <c r="AC5" s="673">
        <v>0</v>
      </c>
      <c r="AD5" s="673">
        <v>0</v>
      </c>
      <c r="AE5" s="673">
        <v>0</v>
      </c>
      <c r="AF5" s="673">
        <v>0</v>
      </c>
      <c r="AG5" s="673">
        <v>0</v>
      </c>
      <c r="AH5" s="673">
        <v>0</v>
      </c>
      <c r="AI5" s="673">
        <v>0</v>
      </c>
      <c r="AJ5" s="673">
        <v>0</v>
      </c>
      <c r="AK5" s="673">
        <v>0</v>
      </c>
      <c r="AL5" s="673">
        <v>0</v>
      </c>
      <c r="AM5" s="673">
        <v>0</v>
      </c>
      <c r="AN5" s="673">
        <v>0</v>
      </c>
      <c r="AO5" s="673">
        <v>0</v>
      </c>
      <c r="AP5" s="673">
        <v>0</v>
      </c>
      <c r="AQ5" s="673">
        <v>0</v>
      </c>
      <c r="AR5" s="673">
        <v>0</v>
      </c>
      <c r="AS5" s="673">
        <v>0</v>
      </c>
      <c r="AT5" s="673">
        <v>0</v>
      </c>
      <c r="AU5" s="673">
        <v>0</v>
      </c>
      <c r="AV5" s="673">
        <v>0</v>
      </c>
      <c r="AW5" s="673">
        <v>0</v>
      </c>
      <c r="AX5" s="673">
        <v>0</v>
      </c>
      <c r="AY5" s="673">
        <v>0</v>
      </c>
      <c r="AZ5" s="673">
        <v>0</v>
      </c>
      <c r="BA5" s="673">
        <v>0</v>
      </c>
      <c r="BB5" s="673">
        <v>0</v>
      </c>
    </row>
    <row r="6" spans="1:54" x14ac:dyDescent="0.25">
      <c r="A6">
        <v>7</v>
      </c>
      <c r="B6">
        <v>7</v>
      </c>
      <c r="C6">
        <v>7</v>
      </c>
      <c r="D6" t="s">
        <v>282</v>
      </c>
      <c r="E6" t="s">
        <v>380</v>
      </c>
      <c r="F6" s="673">
        <v>0</v>
      </c>
      <c r="G6" s="673">
        <v>0</v>
      </c>
      <c r="H6" s="673">
        <v>0</v>
      </c>
      <c r="I6" s="673">
        <v>0</v>
      </c>
      <c r="J6" s="673">
        <v>0</v>
      </c>
      <c r="K6" s="673">
        <v>0</v>
      </c>
      <c r="L6" s="673">
        <v>0</v>
      </c>
      <c r="M6" s="673">
        <v>0</v>
      </c>
      <c r="N6" s="673">
        <v>0</v>
      </c>
      <c r="O6" s="673">
        <v>0</v>
      </c>
      <c r="P6" s="673">
        <v>0</v>
      </c>
      <c r="Q6" s="673">
        <v>0</v>
      </c>
      <c r="R6" s="673">
        <v>0</v>
      </c>
      <c r="S6" s="673">
        <v>0</v>
      </c>
      <c r="T6" s="673">
        <v>0</v>
      </c>
      <c r="U6" s="673">
        <v>0</v>
      </c>
      <c r="V6" s="673">
        <v>0</v>
      </c>
      <c r="W6" s="673">
        <v>0</v>
      </c>
      <c r="X6" s="673">
        <v>0</v>
      </c>
      <c r="Y6" s="673">
        <v>0</v>
      </c>
      <c r="Z6" s="673">
        <v>0</v>
      </c>
      <c r="AA6" s="673">
        <v>0</v>
      </c>
      <c r="AB6" s="673">
        <v>0</v>
      </c>
      <c r="AC6" s="673">
        <v>0</v>
      </c>
      <c r="AD6" s="673">
        <v>0</v>
      </c>
      <c r="AE6" s="673">
        <v>0</v>
      </c>
      <c r="AF6" s="673">
        <v>0</v>
      </c>
      <c r="AG6" s="673">
        <v>0</v>
      </c>
      <c r="AH6" s="673">
        <v>0</v>
      </c>
      <c r="AI6" s="673">
        <v>0</v>
      </c>
      <c r="AJ6" s="673">
        <v>0</v>
      </c>
      <c r="AK6" s="673">
        <v>0</v>
      </c>
      <c r="AL6" s="673">
        <v>0</v>
      </c>
      <c r="AM6" s="673">
        <v>0</v>
      </c>
      <c r="AN6" s="673">
        <v>0</v>
      </c>
      <c r="AO6" s="673">
        <v>0</v>
      </c>
      <c r="AP6" s="673">
        <v>0</v>
      </c>
      <c r="AQ6" s="673">
        <v>0</v>
      </c>
      <c r="AR6" s="673">
        <v>0</v>
      </c>
      <c r="AS6" s="673">
        <v>0</v>
      </c>
      <c r="AT6" s="673">
        <v>0</v>
      </c>
      <c r="AU6" s="673">
        <v>0</v>
      </c>
      <c r="AV6" s="673">
        <v>0</v>
      </c>
      <c r="AW6" s="673">
        <v>0</v>
      </c>
      <c r="AX6" s="673">
        <v>0</v>
      </c>
      <c r="AY6" s="673">
        <v>0</v>
      </c>
      <c r="AZ6" s="673">
        <v>0</v>
      </c>
      <c r="BA6" s="673">
        <v>0</v>
      </c>
      <c r="BB6" s="673">
        <v>0</v>
      </c>
    </row>
    <row r="7" spans="1:54" x14ac:dyDescent="0.25">
      <c r="A7">
        <v>9</v>
      </c>
      <c r="B7">
        <v>9</v>
      </c>
      <c r="C7">
        <v>9</v>
      </c>
      <c r="D7" t="s">
        <v>284</v>
      </c>
      <c r="E7" t="s">
        <v>381</v>
      </c>
      <c r="F7" s="673">
        <v>0</v>
      </c>
      <c r="G7" s="673">
        <v>0</v>
      </c>
      <c r="H7" s="673">
        <v>0</v>
      </c>
      <c r="I7" s="673">
        <v>0</v>
      </c>
      <c r="J7" s="673">
        <v>0</v>
      </c>
      <c r="K7" s="673">
        <v>0</v>
      </c>
      <c r="L7" s="673">
        <v>0</v>
      </c>
      <c r="M7" s="673">
        <v>0</v>
      </c>
      <c r="N7" s="673">
        <v>0</v>
      </c>
      <c r="O7" s="673">
        <v>0</v>
      </c>
      <c r="P7" s="673">
        <v>0</v>
      </c>
      <c r="Q7" s="673">
        <v>0</v>
      </c>
      <c r="R7" s="673">
        <v>0</v>
      </c>
      <c r="S7" s="673">
        <v>0</v>
      </c>
      <c r="T7" s="673">
        <v>0</v>
      </c>
      <c r="U7" s="673">
        <v>0</v>
      </c>
      <c r="V7" s="673">
        <v>0</v>
      </c>
      <c r="W7" s="673">
        <v>0</v>
      </c>
      <c r="X7" s="673">
        <v>0</v>
      </c>
      <c r="Y7" s="673">
        <v>0</v>
      </c>
      <c r="Z7" s="673">
        <v>0</v>
      </c>
      <c r="AA7" s="673">
        <v>0</v>
      </c>
      <c r="AB7" s="673">
        <v>0</v>
      </c>
      <c r="AC7" s="673">
        <v>0</v>
      </c>
      <c r="AD7" s="673">
        <v>0</v>
      </c>
      <c r="AE7" s="673">
        <v>0</v>
      </c>
      <c r="AF7" s="673">
        <v>0</v>
      </c>
      <c r="AG7" s="673">
        <v>0</v>
      </c>
      <c r="AH7" s="673">
        <v>0</v>
      </c>
      <c r="AI7" s="673">
        <v>0</v>
      </c>
      <c r="AJ7" s="673">
        <v>0</v>
      </c>
      <c r="AK7" s="673">
        <v>511629</v>
      </c>
      <c r="AL7" s="673">
        <v>0</v>
      </c>
      <c r="AM7" s="673">
        <v>0</v>
      </c>
      <c r="AN7" s="673">
        <v>0</v>
      </c>
      <c r="AO7" s="673">
        <v>0</v>
      </c>
      <c r="AP7" s="673">
        <v>0</v>
      </c>
      <c r="AQ7" s="673">
        <v>0</v>
      </c>
      <c r="AR7" s="673">
        <v>0</v>
      </c>
      <c r="AS7" s="673">
        <v>0</v>
      </c>
      <c r="AT7" s="673">
        <v>0</v>
      </c>
      <c r="AU7" s="673">
        <v>0</v>
      </c>
      <c r="AV7" s="673">
        <v>0</v>
      </c>
      <c r="AW7" s="673">
        <v>0</v>
      </c>
      <c r="AX7" s="673">
        <v>0</v>
      </c>
      <c r="AY7" s="673">
        <v>0</v>
      </c>
      <c r="AZ7" s="673">
        <v>0</v>
      </c>
      <c r="BA7" s="673">
        <v>0</v>
      </c>
      <c r="BB7" s="673">
        <v>0</v>
      </c>
    </row>
    <row r="8" spans="1:54" x14ac:dyDescent="0.25">
      <c r="C8">
        <v>11</v>
      </c>
      <c r="D8" t="s">
        <v>283</v>
      </c>
      <c r="E8" t="s">
        <v>382</v>
      </c>
      <c r="F8" s="673">
        <v>0</v>
      </c>
      <c r="G8" s="673">
        <v>0</v>
      </c>
      <c r="H8" s="673">
        <v>0</v>
      </c>
      <c r="I8" s="673">
        <v>0</v>
      </c>
      <c r="J8" s="673">
        <v>0</v>
      </c>
      <c r="K8" s="673">
        <v>0</v>
      </c>
      <c r="L8" s="673">
        <v>0</v>
      </c>
      <c r="M8" s="673">
        <v>0</v>
      </c>
      <c r="N8" s="673">
        <v>0</v>
      </c>
      <c r="O8" s="673">
        <v>0</v>
      </c>
      <c r="P8" s="673">
        <v>0</v>
      </c>
      <c r="Q8" s="673">
        <v>0</v>
      </c>
      <c r="R8" s="673">
        <v>0</v>
      </c>
      <c r="S8" s="673">
        <v>0</v>
      </c>
      <c r="T8" s="673">
        <v>0</v>
      </c>
      <c r="U8" s="673">
        <v>0</v>
      </c>
      <c r="V8" s="673">
        <v>0</v>
      </c>
      <c r="W8" s="673">
        <v>0</v>
      </c>
      <c r="X8" s="673">
        <v>0</v>
      </c>
      <c r="Y8" s="673">
        <v>0</v>
      </c>
      <c r="Z8" s="673">
        <v>0</v>
      </c>
      <c r="AA8" s="673">
        <v>0</v>
      </c>
      <c r="AB8" s="673">
        <v>0</v>
      </c>
      <c r="AC8" s="673">
        <v>0</v>
      </c>
      <c r="AD8" s="673">
        <v>0</v>
      </c>
      <c r="AE8" s="673">
        <v>0</v>
      </c>
      <c r="AF8" s="673">
        <v>0</v>
      </c>
      <c r="AG8" s="673">
        <v>0</v>
      </c>
      <c r="AH8" s="673">
        <v>0</v>
      </c>
      <c r="AI8" s="673">
        <v>0</v>
      </c>
      <c r="AJ8" s="673">
        <v>0</v>
      </c>
      <c r="AK8" s="673">
        <v>0</v>
      </c>
      <c r="AL8" s="673">
        <v>0</v>
      </c>
      <c r="AM8" s="673">
        <v>0</v>
      </c>
      <c r="AN8" s="673">
        <v>0</v>
      </c>
      <c r="AO8" s="673">
        <v>0</v>
      </c>
      <c r="AP8" s="673">
        <v>0</v>
      </c>
      <c r="AQ8" s="673">
        <v>0</v>
      </c>
      <c r="AR8" s="673">
        <v>0</v>
      </c>
      <c r="AS8" s="673">
        <v>0</v>
      </c>
      <c r="AT8" s="673">
        <v>0</v>
      </c>
      <c r="AU8" s="673">
        <v>0</v>
      </c>
      <c r="AV8" s="673">
        <v>0</v>
      </c>
      <c r="AW8" s="673">
        <v>0</v>
      </c>
      <c r="AX8" s="673">
        <v>0</v>
      </c>
      <c r="AY8" s="673">
        <v>0</v>
      </c>
      <c r="AZ8" s="673">
        <v>0</v>
      </c>
      <c r="BA8" s="673">
        <v>0</v>
      </c>
      <c r="BB8" s="673">
        <v>0</v>
      </c>
    </row>
    <row r="9" spans="1:54" x14ac:dyDescent="0.25">
      <c r="A9">
        <v>16</v>
      </c>
      <c r="B9">
        <v>16</v>
      </c>
      <c r="C9">
        <v>16</v>
      </c>
      <c r="D9" t="s">
        <v>286</v>
      </c>
      <c r="E9" t="s">
        <v>383</v>
      </c>
      <c r="F9" s="673">
        <v>0</v>
      </c>
      <c r="G9" s="673">
        <v>0</v>
      </c>
      <c r="H9" s="673">
        <v>0</v>
      </c>
      <c r="I9" s="673">
        <v>0</v>
      </c>
      <c r="J9" s="673">
        <v>0</v>
      </c>
      <c r="K9" s="673">
        <v>0</v>
      </c>
      <c r="L9" s="673">
        <v>0</v>
      </c>
      <c r="M9" s="673">
        <v>0</v>
      </c>
      <c r="N9" s="673">
        <v>0</v>
      </c>
      <c r="O9" s="673">
        <v>0</v>
      </c>
      <c r="P9" s="673">
        <v>0</v>
      </c>
      <c r="Q9" s="673">
        <v>0</v>
      </c>
      <c r="R9" s="673">
        <v>0</v>
      </c>
      <c r="S9" s="673">
        <v>0</v>
      </c>
      <c r="T9" s="673">
        <v>0</v>
      </c>
      <c r="U9" s="673">
        <v>0</v>
      </c>
      <c r="V9" s="673">
        <v>0</v>
      </c>
      <c r="W9" s="673">
        <v>0</v>
      </c>
      <c r="X9" s="673">
        <v>0</v>
      </c>
      <c r="Y9" s="673">
        <v>0</v>
      </c>
      <c r="Z9" s="673">
        <v>0</v>
      </c>
      <c r="AA9" s="673">
        <v>0</v>
      </c>
      <c r="AB9" s="673">
        <v>0</v>
      </c>
      <c r="AC9" s="673">
        <v>0</v>
      </c>
      <c r="AD9" s="673">
        <v>0</v>
      </c>
      <c r="AE9" s="673">
        <v>0</v>
      </c>
      <c r="AF9" s="673">
        <v>0</v>
      </c>
      <c r="AG9" s="673">
        <v>0</v>
      </c>
      <c r="AH9" s="673">
        <v>0</v>
      </c>
      <c r="AI9" s="673">
        <v>0</v>
      </c>
      <c r="AJ9" s="673">
        <v>0</v>
      </c>
      <c r="AK9" s="673">
        <v>77558</v>
      </c>
      <c r="AL9" s="673">
        <v>0</v>
      </c>
      <c r="AM9" s="673">
        <v>0</v>
      </c>
      <c r="AN9" s="673">
        <v>0</v>
      </c>
      <c r="AO9" s="673">
        <v>0</v>
      </c>
      <c r="AP9" s="673">
        <v>0</v>
      </c>
      <c r="AQ9" s="673">
        <v>0</v>
      </c>
      <c r="AR9" s="673">
        <v>0</v>
      </c>
      <c r="AS9" s="673">
        <v>0</v>
      </c>
      <c r="AT9" s="673">
        <v>0</v>
      </c>
      <c r="AU9" s="673">
        <v>0</v>
      </c>
      <c r="AV9" s="673">
        <v>0</v>
      </c>
      <c r="AW9" s="673">
        <v>0</v>
      </c>
      <c r="AX9" s="673">
        <v>0</v>
      </c>
      <c r="AY9" s="673">
        <v>0</v>
      </c>
      <c r="AZ9" s="673">
        <v>0</v>
      </c>
      <c r="BA9" s="673">
        <v>0</v>
      </c>
      <c r="BB9" s="673">
        <v>0</v>
      </c>
    </row>
    <row r="10" spans="1:54" x14ac:dyDescent="0.25">
      <c r="A10">
        <v>17</v>
      </c>
      <c r="B10">
        <v>17</v>
      </c>
      <c r="C10">
        <v>17</v>
      </c>
      <c r="D10" t="s">
        <v>289</v>
      </c>
      <c r="E10" t="s">
        <v>384</v>
      </c>
      <c r="F10" s="673">
        <v>0</v>
      </c>
      <c r="G10" s="673">
        <v>0</v>
      </c>
      <c r="H10" s="673">
        <v>0</v>
      </c>
      <c r="I10" s="673">
        <v>0</v>
      </c>
      <c r="J10" s="673">
        <v>0</v>
      </c>
      <c r="K10" s="673">
        <v>0</v>
      </c>
      <c r="L10" s="673">
        <v>0</v>
      </c>
      <c r="M10" s="673">
        <v>0</v>
      </c>
      <c r="N10" s="673">
        <v>0</v>
      </c>
      <c r="O10" s="673">
        <v>0</v>
      </c>
      <c r="P10" s="673">
        <v>0</v>
      </c>
      <c r="Q10" s="673">
        <v>0</v>
      </c>
      <c r="R10" s="673">
        <v>0</v>
      </c>
      <c r="S10" s="673">
        <v>0</v>
      </c>
      <c r="T10" s="673">
        <v>0</v>
      </c>
      <c r="U10" s="673">
        <v>0</v>
      </c>
      <c r="V10" s="673">
        <v>0</v>
      </c>
      <c r="W10" s="673">
        <v>0</v>
      </c>
      <c r="X10" s="673">
        <v>0</v>
      </c>
      <c r="Y10" s="673">
        <v>0</v>
      </c>
      <c r="Z10" s="673">
        <v>0</v>
      </c>
      <c r="AA10" s="673">
        <v>0</v>
      </c>
      <c r="AB10" s="673">
        <v>0</v>
      </c>
      <c r="AC10" s="673">
        <v>0</v>
      </c>
      <c r="AD10" s="673">
        <v>0</v>
      </c>
      <c r="AE10" s="673">
        <v>0</v>
      </c>
      <c r="AF10" s="673">
        <v>0</v>
      </c>
      <c r="AG10" s="673">
        <v>0</v>
      </c>
      <c r="AH10" s="673">
        <v>0</v>
      </c>
      <c r="AI10" s="673">
        <v>0</v>
      </c>
      <c r="AJ10" s="673">
        <v>0</v>
      </c>
      <c r="AK10" s="673">
        <v>0</v>
      </c>
      <c r="AL10" s="673">
        <v>0</v>
      </c>
      <c r="AM10" s="673">
        <v>0</v>
      </c>
      <c r="AN10" s="673">
        <v>0</v>
      </c>
      <c r="AO10" s="673">
        <v>0</v>
      </c>
      <c r="AP10" s="673">
        <v>0</v>
      </c>
      <c r="AQ10" s="673">
        <v>0</v>
      </c>
      <c r="AR10" s="673">
        <v>0</v>
      </c>
      <c r="AS10" s="673">
        <v>0</v>
      </c>
      <c r="AT10" s="673">
        <v>0</v>
      </c>
      <c r="AU10" s="673">
        <v>0</v>
      </c>
      <c r="AV10" s="673">
        <v>0</v>
      </c>
      <c r="AW10" s="673">
        <v>0</v>
      </c>
      <c r="AX10" s="673">
        <v>0</v>
      </c>
      <c r="AY10" s="673">
        <v>0</v>
      </c>
      <c r="AZ10" s="673">
        <v>0</v>
      </c>
      <c r="BA10" s="673">
        <v>0</v>
      </c>
      <c r="BB10" s="673">
        <v>0</v>
      </c>
    </row>
    <row r="11" spans="1:54" x14ac:dyDescent="0.25">
      <c r="A11">
        <v>20</v>
      </c>
      <c r="B11">
        <v>20</v>
      </c>
      <c r="C11">
        <v>20</v>
      </c>
      <c r="D11" t="s">
        <v>290</v>
      </c>
      <c r="E11" t="s">
        <v>385</v>
      </c>
      <c r="F11" s="673">
        <v>0</v>
      </c>
      <c r="G11" s="673">
        <v>0</v>
      </c>
      <c r="H11" s="673">
        <v>0</v>
      </c>
      <c r="I11" s="673">
        <v>0</v>
      </c>
      <c r="J11" s="673">
        <v>0</v>
      </c>
      <c r="K11" s="673">
        <v>0</v>
      </c>
      <c r="L11" s="673">
        <v>0</v>
      </c>
      <c r="M11" s="673">
        <v>0</v>
      </c>
      <c r="N11" s="673">
        <v>0</v>
      </c>
      <c r="O11" s="673">
        <v>0</v>
      </c>
      <c r="P11" s="673">
        <v>0</v>
      </c>
      <c r="Q11" s="673">
        <v>0</v>
      </c>
      <c r="R11" s="673">
        <v>0</v>
      </c>
      <c r="S11" s="673">
        <v>0</v>
      </c>
      <c r="T11" s="673">
        <v>0</v>
      </c>
      <c r="U11" s="673">
        <v>0</v>
      </c>
      <c r="V11" s="673">
        <v>0</v>
      </c>
      <c r="W11" s="673">
        <v>0</v>
      </c>
      <c r="X11" s="673">
        <v>0</v>
      </c>
      <c r="Y11" s="673">
        <v>0</v>
      </c>
      <c r="Z11" s="673">
        <v>0</v>
      </c>
      <c r="AA11" s="673">
        <v>0</v>
      </c>
      <c r="AB11" s="673">
        <v>0</v>
      </c>
      <c r="AC11" s="673">
        <v>0</v>
      </c>
      <c r="AD11" s="673">
        <v>0</v>
      </c>
      <c r="AE11" s="673">
        <v>0</v>
      </c>
      <c r="AF11" s="673">
        <v>0</v>
      </c>
      <c r="AG11" s="673">
        <v>0</v>
      </c>
      <c r="AH11" s="673">
        <v>0</v>
      </c>
      <c r="AI11" s="673">
        <v>0</v>
      </c>
      <c r="AJ11" s="673">
        <v>0</v>
      </c>
      <c r="AK11" s="673">
        <v>0</v>
      </c>
      <c r="AL11" s="673">
        <v>0</v>
      </c>
      <c r="AM11" s="673">
        <v>0</v>
      </c>
      <c r="AN11" s="673">
        <v>0</v>
      </c>
      <c r="AO11" s="673">
        <v>0</v>
      </c>
      <c r="AP11" s="673">
        <v>0</v>
      </c>
      <c r="AQ11" s="673">
        <v>0</v>
      </c>
      <c r="AR11" s="673">
        <v>0</v>
      </c>
      <c r="AS11" s="673">
        <v>0</v>
      </c>
      <c r="AT11" s="673">
        <v>0</v>
      </c>
      <c r="AU11" s="673">
        <v>0</v>
      </c>
      <c r="AV11" s="673">
        <v>0</v>
      </c>
      <c r="AW11" s="673">
        <v>0</v>
      </c>
      <c r="AX11" s="673">
        <v>0</v>
      </c>
      <c r="AY11" s="673">
        <v>0</v>
      </c>
      <c r="AZ11" s="673">
        <v>0</v>
      </c>
      <c r="BA11" s="673">
        <v>0</v>
      </c>
      <c r="BB11" s="673">
        <v>0</v>
      </c>
    </row>
    <row r="12" spans="1:54" x14ac:dyDescent="0.25">
      <c r="A12">
        <v>22</v>
      </c>
      <c r="B12">
        <v>22</v>
      </c>
      <c r="C12">
        <v>22</v>
      </c>
      <c r="D12" t="s">
        <v>292</v>
      </c>
      <c r="E12" t="s">
        <v>386</v>
      </c>
      <c r="F12" s="673">
        <v>0</v>
      </c>
      <c r="G12" s="673">
        <v>0</v>
      </c>
      <c r="H12" s="673">
        <v>0</v>
      </c>
      <c r="I12" s="673">
        <v>0</v>
      </c>
      <c r="J12" s="673">
        <v>0</v>
      </c>
      <c r="K12" s="673">
        <v>0</v>
      </c>
      <c r="L12" s="673">
        <v>0</v>
      </c>
      <c r="M12" s="673">
        <v>0</v>
      </c>
      <c r="N12" s="673">
        <v>0</v>
      </c>
      <c r="O12" s="673">
        <v>0</v>
      </c>
      <c r="P12" s="673">
        <v>0</v>
      </c>
      <c r="Q12" s="673">
        <v>0</v>
      </c>
      <c r="R12" s="673">
        <v>0</v>
      </c>
      <c r="S12" s="673">
        <v>0</v>
      </c>
      <c r="T12" s="673">
        <v>0</v>
      </c>
      <c r="U12" s="673">
        <v>0</v>
      </c>
      <c r="V12" s="673">
        <v>0</v>
      </c>
      <c r="W12" s="673">
        <v>0</v>
      </c>
      <c r="X12" s="673">
        <v>0</v>
      </c>
      <c r="Y12" s="673">
        <v>0</v>
      </c>
      <c r="Z12" s="673">
        <v>0</v>
      </c>
      <c r="AA12" s="673">
        <v>0</v>
      </c>
      <c r="AB12" s="673">
        <v>0</v>
      </c>
      <c r="AC12" s="673">
        <v>0</v>
      </c>
      <c r="AD12" s="673">
        <v>0</v>
      </c>
      <c r="AE12" s="673">
        <v>0</v>
      </c>
      <c r="AF12" s="673">
        <v>0</v>
      </c>
      <c r="AG12" s="673">
        <v>0</v>
      </c>
      <c r="AH12" s="673">
        <v>0</v>
      </c>
      <c r="AI12" s="673">
        <v>0</v>
      </c>
      <c r="AJ12" s="673">
        <v>0</v>
      </c>
      <c r="AK12" s="673">
        <v>0</v>
      </c>
      <c r="AL12" s="673">
        <v>0</v>
      </c>
      <c r="AM12" s="673">
        <v>0</v>
      </c>
      <c r="AN12" s="673">
        <v>0</v>
      </c>
      <c r="AO12" s="673">
        <v>0</v>
      </c>
      <c r="AP12" s="673">
        <v>0</v>
      </c>
      <c r="AQ12" s="673">
        <v>0</v>
      </c>
      <c r="AR12" s="673">
        <v>0</v>
      </c>
      <c r="AS12" s="673">
        <v>0</v>
      </c>
      <c r="AT12" s="673">
        <v>0</v>
      </c>
      <c r="AU12" s="673">
        <v>0</v>
      </c>
      <c r="AV12" s="673">
        <v>0</v>
      </c>
      <c r="AW12" s="673">
        <v>0</v>
      </c>
      <c r="AX12" s="673">
        <v>0</v>
      </c>
      <c r="AY12" s="673">
        <v>0</v>
      </c>
      <c r="AZ12" s="673">
        <v>0</v>
      </c>
      <c r="BA12" s="673">
        <v>0</v>
      </c>
      <c r="BB12" s="673">
        <v>0</v>
      </c>
    </row>
    <row r="13" spans="1:54" x14ac:dyDescent="0.25">
      <c r="A13">
        <v>23</v>
      </c>
      <c r="B13">
        <v>23</v>
      </c>
      <c r="C13">
        <v>23</v>
      </c>
      <c r="D13" t="s">
        <v>295</v>
      </c>
      <c r="E13" t="s">
        <v>387</v>
      </c>
      <c r="F13" s="673">
        <v>0</v>
      </c>
      <c r="G13" s="673">
        <v>0</v>
      </c>
      <c r="H13" s="673">
        <v>0</v>
      </c>
      <c r="I13" s="673">
        <v>0</v>
      </c>
      <c r="J13" s="673">
        <v>0</v>
      </c>
      <c r="K13" s="673">
        <v>0</v>
      </c>
      <c r="L13" s="673">
        <v>0</v>
      </c>
      <c r="M13" s="673">
        <v>0</v>
      </c>
      <c r="N13" s="673">
        <v>0</v>
      </c>
      <c r="O13" s="673">
        <v>0</v>
      </c>
      <c r="P13" s="673">
        <v>0</v>
      </c>
      <c r="Q13" s="673">
        <v>0</v>
      </c>
      <c r="R13" s="673">
        <v>0</v>
      </c>
      <c r="S13" s="673">
        <v>0</v>
      </c>
      <c r="T13" s="673">
        <v>0</v>
      </c>
      <c r="U13" s="673">
        <v>0</v>
      </c>
      <c r="V13" s="673">
        <v>0</v>
      </c>
      <c r="W13" s="673">
        <v>0</v>
      </c>
      <c r="X13" s="673">
        <v>0</v>
      </c>
      <c r="Y13" s="673">
        <v>0</v>
      </c>
      <c r="Z13" s="673">
        <v>0</v>
      </c>
      <c r="AA13" s="673">
        <v>0</v>
      </c>
      <c r="AB13" s="673">
        <v>0</v>
      </c>
      <c r="AC13" s="673">
        <v>0</v>
      </c>
      <c r="AD13" s="673">
        <v>0</v>
      </c>
      <c r="AE13" s="673">
        <v>0</v>
      </c>
      <c r="AF13" s="673">
        <v>0</v>
      </c>
      <c r="AG13" s="673">
        <v>0</v>
      </c>
      <c r="AH13" s="673">
        <v>0</v>
      </c>
      <c r="AI13" s="673">
        <v>0</v>
      </c>
      <c r="AJ13" s="673">
        <v>0</v>
      </c>
      <c r="AK13" s="673">
        <v>6816</v>
      </c>
      <c r="AL13" s="673">
        <v>0</v>
      </c>
      <c r="AM13" s="673">
        <v>0</v>
      </c>
      <c r="AN13" s="673">
        <v>0</v>
      </c>
      <c r="AO13" s="673">
        <v>0</v>
      </c>
      <c r="AP13" s="673">
        <v>0</v>
      </c>
      <c r="AQ13" s="673">
        <v>0</v>
      </c>
      <c r="AR13" s="673">
        <v>0</v>
      </c>
      <c r="AS13" s="673">
        <v>0</v>
      </c>
      <c r="AT13" s="673">
        <v>0</v>
      </c>
      <c r="AU13" s="673">
        <v>0</v>
      </c>
      <c r="AV13" s="673">
        <v>0</v>
      </c>
      <c r="AW13" s="673">
        <v>0</v>
      </c>
      <c r="AX13" s="673">
        <v>0</v>
      </c>
      <c r="AY13" s="673">
        <v>0</v>
      </c>
      <c r="AZ13" s="673">
        <v>0</v>
      </c>
      <c r="BA13" s="673">
        <v>0</v>
      </c>
      <c r="BB13" s="673">
        <v>0</v>
      </c>
    </row>
    <row r="14" spans="1:54" x14ac:dyDescent="0.25">
      <c r="A14">
        <v>44</v>
      </c>
      <c r="B14">
        <v>44</v>
      </c>
      <c r="C14">
        <v>44</v>
      </c>
      <c r="D14" t="s">
        <v>611</v>
      </c>
      <c r="E14" t="s">
        <v>388</v>
      </c>
      <c r="F14" s="673">
        <v>1783718</v>
      </c>
      <c r="G14" s="673">
        <v>4671960</v>
      </c>
      <c r="H14" s="673">
        <v>10366876</v>
      </c>
      <c r="I14" s="673">
        <v>8919469</v>
      </c>
      <c r="J14" s="673">
        <v>77354044</v>
      </c>
      <c r="K14" s="673">
        <v>17519086</v>
      </c>
      <c r="L14" s="673">
        <v>144188367</v>
      </c>
      <c r="M14" s="673">
        <v>6486096</v>
      </c>
      <c r="N14" s="673">
        <v>0</v>
      </c>
      <c r="O14" s="673">
        <v>2741987</v>
      </c>
      <c r="P14" s="673">
        <v>4073530</v>
      </c>
      <c r="Q14" s="673">
        <v>207767</v>
      </c>
      <c r="R14" s="673">
        <v>1480044</v>
      </c>
      <c r="S14" s="673">
        <v>344953</v>
      </c>
      <c r="T14" s="673">
        <v>6999364</v>
      </c>
      <c r="U14" s="673">
        <v>370400</v>
      </c>
      <c r="V14" s="673">
        <v>19501919</v>
      </c>
      <c r="W14" s="673">
        <v>2930401</v>
      </c>
      <c r="X14" s="673">
        <v>861542</v>
      </c>
      <c r="Y14" s="673">
        <v>3060411</v>
      </c>
      <c r="Z14" s="673">
        <v>3737988</v>
      </c>
      <c r="AA14" s="673">
        <v>1585868</v>
      </c>
      <c r="AB14" s="673">
        <v>2193628</v>
      </c>
      <c r="AC14" s="673">
        <v>1521305</v>
      </c>
      <c r="AD14" s="673">
        <v>9670306</v>
      </c>
      <c r="AE14" s="673">
        <v>1890934</v>
      </c>
      <c r="AF14" s="673">
        <v>799514</v>
      </c>
      <c r="AG14" s="673">
        <v>45300880</v>
      </c>
      <c r="AH14" s="673">
        <v>24220670</v>
      </c>
      <c r="AI14" s="673">
        <v>14568911</v>
      </c>
      <c r="AJ14" s="673">
        <v>59663253</v>
      </c>
      <c r="AK14" s="673">
        <v>356472</v>
      </c>
      <c r="AL14" s="673">
        <v>13308038</v>
      </c>
      <c r="AM14" s="673">
        <v>508344</v>
      </c>
      <c r="AN14" s="673">
        <v>1524492</v>
      </c>
      <c r="AO14" s="673">
        <v>29500588</v>
      </c>
      <c r="AP14" s="673">
        <v>3087129</v>
      </c>
      <c r="AQ14" s="673">
        <v>6096181</v>
      </c>
      <c r="AR14" s="673">
        <v>2058749</v>
      </c>
      <c r="AS14" s="673">
        <v>1314737</v>
      </c>
      <c r="AT14" s="673">
        <v>95631</v>
      </c>
      <c r="AU14" s="673">
        <v>133247</v>
      </c>
      <c r="AV14" s="673">
        <v>206275</v>
      </c>
      <c r="AW14" s="673">
        <v>13824183</v>
      </c>
      <c r="AX14" s="673">
        <v>0</v>
      </c>
      <c r="AY14" s="673">
        <v>40792</v>
      </c>
      <c r="AZ14" s="673">
        <v>29099</v>
      </c>
      <c r="BA14" s="673">
        <v>1279891</v>
      </c>
      <c r="BB14" s="673">
        <v>2173512</v>
      </c>
    </row>
    <row r="15" spans="1:54" x14ac:dyDescent="0.25">
      <c r="A15">
        <v>45</v>
      </c>
      <c r="B15">
        <v>45</v>
      </c>
      <c r="C15">
        <v>45</v>
      </c>
      <c r="D15" t="s">
        <v>612</v>
      </c>
      <c r="E15" t="s">
        <v>389</v>
      </c>
      <c r="F15" s="673">
        <v>253993</v>
      </c>
      <c r="G15" s="673">
        <v>522009</v>
      </c>
      <c r="H15" s="673">
        <v>2457141</v>
      </c>
      <c r="I15" s="673">
        <v>1418920</v>
      </c>
      <c r="J15" s="673">
        <v>3870919</v>
      </c>
      <c r="K15" s="673">
        <v>3952002</v>
      </c>
      <c r="L15" s="673">
        <v>32691862</v>
      </c>
      <c r="M15" s="673">
        <v>2675391</v>
      </c>
      <c r="N15" s="673">
        <v>0</v>
      </c>
      <c r="O15" s="673">
        <v>576499</v>
      </c>
      <c r="P15" s="673">
        <v>1016574</v>
      </c>
      <c r="Q15" s="673">
        <v>11350</v>
      </c>
      <c r="R15" s="673">
        <v>168441</v>
      </c>
      <c r="S15" s="673">
        <v>362135</v>
      </c>
      <c r="T15" s="673">
        <v>626796</v>
      </c>
      <c r="U15" s="673">
        <v>26248</v>
      </c>
      <c r="V15" s="673">
        <v>9141462</v>
      </c>
      <c r="W15" s="673">
        <v>1263138</v>
      </c>
      <c r="X15" s="673">
        <v>56461</v>
      </c>
      <c r="Y15" s="673">
        <v>384633</v>
      </c>
      <c r="Z15" s="673">
        <v>1836895</v>
      </c>
      <c r="AA15" s="673">
        <v>286215</v>
      </c>
      <c r="AB15" s="673">
        <v>312027</v>
      </c>
      <c r="AC15" s="673">
        <v>15818</v>
      </c>
      <c r="AD15" s="673">
        <v>2757116</v>
      </c>
      <c r="AE15" s="673">
        <v>421231</v>
      </c>
      <c r="AF15" s="673">
        <v>140266</v>
      </c>
      <c r="AG15" s="673">
        <v>10128946</v>
      </c>
      <c r="AH15" s="673">
        <v>10828440</v>
      </c>
      <c r="AI15" s="673">
        <v>2053687</v>
      </c>
      <c r="AJ15" s="673">
        <v>31543420</v>
      </c>
      <c r="AK15" s="673">
        <v>7812</v>
      </c>
      <c r="AL15" s="673">
        <v>879897</v>
      </c>
      <c r="AM15" s="673">
        <v>177460</v>
      </c>
      <c r="AN15" s="673">
        <v>18158</v>
      </c>
      <c r="AO15" s="673">
        <v>3452420</v>
      </c>
      <c r="AP15" s="673">
        <v>319006</v>
      </c>
      <c r="AQ15" s="673">
        <v>422329</v>
      </c>
      <c r="AR15" s="673">
        <v>7809</v>
      </c>
      <c r="AS15" s="673">
        <v>370615</v>
      </c>
      <c r="AT15" s="673">
        <v>866649</v>
      </c>
      <c r="AU15" s="673">
        <v>10452</v>
      </c>
      <c r="AV15" s="673">
        <v>16750</v>
      </c>
      <c r="AW15" s="673">
        <v>609957</v>
      </c>
      <c r="AX15" s="673">
        <v>0</v>
      </c>
      <c r="AY15" s="673">
        <v>6418</v>
      </c>
      <c r="AZ15" s="673">
        <v>1839</v>
      </c>
      <c r="BA15" s="673">
        <v>166394</v>
      </c>
      <c r="BB15" s="673">
        <v>894766</v>
      </c>
    </row>
    <row r="16" spans="1:54" x14ac:dyDescent="0.25">
      <c r="A16">
        <v>47</v>
      </c>
      <c r="B16">
        <v>47</v>
      </c>
      <c r="C16">
        <v>47</v>
      </c>
      <c r="D16" t="s">
        <v>613</v>
      </c>
      <c r="E16" t="s">
        <v>390</v>
      </c>
      <c r="F16" s="673">
        <v>0</v>
      </c>
      <c r="G16" s="673">
        <v>0</v>
      </c>
      <c r="H16" s="673">
        <v>0</v>
      </c>
      <c r="I16" s="673">
        <v>0</v>
      </c>
      <c r="J16" s="673">
        <v>0</v>
      </c>
      <c r="K16" s="673">
        <v>0</v>
      </c>
      <c r="L16" s="673">
        <v>0</v>
      </c>
      <c r="M16" s="673">
        <v>0</v>
      </c>
      <c r="N16" s="673">
        <v>0</v>
      </c>
      <c r="O16" s="673">
        <v>0</v>
      </c>
      <c r="P16" s="673">
        <v>0</v>
      </c>
      <c r="Q16" s="673">
        <v>0</v>
      </c>
      <c r="R16" s="673">
        <v>0</v>
      </c>
      <c r="S16" s="673">
        <v>0</v>
      </c>
      <c r="T16" s="673">
        <v>0</v>
      </c>
      <c r="U16" s="673">
        <v>0</v>
      </c>
      <c r="V16" s="673">
        <v>77634452</v>
      </c>
      <c r="W16" s="673">
        <v>0</v>
      </c>
      <c r="X16" s="673">
        <v>0</v>
      </c>
      <c r="Y16" s="673">
        <v>0</v>
      </c>
      <c r="Z16" s="673">
        <v>0</v>
      </c>
      <c r="AA16" s="673">
        <v>0</v>
      </c>
      <c r="AB16" s="673">
        <v>0</v>
      </c>
      <c r="AC16" s="673">
        <v>0</v>
      </c>
      <c r="AD16" s="673">
        <v>0</v>
      </c>
      <c r="AE16" s="673">
        <v>0</v>
      </c>
      <c r="AF16" s="673">
        <v>0</v>
      </c>
      <c r="AG16" s="673">
        <v>0</v>
      </c>
      <c r="AH16" s="673">
        <v>0</v>
      </c>
      <c r="AI16" s="673">
        <v>0</v>
      </c>
      <c r="AJ16" s="673">
        <v>131477064</v>
      </c>
      <c r="AK16" s="673">
        <v>0</v>
      </c>
      <c r="AL16" s="673">
        <v>0</v>
      </c>
      <c r="AM16" s="673">
        <v>0</v>
      </c>
      <c r="AN16" s="673">
        <v>0</v>
      </c>
      <c r="AO16" s="673">
        <v>0</v>
      </c>
      <c r="AP16" s="673">
        <v>0</v>
      </c>
      <c r="AQ16" s="673">
        <v>0</v>
      </c>
      <c r="AR16" s="673">
        <v>0</v>
      </c>
      <c r="AS16" s="673">
        <v>0</v>
      </c>
      <c r="AT16" s="673">
        <v>0</v>
      </c>
      <c r="AU16" s="673">
        <v>0</v>
      </c>
      <c r="AV16" s="673">
        <v>0</v>
      </c>
      <c r="AW16" s="673">
        <v>0</v>
      </c>
      <c r="AX16" s="673">
        <v>0</v>
      </c>
      <c r="AY16" s="673">
        <v>0</v>
      </c>
      <c r="AZ16" s="673">
        <v>0</v>
      </c>
      <c r="BA16" s="673">
        <v>0</v>
      </c>
      <c r="BB16" s="673">
        <v>0</v>
      </c>
    </row>
    <row r="17" spans="1:54" x14ac:dyDescent="0.25">
      <c r="A17">
        <v>48</v>
      </c>
      <c r="B17">
        <v>48</v>
      </c>
      <c r="C17">
        <v>48</v>
      </c>
      <c r="D17" t="s">
        <v>146</v>
      </c>
      <c r="E17" t="s">
        <v>391</v>
      </c>
      <c r="F17" s="673">
        <v>0</v>
      </c>
      <c r="G17" s="673">
        <v>0</v>
      </c>
      <c r="H17" s="673">
        <v>0</v>
      </c>
      <c r="I17" s="673">
        <v>0</v>
      </c>
      <c r="J17" s="673">
        <v>0</v>
      </c>
      <c r="K17" s="673">
        <v>0</v>
      </c>
      <c r="L17" s="673">
        <v>0</v>
      </c>
      <c r="M17" s="673">
        <v>0</v>
      </c>
      <c r="N17" s="673">
        <v>0</v>
      </c>
      <c r="O17" s="673">
        <v>0</v>
      </c>
      <c r="P17" s="673">
        <v>0</v>
      </c>
      <c r="Q17" s="673">
        <v>0</v>
      </c>
      <c r="R17" s="673">
        <v>0</v>
      </c>
      <c r="S17" s="673">
        <v>0</v>
      </c>
      <c r="T17" s="673">
        <v>0</v>
      </c>
      <c r="U17" s="673">
        <v>0</v>
      </c>
      <c r="V17" s="673">
        <v>17299023</v>
      </c>
      <c r="W17" s="673">
        <v>0</v>
      </c>
      <c r="X17" s="673">
        <v>0</v>
      </c>
      <c r="Y17" s="673">
        <v>0</v>
      </c>
      <c r="Z17" s="673">
        <v>0</v>
      </c>
      <c r="AA17" s="673">
        <v>0</v>
      </c>
      <c r="AB17" s="673">
        <v>0</v>
      </c>
      <c r="AC17" s="673">
        <v>0</v>
      </c>
      <c r="AD17" s="673">
        <v>0</v>
      </c>
      <c r="AE17" s="673">
        <v>0</v>
      </c>
      <c r="AF17" s="673">
        <v>0</v>
      </c>
      <c r="AG17" s="673">
        <v>0</v>
      </c>
      <c r="AH17" s="673">
        <v>0</v>
      </c>
      <c r="AI17" s="673">
        <v>0</v>
      </c>
      <c r="AJ17" s="673">
        <v>29809971</v>
      </c>
      <c r="AK17" s="673">
        <v>0</v>
      </c>
      <c r="AL17" s="673">
        <v>0</v>
      </c>
      <c r="AM17" s="673">
        <v>0</v>
      </c>
      <c r="AN17" s="673">
        <v>0</v>
      </c>
      <c r="AO17" s="673">
        <v>0</v>
      </c>
      <c r="AP17" s="673">
        <v>0</v>
      </c>
      <c r="AQ17" s="673">
        <v>0</v>
      </c>
      <c r="AR17" s="673">
        <v>0</v>
      </c>
      <c r="AS17" s="673">
        <v>0</v>
      </c>
      <c r="AT17" s="673">
        <v>0</v>
      </c>
      <c r="AU17" s="673">
        <v>0</v>
      </c>
      <c r="AV17" s="673">
        <v>0</v>
      </c>
      <c r="AW17" s="673">
        <v>0</v>
      </c>
      <c r="AX17" s="673">
        <v>0</v>
      </c>
      <c r="AY17" s="673">
        <v>0</v>
      </c>
      <c r="AZ17" s="673">
        <v>0</v>
      </c>
      <c r="BA17" s="673">
        <v>0</v>
      </c>
      <c r="BB17" s="673">
        <v>0</v>
      </c>
    </row>
    <row r="18" spans="1:54" x14ac:dyDescent="0.25">
      <c r="A18">
        <v>49</v>
      </c>
      <c r="B18">
        <v>49</v>
      </c>
      <c r="C18">
        <v>49</v>
      </c>
      <c r="D18" t="s">
        <v>308</v>
      </c>
      <c r="E18" t="s">
        <v>392</v>
      </c>
      <c r="F18" s="673">
        <v>655890</v>
      </c>
      <c r="G18" s="673">
        <v>555913</v>
      </c>
      <c r="H18" s="673">
        <v>1760349</v>
      </c>
      <c r="I18" s="673">
        <v>456674</v>
      </c>
      <c r="J18" s="673">
        <v>10393126</v>
      </c>
      <c r="K18" s="673">
        <v>6729515</v>
      </c>
      <c r="L18" s="673">
        <v>22024805</v>
      </c>
      <c r="M18" s="673">
        <v>1416194</v>
      </c>
      <c r="N18" s="673">
        <v>0</v>
      </c>
      <c r="O18" s="673">
        <v>919667</v>
      </c>
      <c r="P18" s="673">
        <v>893038</v>
      </c>
      <c r="Q18" s="673">
        <v>83185</v>
      </c>
      <c r="R18" s="673">
        <v>185287</v>
      </c>
      <c r="S18" s="673">
        <v>164317</v>
      </c>
      <c r="T18" s="673">
        <v>652639</v>
      </c>
      <c r="U18" s="673">
        <v>138871</v>
      </c>
      <c r="V18" s="673">
        <v>10195322</v>
      </c>
      <c r="W18" s="673">
        <v>618114</v>
      </c>
      <c r="X18" s="673">
        <v>103047</v>
      </c>
      <c r="Y18" s="673">
        <v>286459</v>
      </c>
      <c r="Z18" s="673">
        <v>1594579</v>
      </c>
      <c r="AA18" s="673">
        <v>306544</v>
      </c>
      <c r="AB18" s="673">
        <v>1066553</v>
      </c>
      <c r="AC18" s="673">
        <v>74545</v>
      </c>
      <c r="AD18" s="673">
        <v>3441831</v>
      </c>
      <c r="AE18" s="673">
        <v>277521</v>
      </c>
      <c r="AF18" s="673">
        <v>272270</v>
      </c>
      <c r="AG18" s="673">
        <v>5756258</v>
      </c>
      <c r="AH18" s="673">
        <v>9226257</v>
      </c>
      <c r="AI18" s="673">
        <v>3264085</v>
      </c>
      <c r="AJ18" s="673">
        <v>23865388</v>
      </c>
      <c r="AK18" s="673">
        <v>12003</v>
      </c>
      <c r="AL18" s="673">
        <v>2125031</v>
      </c>
      <c r="AM18" s="673">
        <v>152575</v>
      </c>
      <c r="AN18" s="673">
        <v>41570</v>
      </c>
      <c r="AO18" s="673">
        <v>1966180</v>
      </c>
      <c r="AP18" s="673">
        <v>497897</v>
      </c>
      <c r="AQ18" s="673">
        <v>680624</v>
      </c>
      <c r="AR18" s="673">
        <v>232825</v>
      </c>
      <c r="AS18" s="673">
        <v>210873</v>
      </c>
      <c r="AT18" s="673">
        <v>321208</v>
      </c>
      <c r="AU18" s="673">
        <v>31601</v>
      </c>
      <c r="AV18" s="673">
        <v>85626</v>
      </c>
      <c r="AW18" s="673">
        <v>1630494</v>
      </c>
      <c r="AX18" s="673">
        <v>55622</v>
      </c>
      <c r="AY18" s="673">
        <v>3565</v>
      </c>
      <c r="AZ18" s="673">
        <v>4699</v>
      </c>
      <c r="BA18" s="673">
        <v>232671</v>
      </c>
      <c r="BB18" s="673">
        <v>617612</v>
      </c>
    </row>
    <row r="19" spans="1:54" x14ac:dyDescent="0.25">
      <c r="A19">
        <v>50</v>
      </c>
      <c r="B19">
        <v>50</v>
      </c>
      <c r="C19">
        <v>50</v>
      </c>
      <c r="D19" t="s">
        <v>123</v>
      </c>
      <c r="E19" t="s">
        <v>393</v>
      </c>
      <c r="F19" s="673">
        <v>112796</v>
      </c>
      <c r="G19" s="673">
        <v>848814</v>
      </c>
      <c r="H19" s="673">
        <v>2201240</v>
      </c>
      <c r="I19" s="673">
        <v>-52270865</v>
      </c>
      <c r="J19" s="673">
        <v>16543079</v>
      </c>
      <c r="K19" s="673">
        <v>-93797</v>
      </c>
      <c r="L19" s="673">
        <v>23798267</v>
      </c>
      <c r="M19" s="673">
        <v>1905262</v>
      </c>
      <c r="N19" s="673">
        <v>0</v>
      </c>
      <c r="O19" s="673">
        <v>-8691</v>
      </c>
      <c r="P19" s="673">
        <v>565737</v>
      </c>
      <c r="Q19" s="673">
        <v>-59008</v>
      </c>
      <c r="R19" s="673">
        <v>190033</v>
      </c>
      <c r="S19" s="673">
        <v>-128267</v>
      </c>
      <c r="T19" s="673">
        <v>411600</v>
      </c>
      <c r="U19" s="673">
        <v>-17897</v>
      </c>
      <c r="V19" s="673">
        <v>7694003</v>
      </c>
      <c r="W19" s="673">
        <v>640619</v>
      </c>
      <c r="X19" s="673">
        <v>142857</v>
      </c>
      <c r="Y19" s="673">
        <v>914169</v>
      </c>
      <c r="Z19" s="673">
        <v>1147490</v>
      </c>
      <c r="AA19" s="673">
        <v>70045</v>
      </c>
      <c r="AB19" s="673">
        <v>-779734</v>
      </c>
      <c r="AC19" s="673">
        <v>18670</v>
      </c>
      <c r="AD19" s="673">
        <v>808967</v>
      </c>
      <c r="AE19" s="673">
        <v>366101</v>
      </c>
      <c r="AF19" s="673">
        <v>-85328</v>
      </c>
      <c r="AG19" s="673">
        <v>5811175</v>
      </c>
      <c r="AH19" s="673">
        <v>7451451</v>
      </c>
      <c r="AI19" s="673">
        <v>306669</v>
      </c>
      <c r="AJ19" s="673">
        <v>28469271</v>
      </c>
      <c r="AK19" s="673">
        <v>40160</v>
      </c>
      <c r="AL19" s="673">
        <v>2414189</v>
      </c>
      <c r="AM19" s="673">
        <v>545820</v>
      </c>
      <c r="AN19" s="673">
        <v>29291</v>
      </c>
      <c r="AO19" s="673">
        <v>4076848</v>
      </c>
      <c r="AP19" s="673">
        <v>235401</v>
      </c>
      <c r="AQ19" s="673">
        <v>544289</v>
      </c>
      <c r="AR19" s="673">
        <v>101786</v>
      </c>
      <c r="AS19" s="673">
        <v>737528</v>
      </c>
      <c r="AT19" s="673">
        <v>-167855</v>
      </c>
      <c r="AU19" s="673">
        <v>-9467</v>
      </c>
      <c r="AV19" s="673">
        <v>-46482</v>
      </c>
      <c r="AW19" s="673">
        <v>81188</v>
      </c>
      <c r="AX19" s="673">
        <v>-55622</v>
      </c>
      <c r="AY19" s="673">
        <v>1956</v>
      </c>
      <c r="AZ19" s="673">
        <v>561</v>
      </c>
      <c r="BA19" s="673">
        <v>-185450</v>
      </c>
      <c r="BB19" s="673">
        <v>831238</v>
      </c>
    </row>
    <row r="20" spans="1:54" x14ac:dyDescent="0.25">
      <c r="A20">
        <v>51</v>
      </c>
      <c r="B20">
        <v>51</v>
      </c>
      <c r="C20">
        <v>51</v>
      </c>
      <c r="D20" t="s">
        <v>326</v>
      </c>
      <c r="E20" t="s">
        <v>394</v>
      </c>
      <c r="F20" s="673">
        <v>587715</v>
      </c>
      <c r="G20" s="673">
        <v>1334277</v>
      </c>
      <c r="H20" s="673">
        <v>4608641</v>
      </c>
      <c r="I20" s="673">
        <v>2779789</v>
      </c>
      <c r="J20" s="673">
        <v>26867357</v>
      </c>
      <c r="K20" s="673">
        <v>4190311</v>
      </c>
      <c r="L20" s="673">
        <v>44928629</v>
      </c>
      <c r="M20" s="673">
        <v>1877303</v>
      </c>
      <c r="N20" s="673">
        <v>0</v>
      </c>
      <c r="O20" s="673">
        <v>1258522</v>
      </c>
      <c r="P20" s="673">
        <v>1423557</v>
      </c>
      <c r="Q20" s="673">
        <v>-71370</v>
      </c>
      <c r="R20" s="673">
        <v>448604</v>
      </c>
      <c r="S20" s="673">
        <v>97848</v>
      </c>
      <c r="T20" s="673">
        <v>610457</v>
      </c>
      <c r="U20" s="673">
        <v>117269</v>
      </c>
      <c r="V20" s="673">
        <v>17880389</v>
      </c>
      <c r="W20" s="673">
        <v>1310761</v>
      </c>
      <c r="X20" s="673">
        <v>259546</v>
      </c>
      <c r="Y20" s="673">
        <v>700403</v>
      </c>
      <c r="Z20" s="673">
        <v>615257</v>
      </c>
      <c r="AA20" s="673">
        <v>339879</v>
      </c>
      <c r="AB20" s="673">
        <v>770088</v>
      </c>
      <c r="AC20" s="673">
        <v>93358</v>
      </c>
      <c r="AD20" s="673">
        <v>6433906</v>
      </c>
      <c r="AE20" s="673">
        <v>589313</v>
      </c>
      <c r="AF20" s="673">
        <v>60907</v>
      </c>
      <c r="AG20" s="673">
        <v>6591346</v>
      </c>
      <c r="AH20" s="673">
        <v>15645510</v>
      </c>
      <c r="AI20" s="673">
        <v>4065063</v>
      </c>
      <c r="AJ20" s="673">
        <v>48591639</v>
      </c>
      <c r="AK20" s="673">
        <v>52964</v>
      </c>
      <c r="AL20" s="673">
        <v>2809937</v>
      </c>
      <c r="AM20" s="673">
        <v>323818</v>
      </c>
      <c r="AN20" s="673">
        <v>-87974</v>
      </c>
      <c r="AO20" s="673">
        <v>7292155</v>
      </c>
      <c r="AP20" s="673">
        <v>901272</v>
      </c>
      <c r="AQ20" s="673">
        <v>959852</v>
      </c>
      <c r="AR20" s="673">
        <v>243508</v>
      </c>
      <c r="AS20" s="673">
        <v>408112</v>
      </c>
      <c r="AT20" s="673">
        <v>400562</v>
      </c>
      <c r="AU20" s="673">
        <v>28686</v>
      </c>
      <c r="AV20" s="673">
        <v>23375</v>
      </c>
      <c r="AW20" s="673">
        <v>2068885</v>
      </c>
      <c r="AX20" s="673">
        <v>0</v>
      </c>
      <c r="AY20" s="673">
        <v>10940</v>
      </c>
      <c r="AZ20" s="673">
        <v>12955</v>
      </c>
      <c r="BA20" s="673">
        <v>-29832</v>
      </c>
      <c r="BB20" s="673">
        <v>920415</v>
      </c>
    </row>
    <row r="21" spans="1:54" x14ac:dyDescent="0.25">
      <c r="A21">
        <v>52</v>
      </c>
      <c r="B21">
        <v>52</v>
      </c>
      <c r="C21">
        <v>52</v>
      </c>
      <c r="D21" t="s">
        <v>319</v>
      </c>
      <c r="E21" t="s">
        <v>395</v>
      </c>
      <c r="F21" s="673">
        <v>0</v>
      </c>
      <c r="G21" s="673">
        <v>0</v>
      </c>
      <c r="H21" s="673">
        <v>0</v>
      </c>
      <c r="I21" s="673">
        <v>0</v>
      </c>
      <c r="J21" s="673">
        <v>0</v>
      </c>
      <c r="K21" s="673">
        <v>0</v>
      </c>
      <c r="L21" s="673">
        <v>0</v>
      </c>
      <c r="M21" s="673">
        <v>0</v>
      </c>
      <c r="N21" s="673">
        <v>0</v>
      </c>
      <c r="O21" s="673">
        <v>0</v>
      </c>
      <c r="P21" s="673">
        <v>0</v>
      </c>
      <c r="Q21" s="673">
        <v>0</v>
      </c>
      <c r="R21" s="673">
        <v>0</v>
      </c>
      <c r="S21" s="673">
        <v>0</v>
      </c>
      <c r="T21" s="673">
        <v>0</v>
      </c>
      <c r="U21" s="673">
        <v>0</v>
      </c>
      <c r="V21" s="673">
        <v>9022087</v>
      </c>
      <c r="W21" s="673">
        <v>0</v>
      </c>
      <c r="X21" s="673">
        <v>0</v>
      </c>
      <c r="Y21" s="673">
        <v>0</v>
      </c>
      <c r="Z21" s="673">
        <v>0</v>
      </c>
      <c r="AA21" s="673">
        <v>0</v>
      </c>
      <c r="AB21" s="673">
        <v>0</v>
      </c>
      <c r="AC21" s="673">
        <v>0</v>
      </c>
      <c r="AD21" s="673">
        <v>0</v>
      </c>
      <c r="AE21" s="673">
        <v>0</v>
      </c>
      <c r="AF21" s="673">
        <v>0</v>
      </c>
      <c r="AG21" s="673">
        <v>0</v>
      </c>
      <c r="AH21" s="673">
        <v>0</v>
      </c>
      <c r="AI21" s="673">
        <v>0</v>
      </c>
      <c r="AJ21" s="673">
        <v>16588914</v>
      </c>
      <c r="AK21" s="673">
        <v>0</v>
      </c>
      <c r="AL21" s="673">
        <v>0</v>
      </c>
      <c r="AM21" s="673">
        <v>0</v>
      </c>
      <c r="AN21" s="673">
        <v>0</v>
      </c>
      <c r="AO21" s="673">
        <v>0</v>
      </c>
      <c r="AP21" s="673">
        <v>0</v>
      </c>
      <c r="AQ21" s="673">
        <v>0</v>
      </c>
      <c r="AR21" s="673">
        <v>0</v>
      </c>
      <c r="AS21" s="673">
        <v>0</v>
      </c>
      <c r="AT21" s="673">
        <v>0</v>
      </c>
      <c r="AU21" s="673">
        <v>0</v>
      </c>
      <c r="AV21" s="673">
        <v>0</v>
      </c>
      <c r="AW21" s="673">
        <v>0</v>
      </c>
      <c r="AX21" s="673">
        <v>0</v>
      </c>
      <c r="AY21" s="673">
        <v>0</v>
      </c>
      <c r="AZ21" s="673">
        <v>0</v>
      </c>
      <c r="BA21" s="673">
        <v>0</v>
      </c>
      <c r="BB21" s="673">
        <v>0</v>
      </c>
    </row>
    <row r="22" spans="1:54" x14ac:dyDescent="0.25">
      <c r="A22">
        <v>53</v>
      </c>
      <c r="B22">
        <v>53</v>
      </c>
      <c r="C22">
        <v>53</v>
      </c>
      <c r="D22" t="s">
        <v>961</v>
      </c>
      <c r="E22" t="s">
        <v>396</v>
      </c>
      <c r="F22" s="673">
        <v>0</v>
      </c>
      <c r="G22" s="673">
        <v>0</v>
      </c>
      <c r="H22" s="673">
        <v>0</v>
      </c>
      <c r="I22" s="673">
        <v>0</v>
      </c>
      <c r="J22" s="673">
        <v>0</v>
      </c>
      <c r="K22" s="673">
        <v>0</v>
      </c>
      <c r="L22" s="673">
        <v>0</v>
      </c>
      <c r="M22" s="673">
        <v>0</v>
      </c>
      <c r="N22" s="673">
        <v>0</v>
      </c>
      <c r="O22" s="673">
        <v>0</v>
      </c>
      <c r="P22" s="673">
        <v>0</v>
      </c>
      <c r="Q22" s="673">
        <v>0</v>
      </c>
      <c r="R22" s="673">
        <v>0</v>
      </c>
      <c r="S22" s="673">
        <v>0</v>
      </c>
      <c r="T22" s="673">
        <v>0</v>
      </c>
      <c r="U22" s="673">
        <v>0</v>
      </c>
      <c r="V22" s="673">
        <v>9955900</v>
      </c>
      <c r="W22" s="673">
        <v>0</v>
      </c>
      <c r="X22" s="673">
        <v>0</v>
      </c>
      <c r="Y22" s="673">
        <v>0</v>
      </c>
      <c r="Z22" s="673">
        <v>0</v>
      </c>
      <c r="AA22" s="673">
        <v>0</v>
      </c>
      <c r="AB22" s="673">
        <v>0</v>
      </c>
      <c r="AC22" s="673">
        <v>0</v>
      </c>
      <c r="AD22" s="673">
        <v>0</v>
      </c>
      <c r="AE22" s="673">
        <v>0</v>
      </c>
      <c r="AF22" s="673">
        <v>0</v>
      </c>
      <c r="AG22" s="673">
        <v>0</v>
      </c>
      <c r="AH22" s="673">
        <v>0</v>
      </c>
      <c r="AI22" s="673">
        <v>0</v>
      </c>
      <c r="AJ22" s="673">
        <v>14551905</v>
      </c>
      <c r="AK22" s="673">
        <v>0</v>
      </c>
      <c r="AL22" s="673">
        <v>0</v>
      </c>
      <c r="AM22" s="673">
        <v>0</v>
      </c>
      <c r="AN22" s="673">
        <v>0</v>
      </c>
      <c r="AO22" s="673">
        <v>0</v>
      </c>
      <c r="AP22" s="673">
        <v>0</v>
      </c>
      <c r="AQ22" s="673">
        <v>0</v>
      </c>
      <c r="AR22" s="673">
        <v>0</v>
      </c>
      <c r="AS22" s="673">
        <v>0</v>
      </c>
      <c r="AT22" s="673">
        <v>0</v>
      </c>
      <c r="AU22" s="673">
        <v>0</v>
      </c>
      <c r="AV22" s="673">
        <v>0</v>
      </c>
      <c r="AW22" s="673">
        <v>0</v>
      </c>
      <c r="AX22" s="673">
        <v>0</v>
      </c>
      <c r="AY22" s="673">
        <v>0</v>
      </c>
      <c r="AZ22" s="673">
        <v>0</v>
      </c>
      <c r="BA22" s="673">
        <v>0</v>
      </c>
      <c r="BB22" s="673">
        <v>0</v>
      </c>
    </row>
    <row r="23" spans="1:54" x14ac:dyDescent="0.25">
      <c r="A23">
        <v>55</v>
      </c>
      <c r="B23">
        <v>55</v>
      </c>
      <c r="C23">
        <v>55</v>
      </c>
      <c r="D23" t="s">
        <v>329</v>
      </c>
      <c r="E23" t="s">
        <v>397</v>
      </c>
      <c r="F23" s="673">
        <v>0</v>
      </c>
      <c r="G23" s="673">
        <v>0</v>
      </c>
      <c r="H23" s="673">
        <v>0</v>
      </c>
      <c r="I23" s="673">
        <v>0</v>
      </c>
      <c r="J23" s="673">
        <v>0</v>
      </c>
      <c r="K23" s="673">
        <v>0</v>
      </c>
      <c r="L23" s="673">
        <v>0</v>
      </c>
      <c r="M23" s="673">
        <v>0</v>
      </c>
      <c r="N23" s="673">
        <v>0</v>
      </c>
      <c r="O23" s="673">
        <v>0</v>
      </c>
      <c r="P23" s="673">
        <v>0</v>
      </c>
      <c r="Q23" s="673">
        <v>0</v>
      </c>
      <c r="R23" s="673">
        <v>0</v>
      </c>
      <c r="S23" s="673">
        <v>0</v>
      </c>
      <c r="T23" s="673">
        <v>0</v>
      </c>
      <c r="U23" s="673">
        <v>0</v>
      </c>
      <c r="V23" s="673">
        <v>24952053</v>
      </c>
      <c r="W23" s="673">
        <v>0</v>
      </c>
      <c r="X23" s="673">
        <v>0</v>
      </c>
      <c r="Y23" s="673">
        <v>0</v>
      </c>
      <c r="Z23" s="673">
        <v>0</v>
      </c>
      <c r="AA23" s="673">
        <v>0</v>
      </c>
      <c r="AB23" s="673">
        <v>0</v>
      </c>
      <c r="AC23" s="673">
        <v>0</v>
      </c>
      <c r="AD23" s="673">
        <v>0</v>
      </c>
      <c r="AE23" s="673">
        <v>0</v>
      </c>
      <c r="AF23" s="673">
        <v>0</v>
      </c>
      <c r="AG23" s="673">
        <v>0</v>
      </c>
      <c r="AH23" s="673">
        <v>0</v>
      </c>
      <c r="AI23" s="673">
        <v>0</v>
      </c>
      <c r="AJ23" s="673">
        <v>29887846</v>
      </c>
      <c r="AK23" s="673">
        <v>0</v>
      </c>
      <c r="AL23" s="673">
        <v>0</v>
      </c>
      <c r="AM23" s="673">
        <v>0</v>
      </c>
      <c r="AN23" s="673">
        <v>0</v>
      </c>
      <c r="AO23" s="673">
        <v>0</v>
      </c>
      <c r="AP23" s="673">
        <v>0</v>
      </c>
      <c r="AQ23" s="673">
        <v>0</v>
      </c>
      <c r="AR23" s="673">
        <v>0</v>
      </c>
      <c r="AS23" s="673">
        <v>0</v>
      </c>
      <c r="AT23" s="673">
        <v>0</v>
      </c>
      <c r="AU23" s="673">
        <v>0</v>
      </c>
      <c r="AV23" s="673">
        <v>0</v>
      </c>
      <c r="AW23" s="673">
        <v>0</v>
      </c>
      <c r="AX23" s="673">
        <v>0</v>
      </c>
      <c r="AY23" s="673">
        <v>0</v>
      </c>
      <c r="AZ23" s="673">
        <v>0</v>
      </c>
      <c r="BA23" s="673">
        <v>0</v>
      </c>
      <c r="BB23" s="673">
        <v>0</v>
      </c>
    </row>
    <row r="24" spans="1:54" x14ac:dyDescent="0.25">
      <c r="A24">
        <v>61</v>
      </c>
      <c r="B24">
        <v>61</v>
      </c>
      <c r="C24">
        <v>61</v>
      </c>
      <c r="D24" t="s">
        <v>349</v>
      </c>
      <c r="E24" t="s">
        <v>398</v>
      </c>
      <c r="F24" s="673">
        <v>0</v>
      </c>
      <c r="G24" s="673">
        <v>0</v>
      </c>
      <c r="H24" s="673">
        <v>0</v>
      </c>
      <c r="I24" s="673">
        <v>0</v>
      </c>
      <c r="J24" s="673">
        <v>0</v>
      </c>
      <c r="K24" s="673">
        <v>0</v>
      </c>
      <c r="L24" s="673">
        <v>0</v>
      </c>
      <c r="M24" s="673">
        <v>97.66</v>
      </c>
      <c r="N24" s="673">
        <v>0</v>
      </c>
      <c r="O24" s="673">
        <v>0</v>
      </c>
      <c r="P24" s="673">
        <v>0</v>
      </c>
      <c r="Q24" s="673">
        <v>0</v>
      </c>
      <c r="R24" s="673">
        <v>0</v>
      </c>
      <c r="S24" s="673">
        <v>0</v>
      </c>
      <c r="T24" s="673">
        <v>0</v>
      </c>
      <c r="U24" s="673">
        <v>0</v>
      </c>
      <c r="V24" s="673">
        <v>0</v>
      </c>
      <c r="W24" s="673">
        <v>0</v>
      </c>
      <c r="X24" s="673">
        <v>0</v>
      </c>
      <c r="Y24" s="673">
        <v>98.69</v>
      </c>
      <c r="Z24" s="673">
        <v>0</v>
      </c>
      <c r="AA24" s="673">
        <v>0</v>
      </c>
      <c r="AB24" s="673">
        <v>0</v>
      </c>
      <c r="AC24" s="673">
        <v>0</v>
      </c>
      <c r="AD24" s="673">
        <v>0</v>
      </c>
      <c r="AE24" s="673">
        <v>0</v>
      </c>
      <c r="AF24" s="673">
        <v>0</v>
      </c>
      <c r="AG24" s="673">
        <v>0</v>
      </c>
      <c r="AH24" s="673">
        <v>0</v>
      </c>
      <c r="AI24" s="673">
        <v>0</v>
      </c>
      <c r="AJ24" s="673">
        <v>0</v>
      </c>
      <c r="AK24" s="673">
        <v>98.89</v>
      </c>
      <c r="AL24" s="673">
        <v>0</v>
      </c>
      <c r="AM24" s="673">
        <v>0</v>
      </c>
      <c r="AN24" s="673">
        <v>98.72</v>
      </c>
      <c r="AO24" s="673">
        <v>0</v>
      </c>
      <c r="AP24" s="673">
        <v>0</v>
      </c>
      <c r="AQ24" s="673">
        <v>0</v>
      </c>
      <c r="AR24" s="673">
        <v>0</v>
      </c>
      <c r="AS24" s="673">
        <v>0</v>
      </c>
      <c r="AT24" s="673">
        <v>0</v>
      </c>
      <c r="AU24" s="673">
        <v>0</v>
      </c>
      <c r="AV24" s="673">
        <v>0</v>
      </c>
      <c r="AW24" s="673">
        <v>0</v>
      </c>
      <c r="AX24" s="673">
        <v>0</v>
      </c>
      <c r="AY24" s="673">
        <v>100</v>
      </c>
      <c r="AZ24" s="673">
        <v>0</v>
      </c>
      <c r="BA24" s="673">
        <v>0</v>
      </c>
      <c r="BB24" s="673">
        <v>0</v>
      </c>
    </row>
    <row r="25" spans="1:54" x14ac:dyDescent="0.25">
      <c r="A25">
        <v>80</v>
      </c>
      <c r="B25">
        <v>80</v>
      </c>
      <c r="C25">
        <v>80</v>
      </c>
      <c r="D25" t="s">
        <v>298</v>
      </c>
      <c r="E25" t="s">
        <v>399</v>
      </c>
      <c r="F25" s="673">
        <v>1330171</v>
      </c>
      <c r="G25" s="673">
        <v>4368127</v>
      </c>
      <c r="H25" s="673">
        <v>9119517</v>
      </c>
      <c r="I25" s="673">
        <v>6876774</v>
      </c>
      <c r="J25" s="673">
        <v>70016652</v>
      </c>
      <c r="K25" s="673">
        <v>15659598</v>
      </c>
      <c r="L25" s="673">
        <v>107748466</v>
      </c>
      <c r="M25" s="673">
        <v>4975407</v>
      </c>
      <c r="N25" s="673">
        <v>0</v>
      </c>
      <c r="O25" s="673">
        <v>2573645</v>
      </c>
      <c r="P25" s="673">
        <v>3593692</v>
      </c>
      <c r="Q25" s="673">
        <v>138501</v>
      </c>
      <c r="R25" s="673">
        <v>1304234</v>
      </c>
      <c r="S25" s="673">
        <v>307235</v>
      </c>
      <c r="T25" s="673">
        <v>6635346</v>
      </c>
      <c r="U25" s="673">
        <v>270010</v>
      </c>
      <c r="V25" s="673">
        <v>13155343</v>
      </c>
      <c r="W25" s="673">
        <v>2356010</v>
      </c>
      <c r="X25" s="673">
        <v>816042</v>
      </c>
      <c r="Y25" s="673">
        <v>2455258</v>
      </c>
      <c r="Z25" s="673">
        <v>3320994</v>
      </c>
      <c r="AA25" s="673">
        <v>870241</v>
      </c>
      <c r="AB25" s="673">
        <v>2192612</v>
      </c>
      <c r="AC25" s="673">
        <v>1477767</v>
      </c>
      <c r="AD25" s="673">
        <v>9638430</v>
      </c>
      <c r="AE25" s="673">
        <v>1713781</v>
      </c>
      <c r="AF25" s="673">
        <v>676221</v>
      </c>
      <c r="AG25" s="673">
        <v>41768868</v>
      </c>
      <c r="AH25" s="673">
        <v>15961713</v>
      </c>
      <c r="AI25" s="673">
        <v>13991673</v>
      </c>
      <c r="AJ25" s="673">
        <v>36959733</v>
      </c>
      <c r="AK25" s="673">
        <v>349594</v>
      </c>
      <c r="AL25" s="673">
        <v>12447398</v>
      </c>
      <c r="AM25" s="673">
        <v>410619</v>
      </c>
      <c r="AN25" s="673">
        <v>1508329</v>
      </c>
      <c r="AO25" s="673">
        <v>27806367</v>
      </c>
      <c r="AP25" s="673">
        <v>2919997</v>
      </c>
      <c r="AQ25" s="673">
        <v>5372647</v>
      </c>
      <c r="AR25" s="673">
        <v>1894382</v>
      </c>
      <c r="AS25" s="673">
        <v>970079</v>
      </c>
      <c r="AT25" s="673">
        <v>0</v>
      </c>
      <c r="AU25" s="673">
        <v>128088</v>
      </c>
      <c r="AV25" s="673">
        <v>165154</v>
      </c>
      <c r="AW25" s="673">
        <v>12998747</v>
      </c>
      <c r="AX25" s="673">
        <v>0</v>
      </c>
      <c r="AY25" s="673">
        <v>40110</v>
      </c>
      <c r="AZ25" s="673">
        <v>28281</v>
      </c>
      <c r="BA25" s="673">
        <v>923112</v>
      </c>
      <c r="BB25" s="673">
        <v>1304848</v>
      </c>
    </row>
    <row r="26" spans="1:54" x14ac:dyDescent="0.25">
      <c r="A26">
        <v>81</v>
      </c>
      <c r="B26">
        <v>81</v>
      </c>
      <c r="C26">
        <v>81</v>
      </c>
      <c r="D26" t="s">
        <v>299</v>
      </c>
      <c r="E26" t="s">
        <v>400</v>
      </c>
      <c r="F26" s="673">
        <v>295842</v>
      </c>
      <c r="G26" s="673">
        <v>287290</v>
      </c>
      <c r="H26" s="673">
        <v>933434</v>
      </c>
      <c r="I26" s="673">
        <v>1868530</v>
      </c>
      <c r="J26" s="673">
        <v>6244956</v>
      </c>
      <c r="K26" s="673">
        <v>1388803</v>
      </c>
      <c r="L26" s="673">
        <v>15284578</v>
      </c>
      <c r="M26" s="673">
        <v>801098</v>
      </c>
      <c r="N26" s="673">
        <v>0</v>
      </c>
      <c r="O26" s="673">
        <v>52134</v>
      </c>
      <c r="P26" s="673">
        <v>373243</v>
      </c>
      <c r="Q26" s="673">
        <v>69266</v>
      </c>
      <c r="R26" s="673">
        <v>89133</v>
      </c>
      <c r="S26" s="673">
        <v>27607</v>
      </c>
      <c r="T26" s="673">
        <v>282284</v>
      </c>
      <c r="U26" s="673">
        <v>72179</v>
      </c>
      <c r="V26" s="673">
        <v>4813865</v>
      </c>
      <c r="W26" s="673">
        <v>536887</v>
      </c>
      <c r="X26" s="673">
        <v>38281</v>
      </c>
      <c r="Y26" s="673">
        <v>391193</v>
      </c>
      <c r="Z26" s="673">
        <v>415956</v>
      </c>
      <c r="AA26" s="673">
        <v>193902</v>
      </c>
      <c r="AB26" s="673">
        <v>1016</v>
      </c>
      <c r="AC26" s="673">
        <v>43538</v>
      </c>
      <c r="AD26" s="673">
        <v>31876</v>
      </c>
      <c r="AE26" s="673">
        <v>170376</v>
      </c>
      <c r="AF26" s="673">
        <v>78032</v>
      </c>
      <c r="AG26" s="673">
        <v>2991844</v>
      </c>
      <c r="AH26" s="673">
        <v>5090491</v>
      </c>
      <c r="AI26" s="673">
        <v>483486</v>
      </c>
      <c r="AJ26" s="673">
        <v>19232883</v>
      </c>
      <c r="AK26" s="673">
        <v>6878</v>
      </c>
      <c r="AL26" s="673">
        <v>520667</v>
      </c>
      <c r="AM26" s="673">
        <v>86557</v>
      </c>
      <c r="AN26" s="673">
        <v>16163</v>
      </c>
      <c r="AO26" s="673">
        <v>1334373</v>
      </c>
      <c r="AP26" s="673">
        <v>155604</v>
      </c>
      <c r="AQ26" s="673">
        <v>584269</v>
      </c>
      <c r="AR26" s="673">
        <v>133858</v>
      </c>
      <c r="AS26" s="673">
        <v>102295</v>
      </c>
      <c r="AT26" s="673">
        <v>95504</v>
      </c>
      <c r="AU26" s="673">
        <v>5159</v>
      </c>
      <c r="AV26" s="673">
        <v>27157</v>
      </c>
      <c r="AW26" s="673">
        <v>727935</v>
      </c>
      <c r="AX26" s="673">
        <v>0</v>
      </c>
      <c r="AY26" s="673">
        <v>0</v>
      </c>
      <c r="AZ26" s="673">
        <v>818</v>
      </c>
      <c r="BA26" s="673">
        <v>267274</v>
      </c>
      <c r="BB26" s="673">
        <v>651217</v>
      </c>
    </row>
    <row r="27" spans="1:54" x14ac:dyDescent="0.25">
      <c r="A27">
        <v>82</v>
      </c>
      <c r="B27">
        <v>82</v>
      </c>
      <c r="C27">
        <v>82</v>
      </c>
      <c r="D27" t="s">
        <v>572</v>
      </c>
      <c r="E27" t="s">
        <v>401</v>
      </c>
      <c r="F27" s="673">
        <v>3861857</v>
      </c>
      <c r="G27" s="673">
        <v>6437531</v>
      </c>
      <c r="H27" s="673">
        <v>20115070</v>
      </c>
      <c r="I27" s="673">
        <v>5776667</v>
      </c>
      <c r="J27" s="673">
        <v>117202011</v>
      </c>
      <c r="K27" s="673">
        <v>11312132</v>
      </c>
      <c r="L27" s="673">
        <v>0</v>
      </c>
      <c r="M27" s="673">
        <v>2193183</v>
      </c>
      <c r="N27" s="673">
        <v>0</v>
      </c>
      <c r="O27" s="673">
        <v>15139000</v>
      </c>
      <c r="P27" s="673">
        <v>7671964</v>
      </c>
      <c r="Q27" s="673">
        <v>0</v>
      </c>
      <c r="R27" s="673">
        <v>1350094</v>
      </c>
      <c r="S27" s="673">
        <v>2243000</v>
      </c>
      <c r="T27" s="673">
        <v>1914395</v>
      </c>
      <c r="U27" s="673">
        <v>137059</v>
      </c>
      <c r="V27" s="673">
        <v>74595940</v>
      </c>
      <c r="W27" s="673">
        <v>13631907</v>
      </c>
      <c r="X27" s="673">
        <v>417815</v>
      </c>
      <c r="Y27" s="673">
        <v>2434735</v>
      </c>
      <c r="Z27" s="673">
        <v>24445388</v>
      </c>
      <c r="AA27" s="673">
        <v>2118743</v>
      </c>
      <c r="AB27" s="673">
        <v>17715179</v>
      </c>
      <c r="AC27" s="673">
        <v>0</v>
      </c>
      <c r="AD27" s="673">
        <v>78439691</v>
      </c>
      <c r="AE27" s="673">
        <v>4047350</v>
      </c>
      <c r="AF27" s="673">
        <v>1949845</v>
      </c>
      <c r="AG27" s="673">
        <v>78433479</v>
      </c>
      <c r="AH27" s="673">
        <v>65180515</v>
      </c>
      <c r="AI27" s="673">
        <v>17712760</v>
      </c>
      <c r="AJ27" s="673">
        <v>255995924</v>
      </c>
      <c r="AK27" s="673">
        <v>99042</v>
      </c>
      <c r="AL27" s="673">
        <v>9770270</v>
      </c>
      <c r="AM27" s="673">
        <v>1836359</v>
      </c>
      <c r="AN27" s="673">
        <v>0</v>
      </c>
      <c r="AO27" s="673">
        <v>42314765</v>
      </c>
      <c r="AP27" s="673">
        <v>5007985</v>
      </c>
      <c r="AQ27" s="673">
        <v>7454683</v>
      </c>
      <c r="AR27" s="673">
        <v>0</v>
      </c>
      <c r="AS27" s="673">
        <v>837149</v>
      </c>
      <c r="AT27" s="673">
        <v>7162000</v>
      </c>
      <c r="AU27" s="673">
        <v>0</v>
      </c>
      <c r="AV27" s="673">
        <v>0</v>
      </c>
      <c r="AW27" s="673">
        <v>10804506</v>
      </c>
      <c r="AX27" s="673">
        <v>0</v>
      </c>
      <c r="AY27" s="673">
        <v>78000</v>
      </c>
      <c r="AZ27" s="673">
        <v>0</v>
      </c>
      <c r="BA27" s="673">
        <v>0</v>
      </c>
      <c r="BB27" s="673">
        <v>5812451</v>
      </c>
    </row>
    <row r="28" spans="1:54" x14ac:dyDescent="0.25">
      <c r="A28">
        <v>83</v>
      </c>
      <c r="B28">
        <v>83</v>
      </c>
      <c r="C28">
        <v>83</v>
      </c>
      <c r="D28" t="s">
        <v>125</v>
      </c>
      <c r="E28" t="s">
        <v>402</v>
      </c>
      <c r="F28" s="673">
        <v>11562459</v>
      </c>
      <c r="G28" s="673">
        <v>17260010</v>
      </c>
      <c r="H28" s="673">
        <v>22377117</v>
      </c>
      <c r="I28" s="673">
        <v>4856607</v>
      </c>
      <c r="J28" s="673">
        <v>394010651</v>
      </c>
      <c r="K28" s="673">
        <v>143978796</v>
      </c>
      <c r="L28" s="673">
        <v>537346597</v>
      </c>
      <c r="M28" s="673">
        <v>36793557</v>
      </c>
      <c r="N28" s="673">
        <v>0</v>
      </c>
      <c r="O28" s="673">
        <v>16321396</v>
      </c>
      <c r="P28" s="673">
        <v>21668836</v>
      </c>
      <c r="Q28" s="673">
        <v>3397857</v>
      </c>
      <c r="R28" s="673">
        <v>2943063</v>
      </c>
      <c r="S28" s="673">
        <v>2730313</v>
      </c>
      <c r="T28" s="673">
        <v>21193980</v>
      </c>
      <c r="U28" s="673">
        <v>1791221</v>
      </c>
      <c r="V28" s="673">
        <v>181731414</v>
      </c>
      <c r="W28" s="673">
        <v>9272812</v>
      </c>
      <c r="X28" s="673">
        <v>1843289</v>
      </c>
      <c r="Y28" s="673">
        <v>11542738</v>
      </c>
      <c r="Z28" s="673">
        <v>23432914</v>
      </c>
      <c r="AA28" s="673">
        <v>5043005</v>
      </c>
      <c r="AB28" s="673">
        <v>8943269</v>
      </c>
      <c r="AC28" s="673">
        <v>2886714</v>
      </c>
      <c r="AD28" s="673">
        <v>38464461</v>
      </c>
      <c r="AE28" s="673">
        <v>9383071</v>
      </c>
      <c r="AF28" s="673">
        <v>1512795</v>
      </c>
      <c r="AG28" s="673">
        <v>141131441</v>
      </c>
      <c r="AH28" s="673">
        <v>264838074</v>
      </c>
      <c r="AI28" s="673">
        <v>114075767</v>
      </c>
      <c r="AJ28" s="673">
        <v>486273621</v>
      </c>
      <c r="AK28" s="673">
        <v>418216</v>
      </c>
      <c r="AL28" s="673">
        <v>38609747</v>
      </c>
      <c r="AM28" s="673">
        <v>5366482</v>
      </c>
      <c r="AN28" s="673">
        <v>2012363</v>
      </c>
      <c r="AO28" s="673">
        <v>41349470</v>
      </c>
      <c r="AP28" s="673">
        <v>9891910</v>
      </c>
      <c r="AQ28" s="673">
        <v>19938992</v>
      </c>
      <c r="AR28" s="673">
        <v>5271400</v>
      </c>
      <c r="AS28" s="673">
        <v>5767205</v>
      </c>
      <c r="AT28" s="673">
        <v>3499268</v>
      </c>
      <c r="AU28" s="673">
        <v>1182037</v>
      </c>
      <c r="AV28" s="673">
        <v>3826498</v>
      </c>
      <c r="AW28" s="673">
        <v>38507815</v>
      </c>
      <c r="AX28" s="673">
        <v>11082137</v>
      </c>
      <c r="AY28" s="673">
        <v>43258</v>
      </c>
      <c r="AZ28" s="673">
        <v>127598</v>
      </c>
      <c r="BA28" s="673">
        <v>9866801</v>
      </c>
      <c r="BB28" s="673">
        <v>16977997</v>
      </c>
    </row>
    <row r="29" spans="1:54" x14ac:dyDescent="0.25">
      <c r="A29">
        <v>84</v>
      </c>
      <c r="B29">
        <v>84</v>
      </c>
      <c r="C29">
        <v>84</v>
      </c>
      <c r="D29" t="s">
        <v>307</v>
      </c>
      <c r="E29" t="s">
        <v>403</v>
      </c>
      <c r="F29" s="673">
        <v>1643179</v>
      </c>
      <c r="G29" s="673">
        <v>2563823</v>
      </c>
      <c r="H29" s="673">
        <v>7141102</v>
      </c>
      <c r="I29" s="673">
        <v>10813483</v>
      </c>
      <c r="J29" s="673">
        <v>42993030</v>
      </c>
      <c r="K29" s="673">
        <v>15442545</v>
      </c>
      <c r="L29" s="673">
        <v>82740253</v>
      </c>
      <c r="M29" s="673">
        <v>7202473</v>
      </c>
      <c r="N29" s="673">
        <v>0</v>
      </c>
      <c r="O29" s="673">
        <v>2517796</v>
      </c>
      <c r="P29" s="673">
        <v>3015196</v>
      </c>
      <c r="Q29" s="673">
        <v>214692</v>
      </c>
      <c r="R29" s="673">
        <v>1005704</v>
      </c>
      <c r="S29" s="673">
        <v>208605</v>
      </c>
      <c r="T29" s="673">
        <v>2134553</v>
      </c>
      <c r="U29" s="673">
        <v>394544</v>
      </c>
      <c r="V29" s="673">
        <v>43187932</v>
      </c>
      <c r="W29" s="673">
        <v>3354776</v>
      </c>
      <c r="X29" s="673">
        <v>494170</v>
      </c>
      <c r="Y29" s="673">
        <v>2370748</v>
      </c>
      <c r="Z29" s="673">
        <v>4264474</v>
      </c>
      <c r="AA29" s="673">
        <v>1805308</v>
      </c>
      <c r="AB29" s="673">
        <v>1752067</v>
      </c>
      <c r="AC29" s="673">
        <v>417616</v>
      </c>
      <c r="AD29" s="673">
        <v>10298064</v>
      </c>
      <c r="AE29" s="673">
        <v>1183612</v>
      </c>
      <c r="AF29" s="673">
        <v>896754</v>
      </c>
      <c r="AG29" s="673">
        <v>21767228</v>
      </c>
      <c r="AH29" s="673">
        <v>37543243</v>
      </c>
      <c r="AI29" s="673">
        <v>8303196</v>
      </c>
      <c r="AJ29" s="673">
        <v>92846184</v>
      </c>
      <c r="AK29" s="673">
        <v>82492</v>
      </c>
      <c r="AL29" s="673">
        <v>8203575</v>
      </c>
      <c r="AM29" s="673">
        <v>709721</v>
      </c>
      <c r="AN29" s="673">
        <v>119076</v>
      </c>
      <c r="AO29" s="673">
        <v>11942889</v>
      </c>
      <c r="AP29" s="673">
        <v>2277692</v>
      </c>
      <c r="AQ29" s="673">
        <v>2653516</v>
      </c>
      <c r="AR29" s="673">
        <v>1306461</v>
      </c>
      <c r="AS29" s="673">
        <v>718828</v>
      </c>
      <c r="AT29" s="673">
        <v>528719</v>
      </c>
      <c r="AU29" s="673">
        <v>123785</v>
      </c>
      <c r="AV29" s="673">
        <v>138421</v>
      </c>
      <c r="AW29" s="673">
        <v>5298924</v>
      </c>
      <c r="AX29" s="673">
        <v>0</v>
      </c>
      <c r="AY29" s="673">
        <v>18489</v>
      </c>
      <c r="AZ29" s="673">
        <v>39033</v>
      </c>
      <c r="BA29" s="673">
        <v>1775380</v>
      </c>
      <c r="BB29" s="673">
        <v>2297032</v>
      </c>
    </row>
    <row r="30" spans="1:54" x14ac:dyDescent="0.25">
      <c r="A30">
        <v>85</v>
      </c>
      <c r="B30">
        <v>85</v>
      </c>
      <c r="C30">
        <v>85</v>
      </c>
      <c r="D30" t="s">
        <v>309</v>
      </c>
      <c r="E30" t="s">
        <v>404</v>
      </c>
      <c r="F30" s="673">
        <v>1766202</v>
      </c>
      <c r="G30" s="673">
        <v>1911229</v>
      </c>
      <c r="H30" s="673">
        <v>4349132</v>
      </c>
      <c r="I30" s="673">
        <v>8925786</v>
      </c>
      <c r="J30" s="673">
        <v>26771007</v>
      </c>
      <c r="K30" s="673">
        <v>17629146</v>
      </c>
      <c r="L30" s="673">
        <v>66487532</v>
      </c>
      <c r="M30" s="673">
        <v>6628588</v>
      </c>
      <c r="N30" s="673">
        <v>0</v>
      </c>
      <c r="O30" s="673">
        <v>2183857</v>
      </c>
      <c r="P30" s="673">
        <v>2446235</v>
      </c>
      <c r="Q30" s="673">
        <v>332781</v>
      </c>
      <c r="R30" s="673">
        <v>742548</v>
      </c>
      <c r="S30" s="673">
        <v>272801</v>
      </c>
      <c r="T30" s="673">
        <v>2135367</v>
      </c>
      <c r="U30" s="673">
        <v>412966</v>
      </c>
      <c r="V30" s="673">
        <v>35851076</v>
      </c>
      <c r="W30" s="673">
        <v>2641467</v>
      </c>
      <c r="X30" s="673">
        <v>343458</v>
      </c>
      <c r="Y30" s="673">
        <v>1972453</v>
      </c>
      <c r="Z30" s="673">
        <v>4345846</v>
      </c>
      <c r="AA30" s="673">
        <v>1740342</v>
      </c>
      <c r="AB30" s="673">
        <v>2030937</v>
      </c>
      <c r="AC30" s="673">
        <v>400135</v>
      </c>
      <c r="AD30" s="673">
        <v>7356145</v>
      </c>
      <c r="AE30" s="673">
        <v>918623</v>
      </c>
      <c r="AF30" s="673">
        <v>934085</v>
      </c>
      <c r="AG30" s="673">
        <v>21311105</v>
      </c>
      <c r="AH30" s="673">
        <v>31477655</v>
      </c>
      <c r="AI30" s="673">
        <v>7347137</v>
      </c>
      <c r="AJ30" s="673">
        <v>70030408</v>
      </c>
      <c r="AK30" s="673">
        <v>41579</v>
      </c>
      <c r="AL30" s="673">
        <v>7613149</v>
      </c>
      <c r="AM30" s="673">
        <v>593299</v>
      </c>
      <c r="AN30" s="673">
        <v>241329</v>
      </c>
      <c r="AO30" s="673">
        <v>6784579</v>
      </c>
      <c r="AP30" s="673">
        <v>1838743</v>
      </c>
      <c r="AQ30" s="673">
        <v>2456957</v>
      </c>
      <c r="AR30" s="673">
        <v>1263175</v>
      </c>
      <c r="AS30" s="673">
        <v>510977</v>
      </c>
      <c r="AT30" s="673">
        <v>439446</v>
      </c>
      <c r="AU30" s="673">
        <v>135395</v>
      </c>
      <c r="AV30" s="673">
        <v>194491</v>
      </c>
      <c r="AW30" s="673">
        <v>4958332</v>
      </c>
      <c r="AX30" s="673">
        <v>55622</v>
      </c>
      <c r="AY30" s="673">
        <v>10899</v>
      </c>
      <c r="AZ30" s="673">
        <v>38347</v>
      </c>
      <c r="BA30" s="673">
        <v>1944837</v>
      </c>
      <c r="BB30" s="673">
        <v>1990839</v>
      </c>
    </row>
    <row r="31" spans="1:54" x14ac:dyDescent="0.25">
      <c r="A31">
        <v>88</v>
      </c>
      <c r="B31">
        <v>88</v>
      </c>
      <c r="C31">
        <v>88</v>
      </c>
      <c r="D31" t="s">
        <v>306</v>
      </c>
      <c r="E31" t="s">
        <v>405</v>
      </c>
      <c r="F31" s="673">
        <v>1578710</v>
      </c>
      <c r="G31" s="673">
        <v>2451007</v>
      </c>
      <c r="H31" s="673">
        <v>6679187</v>
      </c>
      <c r="I31" s="673">
        <v>6006217</v>
      </c>
      <c r="J31" s="673">
        <v>36891000</v>
      </c>
      <c r="K31" s="673">
        <v>15442545</v>
      </c>
      <c r="L31" s="673">
        <v>73276538</v>
      </c>
      <c r="M31" s="673">
        <v>7015693</v>
      </c>
      <c r="N31" s="673">
        <v>0</v>
      </c>
      <c r="O31" s="673">
        <v>2454731</v>
      </c>
      <c r="P31" s="673">
        <v>2786460</v>
      </c>
      <c r="Q31" s="673">
        <v>206708</v>
      </c>
      <c r="R31" s="673">
        <v>951055</v>
      </c>
      <c r="S31" s="673">
        <v>208605</v>
      </c>
      <c r="T31" s="673">
        <v>2062840</v>
      </c>
      <c r="U31" s="673">
        <v>272880</v>
      </c>
      <c r="V31" s="673">
        <v>42951971</v>
      </c>
      <c r="W31" s="673">
        <v>3160976</v>
      </c>
      <c r="X31" s="673">
        <v>387972</v>
      </c>
      <c r="Y31" s="673">
        <v>2293427</v>
      </c>
      <c r="Z31" s="673">
        <v>4228333</v>
      </c>
      <c r="AA31" s="673">
        <v>1769532</v>
      </c>
      <c r="AB31" s="673">
        <v>1752067</v>
      </c>
      <c r="AC31" s="673">
        <v>417616</v>
      </c>
      <c r="AD31" s="673">
        <v>10282800</v>
      </c>
      <c r="AE31" s="673">
        <v>1087013</v>
      </c>
      <c r="AF31" s="673">
        <v>674351</v>
      </c>
      <c r="AG31" s="673">
        <v>20205593</v>
      </c>
      <c r="AH31" s="673">
        <v>35881810</v>
      </c>
      <c r="AI31" s="673">
        <v>8102626</v>
      </c>
      <c r="AJ31" s="673">
        <v>84142341</v>
      </c>
      <c r="AK31" s="673">
        <v>82492</v>
      </c>
      <c r="AL31" s="673">
        <v>7932958</v>
      </c>
      <c r="AM31" s="673">
        <v>682082</v>
      </c>
      <c r="AN31" s="673">
        <v>117576</v>
      </c>
      <c r="AO31" s="673">
        <v>10993595</v>
      </c>
      <c r="AP31" s="673">
        <v>1656594</v>
      </c>
      <c r="AQ31" s="673">
        <v>2529153</v>
      </c>
      <c r="AR31" s="673">
        <v>1233173</v>
      </c>
      <c r="AS31" s="673">
        <v>691481</v>
      </c>
      <c r="AT31" s="673">
        <v>528719</v>
      </c>
      <c r="AU31" s="673">
        <v>123785</v>
      </c>
      <c r="AV31" s="673">
        <v>138421</v>
      </c>
      <c r="AW31" s="673">
        <v>4024924</v>
      </c>
      <c r="AX31" s="673">
        <v>0</v>
      </c>
      <c r="AY31" s="673">
        <v>0</v>
      </c>
      <c r="AZ31" s="673">
        <v>39033</v>
      </c>
      <c r="BA31" s="673">
        <v>1493396</v>
      </c>
      <c r="BB31" s="673">
        <v>2254810</v>
      </c>
    </row>
    <row r="32" spans="1:54" x14ac:dyDescent="0.25">
      <c r="A32">
        <v>89</v>
      </c>
      <c r="B32">
        <v>89</v>
      </c>
      <c r="C32">
        <v>89</v>
      </c>
      <c r="D32" t="s">
        <v>310</v>
      </c>
      <c r="E32" t="s">
        <v>406</v>
      </c>
      <c r="F32" s="673">
        <v>118675</v>
      </c>
      <c r="G32" s="673">
        <v>72191</v>
      </c>
      <c r="H32" s="673">
        <v>594238</v>
      </c>
      <c r="I32" s="673">
        <v>110783</v>
      </c>
      <c r="J32" s="673">
        <v>3515801</v>
      </c>
      <c r="K32" s="673">
        <v>338379</v>
      </c>
      <c r="L32" s="673">
        <v>8660925</v>
      </c>
      <c r="M32" s="673">
        <v>44260</v>
      </c>
      <c r="N32" s="673">
        <v>0</v>
      </c>
      <c r="O32" s="673">
        <v>439981</v>
      </c>
      <c r="P32" s="673">
        <v>137041</v>
      </c>
      <c r="Q32" s="673">
        <v>0</v>
      </c>
      <c r="R32" s="673">
        <v>81507</v>
      </c>
      <c r="S32" s="673">
        <v>96892</v>
      </c>
      <c r="T32" s="673">
        <v>0</v>
      </c>
      <c r="U32" s="673">
        <v>0</v>
      </c>
      <c r="V32" s="673">
        <v>2383585</v>
      </c>
      <c r="W32" s="673">
        <v>31532</v>
      </c>
      <c r="X32" s="673">
        <v>17475</v>
      </c>
      <c r="Y32" s="673">
        <v>0</v>
      </c>
      <c r="Z32" s="673">
        <v>378092</v>
      </c>
      <c r="AA32" s="673">
        <v>72247</v>
      </c>
      <c r="AB32" s="673">
        <v>507235</v>
      </c>
      <c r="AC32" s="673">
        <v>0</v>
      </c>
      <c r="AD32" s="673">
        <v>2800973</v>
      </c>
      <c r="AE32" s="673">
        <v>15157</v>
      </c>
      <c r="AF32" s="673">
        <v>89575</v>
      </c>
      <c r="AG32" s="673">
        <v>2082919</v>
      </c>
      <c r="AH32" s="673">
        <v>1863061</v>
      </c>
      <c r="AI32" s="673">
        <v>503169</v>
      </c>
      <c r="AJ32" s="673">
        <v>8072789</v>
      </c>
      <c r="AK32" s="673">
        <v>1856</v>
      </c>
      <c r="AL32" s="673">
        <v>60153</v>
      </c>
      <c r="AM32" s="673">
        <v>72673</v>
      </c>
      <c r="AN32" s="673">
        <v>0</v>
      </c>
      <c r="AO32" s="673">
        <v>1044985</v>
      </c>
      <c r="AP32" s="673">
        <v>224575</v>
      </c>
      <c r="AQ32" s="673">
        <v>111368</v>
      </c>
      <c r="AR32" s="673">
        <v>0</v>
      </c>
      <c r="AS32" s="673">
        <v>18349</v>
      </c>
      <c r="AT32" s="673">
        <v>259757</v>
      </c>
      <c r="AU32" s="673">
        <v>0</v>
      </c>
      <c r="AV32" s="673">
        <v>0</v>
      </c>
      <c r="AW32" s="673">
        <v>430222</v>
      </c>
      <c r="AX32" s="673">
        <v>0</v>
      </c>
      <c r="AY32" s="673">
        <v>5638</v>
      </c>
      <c r="AZ32" s="673">
        <v>125</v>
      </c>
      <c r="BA32" s="673">
        <v>0</v>
      </c>
      <c r="BB32" s="673">
        <v>74247</v>
      </c>
    </row>
    <row r="33" spans="1:54" x14ac:dyDescent="0.25">
      <c r="A33">
        <v>90</v>
      </c>
      <c r="B33">
        <v>90</v>
      </c>
      <c r="C33">
        <v>90</v>
      </c>
      <c r="D33" t="s">
        <v>303</v>
      </c>
      <c r="E33" t="s">
        <v>407</v>
      </c>
      <c r="F33" s="673">
        <v>0</v>
      </c>
      <c r="G33" s="673">
        <v>0</v>
      </c>
      <c r="H33" s="673">
        <v>0</v>
      </c>
      <c r="I33" s="673">
        <v>0</v>
      </c>
      <c r="J33" s="673">
        <v>0</v>
      </c>
      <c r="K33" s="673">
        <v>0</v>
      </c>
      <c r="L33" s="673">
        <v>0</v>
      </c>
      <c r="M33" s="673">
        <v>0</v>
      </c>
      <c r="N33" s="673">
        <v>0</v>
      </c>
      <c r="O33" s="673">
        <v>0</v>
      </c>
      <c r="P33" s="673">
        <v>0</v>
      </c>
      <c r="Q33" s="673">
        <v>0</v>
      </c>
      <c r="R33" s="673">
        <v>0</v>
      </c>
      <c r="S33" s="673">
        <v>0</v>
      </c>
      <c r="T33" s="673">
        <v>0</v>
      </c>
      <c r="U33" s="673">
        <v>0</v>
      </c>
      <c r="V33" s="673">
        <v>49643000</v>
      </c>
      <c r="W33" s="673">
        <v>0</v>
      </c>
      <c r="X33" s="673">
        <v>0</v>
      </c>
      <c r="Y33" s="673">
        <v>0</v>
      </c>
      <c r="Z33" s="673">
        <v>0</v>
      </c>
      <c r="AA33" s="673">
        <v>0</v>
      </c>
      <c r="AB33" s="673">
        <v>0</v>
      </c>
      <c r="AC33" s="673">
        <v>0</v>
      </c>
      <c r="AD33" s="673">
        <v>0</v>
      </c>
      <c r="AE33" s="673">
        <v>0</v>
      </c>
      <c r="AF33" s="673">
        <v>0</v>
      </c>
      <c r="AG33" s="673">
        <v>0</v>
      </c>
      <c r="AH33" s="673">
        <v>0</v>
      </c>
      <c r="AI33" s="673">
        <v>0</v>
      </c>
      <c r="AJ33" s="673">
        <v>82483569</v>
      </c>
      <c r="AK33" s="673">
        <v>0</v>
      </c>
      <c r="AL33" s="673">
        <v>0</v>
      </c>
      <c r="AM33" s="673">
        <v>0</v>
      </c>
      <c r="AN33" s="673">
        <v>0</v>
      </c>
      <c r="AO33" s="673">
        <v>0</v>
      </c>
      <c r="AP33" s="673">
        <v>0</v>
      </c>
      <c r="AQ33" s="673">
        <v>0</v>
      </c>
      <c r="AR33" s="673">
        <v>0</v>
      </c>
      <c r="AS33" s="673">
        <v>0</v>
      </c>
      <c r="AT33" s="673">
        <v>0</v>
      </c>
      <c r="AU33" s="673">
        <v>0</v>
      </c>
      <c r="AV33" s="673">
        <v>0</v>
      </c>
      <c r="AW33" s="673">
        <v>0</v>
      </c>
      <c r="AX33" s="673">
        <v>0</v>
      </c>
      <c r="AY33" s="673">
        <v>0</v>
      </c>
      <c r="AZ33" s="673">
        <v>0</v>
      </c>
      <c r="BA33" s="673">
        <v>0</v>
      </c>
      <c r="BB33" s="673">
        <v>0</v>
      </c>
    </row>
    <row r="34" spans="1:54" x14ac:dyDescent="0.25">
      <c r="A34">
        <v>91</v>
      </c>
      <c r="B34">
        <v>91</v>
      </c>
      <c r="C34">
        <v>91</v>
      </c>
      <c r="D34" t="s">
        <v>304</v>
      </c>
      <c r="E34" t="s">
        <v>408</v>
      </c>
      <c r="F34" s="673">
        <v>0</v>
      </c>
      <c r="G34" s="673">
        <v>0</v>
      </c>
      <c r="H34" s="673">
        <v>0</v>
      </c>
      <c r="I34" s="673">
        <v>0</v>
      </c>
      <c r="J34" s="673">
        <v>0</v>
      </c>
      <c r="K34" s="673">
        <v>0</v>
      </c>
      <c r="L34" s="673">
        <v>0</v>
      </c>
      <c r="M34" s="673">
        <v>0</v>
      </c>
      <c r="N34" s="673">
        <v>0</v>
      </c>
      <c r="O34" s="673">
        <v>0</v>
      </c>
      <c r="P34" s="673">
        <v>0</v>
      </c>
      <c r="Q34" s="673">
        <v>0</v>
      </c>
      <c r="R34" s="673">
        <v>0</v>
      </c>
      <c r="S34" s="673">
        <v>0</v>
      </c>
      <c r="T34" s="673">
        <v>0</v>
      </c>
      <c r="U34" s="673">
        <v>0</v>
      </c>
      <c r="V34" s="673">
        <v>20758825</v>
      </c>
      <c r="W34" s="673">
        <v>0</v>
      </c>
      <c r="X34" s="673">
        <v>0</v>
      </c>
      <c r="Y34" s="673">
        <v>0</v>
      </c>
      <c r="Z34" s="673">
        <v>0</v>
      </c>
      <c r="AA34" s="673">
        <v>0</v>
      </c>
      <c r="AB34" s="673">
        <v>0</v>
      </c>
      <c r="AC34" s="673">
        <v>0</v>
      </c>
      <c r="AD34" s="673">
        <v>0</v>
      </c>
      <c r="AE34" s="673">
        <v>0</v>
      </c>
      <c r="AF34" s="673">
        <v>0</v>
      </c>
      <c r="AG34" s="673">
        <v>0</v>
      </c>
      <c r="AH34" s="673">
        <v>0</v>
      </c>
      <c r="AI34" s="673">
        <v>0</v>
      </c>
      <c r="AJ34" s="673">
        <v>31917946</v>
      </c>
      <c r="AK34" s="673">
        <v>0</v>
      </c>
      <c r="AL34" s="673">
        <v>0</v>
      </c>
      <c r="AM34" s="673">
        <v>0</v>
      </c>
      <c r="AN34" s="673">
        <v>0</v>
      </c>
      <c r="AO34" s="673">
        <v>0</v>
      </c>
      <c r="AP34" s="673">
        <v>0</v>
      </c>
      <c r="AQ34" s="673">
        <v>0</v>
      </c>
      <c r="AR34" s="673">
        <v>0</v>
      </c>
      <c r="AS34" s="673">
        <v>0</v>
      </c>
      <c r="AT34" s="673">
        <v>0</v>
      </c>
      <c r="AU34" s="673">
        <v>0</v>
      </c>
      <c r="AV34" s="673">
        <v>0</v>
      </c>
      <c r="AW34" s="673">
        <v>0</v>
      </c>
      <c r="AX34" s="673">
        <v>0</v>
      </c>
      <c r="AY34" s="673">
        <v>0</v>
      </c>
      <c r="AZ34" s="673">
        <v>0</v>
      </c>
      <c r="BA34" s="673">
        <v>0</v>
      </c>
      <c r="BB34" s="673">
        <v>0</v>
      </c>
    </row>
    <row r="35" spans="1:54" x14ac:dyDescent="0.25">
      <c r="A35">
        <v>93</v>
      </c>
      <c r="B35">
        <v>93</v>
      </c>
      <c r="C35">
        <v>93</v>
      </c>
      <c r="D35" t="s">
        <v>317</v>
      </c>
      <c r="E35" t="s">
        <v>409</v>
      </c>
      <c r="F35" s="673">
        <v>0</v>
      </c>
      <c r="G35" s="673">
        <v>0</v>
      </c>
      <c r="H35" s="673">
        <v>0</v>
      </c>
      <c r="I35" s="673">
        <v>0</v>
      </c>
      <c r="J35" s="673">
        <v>0</v>
      </c>
      <c r="K35" s="673">
        <v>0</v>
      </c>
      <c r="L35" s="673">
        <v>0</v>
      </c>
      <c r="M35" s="673">
        <v>0</v>
      </c>
      <c r="N35" s="673">
        <v>0</v>
      </c>
      <c r="O35" s="673">
        <v>0</v>
      </c>
      <c r="P35" s="673">
        <v>0</v>
      </c>
      <c r="Q35" s="673">
        <v>0</v>
      </c>
      <c r="R35" s="673">
        <v>0</v>
      </c>
      <c r="S35" s="673">
        <v>0</v>
      </c>
      <c r="T35" s="673">
        <v>0</v>
      </c>
      <c r="U35" s="673">
        <v>0</v>
      </c>
      <c r="V35" s="673">
        <v>175926246</v>
      </c>
      <c r="W35" s="673">
        <v>0</v>
      </c>
      <c r="X35" s="673">
        <v>0</v>
      </c>
      <c r="Y35" s="673">
        <v>0</v>
      </c>
      <c r="Z35" s="673">
        <v>0</v>
      </c>
      <c r="AA35" s="673">
        <v>0</v>
      </c>
      <c r="AB35" s="673">
        <v>0</v>
      </c>
      <c r="AC35" s="673">
        <v>0</v>
      </c>
      <c r="AD35" s="673">
        <v>0</v>
      </c>
      <c r="AE35" s="673">
        <v>0</v>
      </c>
      <c r="AF35" s="673">
        <v>0</v>
      </c>
      <c r="AG35" s="673">
        <v>0</v>
      </c>
      <c r="AH35" s="673">
        <v>0</v>
      </c>
      <c r="AI35" s="673">
        <v>0</v>
      </c>
      <c r="AJ35" s="673">
        <v>232308281</v>
      </c>
      <c r="AK35" s="673">
        <v>0</v>
      </c>
      <c r="AL35" s="673">
        <v>0</v>
      </c>
      <c r="AM35" s="673">
        <v>0</v>
      </c>
      <c r="AN35" s="673">
        <v>0</v>
      </c>
      <c r="AO35" s="673">
        <v>0</v>
      </c>
      <c r="AP35" s="673">
        <v>0</v>
      </c>
      <c r="AQ35" s="673">
        <v>0</v>
      </c>
      <c r="AR35" s="673">
        <v>0</v>
      </c>
      <c r="AS35" s="673">
        <v>0</v>
      </c>
      <c r="AT35" s="673">
        <v>0</v>
      </c>
      <c r="AU35" s="673">
        <v>0</v>
      </c>
      <c r="AV35" s="673">
        <v>0</v>
      </c>
      <c r="AW35" s="673">
        <v>0</v>
      </c>
      <c r="AX35" s="673">
        <v>0</v>
      </c>
      <c r="AY35" s="673">
        <v>0</v>
      </c>
      <c r="AZ35" s="673">
        <v>0</v>
      </c>
      <c r="BA35" s="673">
        <v>0</v>
      </c>
      <c r="BB35" s="673">
        <v>0</v>
      </c>
    </row>
    <row r="36" spans="1:54" x14ac:dyDescent="0.25">
      <c r="A36">
        <v>94</v>
      </c>
      <c r="B36">
        <v>94</v>
      </c>
      <c r="C36">
        <v>94</v>
      </c>
      <c r="D36" t="s">
        <v>320</v>
      </c>
      <c r="E36" t="s">
        <v>410</v>
      </c>
      <c r="F36" s="673">
        <v>0</v>
      </c>
      <c r="G36" s="673">
        <v>0</v>
      </c>
      <c r="H36" s="673">
        <v>0</v>
      </c>
      <c r="I36" s="673">
        <v>0</v>
      </c>
      <c r="J36" s="673">
        <v>0</v>
      </c>
      <c r="K36" s="673">
        <v>0</v>
      </c>
      <c r="L36" s="673">
        <v>0</v>
      </c>
      <c r="M36" s="673">
        <v>0</v>
      </c>
      <c r="N36" s="673">
        <v>0</v>
      </c>
      <c r="O36" s="673">
        <v>0</v>
      </c>
      <c r="P36" s="673">
        <v>0</v>
      </c>
      <c r="Q36" s="673">
        <v>0</v>
      </c>
      <c r="R36" s="673">
        <v>0</v>
      </c>
      <c r="S36" s="673">
        <v>0</v>
      </c>
      <c r="T36" s="673">
        <v>0</v>
      </c>
      <c r="U36" s="673">
        <v>0</v>
      </c>
      <c r="V36" s="673">
        <v>162098306</v>
      </c>
      <c r="W36" s="673">
        <v>0</v>
      </c>
      <c r="X36" s="673">
        <v>0</v>
      </c>
      <c r="Y36" s="673">
        <v>0</v>
      </c>
      <c r="Z36" s="673">
        <v>0</v>
      </c>
      <c r="AA36" s="673">
        <v>0</v>
      </c>
      <c r="AB36" s="673">
        <v>0</v>
      </c>
      <c r="AC36" s="673">
        <v>0</v>
      </c>
      <c r="AD36" s="673">
        <v>0</v>
      </c>
      <c r="AE36" s="673">
        <v>0</v>
      </c>
      <c r="AF36" s="673">
        <v>0</v>
      </c>
      <c r="AG36" s="673">
        <v>0</v>
      </c>
      <c r="AH36" s="673">
        <v>0</v>
      </c>
      <c r="AI36" s="673">
        <v>0</v>
      </c>
      <c r="AJ36" s="673">
        <v>203696403</v>
      </c>
      <c r="AK36" s="673">
        <v>0</v>
      </c>
      <c r="AL36" s="673">
        <v>0</v>
      </c>
      <c r="AM36" s="673">
        <v>0</v>
      </c>
      <c r="AN36" s="673">
        <v>0</v>
      </c>
      <c r="AO36" s="673">
        <v>0</v>
      </c>
      <c r="AP36" s="673">
        <v>0</v>
      </c>
      <c r="AQ36" s="673">
        <v>0</v>
      </c>
      <c r="AR36" s="673">
        <v>0</v>
      </c>
      <c r="AS36" s="673">
        <v>0</v>
      </c>
      <c r="AT36" s="673">
        <v>0</v>
      </c>
      <c r="AU36" s="673">
        <v>0</v>
      </c>
      <c r="AV36" s="673">
        <v>0</v>
      </c>
      <c r="AW36" s="673">
        <v>0</v>
      </c>
      <c r="AX36" s="673">
        <v>0</v>
      </c>
      <c r="AY36" s="673">
        <v>0</v>
      </c>
      <c r="AZ36" s="673">
        <v>0</v>
      </c>
      <c r="BA36" s="673">
        <v>0</v>
      </c>
      <c r="BB36" s="673">
        <v>0</v>
      </c>
    </row>
    <row r="37" spans="1:54" x14ac:dyDescent="0.25">
      <c r="A37">
        <v>97</v>
      </c>
      <c r="B37">
        <v>97</v>
      </c>
      <c r="C37">
        <v>97</v>
      </c>
      <c r="D37" t="s">
        <v>316</v>
      </c>
      <c r="E37" t="s">
        <v>411</v>
      </c>
      <c r="F37" s="673">
        <v>0</v>
      </c>
      <c r="G37" s="673">
        <v>0</v>
      </c>
      <c r="H37" s="673">
        <v>0</v>
      </c>
      <c r="I37" s="673">
        <v>0</v>
      </c>
      <c r="J37" s="673">
        <v>0</v>
      </c>
      <c r="K37" s="673">
        <v>0</v>
      </c>
      <c r="L37" s="673">
        <v>0</v>
      </c>
      <c r="M37" s="673">
        <v>0</v>
      </c>
      <c r="N37" s="673">
        <v>0</v>
      </c>
      <c r="O37" s="673">
        <v>0</v>
      </c>
      <c r="P37" s="673">
        <v>0</v>
      </c>
      <c r="Q37" s="673">
        <v>0</v>
      </c>
      <c r="R37" s="673">
        <v>0</v>
      </c>
      <c r="S37" s="673">
        <v>0</v>
      </c>
      <c r="T37" s="673">
        <v>0</v>
      </c>
      <c r="U37" s="673">
        <v>0</v>
      </c>
      <c r="V37" s="673">
        <v>175344783</v>
      </c>
      <c r="W37" s="673">
        <v>0</v>
      </c>
      <c r="X37" s="673">
        <v>0</v>
      </c>
      <c r="Y37" s="673">
        <v>0</v>
      </c>
      <c r="Z37" s="673">
        <v>0</v>
      </c>
      <c r="AA37" s="673">
        <v>0</v>
      </c>
      <c r="AB37" s="673">
        <v>0</v>
      </c>
      <c r="AC37" s="673">
        <v>0</v>
      </c>
      <c r="AD37" s="673">
        <v>0</v>
      </c>
      <c r="AE37" s="673">
        <v>0</v>
      </c>
      <c r="AF37" s="673">
        <v>0</v>
      </c>
      <c r="AG37" s="673">
        <v>0</v>
      </c>
      <c r="AH37" s="673">
        <v>0</v>
      </c>
      <c r="AI37" s="673">
        <v>0</v>
      </c>
      <c r="AJ37" s="673">
        <v>199319549</v>
      </c>
      <c r="AK37" s="673">
        <v>0</v>
      </c>
      <c r="AL37" s="673">
        <v>0</v>
      </c>
      <c r="AM37" s="673">
        <v>0</v>
      </c>
      <c r="AN37" s="673">
        <v>0</v>
      </c>
      <c r="AO37" s="673">
        <v>0</v>
      </c>
      <c r="AP37" s="673">
        <v>0</v>
      </c>
      <c r="AQ37" s="673">
        <v>0</v>
      </c>
      <c r="AR37" s="673">
        <v>0</v>
      </c>
      <c r="AS37" s="673">
        <v>0</v>
      </c>
      <c r="AT37" s="673">
        <v>0</v>
      </c>
      <c r="AU37" s="673">
        <v>0</v>
      </c>
      <c r="AV37" s="673">
        <v>0</v>
      </c>
      <c r="AW37" s="673">
        <v>0</v>
      </c>
      <c r="AX37" s="673">
        <v>0</v>
      </c>
      <c r="AY37" s="673">
        <v>0</v>
      </c>
      <c r="AZ37" s="673">
        <v>0</v>
      </c>
      <c r="BA37" s="673">
        <v>0</v>
      </c>
      <c r="BB37" s="673">
        <v>0</v>
      </c>
    </row>
    <row r="38" spans="1:54" x14ac:dyDescent="0.25">
      <c r="A38">
        <v>98</v>
      </c>
      <c r="B38">
        <v>98</v>
      </c>
      <c r="C38">
        <v>98</v>
      </c>
      <c r="D38" t="s">
        <v>321</v>
      </c>
      <c r="E38" t="s">
        <v>412</v>
      </c>
      <c r="F38" s="673">
        <v>0</v>
      </c>
      <c r="G38" s="673">
        <v>0</v>
      </c>
      <c r="H38" s="673">
        <v>0</v>
      </c>
      <c r="I38" s="673">
        <v>0</v>
      </c>
      <c r="J38" s="673">
        <v>0</v>
      </c>
      <c r="K38" s="673">
        <v>0</v>
      </c>
      <c r="L38" s="673">
        <v>0</v>
      </c>
      <c r="M38" s="673">
        <v>0</v>
      </c>
      <c r="N38" s="673">
        <v>0</v>
      </c>
      <c r="O38" s="673">
        <v>0</v>
      </c>
      <c r="P38" s="673">
        <v>0</v>
      </c>
      <c r="Q38" s="673">
        <v>0</v>
      </c>
      <c r="R38" s="673">
        <v>0</v>
      </c>
      <c r="S38" s="673">
        <v>0</v>
      </c>
      <c r="T38" s="673">
        <v>0</v>
      </c>
      <c r="U38" s="673">
        <v>0</v>
      </c>
      <c r="V38" s="673">
        <v>1267261</v>
      </c>
      <c r="W38" s="673">
        <v>0</v>
      </c>
      <c r="X38" s="673">
        <v>0</v>
      </c>
      <c r="Y38" s="673">
        <v>0</v>
      </c>
      <c r="Z38" s="673">
        <v>0</v>
      </c>
      <c r="AA38" s="673">
        <v>0</v>
      </c>
      <c r="AB38" s="673">
        <v>0</v>
      </c>
      <c r="AC38" s="673">
        <v>0</v>
      </c>
      <c r="AD38" s="673">
        <v>0</v>
      </c>
      <c r="AE38" s="673">
        <v>0</v>
      </c>
      <c r="AF38" s="673">
        <v>0</v>
      </c>
      <c r="AG38" s="673">
        <v>0</v>
      </c>
      <c r="AH38" s="673">
        <v>0</v>
      </c>
      <c r="AI38" s="673">
        <v>0</v>
      </c>
      <c r="AJ38" s="673">
        <v>1138552</v>
      </c>
      <c r="AK38" s="673">
        <v>0</v>
      </c>
      <c r="AL38" s="673">
        <v>0</v>
      </c>
      <c r="AM38" s="673">
        <v>0</v>
      </c>
      <c r="AN38" s="673">
        <v>0</v>
      </c>
      <c r="AO38" s="673">
        <v>0</v>
      </c>
      <c r="AP38" s="673">
        <v>0</v>
      </c>
      <c r="AQ38" s="673">
        <v>0</v>
      </c>
      <c r="AR38" s="673">
        <v>0</v>
      </c>
      <c r="AS38" s="673">
        <v>0</v>
      </c>
      <c r="AT38" s="673">
        <v>0</v>
      </c>
      <c r="AU38" s="673">
        <v>0</v>
      </c>
      <c r="AV38" s="673">
        <v>0</v>
      </c>
      <c r="AW38" s="673">
        <v>0</v>
      </c>
      <c r="AX38" s="673">
        <v>0</v>
      </c>
      <c r="AY38" s="673">
        <v>0</v>
      </c>
      <c r="AZ38" s="673">
        <v>0</v>
      </c>
      <c r="BA38" s="673">
        <v>0</v>
      </c>
      <c r="BB38" s="673">
        <v>0</v>
      </c>
    </row>
    <row r="39" spans="1:54" x14ac:dyDescent="0.25">
      <c r="A39">
        <v>99</v>
      </c>
      <c r="B39">
        <v>99</v>
      </c>
      <c r="C39">
        <v>99</v>
      </c>
      <c r="D39" t="s">
        <v>318</v>
      </c>
      <c r="E39" t="s">
        <v>413</v>
      </c>
      <c r="F39" s="673">
        <v>0</v>
      </c>
      <c r="G39" s="673">
        <v>0</v>
      </c>
      <c r="H39" s="673">
        <v>0</v>
      </c>
      <c r="I39" s="673">
        <v>0</v>
      </c>
      <c r="J39" s="673">
        <v>0</v>
      </c>
      <c r="K39" s="673">
        <v>0</v>
      </c>
      <c r="L39" s="673">
        <v>0</v>
      </c>
      <c r="M39" s="673">
        <v>0</v>
      </c>
      <c r="N39" s="673">
        <v>0</v>
      </c>
      <c r="O39" s="673">
        <v>0</v>
      </c>
      <c r="P39" s="673">
        <v>0</v>
      </c>
      <c r="Q39" s="673">
        <v>0</v>
      </c>
      <c r="R39" s="673">
        <v>0</v>
      </c>
      <c r="S39" s="673">
        <v>0</v>
      </c>
      <c r="T39" s="673">
        <v>0</v>
      </c>
      <c r="U39" s="673">
        <v>0</v>
      </c>
      <c r="V39" s="673">
        <v>127069600</v>
      </c>
      <c r="W39" s="673">
        <v>0</v>
      </c>
      <c r="X39" s="673">
        <v>0</v>
      </c>
      <c r="Y39" s="673">
        <v>0</v>
      </c>
      <c r="Z39" s="673">
        <v>0</v>
      </c>
      <c r="AA39" s="673">
        <v>0</v>
      </c>
      <c r="AB39" s="673">
        <v>0</v>
      </c>
      <c r="AC39" s="673">
        <v>0</v>
      </c>
      <c r="AD39" s="673">
        <v>0</v>
      </c>
      <c r="AE39" s="673">
        <v>0</v>
      </c>
      <c r="AF39" s="673">
        <v>0</v>
      </c>
      <c r="AG39" s="673">
        <v>0</v>
      </c>
      <c r="AH39" s="673">
        <v>0</v>
      </c>
      <c r="AI39" s="673">
        <v>0</v>
      </c>
      <c r="AJ39" s="673">
        <v>155562287</v>
      </c>
      <c r="AK39" s="673">
        <v>0</v>
      </c>
      <c r="AL39" s="673">
        <v>0</v>
      </c>
      <c r="AM39" s="673">
        <v>0</v>
      </c>
      <c r="AN39" s="673">
        <v>0</v>
      </c>
      <c r="AO39" s="673">
        <v>0</v>
      </c>
      <c r="AP39" s="673">
        <v>0</v>
      </c>
      <c r="AQ39" s="673">
        <v>0</v>
      </c>
      <c r="AR39" s="673">
        <v>0</v>
      </c>
      <c r="AS39" s="673">
        <v>0</v>
      </c>
      <c r="AT39" s="673">
        <v>0</v>
      </c>
      <c r="AU39" s="673">
        <v>0</v>
      </c>
      <c r="AV39" s="673">
        <v>0</v>
      </c>
      <c r="AW39" s="673">
        <v>0</v>
      </c>
      <c r="AX39" s="673">
        <v>0</v>
      </c>
      <c r="AY39" s="673">
        <v>0</v>
      </c>
      <c r="AZ39" s="673">
        <v>0</v>
      </c>
      <c r="BA39" s="673">
        <v>0</v>
      </c>
      <c r="BB39" s="673">
        <v>0</v>
      </c>
    </row>
    <row r="40" spans="1:54" x14ac:dyDescent="0.25">
      <c r="A40">
        <v>100</v>
      </c>
      <c r="B40">
        <v>100</v>
      </c>
      <c r="C40">
        <v>100</v>
      </c>
      <c r="D40" t="s">
        <v>331</v>
      </c>
      <c r="E40" t="s">
        <v>414</v>
      </c>
      <c r="F40" s="673">
        <v>0</v>
      </c>
      <c r="G40" s="673">
        <v>0</v>
      </c>
      <c r="H40" s="673">
        <v>0</v>
      </c>
      <c r="I40" s="673">
        <v>0</v>
      </c>
      <c r="J40" s="673">
        <v>0</v>
      </c>
      <c r="K40" s="673">
        <v>0</v>
      </c>
      <c r="L40" s="673">
        <v>0</v>
      </c>
      <c r="M40" s="673">
        <v>0</v>
      </c>
      <c r="N40" s="673">
        <v>0</v>
      </c>
      <c r="O40" s="673">
        <v>0</v>
      </c>
      <c r="P40" s="673">
        <v>0</v>
      </c>
      <c r="Q40" s="673">
        <v>0</v>
      </c>
      <c r="R40" s="673">
        <v>0</v>
      </c>
      <c r="S40" s="673">
        <v>0</v>
      </c>
      <c r="T40" s="673">
        <v>0</v>
      </c>
      <c r="U40" s="673">
        <v>0</v>
      </c>
      <c r="V40" s="673">
        <v>1738006</v>
      </c>
      <c r="W40" s="673">
        <v>0</v>
      </c>
      <c r="X40" s="673">
        <v>0</v>
      </c>
      <c r="Y40" s="673">
        <v>0</v>
      </c>
      <c r="Z40" s="673">
        <v>0</v>
      </c>
      <c r="AA40" s="673">
        <v>0</v>
      </c>
      <c r="AB40" s="673">
        <v>0</v>
      </c>
      <c r="AC40" s="673">
        <v>0</v>
      </c>
      <c r="AD40" s="673">
        <v>0</v>
      </c>
      <c r="AE40" s="673">
        <v>0</v>
      </c>
      <c r="AF40" s="673">
        <v>0</v>
      </c>
      <c r="AG40" s="673">
        <v>0</v>
      </c>
      <c r="AH40" s="673">
        <v>0</v>
      </c>
      <c r="AI40" s="673">
        <v>0</v>
      </c>
      <c r="AJ40" s="673">
        <v>5413217</v>
      </c>
      <c r="AK40" s="673">
        <v>0</v>
      </c>
      <c r="AL40" s="673">
        <v>0</v>
      </c>
      <c r="AM40" s="673">
        <v>0</v>
      </c>
      <c r="AN40" s="673">
        <v>0</v>
      </c>
      <c r="AO40" s="673">
        <v>0</v>
      </c>
      <c r="AP40" s="673">
        <v>0</v>
      </c>
      <c r="AQ40" s="673">
        <v>0</v>
      </c>
      <c r="AR40" s="673">
        <v>0</v>
      </c>
      <c r="AS40" s="673">
        <v>0</v>
      </c>
      <c r="AT40" s="673">
        <v>0</v>
      </c>
      <c r="AU40" s="673">
        <v>0</v>
      </c>
      <c r="AV40" s="673">
        <v>0</v>
      </c>
      <c r="AW40" s="673">
        <v>0</v>
      </c>
      <c r="AX40" s="673">
        <v>0</v>
      </c>
      <c r="AY40" s="673">
        <v>0</v>
      </c>
      <c r="AZ40" s="673">
        <v>0</v>
      </c>
      <c r="BA40" s="673">
        <v>0</v>
      </c>
      <c r="BB40" s="673">
        <v>0</v>
      </c>
    </row>
    <row r="41" spans="1:54" x14ac:dyDescent="0.25">
      <c r="A41">
        <v>101</v>
      </c>
      <c r="B41">
        <v>101</v>
      </c>
      <c r="C41">
        <v>101</v>
      </c>
      <c r="D41" t="s">
        <v>330</v>
      </c>
      <c r="E41" t="s">
        <v>415</v>
      </c>
      <c r="F41" s="673">
        <v>0</v>
      </c>
      <c r="G41" s="673">
        <v>0</v>
      </c>
      <c r="H41" s="673">
        <v>0</v>
      </c>
      <c r="I41" s="673">
        <v>0</v>
      </c>
      <c r="J41" s="673">
        <v>0</v>
      </c>
      <c r="K41" s="673">
        <v>0</v>
      </c>
      <c r="L41" s="673">
        <v>0</v>
      </c>
      <c r="M41" s="673">
        <v>0</v>
      </c>
      <c r="N41" s="673">
        <v>0</v>
      </c>
      <c r="O41" s="673">
        <v>0</v>
      </c>
      <c r="P41" s="673">
        <v>0</v>
      </c>
      <c r="Q41" s="673">
        <v>0</v>
      </c>
      <c r="R41" s="673">
        <v>0</v>
      </c>
      <c r="S41" s="673">
        <v>0</v>
      </c>
      <c r="T41" s="673">
        <v>0</v>
      </c>
      <c r="U41" s="673">
        <v>0</v>
      </c>
      <c r="V41" s="673">
        <v>11382995</v>
      </c>
      <c r="W41" s="673">
        <v>0</v>
      </c>
      <c r="X41" s="673">
        <v>0</v>
      </c>
      <c r="Y41" s="673">
        <v>0</v>
      </c>
      <c r="Z41" s="673">
        <v>0</v>
      </c>
      <c r="AA41" s="673">
        <v>0</v>
      </c>
      <c r="AB41" s="673">
        <v>0</v>
      </c>
      <c r="AC41" s="673">
        <v>0</v>
      </c>
      <c r="AD41" s="673">
        <v>0</v>
      </c>
      <c r="AE41" s="673">
        <v>0</v>
      </c>
      <c r="AF41" s="673">
        <v>0</v>
      </c>
      <c r="AG41" s="673">
        <v>0</v>
      </c>
      <c r="AH41" s="673">
        <v>0</v>
      </c>
      <c r="AI41" s="673">
        <v>0</v>
      </c>
      <c r="AJ41" s="673">
        <v>11769000</v>
      </c>
      <c r="AK41" s="673">
        <v>0</v>
      </c>
      <c r="AL41" s="673">
        <v>0</v>
      </c>
      <c r="AM41" s="673">
        <v>0</v>
      </c>
      <c r="AN41" s="673">
        <v>0</v>
      </c>
      <c r="AO41" s="673">
        <v>0</v>
      </c>
      <c r="AP41" s="673">
        <v>0</v>
      </c>
      <c r="AQ41" s="673">
        <v>0</v>
      </c>
      <c r="AR41" s="673">
        <v>0</v>
      </c>
      <c r="AS41" s="673">
        <v>0</v>
      </c>
      <c r="AT41" s="673">
        <v>0</v>
      </c>
      <c r="AU41" s="673">
        <v>0</v>
      </c>
      <c r="AV41" s="673">
        <v>0</v>
      </c>
      <c r="AW41" s="673">
        <v>0</v>
      </c>
      <c r="AX41" s="673">
        <v>0</v>
      </c>
      <c r="AY41" s="673">
        <v>0</v>
      </c>
      <c r="AZ41" s="673">
        <v>0</v>
      </c>
      <c r="BA41" s="673">
        <v>0</v>
      </c>
      <c r="BB41" s="673">
        <v>0</v>
      </c>
    </row>
    <row r="42" spans="1:54" x14ac:dyDescent="0.25">
      <c r="A42">
        <v>102</v>
      </c>
      <c r="B42">
        <v>102</v>
      </c>
      <c r="C42">
        <v>102</v>
      </c>
      <c r="D42" t="s">
        <v>350</v>
      </c>
      <c r="E42" t="s">
        <v>416</v>
      </c>
      <c r="F42" s="673">
        <v>0</v>
      </c>
      <c r="G42" s="673">
        <v>0</v>
      </c>
      <c r="H42" s="673">
        <v>0</v>
      </c>
      <c r="I42" s="673">
        <v>0</v>
      </c>
      <c r="J42" s="673">
        <v>0</v>
      </c>
      <c r="K42" s="673">
        <v>0</v>
      </c>
      <c r="L42" s="673">
        <v>0</v>
      </c>
      <c r="M42" s="673">
        <v>97.52</v>
      </c>
      <c r="N42" s="673">
        <v>0</v>
      </c>
      <c r="O42" s="673">
        <v>0</v>
      </c>
      <c r="P42" s="673">
        <v>0</v>
      </c>
      <c r="Q42" s="673">
        <v>0</v>
      </c>
      <c r="R42" s="673">
        <v>0</v>
      </c>
      <c r="S42" s="673">
        <v>0</v>
      </c>
      <c r="T42" s="673">
        <v>0</v>
      </c>
      <c r="U42" s="673">
        <v>0</v>
      </c>
      <c r="V42" s="673">
        <v>0</v>
      </c>
      <c r="W42" s="673">
        <v>0</v>
      </c>
      <c r="X42" s="673">
        <v>0</v>
      </c>
      <c r="Y42" s="673">
        <v>98.62</v>
      </c>
      <c r="Z42" s="673">
        <v>0</v>
      </c>
      <c r="AA42" s="673">
        <v>0</v>
      </c>
      <c r="AB42" s="673">
        <v>0</v>
      </c>
      <c r="AC42" s="673">
        <v>0</v>
      </c>
      <c r="AD42" s="673">
        <v>0</v>
      </c>
      <c r="AE42" s="673">
        <v>0</v>
      </c>
      <c r="AF42" s="673">
        <v>0</v>
      </c>
      <c r="AG42" s="673">
        <v>0</v>
      </c>
      <c r="AH42" s="673">
        <v>0</v>
      </c>
      <c r="AI42" s="673">
        <v>0</v>
      </c>
      <c r="AJ42" s="673">
        <v>0</v>
      </c>
      <c r="AK42" s="673">
        <v>98.71</v>
      </c>
      <c r="AL42" s="673">
        <v>0</v>
      </c>
      <c r="AM42" s="673">
        <v>0</v>
      </c>
      <c r="AN42" s="673">
        <v>98.57</v>
      </c>
      <c r="AO42" s="673">
        <v>0</v>
      </c>
      <c r="AP42" s="673">
        <v>0</v>
      </c>
      <c r="AQ42" s="673">
        <v>0</v>
      </c>
      <c r="AR42" s="673">
        <v>0</v>
      </c>
      <c r="AS42" s="673">
        <v>0</v>
      </c>
      <c r="AT42" s="673">
        <v>0</v>
      </c>
      <c r="AU42" s="673">
        <v>0</v>
      </c>
      <c r="AV42" s="673">
        <v>0</v>
      </c>
      <c r="AW42" s="673">
        <v>0</v>
      </c>
      <c r="AX42" s="673">
        <v>0</v>
      </c>
      <c r="AY42" s="673">
        <v>100</v>
      </c>
      <c r="AZ42" s="673">
        <v>0</v>
      </c>
      <c r="BA42" s="673">
        <v>0</v>
      </c>
      <c r="BB42" s="673">
        <v>0</v>
      </c>
    </row>
    <row r="43" spans="1:54" x14ac:dyDescent="0.25">
      <c r="A43">
        <v>103</v>
      </c>
      <c r="B43">
        <v>103</v>
      </c>
      <c r="C43">
        <v>103</v>
      </c>
      <c r="D43" t="s">
        <v>351</v>
      </c>
      <c r="E43" t="s">
        <v>417</v>
      </c>
      <c r="F43" s="673">
        <v>0</v>
      </c>
      <c r="G43" s="673">
        <v>0</v>
      </c>
      <c r="H43" s="673">
        <v>0</v>
      </c>
      <c r="I43" s="673">
        <v>0</v>
      </c>
      <c r="J43" s="673">
        <v>0</v>
      </c>
      <c r="K43" s="673">
        <v>0</v>
      </c>
      <c r="L43" s="673">
        <v>0</v>
      </c>
      <c r="M43" s="673">
        <v>98.89</v>
      </c>
      <c r="N43" s="673">
        <v>0</v>
      </c>
      <c r="O43" s="673">
        <v>0</v>
      </c>
      <c r="P43" s="673">
        <v>0</v>
      </c>
      <c r="Q43" s="673">
        <v>0</v>
      </c>
      <c r="R43" s="673">
        <v>0</v>
      </c>
      <c r="S43" s="673">
        <v>0</v>
      </c>
      <c r="T43" s="673">
        <v>0</v>
      </c>
      <c r="U43" s="673">
        <v>0</v>
      </c>
      <c r="V43" s="673">
        <v>0</v>
      </c>
      <c r="W43" s="673">
        <v>0</v>
      </c>
      <c r="X43" s="673">
        <v>0</v>
      </c>
      <c r="Y43" s="673">
        <v>99.61</v>
      </c>
      <c r="Z43" s="673">
        <v>0</v>
      </c>
      <c r="AA43" s="673">
        <v>0</v>
      </c>
      <c r="AB43" s="673">
        <v>0</v>
      </c>
      <c r="AC43" s="673">
        <v>0</v>
      </c>
      <c r="AD43" s="673">
        <v>0</v>
      </c>
      <c r="AE43" s="673">
        <v>0</v>
      </c>
      <c r="AF43" s="673">
        <v>0</v>
      </c>
      <c r="AG43" s="673">
        <v>0</v>
      </c>
      <c r="AH43" s="673">
        <v>0</v>
      </c>
      <c r="AI43" s="673">
        <v>0</v>
      </c>
      <c r="AJ43" s="673">
        <v>0</v>
      </c>
      <c r="AK43" s="673">
        <v>100</v>
      </c>
      <c r="AL43" s="673">
        <v>0</v>
      </c>
      <c r="AM43" s="673">
        <v>0</v>
      </c>
      <c r="AN43" s="673">
        <v>100</v>
      </c>
      <c r="AO43" s="673">
        <v>0</v>
      </c>
      <c r="AP43" s="673">
        <v>0</v>
      </c>
      <c r="AQ43" s="673">
        <v>0</v>
      </c>
      <c r="AR43" s="673">
        <v>0</v>
      </c>
      <c r="AS43" s="673">
        <v>0</v>
      </c>
      <c r="AT43" s="673">
        <v>0</v>
      </c>
      <c r="AU43" s="673">
        <v>0</v>
      </c>
      <c r="AV43" s="673">
        <v>0</v>
      </c>
      <c r="AW43" s="673">
        <v>0</v>
      </c>
      <c r="AX43" s="673">
        <v>0</v>
      </c>
      <c r="AY43" s="673">
        <v>100</v>
      </c>
      <c r="AZ43" s="673">
        <v>0</v>
      </c>
      <c r="BA43" s="673">
        <v>0</v>
      </c>
      <c r="BB43" s="673">
        <v>0</v>
      </c>
    </row>
    <row r="44" spans="1:54" x14ac:dyDescent="0.25">
      <c r="A44">
        <v>171</v>
      </c>
      <c r="C44">
        <v>171</v>
      </c>
      <c r="D44" t="s">
        <v>297</v>
      </c>
      <c r="E44" t="s">
        <v>418</v>
      </c>
      <c r="F44" s="673">
        <v>0</v>
      </c>
      <c r="G44" s="673">
        <v>0</v>
      </c>
      <c r="H44" s="673">
        <v>0</v>
      </c>
      <c r="I44" s="673">
        <v>0</v>
      </c>
      <c r="J44" s="673">
        <v>0</v>
      </c>
      <c r="K44" s="673">
        <v>0</v>
      </c>
      <c r="L44" s="673">
        <v>0</v>
      </c>
      <c r="M44" s="673">
        <v>0</v>
      </c>
      <c r="N44" s="673">
        <v>0</v>
      </c>
      <c r="O44" s="673">
        <v>0</v>
      </c>
      <c r="P44" s="673">
        <v>0</v>
      </c>
      <c r="Q44" s="673">
        <v>0</v>
      </c>
      <c r="R44" s="673">
        <v>0</v>
      </c>
      <c r="S44" s="673">
        <v>0</v>
      </c>
      <c r="T44" s="673">
        <v>0</v>
      </c>
      <c r="U44" s="673">
        <v>0</v>
      </c>
      <c r="V44" s="673">
        <v>0</v>
      </c>
      <c r="W44" s="673">
        <v>0</v>
      </c>
      <c r="X44" s="673">
        <v>0</v>
      </c>
      <c r="Y44" s="673">
        <v>0</v>
      </c>
      <c r="Z44" s="673">
        <v>0</v>
      </c>
      <c r="AA44" s="673">
        <v>0</v>
      </c>
      <c r="AB44" s="673">
        <v>0</v>
      </c>
      <c r="AC44" s="673">
        <v>0</v>
      </c>
      <c r="AD44" s="673">
        <v>0</v>
      </c>
      <c r="AE44" s="673">
        <v>0</v>
      </c>
      <c r="AF44" s="673">
        <v>0</v>
      </c>
      <c r="AG44" s="673">
        <v>0</v>
      </c>
      <c r="AH44" s="673">
        <v>0</v>
      </c>
      <c r="AI44" s="673">
        <v>0</v>
      </c>
      <c r="AJ44" s="673">
        <v>0</v>
      </c>
      <c r="AK44" s="673">
        <v>0</v>
      </c>
      <c r="AL44" s="673">
        <v>0</v>
      </c>
      <c r="AM44" s="673">
        <v>0</v>
      </c>
      <c r="AN44" s="673">
        <v>0</v>
      </c>
      <c r="AO44" s="673">
        <v>0</v>
      </c>
      <c r="AP44" s="673">
        <v>0</v>
      </c>
      <c r="AQ44" s="673">
        <v>0</v>
      </c>
      <c r="AR44" s="673">
        <v>0</v>
      </c>
      <c r="AS44" s="673">
        <v>0</v>
      </c>
      <c r="AT44" s="673">
        <v>0</v>
      </c>
      <c r="AU44" s="673">
        <v>0</v>
      </c>
      <c r="AV44" s="673">
        <v>0</v>
      </c>
      <c r="AW44" s="673">
        <v>0</v>
      </c>
      <c r="AX44" s="673">
        <v>0</v>
      </c>
      <c r="AY44" s="673">
        <v>0</v>
      </c>
      <c r="AZ44" s="673">
        <v>0</v>
      </c>
      <c r="BA44" s="673">
        <v>0</v>
      </c>
      <c r="BB44" s="673">
        <v>0</v>
      </c>
    </row>
    <row r="45" spans="1:54" x14ac:dyDescent="0.25">
      <c r="A45">
        <v>191</v>
      </c>
      <c r="B45">
        <v>191</v>
      </c>
      <c r="C45">
        <v>191</v>
      </c>
      <c r="D45" t="s">
        <v>313</v>
      </c>
      <c r="E45" t="s">
        <v>419</v>
      </c>
      <c r="F45" s="673">
        <v>346115</v>
      </c>
      <c r="G45" s="673">
        <v>247329</v>
      </c>
      <c r="H45" s="673">
        <v>0</v>
      </c>
      <c r="I45" s="673">
        <v>2567669</v>
      </c>
      <c r="J45" s="673">
        <v>3222031</v>
      </c>
      <c r="K45" s="673">
        <v>2840587</v>
      </c>
      <c r="L45" s="673">
        <v>11538622</v>
      </c>
      <c r="M45" s="673">
        <v>0</v>
      </c>
      <c r="N45" s="673">
        <v>0</v>
      </c>
      <c r="O45" s="673">
        <v>36000</v>
      </c>
      <c r="P45" s="673">
        <v>111932</v>
      </c>
      <c r="Q45" s="673">
        <v>0</v>
      </c>
      <c r="R45" s="673">
        <v>0</v>
      </c>
      <c r="S45" s="673">
        <v>0</v>
      </c>
      <c r="T45" s="673">
        <v>371383</v>
      </c>
      <c r="U45" s="673">
        <v>0</v>
      </c>
      <c r="V45" s="673">
        <v>1213999</v>
      </c>
      <c r="W45" s="673">
        <v>138293</v>
      </c>
      <c r="X45" s="673">
        <v>0</v>
      </c>
      <c r="Y45" s="673">
        <v>250000</v>
      </c>
      <c r="Z45" s="673">
        <v>601845</v>
      </c>
      <c r="AA45" s="673">
        <v>0</v>
      </c>
      <c r="AB45" s="673">
        <v>0</v>
      </c>
      <c r="AC45" s="673">
        <v>0</v>
      </c>
      <c r="AD45" s="673">
        <v>586834</v>
      </c>
      <c r="AE45" s="673">
        <v>104198</v>
      </c>
      <c r="AF45" s="673">
        <v>0</v>
      </c>
      <c r="AG45" s="673">
        <v>3614988</v>
      </c>
      <c r="AH45" s="673">
        <v>1509516</v>
      </c>
      <c r="AI45" s="673">
        <v>0</v>
      </c>
      <c r="AJ45" s="673">
        <v>5907877</v>
      </c>
      <c r="AK45" s="673">
        <v>0</v>
      </c>
      <c r="AL45" s="673">
        <v>475713</v>
      </c>
      <c r="AM45" s="673">
        <v>500000</v>
      </c>
      <c r="AN45" s="673">
        <v>0</v>
      </c>
      <c r="AO45" s="673">
        <v>231860</v>
      </c>
      <c r="AP45" s="673">
        <v>0</v>
      </c>
      <c r="AQ45" s="673">
        <v>378535</v>
      </c>
      <c r="AR45" s="673">
        <v>58500</v>
      </c>
      <c r="AS45" s="673">
        <v>523735</v>
      </c>
      <c r="AT45" s="673">
        <v>0</v>
      </c>
      <c r="AU45" s="673">
        <v>0</v>
      </c>
      <c r="AV45" s="673">
        <v>0</v>
      </c>
      <c r="AW45" s="673">
        <v>26455</v>
      </c>
      <c r="AX45" s="673">
        <v>0</v>
      </c>
      <c r="AY45" s="673">
        <v>0</v>
      </c>
      <c r="AZ45" s="673">
        <v>0</v>
      </c>
      <c r="BA45" s="673">
        <v>0</v>
      </c>
      <c r="BB45" s="673">
        <v>378456</v>
      </c>
    </row>
    <row r="46" spans="1:54" x14ac:dyDescent="0.25">
      <c r="A46">
        <v>192</v>
      </c>
      <c r="B46">
        <v>192</v>
      </c>
      <c r="C46">
        <v>192</v>
      </c>
      <c r="D46" t="s">
        <v>324</v>
      </c>
      <c r="E46" t="s">
        <v>420</v>
      </c>
      <c r="F46" s="673">
        <v>0</v>
      </c>
      <c r="G46" s="673">
        <v>0</v>
      </c>
      <c r="H46" s="673">
        <v>0</v>
      </c>
      <c r="I46" s="673">
        <v>0</v>
      </c>
      <c r="J46" s="673">
        <v>0</v>
      </c>
      <c r="K46" s="673">
        <v>0</v>
      </c>
      <c r="L46" s="673">
        <v>0</v>
      </c>
      <c r="M46" s="673">
        <v>0</v>
      </c>
      <c r="N46" s="673">
        <v>0</v>
      </c>
      <c r="O46" s="673">
        <v>0</v>
      </c>
      <c r="P46" s="673">
        <v>0</v>
      </c>
      <c r="Q46" s="673">
        <v>0</v>
      </c>
      <c r="R46" s="673">
        <v>0</v>
      </c>
      <c r="S46" s="673">
        <v>0</v>
      </c>
      <c r="T46" s="673">
        <v>0</v>
      </c>
      <c r="U46" s="673">
        <v>0</v>
      </c>
      <c r="V46" s="673">
        <v>0</v>
      </c>
      <c r="W46" s="673">
        <v>0</v>
      </c>
      <c r="X46" s="673">
        <v>0</v>
      </c>
      <c r="Y46" s="673">
        <v>0</v>
      </c>
      <c r="Z46" s="673">
        <v>0</v>
      </c>
      <c r="AA46" s="673">
        <v>0</v>
      </c>
      <c r="AB46" s="673">
        <v>0</v>
      </c>
      <c r="AC46" s="673">
        <v>0</v>
      </c>
      <c r="AD46" s="673">
        <v>0</v>
      </c>
      <c r="AE46" s="673">
        <v>0</v>
      </c>
      <c r="AF46" s="673">
        <v>0</v>
      </c>
      <c r="AG46" s="673">
        <v>0</v>
      </c>
      <c r="AH46" s="673">
        <v>0</v>
      </c>
      <c r="AI46" s="673">
        <v>0</v>
      </c>
      <c r="AJ46" s="673">
        <v>524807</v>
      </c>
      <c r="AK46" s="673">
        <v>0</v>
      </c>
      <c r="AL46" s="673">
        <v>0</v>
      </c>
      <c r="AM46" s="673">
        <v>0</v>
      </c>
      <c r="AN46" s="673">
        <v>0</v>
      </c>
      <c r="AO46" s="673">
        <v>0</v>
      </c>
      <c r="AP46" s="673">
        <v>0</v>
      </c>
      <c r="AQ46" s="673">
        <v>0</v>
      </c>
      <c r="AR46" s="673">
        <v>0</v>
      </c>
      <c r="AS46" s="673">
        <v>0</v>
      </c>
      <c r="AT46" s="673">
        <v>0</v>
      </c>
      <c r="AU46" s="673">
        <v>0</v>
      </c>
      <c r="AV46" s="673">
        <v>0</v>
      </c>
      <c r="AW46" s="673">
        <v>0</v>
      </c>
      <c r="AX46" s="673">
        <v>0</v>
      </c>
      <c r="AY46" s="673">
        <v>0</v>
      </c>
      <c r="AZ46" s="673">
        <v>0</v>
      </c>
      <c r="BA46" s="673">
        <v>0</v>
      </c>
      <c r="BB46" s="673">
        <v>0</v>
      </c>
    </row>
    <row r="47" spans="1:54" x14ac:dyDescent="0.25">
      <c r="A47">
        <v>252</v>
      </c>
      <c r="B47">
        <v>252</v>
      </c>
      <c r="C47">
        <v>252</v>
      </c>
      <c r="D47" t="s">
        <v>126</v>
      </c>
      <c r="E47" t="s">
        <v>421</v>
      </c>
      <c r="F47" s="673">
        <v>0</v>
      </c>
      <c r="G47" s="673">
        <v>0</v>
      </c>
      <c r="H47" s="673">
        <v>0</v>
      </c>
      <c r="I47" s="673">
        <v>0</v>
      </c>
      <c r="J47" s="673">
        <v>0</v>
      </c>
      <c r="K47" s="673">
        <v>0</v>
      </c>
      <c r="L47" s="673">
        <v>0</v>
      </c>
      <c r="M47" s="673">
        <v>0</v>
      </c>
      <c r="N47" s="673">
        <v>0</v>
      </c>
      <c r="O47" s="673">
        <v>0</v>
      </c>
      <c r="P47" s="673">
        <v>0</v>
      </c>
      <c r="Q47" s="673">
        <v>0</v>
      </c>
      <c r="R47" s="673">
        <v>0</v>
      </c>
      <c r="S47" s="673">
        <v>0</v>
      </c>
      <c r="T47" s="673">
        <v>0</v>
      </c>
      <c r="U47" s="673">
        <v>0</v>
      </c>
      <c r="V47" s="673">
        <v>0</v>
      </c>
      <c r="W47" s="673">
        <v>0</v>
      </c>
      <c r="X47" s="673">
        <v>0</v>
      </c>
      <c r="Y47" s="673">
        <v>0</v>
      </c>
      <c r="Z47" s="673">
        <v>0</v>
      </c>
      <c r="AA47" s="673">
        <v>0</v>
      </c>
      <c r="AB47" s="673">
        <v>0</v>
      </c>
      <c r="AC47" s="673">
        <v>0</v>
      </c>
      <c r="AD47" s="673">
        <v>0</v>
      </c>
      <c r="AE47" s="673">
        <v>0</v>
      </c>
      <c r="AF47" s="673">
        <v>0</v>
      </c>
      <c r="AG47" s="673">
        <v>0</v>
      </c>
      <c r="AH47" s="673">
        <v>0</v>
      </c>
      <c r="AI47" s="673">
        <v>0</v>
      </c>
      <c r="AJ47" s="673">
        <v>0</v>
      </c>
      <c r="AK47" s="673">
        <v>6930</v>
      </c>
      <c r="AL47" s="673">
        <v>0</v>
      </c>
      <c r="AM47" s="673">
        <v>0</v>
      </c>
      <c r="AN47" s="673">
        <v>0</v>
      </c>
      <c r="AO47" s="673">
        <v>0</v>
      </c>
      <c r="AP47" s="673">
        <v>0</v>
      </c>
      <c r="AQ47" s="673">
        <v>0</v>
      </c>
      <c r="AR47" s="673">
        <v>0</v>
      </c>
      <c r="AS47" s="673">
        <v>0</v>
      </c>
      <c r="AT47" s="673">
        <v>0</v>
      </c>
      <c r="AU47" s="673">
        <v>0</v>
      </c>
      <c r="AV47" s="673">
        <v>0</v>
      </c>
      <c r="AW47" s="673">
        <v>0</v>
      </c>
      <c r="AX47" s="673">
        <v>0</v>
      </c>
      <c r="AY47" s="673">
        <v>0</v>
      </c>
      <c r="AZ47" s="673">
        <v>0</v>
      </c>
      <c r="BA47" s="673">
        <v>0</v>
      </c>
      <c r="BB47" s="673">
        <v>0</v>
      </c>
    </row>
    <row r="48" spans="1:54" x14ac:dyDescent="0.25">
      <c r="A48">
        <v>253</v>
      </c>
      <c r="B48">
        <v>253</v>
      </c>
      <c r="C48">
        <v>253</v>
      </c>
      <c r="D48" t="s">
        <v>127</v>
      </c>
      <c r="E48" t="s">
        <v>422</v>
      </c>
      <c r="F48" s="673">
        <v>0</v>
      </c>
      <c r="G48" s="673">
        <v>0</v>
      </c>
      <c r="H48" s="673">
        <v>0</v>
      </c>
      <c r="I48" s="673">
        <v>0</v>
      </c>
      <c r="J48" s="673">
        <v>0</v>
      </c>
      <c r="K48" s="673">
        <v>0</v>
      </c>
      <c r="L48" s="673">
        <v>0</v>
      </c>
      <c r="M48" s="673">
        <v>0</v>
      </c>
      <c r="N48" s="673">
        <v>0</v>
      </c>
      <c r="O48" s="673">
        <v>0</v>
      </c>
      <c r="P48" s="673">
        <v>0</v>
      </c>
      <c r="Q48" s="673">
        <v>0</v>
      </c>
      <c r="R48" s="673">
        <v>0</v>
      </c>
      <c r="S48" s="673">
        <v>0</v>
      </c>
      <c r="T48" s="673">
        <v>0</v>
      </c>
      <c r="U48" s="673">
        <v>0</v>
      </c>
      <c r="V48" s="673">
        <v>0</v>
      </c>
      <c r="W48" s="673">
        <v>0</v>
      </c>
      <c r="X48" s="673">
        <v>0</v>
      </c>
      <c r="Y48" s="673">
        <v>0</v>
      </c>
      <c r="Z48" s="673">
        <v>0</v>
      </c>
      <c r="AA48" s="673">
        <v>0</v>
      </c>
      <c r="AB48" s="673">
        <v>0</v>
      </c>
      <c r="AC48" s="673">
        <v>0</v>
      </c>
      <c r="AD48" s="673">
        <v>0</v>
      </c>
      <c r="AE48" s="673">
        <v>0</v>
      </c>
      <c r="AF48" s="673">
        <v>0</v>
      </c>
      <c r="AG48" s="673">
        <v>0</v>
      </c>
      <c r="AH48" s="673">
        <v>0</v>
      </c>
      <c r="AI48" s="673">
        <v>0</v>
      </c>
      <c r="AJ48" s="673">
        <v>0</v>
      </c>
      <c r="AK48" s="673">
        <v>0</v>
      </c>
      <c r="AL48" s="673">
        <v>0</v>
      </c>
      <c r="AM48" s="673">
        <v>0</v>
      </c>
      <c r="AN48" s="673">
        <v>0</v>
      </c>
      <c r="AO48" s="673">
        <v>0</v>
      </c>
      <c r="AP48" s="673">
        <v>0</v>
      </c>
      <c r="AQ48" s="673">
        <v>0</v>
      </c>
      <c r="AR48" s="673">
        <v>0</v>
      </c>
      <c r="AS48" s="673">
        <v>0</v>
      </c>
      <c r="AT48" s="673">
        <v>0</v>
      </c>
      <c r="AU48" s="673">
        <v>0</v>
      </c>
      <c r="AV48" s="673">
        <v>0</v>
      </c>
      <c r="AW48" s="673">
        <v>0</v>
      </c>
      <c r="AX48" s="673">
        <v>0</v>
      </c>
      <c r="AY48" s="673">
        <v>0</v>
      </c>
      <c r="AZ48" s="673">
        <v>0</v>
      </c>
      <c r="BA48" s="673">
        <v>0</v>
      </c>
      <c r="BB48" s="673">
        <v>0</v>
      </c>
    </row>
    <row r="49" spans="1:54" x14ac:dyDescent="0.25">
      <c r="A49">
        <v>254</v>
      </c>
      <c r="B49">
        <v>254</v>
      </c>
      <c r="C49">
        <v>254</v>
      </c>
      <c r="D49" t="s">
        <v>128</v>
      </c>
      <c r="E49" t="s">
        <v>423</v>
      </c>
      <c r="F49" s="673">
        <v>0</v>
      </c>
      <c r="G49" s="673">
        <v>0</v>
      </c>
      <c r="H49" s="673">
        <v>0</v>
      </c>
      <c r="I49" s="673">
        <v>0</v>
      </c>
      <c r="J49" s="673">
        <v>0</v>
      </c>
      <c r="K49" s="673">
        <v>0</v>
      </c>
      <c r="L49" s="673">
        <v>0</v>
      </c>
      <c r="M49" s="673">
        <v>0</v>
      </c>
      <c r="N49" s="673">
        <v>0</v>
      </c>
      <c r="O49" s="673">
        <v>0</v>
      </c>
      <c r="P49" s="673">
        <v>0</v>
      </c>
      <c r="Q49" s="673">
        <v>0</v>
      </c>
      <c r="R49" s="673">
        <v>0</v>
      </c>
      <c r="S49" s="673">
        <v>0</v>
      </c>
      <c r="T49" s="673">
        <v>0</v>
      </c>
      <c r="U49" s="673">
        <v>0</v>
      </c>
      <c r="V49" s="673">
        <v>0</v>
      </c>
      <c r="W49" s="673">
        <v>0</v>
      </c>
      <c r="X49" s="673">
        <v>0</v>
      </c>
      <c r="Y49" s="673">
        <v>0</v>
      </c>
      <c r="Z49" s="673">
        <v>0</v>
      </c>
      <c r="AA49" s="673">
        <v>0</v>
      </c>
      <c r="AB49" s="673">
        <v>0</v>
      </c>
      <c r="AC49" s="673">
        <v>0</v>
      </c>
      <c r="AD49" s="673">
        <v>0</v>
      </c>
      <c r="AE49" s="673">
        <v>0</v>
      </c>
      <c r="AF49" s="673">
        <v>0</v>
      </c>
      <c r="AG49" s="673">
        <v>0</v>
      </c>
      <c r="AH49" s="673">
        <v>0</v>
      </c>
      <c r="AI49" s="673">
        <v>0</v>
      </c>
      <c r="AJ49" s="673">
        <v>0</v>
      </c>
      <c r="AK49" s="673">
        <v>514435</v>
      </c>
      <c r="AL49" s="673">
        <v>0</v>
      </c>
      <c r="AM49" s="673">
        <v>0</v>
      </c>
      <c r="AN49" s="673">
        <v>0</v>
      </c>
      <c r="AO49" s="673">
        <v>0</v>
      </c>
      <c r="AP49" s="673">
        <v>0</v>
      </c>
      <c r="AQ49" s="673">
        <v>0</v>
      </c>
      <c r="AR49" s="673">
        <v>0</v>
      </c>
      <c r="AS49" s="673">
        <v>0</v>
      </c>
      <c r="AT49" s="673">
        <v>0</v>
      </c>
      <c r="AU49" s="673">
        <v>0</v>
      </c>
      <c r="AV49" s="673">
        <v>0</v>
      </c>
      <c r="AW49" s="673">
        <v>0</v>
      </c>
      <c r="AX49" s="673">
        <v>0</v>
      </c>
      <c r="AY49" s="673">
        <v>0</v>
      </c>
      <c r="AZ49" s="673">
        <v>0</v>
      </c>
      <c r="BA49" s="673">
        <v>0</v>
      </c>
      <c r="BB49" s="673">
        <v>0</v>
      </c>
    </row>
    <row r="50" spans="1:54" x14ac:dyDescent="0.25">
      <c r="A50">
        <v>255</v>
      </c>
      <c r="B50">
        <v>255</v>
      </c>
      <c r="C50">
        <v>255</v>
      </c>
      <c r="D50" t="s">
        <v>277</v>
      </c>
      <c r="E50" t="s">
        <v>424</v>
      </c>
      <c r="F50" s="673">
        <v>0</v>
      </c>
      <c r="G50" s="673">
        <v>0</v>
      </c>
      <c r="H50" s="673">
        <v>0</v>
      </c>
      <c r="I50" s="673">
        <v>0</v>
      </c>
      <c r="J50" s="673">
        <v>0</v>
      </c>
      <c r="K50" s="673">
        <v>0</v>
      </c>
      <c r="L50" s="673">
        <v>0</v>
      </c>
      <c r="M50" s="673">
        <v>0</v>
      </c>
      <c r="N50" s="673">
        <v>0</v>
      </c>
      <c r="O50" s="673">
        <v>0</v>
      </c>
      <c r="P50" s="673">
        <v>0</v>
      </c>
      <c r="Q50" s="673">
        <v>0</v>
      </c>
      <c r="R50" s="673">
        <v>0</v>
      </c>
      <c r="S50" s="673">
        <v>0</v>
      </c>
      <c r="T50" s="673">
        <v>0</v>
      </c>
      <c r="U50" s="673">
        <v>0</v>
      </c>
      <c r="V50" s="673">
        <v>0</v>
      </c>
      <c r="W50" s="673">
        <v>0</v>
      </c>
      <c r="X50" s="673">
        <v>0</v>
      </c>
      <c r="Y50" s="673">
        <v>0</v>
      </c>
      <c r="Z50" s="673">
        <v>0</v>
      </c>
      <c r="AA50" s="673">
        <v>0</v>
      </c>
      <c r="AB50" s="673">
        <v>0</v>
      </c>
      <c r="AC50" s="673">
        <v>0</v>
      </c>
      <c r="AD50" s="673">
        <v>0</v>
      </c>
      <c r="AE50" s="673">
        <v>0</v>
      </c>
      <c r="AF50" s="673">
        <v>0</v>
      </c>
      <c r="AG50" s="673">
        <v>0</v>
      </c>
      <c r="AH50" s="673">
        <v>0</v>
      </c>
      <c r="AI50" s="673">
        <v>0</v>
      </c>
      <c r="AJ50" s="673">
        <v>0</v>
      </c>
      <c r="AK50" s="673">
        <v>6836</v>
      </c>
      <c r="AL50" s="673">
        <v>0</v>
      </c>
      <c r="AM50" s="673">
        <v>0</v>
      </c>
      <c r="AN50" s="673">
        <v>0</v>
      </c>
      <c r="AO50" s="673">
        <v>0</v>
      </c>
      <c r="AP50" s="673">
        <v>0</v>
      </c>
      <c r="AQ50" s="673">
        <v>0</v>
      </c>
      <c r="AR50" s="673">
        <v>0</v>
      </c>
      <c r="AS50" s="673">
        <v>0</v>
      </c>
      <c r="AT50" s="673">
        <v>0</v>
      </c>
      <c r="AU50" s="673">
        <v>0</v>
      </c>
      <c r="AV50" s="673">
        <v>0</v>
      </c>
      <c r="AW50" s="673">
        <v>0</v>
      </c>
      <c r="AX50" s="673">
        <v>0</v>
      </c>
      <c r="AY50" s="673">
        <v>0</v>
      </c>
      <c r="AZ50" s="673">
        <v>0</v>
      </c>
      <c r="BA50" s="673">
        <v>0</v>
      </c>
      <c r="BB50" s="673">
        <v>0</v>
      </c>
    </row>
    <row r="51" spans="1:54" x14ac:dyDescent="0.25">
      <c r="B51">
        <v>320</v>
      </c>
      <c r="C51">
        <v>320</v>
      </c>
      <c r="D51" t="s">
        <v>339</v>
      </c>
      <c r="E51" t="s">
        <v>425</v>
      </c>
      <c r="F51" s="673">
        <v>0</v>
      </c>
      <c r="G51" s="673">
        <v>0</v>
      </c>
      <c r="H51" s="673">
        <v>0</v>
      </c>
      <c r="I51" s="673">
        <v>0</v>
      </c>
      <c r="J51" s="673">
        <v>0</v>
      </c>
      <c r="K51" s="673">
        <v>0</v>
      </c>
      <c r="L51" s="673">
        <v>0</v>
      </c>
      <c r="M51" s="673">
        <v>0</v>
      </c>
      <c r="N51" s="673">
        <v>0</v>
      </c>
      <c r="O51" s="673">
        <v>0</v>
      </c>
      <c r="P51" s="673">
        <v>0</v>
      </c>
      <c r="Q51" s="673">
        <v>0</v>
      </c>
      <c r="R51" s="673">
        <v>0</v>
      </c>
      <c r="S51" s="673">
        <v>0</v>
      </c>
      <c r="T51" s="673">
        <v>0</v>
      </c>
      <c r="U51" s="673">
        <v>0</v>
      </c>
      <c r="V51" s="673">
        <v>0</v>
      </c>
      <c r="W51" s="673">
        <v>0</v>
      </c>
      <c r="X51" s="673">
        <v>0</v>
      </c>
      <c r="Y51" s="673">
        <v>0</v>
      </c>
      <c r="Z51" s="673">
        <v>0</v>
      </c>
      <c r="AA51" s="673">
        <v>0</v>
      </c>
      <c r="AB51" s="673">
        <v>0</v>
      </c>
      <c r="AC51" s="673">
        <v>0</v>
      </c>
      <c r="AD51" s="673">
        <v>0</v>
      </c>
      <c r="AE51" s="673">
        <v>0</v>
      </c>
      <c r="AF51" s="673">
        <v>0</v>
      </c>
      <c r="AG51" s="673">
        <v>0</v>
      </c>
      <c r="AH51" s="673">
        <v>0</v>
      </c>
      <c r="AI51" s="673">
        <v>0</v>
      </c>
      <c r="AJ51" s="673">
        <v>0</v>
      </c>
      <c r="AK51" s="673">
        <v>0</v>
      </c>
      <c r="AL51" s="673">
        <v>0</v>
      </c>
      <c r="AM51" s="673">
        <v>0</v>
      </c>
      <c r="AN51" s="673">
        <v>0</v>
      </c>
      <c r="AO51" s="673">
        <v>0</v>
      </c>
      <c r="AP51" s="673">
        <v>0</v>
      </c>
      <c r="AQ51" s="673">
        <v>0</v>
      </c>
      <c r="AR51" s="673">
        <v>0</v>
      </c>
      <c r="AS51" s="673">
        <v>0</v>
      </c>
      <c r="AT51" s="673">
        <v>0</v>
      </c>
      <c r="AU51" s="673">
        <v>0</v>
      </c>
      <c r="AV51" s="673">
        <v>0</v>
      </c>
      <c r="AW51" s="673">
        <v>0</v>
      </c>
      <c r="AX51" s="673">
        <v>0</v>
      </c>
      <c r="AY51" s="673">
        <v>0</v>
      </c>
      <c r="AZ51" s="673">
        <v>0</v>
      </c>
      <c r="BA51" s="673">
        <v>0</v>
      </c>
      <c r="BB51" s="673">
        <v>0</v>
      </c>
    </row>
    <row r="52" spans="1:54" x14ac:dyDescent="0.25">
      <c r="B52">
        <v>321</v>
      </c>
      <c r="C52">
        <v>321</v>
      </c>
      <c r="D52" t="s">
        <v>962</v>
      </c>
      <c r="E52" t="s">
        <v>426</v>
      </c>
      <c r="F52" s="673">
        <v>0</v>
      </c>
      <c r="G52" s="673">
        <v>0</v>
      </c>
      <c r="H52" s="673">
        <v>0</v>
      </c>
      <c r="I52" s="673">
        <v>0</v>
      </c>
      <c r="J52" s="673">
        <v>0</v>
      </c>
      <c r="K52" s="673">
        <v>0</v>
      </c>
      <c r="L52" s="673">
        <v>0</v>
      </c>
      <c r="M52" s="673">
        <v>0</v>
      </c>
      <c r="N52" s="673">
        <v>0</v>
      </c>
      <c r="O52" s="673">
        <v>0</v>
      </c>
      <c r="P52" s="673">
        <v>0</v>
      </c>
      <c r="Q52" s="673">
        <v>0</v>
      </c>
      <c r="R52" s="673">
        <v>0</v>
      </c>
      <c r="S52" s="673">
        <v>0</v>
      </c>
      <c r="T52" s="673">
        <v>0</v>
      </c>
      <c r="U52" s="673">
        <v>0</v>
      </c>
      <c r="V52" s="673">
        <v>0</v>
      </c>
      <c r="W52" s="673">
        <v>0</v>
      </c>
      <c r="X52" s="673">
        <v>0</v>
      </c>
      <c r="Y52" s="673">
        <v>0</v>
      </c>
      <c r="Z52" s="673">
        <v>0</v>
      </c>
      <c r="AA52" s="673">
        <v>0</v>
      </c>
      <c r="AB52" s="673">
        <v>0</v>
      </c>
      <c r="AC52" s="673">
        <v>0</v>
      </c>
      <c r="AD52" s="673">
        <v>0</v>
      </c>
      <c r="AE52" s="673">
        <v>0</v>
      </c>
      <c r="AF52" s="673">
        <v>0</v>
      </c>
      <c r="AG52" s="673">
        <v>0</v>
      </c>
      <c r="AH52" s="673">
        <v>0</v>
      </c>
      <c r="AI52" s="673">
        <v>0</v>
      </c>
      <c r="AJ52" s="673">
        <v>0</v>
      </c>
      <c r="AK52" s="673">
        <v>0</v>
      </c>
      <c r="AL52" s="673">
        <v>0</v>
      </c>
      <c r="AM52" s="673">
        <v>0</v>
      </c>
      <c r="AN52" s="673">
        <v>0</v>
      </c>
      <c r="AO52" s="673">
        <v>0</v>
      </c>
      <c r="AP52" s="673">
        <v>0</v>
      </c>
      <c r="AQ52" s="673">
        <v>0</v>
      </c>
      <c r="AR52" s="673">
        <v>0</v>
      </c>
      <c r="AS52" s="673">
        <v>0</v>
      </c>
      <c r="AT52" s="673">
        <v>0</v>
      </c>
      <c r="AU52" s="673">
        <v>0</v>
      </c>
      <c r="AV52" s="673">
        <v>0</v>
      </c>
      <c r="AW52" s="673">
        <v>0</v>
      </c>
      <c r="AX52" s="673">
        <v>0</v>
      </c>
      <c r="AY52" s="673">
        <v>0</v>
      </c>
      <c r="AZ52" s="673">
        <v>0</v>
      </c>
      <c r="BA52" s="673">
        <v>0</v>
      </c>
      <c r="BB52" s="673">
        <v>0</v>
      </c>
    </row>
    <row r="53" spans="1:54" x14ac:dyDescent="0.25">
      <c r="B53">
        <v>322</v>
      </c>
      <c r="C53">
        <v>322</v>
      </c>
      <c r="D53" t="s">
        <v>341</v>
      </c>
      <c r="E53" t="s">
        <v>427</v>
      </c>
      <c r="F53" s="673">
        <v>0</v>
      </c>
      <c r="G53" s="673">
        <v>0</v>
      </c>
      <c r="H53" s="673">
        <v>0</v>
      </c>
      <c r="I53" s="673">
        <v>0</v>
      </c>
      <c r="J53" s="673">
        <v>0</v>
      </c>
      <c r="K53" s="673">
        <v>0</v>
      </c>
      <c r="L53" s="673">
        <v>0</v>
      </c>
      <c r="M53" s="673">
        <v>0</v>
      </c>
      <c r="N53" s="673">
        <v>0</v>
      </c>
      <c r="O53" s="673">
        <v>0</v>
      </c>
      <c r="P53" s="673">
        <v>0</v>
      </c>
      <c r="Q53" s="673">
        <v>0</v>
      </c>
      <c r="R53" s="673">
        <v>0</v>
      </c>
      <c r="S53" s="673">
        <v>0</v>
      </c>
      <c r="T53" s="673">
        <v>0</v>
      </c>
      <c r="U53" s="673">
        <v>0</v>
      </c>
      <c r="V53" s="673">
        <v>0</v>
      </c>
      <c r="W53" s="673">
        <v>0</v>
      </c>
      <c r="X53" s="673">
        <v>0</v>
      </c>
      <c r="Y53" s="673">
        <v>0</v>
      </c>
      <c r="Z53" s="673">
        <v>0</v>
      </c>
      <c r="AA53" s="673">
        <v>0</v>
      </c>
      <c r="AB53" s="673">
        <v>0</v>
      </c>
      <c r="AC53" s="673">
        <v>0</v>
      </c>
      <c r="AD53" s="673">
        <v>0</v>
      </c>
      <c r="AE53" s="673">
        <v>0</v>
      </c>
      <c r="AF53" s="673">
        <v>0</v>
      </c>
      <c r="AG53" s="673">
        <v>0</v>
      </c>
      <c r="AH53" s="673">
        <v>0</v>
      </c>
      <c r="AI53" s="673">
        <v>0</v>
      </c>
      <c r="AJ53" s="673">
        <v>0</v>
      </c>
      <c r="AK53" s="673">
        <v>0</v>
      </c>
      <c r="AL53" s="673">
        <v>0</v>
      </c>
      <c r="AM53" s="673">
        <v>0</v>
      </c>
      <c r="AN53" s="673">
        <v>0</v>
      </c>
      <c r="AO53" s="673">
        <v>0</v>
      </c>
      <c r="AP53" s="673">
        <v>0</v>
      </c>
      <c r="AQ53" s="673">
        <v>0</v>
      </c>
      <c r="AR53" s="673">
        <v>0</v>
      </c>
      <c r="AS53" s="673">
        <v>0</v>
      </c>
      <c r="AT53" s="673">
        <v>0</v>
      </c>
      <c r="AU53" s="673">
        <v>0</v>
      </c>
      <c r="AV53" s="673">
        <v>0</v>
      </c>
      <c r="AW53" s="673">
        <v>0</v>
      </c>
      <c r="AX53" s="673">
        <v>0</v>
      </c>
      <c r="AY53" s="673">
        <v>0</v>
      </c>
      <c r="AZ53" s="673">
        <v>0</v>
      </c>
      <c r="BA53" s="673">
        <v>0</v>
      </c>
      <c r="BB53" s="673">
        <v>0</v>
      </c>
    </row>
    <row r="54" spans="1:54" x14ac:dyDescent="0.25">
      <c r="B54">
        <v>323</v>
      </c>
      <c r="C54">
        <v>323</v>
      </c>
      <c r="D54" t="s">
        <v>340</v>
      </c>
      <c r="E54" t="s">
        <v>428</v>
      </c>
      <c r="F54" s="673">
        <v>0</v>
      </c>
      <c r="G54" s="673">
        <v>0</v>
      </c>
      <c r="H54" s="673">
        <v>0</v>
      </c>
      <c r="I54" s="673">
        <v>0</v>
      </c>
      <c r="J54" s="673">
        <v>0</v>
      </c>
      <c r="K54" s="673">
        <v>0</v>
      </c>
      <c r="L54" s="673">
        <v>0</v>
      </c>
      <c r="M54" s="673">
        <v>0</v>
      </c>
      <c r="N54" s="673">
        <v>0</v>
      </c>
      <c r="O54" s="673">
        <v>0</v>
      </c>
      <c r="P54" s="673">
        <v>0</v>
      </c>
      <c r="Q54" s="673">
        <v>0</v>
      </c>
      <c r="R54" s="673">
        <v>0</v>
      </c>
      <c r="S54" s="673">
        <v>0</v>
      </c>
      <c r="T54" s="673">
        <v>0</v>
      </c>
      <c r="U54" s="673">
        <v>0</v>
      </c>
      <c r="V54" s="673">
        <v>0</v>
      </c>
      <c r="W54" s="673">
        <v>0</v>
      </c>
      <c r="X54" s="673">
        <v>0</v>
      </c>
      <c r="Y54" s="673">
        <v>0</v>
      </c>
      <c r="Z54" s="673">
        <v>0</v>
      </c>
      <c r="AA54" s="673">
        <v>0</v>
      </c>
      <c r="AB54" s="673">
        <v>0</v>
      </c>
      <c r="AC54" s="673">
        <v>0</v>
      </c>
      <c r="AD54" s="673">
        <v>0</v>
      </c>
      <c r="AE54" s="673">
        <v>0</v>
      </c>
      <c r="AF54" s="673">
        <v>0</v>
      </c>
      <c r="AG54" s="673">
        <v>0</v>
      </c>
      <c r="AH54" s="673">
        <v>0</v>
      </c>
      <c r="AI54" s="673">
        <v>0</v>
      </c>
      <c r="AJ54" s="673">
        <v>0</v>
      </c>
      <c r="AK54" s="673">
        <v>0</v>
      </c>
      <c r="AL54" s="673">
        <v>0</v>
      </c>
      <c r="AM54" s="673">
        <v>0</v>
      </c>
      <c r="AN54" s="673">
        <v>0</v>
      </c>
      <c r="AO54" s="673">
        <v>0</v>
      </c>
      <c r="AP54" s="673">
        <v>0</v>
      </c>
      <c r="AQ54" s="673">
        <v>0</v>
      </c>
      <c r="AR54" s="673">
        <v>0</v>
      </c>
      <c r="AS54" s="673">
        <v>0</v>
      </c>
      <c r="AT54" s="673">
        <v>0</v>
      </c>
      <c r="AU54" s="673">
        <v>0</v>
      </c>
      <c r="AV54" s="673">
        <v>0</v>
      </c>
      <c r="AW54" s="673">
        <v>0</v>
      </c>
      <c r="AX54" s="673">
        <v>0</v>
      </c>
      <c r="AY54" s="673">
        <v>0</v>
      </c>
      <c r="AZ54" s="673">
        <v>0</v>
      </c>
      <c r="BA54" s="673">
        <v>0</v>
      </c>
      <c r="BB54" s="673">
        <v>0</v>
      </c>
    </row>
    <row r="55" spans="1:54" x14ac:dyDescent="0.25">
      <c r="B55">
        <v>324</v>
      </c>
      <c r="C55">
        <v>324</v>
      </c>
      <c r="D55" t="s">
        <v>337</v>
      </c>
      <c r="E55" t="s">
        <v>429</v>
      </c>
      <c r="F55" s="673">
        <v>0</v>
      </c>
      <c r="G55" s="673">
        <v>0</v>
      </c>
      <c r="H55" s="673">
        <v>0</v>
      </c>
      <c r="I55" s="673">
        <v>0</v>
      </c>
      <c r="J55" s="673">
        <v>0</v>
      </c>
      <c r="K55" s="673">
        <v>0</v>
      </c>
      <c r="L55" s="673">
        <v>0</v>
      </c>
      <c r="M55" s="673">
        <v>0</v>
      </c>
      <c r="N55" s="673">
        <v>0</v>
      </c>
      <c r="O55" s="673">
        <v>0</v>
      </c>
      <c r="P55" s="673">
        <v>0</v>
      </c>
      <c r="Q55" s="673">
        <v>0</v>
      </c>
      <c r="R55" s="673">
        <v>0</v>
      </c>
      <c r="S55" s="673">
        <v>0</v>
      </c>
      <c r="T55" s="673">
        <v>0</v>
      </c>
      <c r="U55" s="673">
        <v>0</v>
      </c>
      <c r="V55" s="673">
        <v>0</v>
      </c>
      <c r="W55" s="673">
        <v>0</v>
      </c>
      <c r="X55" s="673">
        <v>0</v>
      </c>
      <c r="Y55" s="673">
        <v>0</v>
      </c>
      <c r="Z55" s="673">
        <v>0</v>
      </c>
      <c r="AA55" s="673">
        <v>0</v>
      </c>
      <c r="AB55" s="673">
        <v>0</v>
      </c>
      <c r="AC55" s="673">
        <v>0</v>
      </c>
      <c r="AD55" s="673">
        <v>0</v>
      </c>
      <c r="AE55" s="673">
        <v>0</v>
      </c>
      <c r="AF55" s="673">
        <v>0</v>
      </c>
      <c r="AG55" s="673">
        <v>0</v>
      </c>
      <c r="AH55" s="673">
        <v>0</v>
      </c>
      <c r="AI55" s="673">
        <v>0</v>
      </c>
      <c r="AJ55" s="673">
        <v>0</v>
      </c>
      <c r="AK55" s="673">
        <v>0</v>
      </c>
      <c r="AL55" s="673">
        <v>0</v>
      </c>
      <c r="AM55" s="673">
        <v>0</v>
      </c>
      <c r="AN55" s="673">
        <v>0</v>
      </c>
      <c r="AO55" s="673">
        <v>0</v>
      </c>
      <c r="AP55" s="673">
        <v>0</v>
      </c>
      <c r="AQ55" s="673">
        <v>0</v>
      </c>
      <c r="AR55" s="673">
        <v>0</v>
      </c>
      <c r="AS55" s="673">
        <v>0</v>
      </c>
      <c r="AT55" s="673">
        <v>0</v>
      </c>
      <c r="AU55" s="673">
        <v>0</v>
      </c>
      <c r="AV55" s="673">
        <v>0</v>
      </c>
      <c r="AW55" s="673">
        <v>0</v>
      </c>
      <c r="AX55" s="673">
        <v>0</v>
      </c>
      <c r="AY55" s="673">
        <v>0</v>
      </c>
      <c r="AZ55" s="673">
        <v>0</v>
      </c>
      <c r="BA55" s="673">
        <v>0</v>
      </c>
      <c r="BB55" s="673">
        <v>0</v>
      </c>
    </row>
    <row r="56" spans="1:54" x14ac:dyDescent="0.25">
      <c r="B56">
        <v>325</v>
      </c>
      <c r="C56">
        <v>325</v>
      </c>
      <c r="D56" t="s">
        <v>342</v>
      </c>
      <c r="E56" t="s">
        <v>430</v>
      </c>
      <c r="F56" s="673">
        <v>0</v>
      </c>
      <c r="G56" s="673">
        <v>0</v>
      </c>
      <c r="H56" s="673">
        <v>0</v>
      </c>
      <c r="I56" s="673">
        <v>0</v>
      </c>
      <c r="J56" s="673">
        <v>0</v>
      </c>
      <c r="K56" s="673">
        <v>0</v>
      </c>
      <c r="L56" s="673">
        <v>0</v>
      </c>
      <c r="M56" s="673">
        <v>0</v>
      </c>
      <c r="N56" s="673">
        <v>0</v>
      </c>
      <c r="O56" s="673">
        <v>0</v>
      </c>
      <c r="P56" s="673">
        <v>0</v>
      </c>
      <c r="Q56" s="673">
        <v>0</v>
      </c>
      <c r="R56" s="673">
        <v>0</v>
      </c>
      <c r="S56" s="673">
        <v>0</v>
      </c>
      <c r="T56" s="673">
        <v>0</v>
      </c>
      <c r="U56" s="673">
        <v>0</v>
      </c>
      <c r="V56" s="673">
        <v>0</v>
      </c>
      <c r="W56" s="673">
        <v>0</v>
      </c>
      <c r="X56" s="673">
        <v>0</v>
      </c>
      <c r="Y56" s="673">
        <v>0</v>
      </c>
      <c r="Z56" s="673">
        <v>0</v>
      </c>
      <c r="AA56" s="673">
        <v>0</v>
      </c>
      <c r="AB56" s="673">
        <v>0</v>
      </c>
      <c r="AC56" s="673">
        <v>0</v>
      </c>
      <c r="AD56" s="673">
        <v>0</v>
      </c>
      <c r="AE56" s="673">
        <v>0</v>
      </c>
      <c r="AF56" s="673">
        <v>0</v>
      </c>
      <c r="AG56" s="673">
        <v>0</v>
      </c>
      <c r="AH56" s="673">
        <v>0</v>
      </c>
      <c r="AI56" s="673">
        <v>0</v>
      </c>
      <c r="AJ56" s="673">
        <v>0</v>
      </c>
      <c r="AK56" s="673">
        <v>0</v>
      </c>
      <c r="AL56" s="673">
        <v>0</v>
      </c>
      <c r="AM56" s="673">
        <v>0</v>
      </c>
      <c r="AN56" s="673">
        <v>0</v>
      </c>
      <c r="AO56" s="673">
        <v>0</v>
      </c>
      <c r="AP56" s="673">
        <v>0</v>
      </c>
      <c r="AQ56" s="673">
        <v>0</v>
      </c>
      <c r="AR56" s="673">
        <v>0</v>
      </c>
      <c r="AS56" s="673">
        <v>0</v>
      </c>
      <c r="AT56" s="673">
        <v>0</v>
      </c>
      <c r="AU56" s="673">
        <v>0</v>
      </c>
      <c r="AV56" s="673">
        <v>0</v>
      </c>
      <c r="AW56" s="673">
        <v>0</v>
      </c>
      <c r="AX56" s="673">
        <v>0</v>
      </c>
      <c r="AY56" s="673">
        <v>0</v>
      </c>
      <c r="AZ56" s="673">
        <v>0</v>
      </c>
      <c r="BA56" s="673">
        <v>0</v>
      </c>
      <c r="BB56" s="673">
        <v>0</v>
      </c>
    </row>
    <row r="57" spans="1:54" x14ac:dyDescent="0.25">
      <c r="A57">
        <v>327</v>
      </c>
      <c r="B57">
        <v>327</v>
      </c>
      <c r="C57">
        <v>327</v>
      </c>
      <c r="D57" t="s">
        <v>614</v>
      </c>
      <c r="E57" t="s">
        <v>431</v>
      </c>
      <c r="F57" s="673">
        <v>724599</v>
      </c>
      <c r="G57" s="673">
        <v>529738</v>
      </c>
      <c r="H57" s="673">
        <v>443112</v>
      </c>
      <c r="I57" s="673">
        <v>0</v>
      </c>
      <c r="J57" s="673">
        <v>13389557</v>
      </c>
      <c r="K57" s="673">
        <v>7861153</v>
      </c>
      <c r="L57" s="673">
        <v>9375527</v>
      </c>
      <c r="M57" s="673">
        <v>830154</v>
      </c>
      <c r="N57" s="673">
        <v>0</v>
      </c>
      <c r="O57" s="673">
        <v>1554693</v>
      </c>
      <c r="P57" s="673">
        <v>788528</v>
      </c>
      <c r="Q57" s="673">
        <v>300290</v>
      </c>
      <c r="R57" s="673">
        <v>34035</v>
      </c>
      <c r="S57" s="673">
        <v>20000</v>
      </c>
      <c r="T57" s="673">
        <v>637999</v>
      </c>
      <c r="U57" s="673">
        <v>30586</v>
      </c>
      <c r="V57" s="673">
        <v>3780635</v>
      </c>
      <c r="W57" s="673">
        <v>58844</v>
      </c>
      <c r="X57" s="673">
        <v>265154</v>
      </c>
      <c r="Y57" s="673">
        <v>260800</v>
      </c>
      <c r="Z57" s="673">
        <v>882053</v>
      </c>
      <c r="AA57" s="673">
        <v>289504</v>
      </c>
      <c r="AB57" s="673">
        <v>356810</v>
      </c>
      <c r="AC57" s="673">
        <v>92043</v>
      </c>
      <c r="AD57" s="673">
        <v>1377196</v>
      </c>
      <c r="AE57" s="673">
        <v>506876</v>
      </c>
      <c r="AF57" s="673">
        <v>0</v>
      </c>
      <c r="AG57" s="673">
        <v>18994773</v>
      </c>
      <c r="AH57" s="673">
        <v>17605354</v>
      </c>
      <c r="AI57" s="673">
        <v>41111084</v>
      </c>
      <c r="AJ57" s="673">
        <v>11179833</v>
      </c>
      <c r="AK57" s="673">
        <v>0</v>
      </c>
      <c r="AL57" s="673">
        <v>603427</v>
      </c>
      <c r="AM57" s="673">
        <v>315358</v>
      </c>
      <c r="AN57" s="673">
        <v>1</v>
      </c>
      <c r="AO57" s="673">
        <v>33450</v>
      </c>
      <c r="AP57" s="673">
        <v>77603</v>
      </c>
      <c r="AQ57" s="673">
        <v>392289</v>
      </c>
      <c r="AR57" s="673">
        <v>68756</v>
      </c>
      <c r="AS57" s="673">
        <v>151491</v>
      </c>
      <c r="AT57" s="673">
        <v>0</v>
      </c>
      <c r="AU57" s="673">
        <v>59979</v>
      </c>
      <c r="AV57" s="673">
        <v>637546</v>
      </c>
      <c r="AW57" s="673">
        <v>1468958</v>
      </c>
      <c r="AX57" s="673">
        <v>0</v>
      </c>
      <c r="AY57" s="673">
        <v>0</v>
      </c>
      <c r="AZ57" s="673">
        <v>15059</v>
      </c>
      <c r="BA57" s="673">
        <v>228517</v>
      </c>
      <c r="BB57" s="673">
        <v>16858</v>
      </c>
    </row>
    <row r="58" spans="1:54" x14ac:dyDescent="0.25">
      <c r="A58">
        <v>328</v>
      </c>
      <c r="B58">
        <v>328</v>
      </c>
      <c r="C58">
        <v>328</v>
      </c>
      <c r="D58" t="s">
        <v>569</v>
      </c>
      <c r="E58" t="s">
        <v>432</v>
      </c>
      <c r="F58" s="673">
        <v>1823154</v>
      </c>
      <c r="G58" s="673">
        <v>0</v>
      </c>
      <c r="H58" s="673">
        <v>466398</v>
      </c>
      <c r="I58" s="673">
        <v>0</v>
      </c>
      <c r="J58" s="673">
        <v>10668868</v>
      </c>
      <c r="K58" s="673">
        <v>7893998</v>
      </c>
      <c r="L58" s="673">
        <v>49592275</v>
      </c>
      <c r="M58" s="673">
        <v>589210</v>
      </c>
      <c r="N58" s="673">
        <v>0</v>
      </c>
      <c r="O58" s="673">
        <v>45665</v>
      </c>
      <c r="P58" s="673">
        <v>2688574</v>
      </c>
      <c r="Q58" s="673">
        <v>1012342</v>
      </c>
      <c r="R58" s="673">
        <v>0</v>
      </c>
      <c r="S58" s="673">
        <v>0</v>
      </c>
      <c r="T58" s="673">
        <v>753830</v>
      </c>
      <c r="U58" s="673">
        <v>133196</v>
      </c>
      <c r="V58" s="673">
        <v>11797226</v>
      </c>
      <c r="W58" s="673">
        <v>590811</v>
      </c>
      <c r="X58" s="673">
        <v>0</v>
      </c>
      <c r="Y58" s="673">
        <v>571730</v>
      </c>
      <c r="Z58" s="673">
        <v>0</v>
      </c>
      <c r="AA58" s="673">
        <v>6787</v>
      </c>
      <c r="AB58" s="673">
        <v>0</v>
      </c>
      <c r="AC58" s="673">
        <v>0</v>
      </c>
      <c r="AD58" s="673">
        <v>0</v>
      </c>
      <c r="AE58" s="673">
        <v>3675233</v>
      </c>
      <c r="AF58" s="673">
        <v>0</v>
      </c>
      <c r="AG58" s="673">
        <v>4115625</v>
      </c>
      <c r="AH58" s="673">
        <v>40684883</v>
      </c>
      <c r="AI58" s="673">
        <v>0</v>
      </c>
      <c r="AJ58" s="673">
        <v>38441180</v>
      </c>
      <c r="AK58" s="673">
        <v>0</v>
      </c>
      <c r="AL58" s="673">
        <v>1360659</v>
      </c>
      <c r="AM58" s="673">
        <v>414044</v>
      </c>
      <c r="AN58" s="673">
        <v>0</v>
      </c>
      <c r="AO58" s="673">
        <v>353272</v>
      </c>
      <c r="AP58" s="673">
        <v>0</v>
      </c>
      <c r="AQ58" s="673">
        <v>3980629</v>
      </c>
      <c r="AR58" s="673">
        <v>0</v>
      </c>
      <c r="AS58" s="673">
        <v>409822</v>
      </c>
      <c r="AT58" s="673">
        <v>0</v>
      </c>
      <c r="AU58" s="673">
        <v>0</v>
      </c>
      <c r="AV58" s="673">
        <v>0</v>
      </c>
      <c r="AW58" s="673">
        <v>707549</v>
      </c>
      <c r="AX58" s="673">
        <v>0</v>
      </c>
      <c r="AY58" s="673">
        <v>0</v>
      </c>
      <c r="AZ58" s="673">
        <v>0</v>
      </c>
      <c r="BA58" s="673">
        <v>46839</v>
      </c>
      <c r="BB58" s="673">
        <v>2552794</v>
      </c>
    </row>
    <row r="59" spans="1:54" x14ac:dyDescent="0.25">
      <c r="C59">
        <v>330</v>
      </c>
      <c r="D59" t="s">
        <v>963</v>
      </c>
      <c r="E59" t="s">
        <v>433</v>
      </c>
      <c r="F59" s="673">
        <v>0</v>
      </c>
      <c r="G59" s="673">
        <v>0</v>
      </c>
      <c r="H59" s="673">
        <v>0</v>
      </c>
      <c r="I59" s="673">
        <v>0</v>
      </c>
      <c r="J59" s="673">
        <v>0</v>
      </c>
      <c r="K59" s="673">
        <v>0</v>
      </c>
      <c r="L59" s="673">
        <v>0</v>
      </c>
      <c r="M59" s="673">
        <v>0</v>
      </c>
      <c r="N59" s="673">
        <v>0</v>
      </c>
      <c r="O59" s="673">
        <v>0</v>
      </c>
      <c r="P59" s="673">
        <v>0</v>
      </c>
      <c r="Q59" s="673">
        <v>0</v>
      </c>
      <c r="R59" s="673">
        <v>0</v>
      </c>
      <c r="S59" s="673">
        <v>0</v>
      </c>
      <c r="T59" s="673">
        <v>0</v>
      </c>
      <c r="U59" s="673">
        <v>0</v>
      </c>
      <c r="V59" s="673">
        <v>0</v>
      </c>
      <c r="W59" s="673">
        <v>0</v>
      </c>
      <c r="X59" s="673">
        <v>0</v>
      </c>
      <c r="Y59" s="673">
        <v>0</v>
      </c>
      <c r="Z59" s="673">
        <v>0</v>
      </c>
      <c r="AA59" s="673">
        <v>0</v>
      </c>
      <c r="AB59" s="673">
        <v>0</v>
      </c>
      <c r="AC59" s="673">
        <v>0</v>
      </c>
      <c r="AD59" s="673">
        <v>0</v>
      </c>
      <c r="AE59" s="673">
        <v>0</v>
      </c>
      <c r="AF59" s="673">
        <v>0</v>
      </c>
      <c r="AG59" s="673">
        <v>0</v>
      </c>
      <c r="AH59" s="673">
        <v>0</v>
      </c>
      <c r="AI59" s="673">
        <v>0</v>
      </c>
      <c r="AJ59" s="673">
        <v>0</v>
      </c>
      <c r="AK59" s="673">
        <v>0</v>
      </c>
      <c r="AL59" s="673">
        <v>0</v>
      </c>
      <c r="AM59" s="673">
        <v>0</v>
      </c>
      <c r="AN59" s="673">
        <v>0</v>
      </c>
      <c r="AO59" s="673">
        <v>0</v>
      </c>
      <c r="AP59" s="673">
        <v>0</v>
      </c>
      <c r="AQ59" s="673">
        <v>0</v>
      </c>
      <c r="AR59" s="673">
        <v>0</v>
      </c>
      <c r="AS59" s="673">
        <v>0</v>
      </c>
      <c r="AT59" s="673">
        <v>0</v>
      </c>
      <c r="AU59" s="673">
        <v>0</v>
      </c>
      <c r="AV59" s="673">
        <v>0</v>
      </c>
      <c r="AW59" s="673">
        <v>0</v>
      </c>
      <c r="AX59" s="673">
        <v>0</v>
      </c>
      <c r="AY59" s="673">
        <v>0</v>
      </c>
      <c r="AZ59" s="673">
        <v>0</v>
      </c>
      <c r="BA59" s="673">
        <v>0</v>
      </c>
      <c r="BB59" s="673">
        <v>0</v>
      </c>
    </row>
    <row r="60" spans="1:54" x14ac:dyDescent="0.25">
      <c r="A60">
        <v>331</v>
      </c>
      <c r="B60">
        <v>331</v>
      </c>
      <c r="C60">
        <v>331</v>
      </c>
      <c r="D60" t="s">
        <v>327</v>
      </c>
      <c r="E60" t="s">
        <v>434</v>
      </c>
      <c r="F60" s="673">
        <v>255846</v>
      </c>
      <c r="G60" s="673">
        <v>436042</v>
      </c>
      <c r="H60" s="673">
        <v>1841461</v>
      </c>
      <c r="I60" s="673">
        <v>648182</v>
      </c>
      <c r="J60" s="673">
        <v>4325825</v>
      </c>
      <c r="K60" s="673">
        <v>2308112</v>
      </c>
      <c r="L60" s="673">
        <v>13294847</v>
      </c>
      <c r="M60" s="673">
        <v>1547840</v>
      </c>
      <c r="N60" s="673">
        <v>0</v>
      </c>
      <c r="O60" s="673">
        <v>491236</v>
      </c>
      <c r="P60" s="673">
        <v>924013</v>
      </c>
      <c r="Q60" s="673">
        <v>0</v>
      </c>
      <c r="R60" s="673">
        <v>134547</v>
      </c>
      <c r="S60" s="673">
        <v>40000</v>
      </c>
      <c r="T60" s="673">
        <v>105380</v>
      </c>
      <c r="U60" s="673">
        <v>11422</v>
      </c>
      <c r="V60" s="673">
        <v>9962771</v>
      </c>
      <c r="W60" s="673">
        <v>909404</v>
      </c>
      <c r="X60" s="673">
        <v>24407</v>
      </c>
      <c r="Y60" s="673">
        <v>100483</v>
      </c>
      <c r="Z60" s="673">
        <v>658392</v>
      </c>
      <c r="AA60" s="673">
        <v>165709</v>
      </c>
      <c r="AB60" s="673">
        <v>290130</v>
      </c>
      <c r="AC60" s="673">
        <v>0</v>
      </c>
      <c r="AD60" s="673">
        <v>2365225</v>
      </c>
      <c r="AE60" s="673">
        <v>320449</v>
      </c>
      <c r="AF60" s="673">
        <v>27000</v>
      </c>
      <c r="AG60" s="673">
        <v>3411510</v>
      </c>
      <c r="AH60" s="673">
        <v>5113000</v>
      </c>
      <c r="AI60" s="673">
        <v>1577285</v>
      </c>
      <c r="AJ60" s="673">
        <v>16802885</v>
      </c>
      <c r="AK60" s="673">
        <v>7812</v>
      </c>
      <c r="AL60" s="673">
        <v>766953</v>
      </c>
      <c r="AM60" s="673">
        <v>181690</v>
      </c>
      <c r="AN60" s="673">
        <v>0</v>
      </c>
      <c r="AO60" s="673">
        <v>2258338</v>
      </c>
      <c r="AP60" s="673">
        <v>261992</v>
      </c>
      <c r="AQ60" s="673">
        <v>309351</v>
      </c>
      <c r="AR60" s="673">
        <v>0</v>
      </c>
      <c r="AS60" s="673">
        <v>123358</v>
      </c>
      <c r="AT60" s="673">
        <v>113000</v>
      </c>
      <c r="AU60" s="673">
        <v>0</v>
      </c>
      <c r="AV60" s="673">
        <v>0</v>
      </c>
      <c r="AW60" s="673">
        <v>212250</v>
      </c>
      <c r="AX60" s="673">
        <v>0</v>
      </c>
      <c r="AY60" s="673">
        <v>6000</v>
      </c>
      <c r="AZ60" s="673">
        <v>2500</v>
      </c>
      <c r="BA60" s="673">
        <v>0</v>
      </c>
      <c r="BB60" s="673">
        <v>366796</v>
      </c>
    </row>
    <row r="61" spans="1:54" x14ac:dyDescent="0.25">
      <c r="A61">
        <v>332</v>
      </c>
      <c r="B61">
        <v>332</v>
      </c>
      <c r="C61">
        <v>332</v>
      </c>
      <c r="D61" t="s">
        <v>328</v>
      </c>
      <c r="E61" t="s">
        <v>435</v>
      </c>
      <c r="F61" s="673">
        <v>393468</v>
      </c>
      <c r="G61" s="673">
        <v>481720</v>
      </c>
      <c r="H61" s="673">
        <v>526371</v>
      </c>
      <c r="I61" s="673">
        <v>3977465</v>
      </c>
      <c r="J61" s="673">
        <v>22806501</v>
      </c>
      <c r="K61" s="673">
        <v>7800545</v>
      </c>
      <c r="L61" s="673">
        <v>26878847</v>
      </c>
      <c r="M61" s="673">
        <v>1917262</v>
      </c>
      <c r="N61" s="673">
        <v>0</v>
      </c>
      <c r="O61" s="673">
        <v>116888</v>
      </c>
      <c r="P61" s="673">
        <v>989337</v>
      </c>
      <c r="Q61" s="673">
        <v>0</v>
      </c>
      <c r="R61" s="673">
        <v>233492</v>
      </c>
      <c r="S61" s="673">
        <v>0</v>
      </c>
      <c r="T61" s="673">
        <v>316623</v>
      </c>
      <c r="U61" s="673">
        <v>92096</v>
      </c>
      <c r="V61" s="673">
        <v>8082008</v>
      </c>
      <c r="W61" s="673">
        <v>848401</v>
      </c>
      <c r="X61" s="673">
        <v>36072</v>
      </c>
      <c r="Y61" s="673">
        <v>1331151</v>
      </c>
      <c r="Z61" s="673">
        <v>59874</v>
      </c>
      <c r="AA61" s="673">
        <v>560989</v>
      </c>
      <c r="AB61" s="673">
        <v>21447</v>
      </c>
      <c r="AC61" s="673">
        <v>2140</v>
      </c>
      <c r="AD61" s="673">
        <v>599734</v>
      </c>
      <c r="AE61" s="673">
        <v>314126</v>
      </c>
      <c r="AF61" s="673">
        <v>23920</v>
      </c>
      <c r="AG61" s="673">
        <v>2923747</v>
      </c>
      <c r="AH61" s="673">
        <v>20720584</v>
      </c>
      <c r="AI61" s="673">
        <v>812852</v>
      </c>
      <c r="AJ61" s="673">
        <v>48994392</v>
      </c>
      <c r="AK61" s="673">
        <v>0</v>
      </c>
      <c r="AL61" s="673">
        <v>3751323</v>
      </c>
      <c r="AM61" s="673">
        <v>421344</v>
      </c>
      <c r="AN61" s="673">
        <v>0</v>
      </c>
      <c r="AO61" s="673">
        <v>2240658</v>
      </c>
      <c r="AP61" s="673">
        <v>46075</v>
      </c>
      <c r="AQ61" s="673">
        <v>254276</v>
      </c>
      <c r="AR61" s="673">
        <v>167948</v>
      </c>
      <c r="AS61" s="673">
        <v>388062</v>
      </c>
      <c r="AT61" s="673">
        <v>0</v>
      </c>
      <c r="AU61" s="673">
        <v>0</v>
      </c>
      <c r="AV61" s="673">
        <v>0</v>
      </c>
      <c r="AW61" s="673">
        <v>376805</v>
      </c>
      <c r="AX61" s="673">
        <v>0</v>
      </c>
      <c r="AY61" s="673">
        <v>0</v>
      </c>
      <c r="AZ61" s="673">
        <v>3250</v>
      </c>
      <c r="BA61" s="673">
        <v>44990</v>
      </c>
      <c r="BB61" s="673">
        <v>2531031</v>
      </c>
    </row>
    <row r="62" spans="1:54" x14ac:dyDescent="0.25">
      <c r="A62">
        <v>333</v>
      </c>
      <c r="B62">
        <v>333</v>
      </c>
      <c r="C62">
        <v>333</v>
      </c>
      <c r="D62" t="s">
        <v>265</v>
      </c>
      <c r="E62" t="s">
        <v>436</v>
      </c>
      <c r="F62" s="673">
        <v>0</v>
      </c>
      <c r="G62" s="673">
        <v>0</v>
      </c>
      <c r="H62" s="673">
        <v>0</v>
      </c>
      <c r="I62" s="673">
        <v>0</v>
      </c>
      <c r="J62" s="673">
        <v>0</v>
      </c>
      <c r="K62" s="673">
        <v>0</v>
      </c>
      <c r="L62" s="673">
        <v>0</v>
      </c>
      <c r="M62" s="673">
        <v>0</v>
      </c>
      <c r="N62" s="673">
        <v>0</v>
      </c>
      <c r="O62" s="673">
        <v>0</v>
      </c>
      <c r="P62" s="673">
        <v>0</v>
      </c>
      <c r="Q62" s="673">
        <v>0</v>
      </c>
      <c r="R62" s="673">
        <v>0</v>
      </c>
      <c r="S62" s="673">
        <v>0</v>
      </c>
      <c r="T62" s="673">
        <v>0</v>
      </c>
      <c r="U62" s="673">
        <v>0</v>
      </c>
      <c r="V62" s="673">
        <v>0</v>
      </c>
      <c r="W62" s="673">
        <v>0</v>
      </c>
      <c r="X62" s="673">
        <v>0</v>
      </c>
      <c r="Y62" s="673">
        <v>0</v>
      </c>
      <c r="Z62" s="673">
        <v>0</v>
      </c>
      <c r="AA62" s="673">
        <v>0</v>
      </c>
      <c r="AB62" s="673">
        <v>0</v>
      </c>
      <c r="AC62" s="673">
        <v>0</v>
      </c>
      <c r="AD62" s="673">
        <v>0</v>
      </c>
      <c r="AE62" s="673">
        <v>0</v>
      </c>
      <c r="AF62" s="673">
        <v>0</v>
      </c>
      <c r="AG62" s="673">
        <v>0</v>
      </c>
      <c r="AH62" s="673">
        <v>0</v>
      </c>
      <c r="AI62" s="673">
        <v>0</v>
      </c>
      <c r="AJ62" s="673">
        <v>0</v>
      </c>
      <c r="AK62" s="673">
        <v>515821</v>
      </c>
      <c r="AL62" s="673">
        <v>0</v>
      </c>
      <c r="AM62" s="673">
        <v>0</v>
      </c>
      <c r="AN62" s="673">
        <v>0</v>
      </c>
      <c r="AO62" s="673">
        <v>0</v>
      </c>
      <c r="AP62" s="673">
        <v>0</v>
      </c>
      <c r="AQ62" s="673">
        <v>0</v>
      </c>
      <c r="AR62" s="673">
        <v>0</v>
      </c>
      <c r="AS62" s="673">
        <v>0</v>
      </c>
      <c r="AT62" s="673">
        <v>0</v>
      </c>
      <c r="AU62" s="673">
        <v>0</v>
      </c>
      <c r="AV62" s="673">
        <v>0</v>
      </c>
      <c r="AW62" s="673">
        <v>0</v>
      </c>
      <c r="AX62" s="673">
        <v>0</v>
      </c>
      <c r="AY62" s="673">
        <v>0</v>
      </c>
      <c r="AZ62" s="673">
        <v>0</v>
      </c>
      <c r="BA62" s="673">
        <v>0</v>
      </c>
      <c r="BB62" s="673">
        <v>0</v>
      </c>
    </row>
    <row r="63" spans="1:54" x14ac:dyDescent="0.25">
      <c r="A63">
        <v>334</v>
      </c>
      <c r="B63">
        <v>334</v>
      </c>
      <c r="C63">
        <v>334</v>
      </c>
      <c r="D63" t="s">
        <v>356</v>
      </c>
      <c r="E63" t="s">
        <v>437</v>
      </c>
      <c r="F63" s="673">
        <v>0</v>
      </c>
      <c r="G63" s="673">
        <v>0</v>
      </c>
      <c r="H63" s="673">
        <v>0</v>
      </c>
      <c r="I63" s="673">
        <v>0</v>
      </c>
      <c r="J63" s="673">
        <v>0</v>
      </c>
      <c r="K63" s="673">
        <v>0</v>
      </c>
      <c r="L63" s="673">
        <v>0</v>
      </c>
      <c r="M63" s="673">
        <v>0</v>
      </c>
      <c r="N63" s="673">
        <v>0</v>
      </c>
      <c r="O63" s="673">
        <v>0</v>
      </c>
      <c r="P63" s="673">
        <v>0</v>
      </c>
      <c r="Q63" s="673">
        <v>0</v>
      </c>
      <c r="R63" s="673">
        <v>0</v>
      </c>
      <c r="S63" s="673">
        <v>0</v>
      </c>
      <c r="T63" s="673">
        <v>0</v>
      </c>
      <c r="U63" s="673">
        <v>0</v>
      </c>
      <c r="V63" s="673">
        <v>0</v>
      </c>
      <c r="W63" s="673">
        <v>0</v>
      </c>
      <c r="X63" s="673">
        <v>0</v>
      </c>
      <c r="Y63" s="673">
        <v>0</v>
      </c>
      <c r="Z63" s="673">
        <v>0</v>
      </c>
      <c r="AA63" s="673">
        <v>0</v>
      </c>
      <c r="AB63" s="673">
        <v>0</v>
      </c>
      <c r="AC63" s="673">
        <v>0</v>
      </c>
      <c r="AD63" s="673">
        <v>0</v>
      </c>
      <c r="AE63" s="673">
        <v>0</v>
      </c>
      <c r="AF63" s="673">
        <v>0</v>
      </c>
      <c r="AG63" s="673">
        <v>0</v>
      </c>
      <c r="AH63" s="673">
        <v>0</v>
      </c>
      <c r="AI63" s="673">
        <v>0</v>
      </c>
      <c r="AJ63" s="673">
        <v>0</v>
      </c>
      <c r="AK63" s="673">
        <v>294918</v>
      </c>
      <c r="AL63" s="673">
        <v>0</v>
      </c>
      <c r="AM63" s="673">
        <v>0</v>
      </c>
      <c r="AN63" s="673">
        <v>0</v>
      </c>
      <c r="AO63" s="673">
        <v>0</v>
      </c>
      <c r="AP63" s="673">
        <v>0</v>
      </c>
      <c r="AQ63" s="673">
        <v>0</v>
      </c>
      <c r="AR63" s="673">
        <v>0</v>
      </c>
      <c r="AS63" s="673">
        <v>0</v>
      </c>
      <c r="AT63" s="673">
        <v>0</v>
      </c>
      <c r="AU63" s="673">
        <v>0</v>
      </c>
      <c r="AV63" s="673">
        <v>0</v>
      </c>
      <c r="AW63" s="673">
        <v>0</v>
      </c>
      <c r="AX63" s="673">
        <v>0</v>
      </c>
      <c r="AY63" s="673">
        <v>0</v>
      </c>
      <c r="AZ63" s="673">
        <v>0</v>
      </c>
      <c r="BA63" s="673">
        <v>0</v>
      </c>
      <c r="BB63" s="673">
        <v>0</v>
      </c>
    </row>
    <row r="64" spans="1:54" x14ac:dyDescent="0.25">
      <c r="A64">
        <v>335</v>
      </c>
      <c r="B64">
        <v>335</v>
      </c>
      <c r="C64">
        <v>335</v>
      </c>
      <c r="D64" t="s">
        <v>140</v>
      </c>
      <c r="E64" t="s">
        <v>438</v>
      </c>
      <c r="F64" s="673">
        <v>0</v>
      </c>
      <c r="G64" s="673">
        <v>0</v>
      </c>
      <c r="H64" s="673">
        <v>0</v>
      </c>
      <c r="I64" s="673">
        <v>0</v>
      </c>
      <c r="J64" s="673">
        <v>0</v>
      </c>
      <c r="K64" s="673">
        <v>0</v>
      </c>
      <c r="L64" s="673">
        <v>0</v>
      </c>
      <c r="M64" s="673">
        <v>0</v>
      </c>
      <c r="N64" s="673">
        <v>0</v>
      </c>
      <c r="O64" s="673">
        <v>0</v>
      </c>
      <c r="P64" s="673">
        <v>0</v>
      </c>
      <c r="Q64" s="673">
        <v>0</v>
      </c>
      <c r="R64" s="673">
        <v>0</v>
      </c>
      <c r="S64" s="673">
        <v>0</v>
      </c>
      <c r="T64" s="673">
        <v>0</v>
      </c>
      <c r="U64" s="673">
        <v>0</v>
      </c>
      <c r="V64" s="673">
        <v>0</v>
      </c>
      <c r="W64" s="673">
        <v>0</v>
      </c>
      <c r="X64" s="673">
        <v>0</v>
      </c>
      <c r="Y64" s="673">
        <v>0</v>
      </c>
      <c r="Z64" s="673">
        <v>0</v>
      </c>
      <c r="AA64" s="673">
        <v>0</v>
      </c>
      <c r="AB64" s="673">
        <v>0</v>
      </c>
      <c r="AC64" s="673">
        <v>0</v>
      </c>
      <c r="AD64" s="673">
        <v>0</v>
      </c>
      <c r="AE64" s="673">
        <v>0</v>
      </c>
      <c r="AF64" s="673">
        <v>0</v>
      </c>
      <c r="AG64" s="673">
        <v>0</v>
      </c>
      <c r="AH64" s="673">
        <v>0</v>
      </c>
      <c r="AI64" s="673">
        <v>0</v>
      </c>
      <c r="AJ64" s="673">
        <v>0</v>
      </c>
      <c r="AK64" s="673">
        <v>0</v>
      </c>
      <c r="AL64" s="673">
        <v>0</v>
      </c>
      <c r="AM64" s="673">
        <v>0</v>
      </c>
      <c r="AN64" s="673">
        <v>0</v>
      </c>
      <c r="AO64" s="673">
        <v>0</v>
      </c>
      <c r="AP64" s="673">
        <v>0</v>
      </c>
      <c r="AQ64" s="673">
        <v>0</v>
      </c>
      <c r="AR64" s="673">
        <v>0</v>
      </c>
      <c r="AS64" s="673">
        <v>0</v>
      </c>
      <c r="AT64" s="673">
        <v>0</v>
      </c>
      <c r="AU64" s="673">
        <v>0</v>
      </c>
      <c r="AV64" s="673">
        <v>0</v>
      </c>
      <c r="AW64" s="673">
        <v>0</v>
      </c>
      <c r="AX64" s="673">
        <v>0</v>
      </c>
      <c r="AY64" s="673">
        <v>0</v>
      </c>
      <c r="AZ64" s="673">
        <v>0</v>
      </c>
      <c r="BA64" s="673">
        <v>0</v>
      </c>
      <c r="BB64" s="673">
        <v>0</v>
      </c>
    </row>
    <row r="65" spans="1:54" x14ac:dyDescent="0.25">
      <c r="A65">
        <v>336</v>
      </c>
      <c r="B65">
        <v>336</v>
      </c>
      <c r="C65">
        <v>336</v>
      </c>
      <c r="D65" t="s">
        <v>615</v>
      </c>
      <c r="E65" t="s">
        <v>439</v>
      </c>
      <c r="F65" s="673">
        <v>0</v>
      </c>
      <c r="G65" s="673">
        <v>0</v>
      </c>
      <c r="H65" s="673">
        <v>0</v>
      </c>
      <c r="I65" s="673">
        <v>0</v>
      </c>
      <c r="J65" s="673">
        <v>0</v>
      </c>
      <c r="K65" s="673">
        <v>0</v>
      </c>
      <c r="L65" s="673">
        <v>0</v>
      </c>
      <c r="M65" s="673">
        <v>0</v>
      </c>
      <c r="N65" s="673">
        <v>0</v>
      </c>
      <c r="O65" s="673">
        <v>0</v>
      </c>
      <c r="P65" s="673">
        <v>0</v>
      </c>
      <c r="Q65" s="673">
        <v>0</v>
      </c>
      <c r="R65" s="673">
        <v>0</v>
      </c>
      <c r="S65" s="673">
        <v>0</v>
      </c>
      <c r="T65" s="673">
        <v>0</v>
      </c>
      <c r="U65" s="673">
        <v>0</v>
      </c>
      <c r="V65" s="673">
        <v>0</v>
      </c>
      <c r="W65" s="673">
        <v>0</v>
      </c>
      <c r="X65" s="673">
        <v>0</v>
      </c>
      <c r="Y65" s="673">
        <v>0</v>
      </c>
      <c r="Z65" s="673">
        <v>0</v>
      </c>
      <c r="AA65" s="673">
        <v>0</v>
      </c>
      <c r="AB65" s="673">
        <v>0</v>
      </c>
      <c r="AC65" s="673">
        <v>0</v>
      </c>
      <c r="AD65" s="673">
        <v>0</v>
      </c>
      <c r="AE65" s="673">
        <v>0</v>
      </c>
      <c r="AF65" s="673">
        <v>0</v>
      </c>
      <c r="AG65" s="673">
        <v>0</v>
      </c>
      <c r="AH65" s="673">
        <v>0</v>
      </c>
      <c r="AI65" s="673">
        <v>0</v>
      </c>
      <c r="AJ65" s="673">
        <v>0</v>
      </c>
      <c r="AK65" s="673">
        <v>4192</v>
      </c>
      <c r="AL65" s="673">
        <v>0</v>
      </c>
      <c r="AM65" s="673">
        <v>0</v>
      </c>
      <c r="AN65" s="673">
        <v>0</v>
      </c>
      <c r="AO65" s="673">
        <v>0</v>
      </c>
      <c r="AP65" s="673">
        <v>0</v>
      </c>
      <c r="AQ65" s="673">
        <v>0</v>
      </c>
      <c r="AR65" s="673">
        <v>0</v>
      </c>
      <c r="AS65" s="673">
        <v>0</v>
      </c>
      <c r="AT65" s="673">
        <v>0</v>
      </c>
      <c r="AU65" s="673">
        <v>0</v>
      </c>
      <c r="AV65" s="673">
        <v>0</v>
      </c>
      <c r="AW65" s="673">
        <v>0</v>
      </c>
      <c r="AX65" s="673">
        <v>0</v>
      </c>
      <c r="AY65" s="673">
        <v>0</v>
      </c>
      <c r="AZ65" s="673">
        <v>0</v>
      </c>
      <c r="BA65" s="673">
        <v>0</v>
      </c>
      <c r="BB65" s="673">
        <v>0</v>
      </c>
    </row>
    <row r="66" spans="1:54" x14ac:dyDescent="0.25">
      <c r="A66">
        <v>337</v>
      </c>
      <c r="B66">
        <v>337</v>
      </c>
      <c r="C66">
        <v>337</v>
      </c>
      <c r="D66" t="s">
        <v>334</v>
      </c>
      <c r="E66" t="s">
        <v>440</v>
      </c>
      <c r="F66" s="673">
        <v>0</v>
      </c>
      <c r="G66" s="673">
        <v>0</v>
      </c>
      <c r="H66" s="673">
        <v>0</v>
      </c>
      <c r="I66" s="673">
        <v>0</v>
      </c>
      <c r="J66" s="673">
        <v>0</v>
      </c>
      <c r="K66" s="673">
        <v>0</v>
      </c>
      <c r="L66" s="673">
        <v>0</v>
      </c>
      <c r="M66" s="673">
        <v>0</v>
      </c>
      <c r="N66" s="673">
        <v>0</v>
      </c>
      <c r="O66" s="673">
        <v>0</v>
      </c>
      <c r="P66" s="673">
        <v>0</v>
      </c>
      <c r="Q66" s="673">
        <v>0</v>
      </c>
      <c r="R66" s="673">
        <v>0</v>
      </c>
      <c r="S66" s="673">
        <v>0</v>
      </c>
      <c r="T66" s="673">
        <v>0</v>
      </c>
      <c r="U66" s="673">
        <v>0</v>
      </c>
      <c r="V66" s="673">
        <v>0</v>
      </c>
      <c r="W66" s="673">
        <v>0</v>
      </c>
      <c r="X66" s="673">
        <v>0</v>
      </c>
      <c r="Y66" s="673">
        <v>0</v>
      </c>
      <c r="Z66" s="673">
        <v>0</v>
      </c>
      <c r="AA66" s="673">
        <v>0</v>
      </c>
      <c r="AB66" s="673">
        <v>0</v>
      </c>
      <c r="AC66" s="673">
        <v>0</v>
      </c>
      <c r="AD66" s="673">
        <v>0</v>
      </c>
      <c r="AE66" s="673">
        <v>0</v>
      </c>
      <c r="AF66" s="673">
        <v>0</v>
      </c>
      <c r="AG66" s="673">
        <v>0</v>
      </c>
      <c r="AH66" s="673">
        <v>0</v>
      </c>
      <c r="AI66" s="673">
        <v>0</v>
      </c>
      <c r="AJ66" s="673">
        <v>0</v>
      </c>
      <c r="AK66" s="673">
        <v>0</v>
      </c>
      <c r="AL66" s="673">
        <v>0</v>
      </c>
      <c r="AM66" s="673">
        <v>0</v>
      </c>
      <c r="AN66" s="673">
        <v>0</v>
      </c>
      <c r="AO66" s="673">
        <v>0</v>
      </c>
      <c r="AP66" s="673">
        <v>0</v>
      </c>
      <c r="AQ66" s="673">
        <v>0</v>
      </c>
      <c r="AR66" s="673">
        <v>0</v>
      </c>
      <c r="AS66" s="673">
        <v>0</v>
      </c>
      <c r="AT66" s="673">
        <v>0</v>
      </c>
      <c r="AU66" s="673">
        <v>0</v>
      </c>
      <c r="AV66" s="673">
        <v>0</v>
      </c>
      <c r="AW66" s="673">
        <v>0</v>
      </c>
      <c r="AX66" s="673">
        <v>0</v>
      </c>
      <c r="AY66" s="673">
        <v>0</v>
      </c>
      <c r="AZ66" s="673">
        <v>0</v>
      </c>
      <c r="BA66" s="673">
        <v>0</v>
      </c>
      <c r="BB66" s="673">
        <v>0</v>
      </c>
    </row>
    <row r="67" spans="1:54" x14ac:dyDescent="0.25">
      <c r="A67">
        <v>338</v>
      </c>
      <c r="B67">
        <v>338</v>
      </c>
      <c r="C67">
        <v>338</v>
      </c>
      <c r="D67" t="s">
        <v>139</v>
      </c>
      <c r="E67" t="s">
        <v>441</v>
      </c>
      <c r="F67" s="673">
        <v>0</v>
      </c>
      <c r="G67" s="673">
        <v>0</v>
      </c>
      <c r="H67" s="673">
        <v>0</v>
      </c>
      <c r="I67" s="673">
        <v>0</v>
      </c>
      <c r="J67" s="673">
        <v>0</v>
      </c>
      <c r="K67" s="673">
        <v>0</v>
      </c>
      <c r="L67" s="673">
        <v>0</v>
      </c>
      <c r="M67" s="673">
        <v>0</v>
      </c>
      <c r="N67" s="673">
        <v>0</v>
      </c>
      <c r="O67" s="673">
        <v>0</v>
      </c>
      <c r="P67" s="673">
        <v>0</v>
      </c>
      <c r="Q67" s="673">
        <v>0</v>
      </c>
      <c r="R67" s="673">
        <v>0</v>
      </c>
      <c r="S67" s="673">
        <v>0</v>
      </c>
      <c r="T67" s="673">
        <v>0</v>
      </c>
      <c r="U67" s="673">
        <v>0</v>
      </c>
      <c r="V67" s="673">
        <v>0</v>
      </c>
      <c r="W67" s="673">
        <v>0</v>
      </c>
      <c r="X67" s="673">
        <v>0</v>
      </c>
      <c r="Y67" s="673">
        <v>0</v>
      </c>
      <c r="Z67" s="673">
        <v>0</v>
      </c>
      <c r="AA67" s="673">
        <v>0</v>
      </c>
      <c r="AB67" s="673">
        <v>0</v>
      </c>
      <c r="AC67" s="673">
        <v>0</v>
      </c>
      <c r="AD67" s="673">
        <v>0</v>
      </c>
      <c r="AE67" s="673">
        <v>0</v>
      </c>
      <c r="AF67" s="673">
        <v>0</v>
      </c>
      <c r="AG67" s="673">
        <v>0</v>
      </c>
      <c r="AH67" s="673">
        <v>0</v>
      </c>
      <c r="AI67" s="673">
        <v>0</v>
      </c>
      <c r="AJ67" s="673">
        <v>0</v>
      </c>
      <c r="AK67" s="673">
        <v>4192</v>
      </c>
      <c r="AL67" s="673">
        <v>0</v>
      </c>
      <c r="AM67" s="673">
        <v>0</v>
      </c>
      <c r="AN67" s="673">
        <v>0</v>
      </c>
      <c r="AO67" s="673">
        <v>0</v>
      </c>
      <c r="AP67" s="673">
        <v>0</v>
      </c>
      <c r="AQ67" s="673">
        <v>0</v>
      </c>
      <c r="AR67" s="673">
        <v>0</v>
      </c>
      <c r="AS67" s="673">
        <v>0</v>
      </c>
      <c r="AT67" s="673">
        <v>0</v>
      </c>
      <c r="AU67" s="673">
        <v>0</v>
      </c>
      <c r="AV67" s="673">
        <v>0</v>
      </c>
      <c r="AW67" s="673">
        <v>0</v>
      </c>
      <c r="AX67" s="673">
        <v>0</v>
      </c>
      <c r="AY67" s="673">
        <v>0</v>
      </c>
      <c r="AZ67" s="673">
        <v>0</v>
      </c>
      <c r="BA67" s="673">
        <v>0</v>
      </c>
      <c r="BB67" s="673">
        <v>0</v>
      </c>
    </row>
    <row r="68" spans="1:54" x14ac:dyDescent="0.25">
      <c r="A68">
        <v>339</v>
      </c>
      <c r="B68">
        <v>339</v>
      </c>
      <c r="C68">
        <v>339</v>
      </c>
      <c r="D68" t="s">
        <v>270</v>
      </c>
      <c r="E68" t="s">
        <v>442</v>
      </c>
      <c r="F68" s="673">
        <v>0</v>
      </c>
      <c r="G68" s="673">
        <v>0</v>
      </c>
      <c r="H68" s="673">
        <v>0</v>
      </c>
      <c r="I68" s="673">
        <v>0</v>
      </c>
      <c r="J68" s="673">
        <v>0</v>
      </c>
      <c r="K68" s="673">
        <v>0</v>
      </c>
      <c r="L68" s="673">
        <v>0</v>
      </c>
      <c r="M68" s="673">
        <v>0</v>
      </c>
      <c r="N68" s="673">
        <v>0</v>
      </c>
      <c r="O68" s="673">
        <v>0</v>
      </c>
      <c r="P68" s="673">
        <v>0</v>
      </c>
      <c r="Q68" s="673">
        <v>0</v>
      </c>
      <c r="R68" s="673">
        <v>0</v>
      </c>
      <c r="S68" s="673">
        <v>0</v>
      </c>
      <c r="T68" s="673">
        <v>0</v>
      </c>
      <c r="U68" s="673">
        <v>0</v>
      </c>
      <c r="V68" s="673">
        <v>0</v>
      </c>
      <c r="W68" s="673">
        <v>0</v>
      </c>
      <c r="X68" s="673">
        <v>0</v>
      </c>
      <c r="Y68" s="673">
        <v>0</v>
      </c>
      <c r="Z68" s="673">
        <v>0</v>
      </c>
      <c r="AA68" s="673">
        <v>0</v>
      </c>
      <c r="AB68" s="673">
        <v>0</v>
      </c>
      <c r="AC68" s="673">
        <v>0</v>
      </c>
      <c r="AD68" s="673">
        <v>0</v>
      </c>
      <c r="AE68" s="673">
        <v>0</v>
      </c>
      <c r="AF68" s="673">
        <v>0</v>
      </c>
      <c r="AG68" s="673">
        <v>0</v>
      </c>
      <c r="AH68" s="673">
        <v>0</v>
      </c>
      <c r="AI68" s="673">
        <v>0</v>
      </c>
      <c r="AJ68" s="673">
        <v>0</v>
      </c>
      <c r="AK68" s="673">
        <v>8825</v>
      </c>
      <c r="AL68" s="673">
        <v>0</v>
      </c>
      <c r="AM68" s="673">
        <v>0</v>
      </c>
      <c r="AN68" s="673">
        <v>0</v>
      </c>
      <c r="AO68" s="673">
        <v>0</v>
      </c>
      <c r="AP68" s="673">
        <v>0</v>
      </c>
      <c r="AQ68" s="673">
        <v>0</v>
      </c>
      <c r="AR68" s="673">
        <v>0</v>
      </c>
      <c r="AS68" s="673">
        <v>0</v>
      </c>
      <c r="AT68" s="673">
        <v>0</v>
      </c>
      <c r="AU68" s="673">
        <v>0</v>
      </c>
      <c r="AV68" s="673">
        <v>0</v>
      </c>
      <c r="AW68" s="673">
        <v>0</v>
      </c>
      <c r="AX68" s="673">
        <v>0</v>
      </c>
      <c r="AY68" s="673">
        <v>0</v>
      </c>
      <c r="AZ68" s="673">
        <v>0</v>
      </c>
      <c r="BA68" s="673">
        <v>0</v>
      </c>
      <c r="BB68" s="673">
        <v>0</v>
      </c>
    </row>
    <row r="69" spans="1:54" x14ac:dyDescent="0.25">
      <c r="A69">
        <v>341</v>
      </c>
      <c r="B69">
        <v>341</v>
      </c>
      <c r="C69">
        <v>341</v>
      </c>
      <c r="D69" t="s">
        <v>273</v>
      </c>
      <c r="E69" t="s">
        <v>443</v>
      </c>
      <c r="F69" s="673">
        <v>0</v>
      </c>
      <c r="G69" s="673">
        <v>0</v>
      </c>
      <c r="H69" s="673">
        <v>0</v>
      </c>
      <c r="I69" s="673">
        <v>0</v>
      </c>
      <c r="J69" s="673">
        <v>0</v>
      </c>
      <c r="K69" s="673">
        <v>0</v>
      </c>
      <c r="L69" s="673">
        <v>0</v>
      </c>
      <c r="M69" s="673">
        <v>0</v>
      </c>
      <c r="N69" s="673">
        <v>0</v>
      </c>
      <c r="O69" s="673">
        <v>0</v>
      </c>
      <c r="P69" s="673">
        <v>0</v>
      </c>
      <c r="Q69" s="673">
        <v>0</v>
      </c>
      <c r="R69" s="673">
        <v>0</v>
      </c>
      <c r="S69" s="673">
        <v>0</v>
      </c>
      <c r="T69" s="673">
        <v>0</v>
      </c>
      <c r="U69" s="673">
        <v>0</v>
      </c>
      <c r="V69" s="673">
        <v>0</v>
      </c>
      <c r="W69" s="673">
        <v>0</v>
      </c>
      <c r="X69" s="673">
        <v>0</v>
      </c>
      <c r="Y69" s="673">
        <v>0</v>
      </c>
      <c r="Z69" s="673">
        <v>0</v>
      </c>
      <c r="AA69" s="673">
        <v>0</v>
      </c>
      <c r="AB69" s="673">
        <v>0</v>
      </c>
      <c r="AC69" s="673">
        <v>0</v>
      </c>
      <c r="AD69" s="673">
        <v>0</v>
      </c>
      <c r="AE69" s="673">
        <v>0</v>
      </c>
      <c r="AF69" s="673">
        <v>0</v>
      </c>
      <c r="AG69" s="673">
        <v>0</v>
      </c>
      <c r="AH69" s="673">
        <v>0</v>
      </c>
      <c r="AI69" s="673">
        <v>0</v>
      </c>
      <c r="AJ69" s="673">
        <v>0</v>
      </c>
      <c r="AK69" s="673">
        <v>69031</v>
      </c>
      <c r="AL69" s="673">
        <v>0</v>
      </c>
      <c r="AM69" s="673">
        <v>0</v>
      </c>
      <c r="AN69" s="673">
        <v>0</v>
      </c>
      <c r="AO69" s="673">
        <v>0</v>
      </c>
      <c r="AP69" s="673">
        <v>0</v>
      </c>
      <c r="AQ69" s="673">
        <v>0</v>
      </c>
      <c r="AR69" s="673">
        <v>0</v>
      </c>
      <c r="AS69" s="673">
        <v>0</v>
      </c>
      <c r="AT69" s="673">
        <v>0</v>
      </c>
      <c r="AU69" s="673">
        <v>0</v>
      </c>
      <c r="AV69" s="673">
        <v>0</v>
      </c>
      <c r="AW69" s="673">
        <v>0</v>
      </c>
      <c r="AX69" s="673">
        <v>0</v>
      </c>
      <c r="AY69" s="673">
        <v>0</v>
      </c>
      <c r="AZ69" s="673">
        <v>0</v>
      </c>
      <c r="BA69" s="673">
        <v>0</v>
      </c>
      <c r="BB69" s="673">
        <v>0</v>
      </c>
    </row>
    <row r="70" spans="1:54" x14ac:dyDescent="0.25">
      <c r="A70">
        <v>343</v>
      </c>
      <c r="B70">
        <v>343</v>
      </c>
      <c r="C70">
        <v>343</v>
      </c>
      <c r="D70" t="s">
        <v>335</v>
      </c>
      <c r="E70" t="s">
        <v>444</v>
      </c>
      <c r="F70" s="673">
        <v>0</v>
      </c>
      <c r="G70" s="673">
        <v>0</v>
      </c>
      <c r="H70" s="673">
        <v>0</v>
      </c>
      <c r="I70" s="673">
        <v>0</v>
      </c>
      <c r="J70" s="673">
        <v>0</v>
      </c>
      <c r="K70" s="673">
        <v>0</v>
      </c>
      <c r="L70" s="673">
        <v>0</v>
      </c>
      <c r="M70" s="673">
        <v>0</v>
      </c>
      <c r="N70" s="673">
        <v>0</v>
      </c>
      <c r="O70" s="673">
        <v>0</v>
      </c>
      <c r="P70" s="673">
        <v>0</v>
      </c>
      <c r="Q70" s="673">
        <v>0</v>
      </c>
      <c r="R70" s="673">
        <v>0</v>
      </c>
      <c r="S70" s="673">
        <v>0</v>
      </c>
      <c r="T70" s="673">
        <v>0</v>
      </c>
      <c r="U70" s="673">
        <v>0</v>
      </c>
      <c r="V70" s="673">
        <v>0</v>
      </c>
      <c r="W70" s="673">
        <v>0</v>
      </c>
      <c r="X70" s="673">
        <v>0</v>
      </c>
      <c r="Y70" s="673">
        <v>0</v>
      </c>
      <c r="Z70" s="673">
        <v>0</v>
      </c>
      <c r="AA70" s="673">
        <v>0</v>
      </c>
      <c r="AB70" s="673">
        <v>0</v>
      </c>
      <c r="AC70" s="673">
        <v>0</v>
      </c>
      <c r="AD70" s="673">
        <v>0</v>
      </c>
      <c r="AE70" s="673">
        <v>0</v>
      </c>
      <c r="AF70" s="673">
        <v>0</v>
      </c>
      <c r="AG70" s="673">
        <v>0</v>
      </c>
      <c r="AH70" s="673">
        <v>0</v>
      </c>
      <c r="AI70" s="673">
        <v>0</v>
      </c>
      <c r="AJ70" s="673">
        <v>0</v>
      </c>
      <c r="AK70" s="673">
        <v>0</v>
      </c>
      <c r="AL70" s="673">
        <v>0</v>
      </c>
      <c r="AM70" s="673">
        <v>0</v>
      </c>
      <c r="AN70" s="673">
        <v>0</v>
      </c>
      <c r="AO70" s="673">
        <v>0</v>
      </c>
      <c r="AP70" s="673">
        <v>0</v>
      </c>
      <c r="AQ70" s="673">
        <v>0</v>
      </c>
      <c r="AR70" s="673">
        <v>0</v>
      </c>
      <c r="AS70" s="673">
        <v>0</v>
      </c>
      <c r="AT70" s="673">
        <v>0</v>
      </c>
      <c r="AU70" s="673">
        <v>0</v>
      </c>
      <c r="AV70" s="673">
        <v>0</v>
      </c>
      <c r="AW70" s="673">
        <v>0</v>
      </c>
      <c r="AX70" s="673">
        <v>0</v>
      </c>
      <c r="AY70" s="673">
        <v>0</v>
      </c>
      <c r="AZ70" s="673">
        <v>0</v>
      </c>
      <c r="BA70" s="673">
        <v>0</v>
      </c>
      <c r="BB70" s="673">
        <v>0</v>
      </c>
    </row>
    <row r="71" spans="1:54" x14ac:dyDescent="0.25">
      <c r="A71">
        <v>344</v>
      </c>
      <c r="B71">
        <v>344</v>
      </c>
      <c r="C71">
        <v>344</v>
      </c>
      <c r="D71" t="s">
        <v>268</v>
      </c>
      <c r="E71" t="s">
        <v>445</v>
      </c>
      <c r="F71" s="673">
        <v>0</v>
      </c>
      <c r="G71" s="673">
        <v>0</v>
      </c>
      <c r="H71" s="673">
        <v>0</v>
      </c>
      <c r="I71" s="673">
        <v>0</v>
      </c>
      <c r="J71" s="673">
        <v>0</v>
      </c>
      <c r="K71" s="673">
        <v>0</v>
      </c>
      <c r="L71" s="673">
        <v>0</v>
      </c>
      <c r="M71" s="673">
        <v>0</v>
      </c>
      <c r="N71" s="673">
        <v>0</v>
      </c>
      <c r="O71" s="673">
        <v>0</v>
      </c>
      <c r="P71" s="673">
        <v>0</v>
      </c>
      <c r="Q71" s="673">
        <v>0</v>
      </c>
      <c r="R71" s="673">
        <v>0</v>
      </c>
      <c r="S71" s="673">
        <v>0</v>
      </c>
      <c r="T71" s="673">
        <v>0</v>
      </c>
      <c r="U71" s="673">
        <v>0</v>
      </c>
      <c r="V71" s="673">
        <v>0</v>
      </c>
      <c r="W71" s="673">
        <v>0</v>
      </c>
      <c r="X71" s="673">
        <v>0</v>
      </c>
      <c r="Y71" s="673">
        <v>0</v>
      </c>
      <c r="Z71" s="673">
        <v>0</v>
      </c>
      <c r="AA71" s="673">
        <v>0</v>
      </c>
      <c r="AB71" s="673">
        <v>0</v>
      </c>
      <c r="AC71" s="673">
        <v>0</v>
      </c>
      <c r="AD71" s="673">
        <v>0</v>
      </c>
      <c r="AE71" s="673">
        <v>0</v>
      </c>
      <c r="AF71" s="673">
        <v>0</v>
      </c>
      <c r="AG71" s="673">
        <v>0</v>
      </c>
      <c r="AH71" s="673">
        <v>0</v>
      </c>
      <c r="AI71" s="673">
        <v>0</v>
      </c>
      <c r="AJ71" s="673">
        <v>0</v>
      </c>
      <c r="AK71" s="673">
        <v>0</v>
      </c>
      <c r="AL71" s="673">
        <v>0</v>
      </c>
      <c r="AM71" s="673">
        <v>0</v>
      </c>
      <c r="AN71" s="673">
        <v>0</v>
      </c>
      <c r="AO71" s="673">
        <v>0</v>
      </c>
      <c r="AP71" s="673">
        <v>0</v>
      </c>
      <c r="AQ71" s="673">
        <v>0</v>
      </c>
      <c r="AR71" s="673">
        <v>0</v>
      </c>
      <c r="AS71" s="673">
        <v>0</v>
      </c>
      <c r="AT71" s="673">
        <v>0</v>
      </c>
      <c r="AU71" s="673">
        <v>0</v>
      </c>
      <c r="AV71" s="673">
        <v>0</v>
      </c>
      <c r="AW71" s="673">
        <v>0</v>
      </c>
      <c r="AX71" s="673">
        <v>0</v>
      </c>
      <c r="AY71" s="673">
        <v>0</v>
      </c>
      <c r="AZ71" s="673">
        <v>0</v>
      </c>
      <c r="BA71" s="673">
        <v>0</v>
      </c>
      <c r="BB71" s="673">
        <v>0</v>
      </c>
    </row>
    <row r="72" spans="1:54" x14ac:dyDescent="0.25">
      <c r="A72">
        <v>349</v>
      </c>
      <c r="B72">
        <v>349</v>
      </c>
      <c r="C72">
        <v>349</v>
      </c>
      <c r="D72" t="s">
        <v>145</v>
      </c>
      <c r="E72" t="s">
        <v>446</v>
      </c>
      <c r="F72" s="673">
        <v>4037618</v>
      </c>
      <c r="G72" s="673">
        <v>7014371</v>
      </c>
      <c r="H72" s="673">
        <v>19293781</v>
      </c>
      <c r="I72" s="673">
        <v>7705655</v>
      </c>
      <c r="J72" s="673">
        <v>131155046</v>
      </c>
      <c r="K72" s="673">
        <v>19061812</v>
      </c>
      <c r="L72" s="673">
        <v>324664242</v>
      </c>
      <c r="M72" s="673">
        <v>5705653</v>
      </c>
      <c r="N72" s="673">
        <v>0</v>
      </c>
      <c r="O72" s="673">
        <v>16606049</v>
      </c>
      <c r="P72" s="673">
        <v>10291215</v>
      </c>
      <c r="Q72" s="673">
        <v>964350</v>
      </c>
      <c r="R72" s="673">
        <v>1498635</v>
      </c>
      <c r="S72" s="673">
        <v>2564135</v>
      </c>
      <c r="T72" s="673">
        <v>2891023</v>
      </c>
      <c r="U72" s="673">
        <v>207714</v>
      </c>
      <c r="V72" s="673">
        <v>99381490</v>
      </c>
      <c r="W72" s="673">
        <v>14221277</v>
      </c>
      <c r="X72" s="673">
        <v>449019</v>
      </c>
      <c r="Y72" s="673">
        <v>2915311</v>
      </c>
      <c r="Z72" s="673">
        <v>24684953</v>
      </c>
      <c r="AA72" s="673">
        <v>2780363</v>
      </c>
      <c r="AB72" s="673">
        <v>17730076</v>
      </c>
      <c r="AC72" s="673">
        <v>34736</v>
      </c>
      <c r="AD72" s="673">
        <v>78897861</v>
      </c>
      <c r="AE72" s="673">
        <v>4410810</v>
      </c>
      <c r="AF72" s="673">
        <v>2127807</v>
      </c>
      <c r="AG72" s="673">
        <v>90784673</v>
      </c>
      <c r="AH72" s="673">
        <v>88593234</v>
      </c>
      <c r="AI72" s="673">
        <v>18437889</v>
      </c>
      <c r="AJ72" s="673">
        <v>305450729</v>
      </c>
      <c r="AK72" s="673">
        <v>99042</v>
      </c>
      <c r="AL72" s="673">
        <v>15254911</v>
      </c>
      <c r="AM72" s="673">
        <v>1934055</v>
      </c>
      <c r="AN72" s="673">
        <v>18158</v>
      </c>
      <c r="AO72" s="673">
        <v>43998904</v>
      </c>
      <c r="AP72" s="673">
        <v>5160130</v>
      </c>
      <c r="AQ72" s="673">
        <v>9602521</v>
      </c>
      <c r="AR72" s="673">
        <v>222689</v>
      </c>
      <c r="AS72" s="673">
        <v>1216285</v>
      </c>
      <c r="AT72" s="673">
        <v>7953879</v>
      </c>
      <c r="AU72" s="673">
        <v>16905</v>
      </c>
      <c r="AV72" s="673">
        <v>16750</v>
      </c>
      <c r="AW72" s="673">
        <v>13433910</v>
      </c>
      <c r="AX72" s="673">
        <v>0</v>
      </c>
      <c r="AY72" s="673">
        <v>78418</v>
      </c>
      <c r="AZ72" s="673">
        <v>2469</v>
      </c>
      <c r="BA72" s="673">
        <v>498452</v>
      </c>
      <c r="BB72" s="673">
        <v>6351276</v>
      </c>
    </row>
    <row r="73" spans="1:54" x14ac:dyDescent="0.25">
      <c r="A73">
        <v>350</v>
      </c>
      <c r="B73">
        <v>350</v>
      </c>
      <c r="C73">
        <v>350</v>
      </c>
      <c r="D73" t="s">
        <v>311</v>
      </c>
      <c r="E73" t="s">
        <v>447</v>
      </c>
      <c r="F73" s="673">
        <v>8379</v>
      </c>
      <c r="G73" s="673">
        <v>29184</v>
      </c>
      <c r="H73" s="673">
        <v>3508</v>
      </c>
      <c r="I73" s="673">
        <v>0</v>
      </c>
      <c r="J73" s="673">
        <v>970409</v>
      </c>
      <c r="K73" s="673">
        <v>370630</v>
      </c>
      <c r="L73" s="673">
        <v>4810557</v>
      </c>
      <c r="M73" s="673">
        <v>1375637</v>
      </c>
      <c r="N73" s="673">
        <v>0</v>
      </c>
      <c r="O73" s="673">
        <v>103449</v>
      </c>
      <c r="P73" s="673">
        <v>36466</v>
      </c>
      <c r="Q73" s="673">
        <v>59081</v>
      </c>
      <c r="R73" s="673">
        <v>8384</v>
      </c>
      <c r="S73" s="673">
        <v>32821</v>
      </c>
      <c r="T73" s="673">
        <v>41031</v>
      </c>
      <c r="U73" s="673">
        <v>525</v>
      </c>
      <c r="V73" s="673">
        <v>1526733</v>
      </c>
      <c r="W73" s="673">
        <v>1735</v>
      </c>
      <c r="X73" s="673">
        <v>9620</v>
      </c>
      <c r="Y73" s="673">
        <v>265874</v>
      </c>
      <c r="Z73" s="673">
        <v>1005109</v>
      </c>
      <c r="AA73" s="673">
        <v>77326</v>
      </c>
      <c r="AB73" s="673">
        <v>6371</v>
      </c>
      <c r="AC73" s="673">
        <v>36025</v>
      </c>
      <c r="AD73" s="673">
        <v>269358</v>
      </c>
      <c r="AE73" s="673">
        <v>12071</v>
      </c>
      <c r="AF73" s="673">
        <v>41892</v>
      </c>
      <c r="AG73" s="673">
        <v>3822983</v>
      </c>
      <c r="AH73" s="673">
        <v>1758748</v>
      </c>
      <c r="AI73" s="673">
        <v>34698</v>
      </c>
      <c r="AJ73" s="673">
        <v>5344669</v>
      </c>
      <c r="AK73" s="673">
        <v>1103</v>
      </c>
      <c r="AL73" s="673">
        <v>1408203</v>
      </c>
      <c r="AM73" s="673">
        <v>9485</v>
      </c>
      <c r="AN73" s="673">
        <v>151544</v>
      </c>
      <c r="AO73" s="673">
        <v>231663</v>
      </c>
      <c r="AP73" s="673">
        <v>21027</v>
      </c>
      <c r="AQ73" s="673">
        <v>80563</v>
      </c>
      <c r="AR73" s="673">
        <v>0</v>
      </c>
      <c r="AS73" s="673">
        <v>24291</v>
      </c>
      <c r="AT73" s="673">
        <v>2629</v>
      </c>
      <c r="AU73" s="673">
        <v>2143</v>
      </c>
      <c r="AV73" s="673">
        <v>9588</v>
      </c>
      <c r="AW73" s="673">
        <v>174847</v>
      </c>
      <c r="AX73" s="673">
        <v>0</v>
      </c>
      <c r="AY73" s="673">
        <v>4</v>
      </c>
      <c r="AZ73" s="673">
        <v>0</v>
      </c>
      <c r="BA73" s="673">
        <v>0</v>
      </c>
      <c r="BB73" s="673">
        <v>220836</v>
      </c>
    </row>
    <row r="74" spans="1:54" x14ac:dyDescent="0.25">
      <c r="A74">
        <v>351</v>
      </c>
      <c r="B74">
        <v>351</v>
      </c>
      <c r="C74">
        <v>351</v>
      </c>
      <c r="D74" t="s">
        <v>312</v>
      </c>
      <c r="E74" t="s">
        <v>448</v>
      </c>
      <c r="F74" s="673">
        <v>118675</v>
      </c>
      <c r="G74" s="673">
        <v>80293</v>
      </c>
      <c r="H74" s="673">
        <v>594238</v>
      </c>
      <c r="I74" s="673">
        <v>56726231</v>
      </c>
      <c r="J74" s="673">
        <v>3871384</v>
      </c>
      <c r="K74" s="673">
        <v>1118413</v>
      </c>
      <c r="L74" s="673">
        <v>8803633</v>
      </c>
      <c r="M74" s="673">
        <v>44260</v>
      </c>
      <c r="N74" s="673">
        <v>0</v>
      </c>
      <c r="O74" s="673">
        <v>482079</v>
      </c>
      <c r="P74" s="673">
        <v>151622</v>
      </c>
      <c r="Q74" s="673">
        <v>0</v>
      </c>
      <c r="R74" s="673">
        <v>81507</v>
      </c>
      <c r="S74" s="673">
        <v>96892</v>
      </c>
      <c r="T74" s="673">
        <v>0</v>
      </c>
      <c r="U74" s="673">
        <v>0</v>
      </c>
      <c r="V74" s="673">
        <v>2383585</v>
      </c>
      <c r="W74" s="673">
        <v>212718</v>
      </c>
      <c r="X74" s="673">
        <v>17475</v>
      </c>
      <c r="Y74" s="673">
        <v>0</v>
      </c>
      <c r="Z74" s="673">
        <v>378092</v>
      </c>
      <c r="AA74" s="673">
        <v>72247</v>
      </c>
      <c r="AB74" s="673">
        <v>507235</v>
      </c>
      <c r="AC74" s="673">
        <v>34836</v>
      </c>
      <c r="AD74" s="673">
        <v>2989144</v>
      </c>
      <c r="AE74" s="673">
        <v>15157</v>
      </c>
      <c r="AF74" s="673">
        <v>89889</v>
      </c>
      <c r="AG74" s="673">
        <v>2082919</v>
      </c>
      <c r="AH74" s="673">
        <v>1882401</v>
      </c>
      <c r="AI74" s="673">
        <v>684088</v>
      </c>
      <c r="AJ74" s="673">
        <v>8094724</v>
      </c>
      <c r="AK74" s="673">
        <v>1856</v>
      </c>
      <c r="AL74" s="673">
        <v>60153</v>
      </c>
      <c r="AM74" s="673">
        <v>80087</v>
      </c>
      <c r="AN74" s="673">
        <v>0</v>
      </c>
      <c r="AO74" s="673">
        <v>1544985</v>
      </c>
      <c r="AP74" s="673">
        <v>224575</v>
      </c>
      <c r="AQ74" s="673">
        <v>111368</v>
      </c>
      <c r="AR74" s="673">
        <v>0</v>
      </c>
      <c r="AS74" s="673">
        <v>18349</v>
      </c>
      <c r="AT74" s="673">
        <v>259757</v>
      </c>
      <c r="AU74" s="673">
        <v>0</v>
      </c>
      <c r="AV74" s="673">
        <v>0</v>
      </c>
      <c r="AW74" s="673">
        <v>460706</v>
      </c>
      <c r="AX74" s="673">
        <v>0</v>
      </c>
      <c r="AY74" s="673">
        <v>5638</v>
      </c>
      <c r="AZ74" s="673">
        <v>125</v>
      </c>
      <c r="BA74" s="673">
        <v>15993</v>
      </c>
      <c r="BB74" s="673">
        <v>74247</v>
      </c>
    </row>
    <row r="75" spans="1:54" x14ac:dyDescent="0.25">
      <c r="A75">
        <v>352</v>
      </c>
      <c r="B75">
        <v>352</v>
      </c>
      <c r="C75">
        <v>352</v>
      </c>
      <c r="D75" t="s">
        <v>314</v>
      </c>
      <c r="E75" t="s">
        <v>449</v>
      </c>
      <c r="F75" s="673">
        <v>0</v>
      </c>
      <c r="G75" s="673">
        <v>0</v>
      </c>
      <c r="H75" s="673">
        <v>0</v>
      </c>
      <c r="I75" s="673">
        <v>0</v>
      </c>
      <c r="J75" s="673">
        <v>0</v>
      </c>
      <c r="K75" s="673">
        <v>0</v>
      </c>
      <c r="L75" s="673">
        <v>0</v>
      </c>
      <c r="M75" s="673">
        <v>0</v>
      </c>
      <c r="N75" s="673">
        <v>0</v>
      </c>
      <c r="O75" s="673">
        <v>0</v>
      </c>
      <c r="P75" s="673">
        <v>0</v>
      </c>
      <c r="Q75" s="673">
        <v>0</v>
      </c>
      <c r="R75" s="673">
        <v>0</v>
      </c>
      <c r="S75" s="673">
        <v>0</v>
      </c>
      <c r="T75" s="673">
        <v>0</v>
      </c>
      <c r="U75" s="673">
        <v>0</v>
      </c>
      <c r="V75" s="673">
        <v>0</v>
      </c>
      <c r="W75" s="673">
        <v>0</v>
      </c>
      <c r="X75" s="673">
        <v>0</v>
      </c>
      <c r="Y75" s="673">
        <v>0</v>
      </c>
      <c r="Z75" s="673">
        <v>0</v>
      </c>
      <c r="AA75" s="673">
        <v>0</v>
      </c>
      <c r="AB75" s="673">
        <v>0</v>
      </c>
      <c r="AC75" s="673">
        <v>0</v>
      </c>
      <c r="AD75" s="673">
        <v>0</v>
      </c>
      <c r="AE75" s="673">
        <v>0</v>
      </c>
      <c r="AF75" s="673">
        <v>0</v>
      </c>
      <c r="AG75" s="673">
        <v>0</v>
      </c>
      <c r="AH75" s="673">
        <v>0</v>
      </c>
      <c r="AI75" s="673">
        <v>0</v>
      </c>
      <c r="AJ75" s="673">
        <v>2500000</v>
      </c>
      <c r="AK75" s="673">
        <v>0</v>
      </c>
      <c r="AL75" s="673">
        <v>0</v>
      </c>
      <c r="AM75" s="673">
        <v>0</v>
      </c>
      <c r="AN75" s="673">
        <v>0</v>
      </c>
      <c r="AO75" s="673">
        <v>0</v>
      </c>
      <c r="AP75" s="673">
        <v>0</v>
      </c>
      <c r="AQ75" s="673">
        <v>0</v>
      </c>
      <c r="AR75" s="673">
        <v>0</v>
      </c>
      <c r="AS75" s="673">
        <v>0</v>
      </c>
      <c r="AT75" s="673">
        <v>0</v>
      </c>
      <c r="AU75" s="673">
        <v>0</v>
      </c>
      <c r="AV75" s="673">
        <v>0</v>
      </c>
      <c r="AW75" s="673">
        <v>0</v>
      </c>
      <c r="AX75" s="673">
        <v>0</v>
      </c>
      <c r="AY75" s="673">
        <v>0</v>
      </c>
      <c r="AZ75" s="673">
        <v>0</v>
      </c>
      <c r="BA75" s="673">
        <v>0</v>
      </c>
      <c r="BB75" s="673">
        <v>0</v>
      </c>
    </row>
    <row r="76" spans="1:54" x14ac:dyDescent="0.25">
      <c r="A76">
        <v>353</v>
      </c>
      <c r="B76">
        <v>353</v>
      </c>
      <c r="C76">
        <v>353</v>
      </c>
      <c r="D76" t="s">
        <v>315</v>
      </c>
      <c r="E76" t="s">
        <v>450</v>
      </c>
      <c r="F76" s="673">
        <v>0</v>
      </c>
      <c r="G76" s="673">
        <v>0</v>
      </c>
      <c r="H76" s="673">
        <v>0</v>
      </c>
      <c r="I76" s="673">
        <v>0</v>
      </c>
      <c r="J76" s="673">
        <v>0</v>
      </c>
      <c r="K76" s="673">
        <v>0</v>
      </c>
      <c r="L76" s="673">
        <v>0</v>
      </c>
      <c r="M76" s="673">
        <v>0</v>
      </c>
      <c r="N76" s="673">
        <v>0</v>
      </c>
      <c r="O76" s="673">
        <v>0</v>
      </c>
      <c r="P76" s="673">
        <v>0</v>
      </c>
      <c r="Q76" s="673">
        <v>0</v>
      </c>
      <c r="R76" s="673">
        <v>0</v>
      </c>
      <c r="S76" s="673">
        <v>0</v>
      </c>
      <c r="T76" s="673">
        <v>0</v>
      </c>
      <c r="U76" s="673">
        <v>0</v>
      </c>
      <c r="V76" s="673">
        <v>0</v>
      </c>
      <c r="W76" s="673">
        <v>0</v>
      </c>
      <c r="X76" s="673">
        <v>0</v>
      </c>
      <c r="Y76" s="673">
        <v>0</v>
      </c>
      <c r="Z76" s="673">
        <v>0</v>
      </c>
      <c r="AA76" s="673">
        <v>0</v>
      </c>
      <c r="AB76" s="673">
        <v>0</v>
      </c>
      <c r="AC76" s="673">
        <v>0</v>
      </c>
      <c r="AD76" s="673">
        <v>0</v>
      </c>
      <c r="AE76" s="673">
        <v>0</v>
      </c>
      <c r="AF76" s="673">
        <v>0</v>
      </c>
      <c r="AG76" s="673">
        <v>0</v>
      </c>
      <c r="AH76" s="673">
        <v>0</v>
      </c>
      <c r="AI76" s="673">
        <v>0</v>
      </c>
      <c r="AJ76" s="673">
        <v>4327</v>
      </c>
      <c r="AK76" s="673">
        <v>0</v>
      </c>
      <c r="AL76" s="673">
        <v>0</v>
      </c>
      <c r="AM76" s="673">
        <v>0</v>
      </c>
      <c r="AN76" s="673">
        <v>0</v>
      </c>
      <c r="AO76" s="673">
        <v>0</v>
      </c>
      <c r="AP76" s="673">
        <v>0</v>
      </c>
      <c r="AQ76" s="673">
        <v>0</v>
      </c>
      <c r="AR76" s="673">
        <v>0</v>
      </c>
      <c r="AS76" s="673">
        <v>0</v>
      </c>
      <c r="AT76" s="673">
        <v>0</v>
      </c>
      <c r="AU76" s="673">
        <v>0</v>
      </c>
      <c r="AV76" s="673">
        <v>0</v>
      </c>
      <c r="AW76" s="673">
        <v>0</v>
      </c>
      <c r="AX76" s="673">
        <v>0</v>
      </c>
      <c r="AY76" s="673">
        <v>0</v>
      </c>
      <c r="AZ76" s="673">
        <v>0</v>
      </c>
      <c r="BA76" s="673">
        <v>0</v>
      </c>
      <c r="BB76" s="673">
        <v>0</v>
      </c>
    </row>
    <row r="77" spans="1:54" x14ac:dyDescent="0.25">
      <c r="A77">
        <v>356</v>
      </c>
      <c r="B77">
        <v>356</v>
      </c>
      <c r="C77">
        <v>356</v>
      </c>
      <c r="D77" t="s">
        <v>570</v>
      </c>
      <c r="E77" t="s">
        <v>451</v>
      </c>
      <c r="F77" s="673">
        <v>0</v>
      </c>
      <c r="G77" s="673">
        <v>0</v>
      </c>
      <c r="H77" s="673">
        <v>0</v>
      </c>
      <c r="I77" s="673">
        <v>0</v>
      </c>
      <c r="J77" s="673">
        <v>0</v>
      </c>
      <c r="K77" s="673">
        <v>0</v>
      </c>
      <c r="L77" s="673">
        <v>0</v>
      </c>
      <c r="M77" s="673">
        <v>0</v>
      </c>
      <c r="N77" s="673">
        <v>0</v>
      </c>
      <c r="O77" s="673">
        <v>0</v>
      </c>
      <c r="P77" s="673">
        <v>0</v>
      </c>
      <c r="Q77" s="673">
        <v>0</v>
      </c>
      <c r="R77" s="673">
        <v>0</v>
      </c>
      <c r="S77" s="673">
        <v>0</v>
      </c>
      <c r="T77" s="673">
        <v>0</v>
      </c>
      <c r="U77" s="673">
        <v>0</v>
      </c>
      <c r="V77" s="673">
        <v>283626953</v>
      </c>
      <c r="W77" s="673">
        <v>0</v>
      </c>
      <c r="X77" s="673">
        <v>0</v>
      </c>
      <c r="Y77" s="673">
        <v>0</v>
      </c>
      <c r="Z77" s="673">
        <v>0</v>
      </c>
      <c r="AA77" s="673">
        <v>0</v>
      </c>
      <c r="AB77" s="673">
        <v>0</v>
      </c>
      <c r="AC77" s="673">
        <v>0</v>
      </c>
      <c r="AD77" s="673">
        <v>0</v>
      </c>
      <c r="AE77" s="673">
        <v>0</v>
      </c>
      <c r="AF77" s="673">
        <v>0</v>
      </c>
      <c r="AG77" s="673">
        <v>0</v>
      </c>
      <c r="AH77" s="673">
        <v>0</v>
      </c>
      <c r="AI77" s="673">
        <v>0</v>
      </c>
      <c r="AJ77" s="673">
        <v>567279789</v>
      </c>
      <c r="AK77" s="673">
        <v>0</v>
      </c>
      <c r="AL77" s="673">
        <v>0</v>
      </c>
      <c r="AM77" s="673">
        <v>0</v>
      </c>
      <c r="AN77" s="673">
        <v>0</v>
      </c>
      <c r="AO77" s="673">
        <v>0</v>
      </c>
      <c r="AP77" s="673">
        <v>0</v>
      </c>
      <c r="AQ77" s="673">
        <v>0</v>
      </c>
      <c r="AR77" s="673">
        <v>0</v>
      </c>
      <c r="AS77" s="673">
        <v>0</v>
      </c>
      <c r="AT77" s="673">
        <v>0</v>
      </c>
      <c r="AU77" s="673">
        <v>0</v>
      </c>
      <c r="AV77" s="673">
        <v>0</v>
      </c>
      <c r="AW77" s="673">
        <v>0</v>
      </c>
      <c r="AX77" s="673">
        <v>0</v>
      </c>
      <c r="AY77" s="673">
        <v>0</v>
      </c>
      <c r="AZ77" s="673">
        <v>0</v>
      </c>
      <c r="BA77" s="673">
        <v>0</v>
      </c>
      <c r="BB77" s="673">
        <v>0</v>
      </c>
    </row>
    <row r="78" spans="1:54" x14ac:dyDescent="0.25">
      <c r="A78">
        <v>357</v>
      </c>
      <c r="B78">
        <v>357</v>
      </c>
      <c r="C78">
        <v>357</v>
      </c>
      <c r="D78" t="s">
        <v>571</v>
      </c>
      <c r="E78" t="s">
        <v>452</v>
      </c>
      <c r="F78" s="673">
        <v>0</v>
      </c>
      <c r="G78" s="673">
        <v>0</v>
      </c>
      <c r="H78" s="673">
        <v>0</v>
      </c>
      <c r="I78" s="673">
        <v>0</v>
      </c>
      <c r="J78" s="673">
        <v>0</v>
      </c>
      <c r="K78" s="673">
        <v>0</v>
      </c>
      <c r="L78" s="673">
        <v>0</v>
      </c>
      <c r="M78" s="673">
        <v>0</v>
      </c>
      <c r="N78" s="673">
        <v>0</v>
      </c>
      <c r="O78" s="673">
        <v>0</v>
      </c>
      <c r="P78" s="673">
        <v>0</v>
      </c>
      <c r="Q78" s="673">
        <v>0</v>
      </c>
      <c r="R78" s="673">
        <v>0</v>
      </c>
      <c r="S78" s="673">
        <v>0</v>
      </c>
      <c r="T78" s="673">
        <v>0</v>
      </c>
      <c r="U78" s="673">
        <v>0</v>
      </c>
      <c r="V78" s="673">
        <v>189205786</v>
      </c>
      <c r="W78" s="673">
        <v>0</v>
      </c>
      <c r="X78" s="673">
        <v>0</v>
      </c>
      <c r="Y78" s="673">
        <v>0</v>
      </c>
      <c r="Z78" s="673">
        <v>0</v>
      </c>
      <c r="AA78" s="673">
        <v>0</v>
      </c>
      <c r="AB78" s="673">
        <v>0</v>
      </c>
      <c r="AC78" s="673">
        <v>0</v>
      </c>
      <c r="AD78" s="673">
        <v>0</v>
      </c>
      <c r="AE78" s="673">
        <v>0</v>
      </c>
      <c r="AF78" s="673">
        <v>0</v>
      </c>
      <c r="AG78" s="673">
        <v>0</v>
      </c>
      <c r="AH78" s="673">
        <v>0</v>
      </c>
      <c r="AI78" s="673">
        <v>0</v>
      </c>
      <c r="AJ78" s="673">
        <v>329998564</v>
      </c>
      <c r="AK78" s="673">
        <v>0</v>
      </c>
      <c r="AL78" s="673">
        <v>0</v>
      </c>
      <c r="AM78" s="673">
        <v>0</v>
      </c>
      <c r="AN78" s="673">
        <v>0</v>
      </c>
      <c r="AO78" s="673">
        <v>0</v>
      </c>
      <c r="AP78" s="673">
        <v>0</v>
      </c>
      <c r="AQ78" s="673">
        <v>0</v>
      </c>
      <c r="AR78" s="673">
        <v>0</v>
      </c>
      <c r="AS78" s="673">
        <v>0</v>
      </c>
      <c r="AT78" s="673">
        <v>0</v>
      </c>
      <c r="AU78" s="673">
        <v>0</v>
      </c>
      <c r="AV78" s="673">
        <v>0</v>
      </c>
      <c r="AW78" s="673">
        <v>0</v>
      </c>
      <c r="AX78" s="673">
        <v>0</v>
      </c>
      <c r="AY78" s="673">
        <v>0</v>
      </c>
      <c r="AZ78" s="673">
        <v>0</v>
      </c>
      <c r="BA78" s="673">
        <v>0</v>
      </c>
      <c r="BB78" s="673">
        <v>0</v>
      </c>
    </row>
    <row r="79" spans="1:54" x14ac:dyDescent="0.25">
      <c r="A79">
        <v>359</v>
      </c>
      <c r="B79">
        <v>359</v>
      </c>
      <c r="C79">
        <v>359</v>
      </c>
      <c r="D79" t="s">
        <v>336</v>
      </c>
      <c r="E79" t="s">
        <v>453</v>
      </c>
      <c r="F79" s="673">
        <v>0</v>
      </c>
      <c r="G79" s="673">
        <v>0</v>
      </c>
      <c r="H79" s="673">
        <v>0</v>
      </c>
      <c r="I79" s="673">
        <v>0</v>
      </c>
      <c r="J79" s="673">
        <v>0</v>
      </c>
      <c r="K79" s="673">
        <v>0</v>
      </c>
      <c r="L79" s="673">
        <v>0</v>
      </c>
      <c r="M79" s="673">
        <v>0</v>
      </c>
      <c r="N79" s="673">
        <v>0</v>
      </c>
      <c r="O79" s="673">
        <v>0</v>
      </c>
      <c r="P79" s="673">
        <v>0</v>
      </c>
      <c r="Q79" s="673">
        <v>0</v>
      </c>
      <c r="R79" s="673">
        <v>0</v>
      </c>
      <c r="S79" s="673">
        <v>0</v>
      </c>
      <c r="T79" s="673">
        <v>0</v>
      </c>
      <c r="U79" s="673">
        <v>0</v>
      </c>
      <c r="V79" s="673">
        <v>37132043</v>
      </c>
      <c r="W79" s="673">
        <v>0</v>
      </c>
      <c r="X79" s="673">
        <v>0</v>
      </c>
      <c r="Y79" s="673">
        <v>0</v>
      </c>
      <c r="Z79" s="673">
        <v>0</v>
      </c>
      <c r="AA79" s="673">
        <v>0</v>
      </c>
      <c r="AB79" s="673">
        <v>0</v>
      </c>
      <c r="AC79" s="673">
        <v>0</v>
      </c>
      <c r="AD79" s="673">
        <v>0</v>
      </c>
      <c r="AE79" s="673">
        <v>0</v>
      </c>
      <c r="AF79" s="673">
        <v>0</v>
      </c>
      <c r="AG79" s="673">
        <v>0</v>
      </c>
      <c r="AH79" s="673">
        <v>0</v>
      </c>
      <c r="AI79" s="673">
        <v>0</v>
      </c>
      <c r="AJ79" s="673">
        <v>32768627</v>
      </c>
      <c r="AK79" s="673">
        <v>0</v>
      </c>
      <c r="AL79" s="673">
        <v>0</v>
      </c>
      <c r="AM79" s="673">
        <v>0</v>
      </c>
      <c r="AN79" s="673">
        <v>0</v>
      </c>
      <c r="AO79" s="673">
        <v>0</v>
      </c>
      <c r="AP79" s="673">
        <v>0</v>
      </c>
      <c r="AQ79" s="673">
        <v>0</v>
      </c>
      <c r="AR79" s="673">
        <v>0</v>
      </c>
      <c r="AS79" s="673">
        <v>0</v>
      </c>
      <c r="AT79" s="673">
        <v>0</v>
      </c>
      <c r="AU79" s="673">
        <v>0</v>
      </c>
      <c r="AV79" s="673">
        <v>0</v>
      </c>
      <c r="AW79" s="673">
        <v>0</v>
      </c>
      <c r="AX79" s="673">
        <v>0</v>
      </c>
      <c r="AY79" s="673">
        <v>0</v>
      </c>
      <c r="AZ79" s="673">
        <v>0</v>
      </c>
      <c r="BA79" s="673">
        <v>0</v>
      </c>
      <c r="BB79" s="673">
        <v>0</v>
      </c>
    </row>
    <row r="80" spans="1:54" x14ac:dyDescent="0.25">
      <c r="A80">
        <v>360</v>
      </c>
      <c r="B80">
        <v>360</v>
      </c>
      <c r="C80">
        <v>360</v>
      </c>
      <c r="D80" t="s">
        <v>964</v>
      </c>
      <c r="E80" t="s">
        <v>454</v>
      </c>
      <c r="F80" s="673">
        <v>0</v>
      </c>
      <c r="G80" s="673">
        <v>0</v>
      </c>
      <c r="H80" s="673">
        <v>0</v>
      </c>
      <c r="I80" s="673">
        <v>0</v>
      </c>
      <c r="J80" s="673">
        <v>0</v>
      </c>
      <c r="K80" s="673">
        <v>0</v>
      </c>
      <c r="L80" s="673">
        <v>0</v>
      </c>
      <c r="M80" s="673">
        <v>0</v>
      </c>
      <c r="N80" s="673">
        <v>0</v>
      </c>
      <c r="O80" s="673">
        <v>0</v>
      </c>
      <c r="P80" s="673">
        <v>0</v>
      </c>
      <c r="Q80" s="673">
        <v>0</v>
      </c>
      <c r="R80" s="673">
        <v>0</v>
      </c>
      <c r="S80" s="673">
        <v>0</v>
      </c>
      <c r="T80" s="673">
        <v>0</v>
      </c>
      <c r="U80" s="673">
        <v>0</v>
      </c>
      <c r="V80" s="673">
        <v>76430477</v>
      </c>
      <c r="W80" s="673">
        <v>0</v>
      </c>
      <c r="X80" s="673">
        <v>0</v>
      </c>
      <c r="Y80" s="673">
        <v>0</v>
      </c>
      <c r="Z80" s="673">
        <v>0</v>
      </c>
      <c r="AA80" s="673">
        <v>0</v>
      </c>
      <c r="AB80" s="673">
        <v>0</v>
      </c>
      <c r="AC80" s="673">
        <v>0</v>
      </c>
      <c r="AD80" s="673">
        <v>0</v>
      </c>
      <c r="AE80" s="673">
        <v>0</v>
      </c>
      <c r="AF80" s="673">
        <v>0</v>
      </c>
      <c r="AG80" s="673">
        <v>0</v>
      </c>
      <c r="AH80" s="673">
        <v>0</v>
      </c>
      <c r="AI80" s="673">
        <v>0</v>
      </c>
      <c r="AJ80" s="673">
        <v>91790859</v>
      </c>
      <c r="AK80" s="673">
        <v>0</v>
      </c>
      <c r="AL80" s="673">
        <v>0</v>
      </c>
      <c r="AM80" s="673">
        <v>0</v>
      </c>
      <c r="AN80" s="673">
        <v>0</v>
      </c>
      <c r="AO80" s="673">
        <v>0</v>
      </c>
      <c r="AP80" s="673">
        <v>0</v>
      </c>
      <c r="AQ80" s="673">
        <v>0</v>
      </c>
      <c r="AR80" s="673">
        <v>0</v>
      </c>
      <c r="AS80" s="673">
        <v>0</v>
      </c>
      <c r="AT80" s="673">
        <v>0</v>
      </c>
      <c r="AU80" s="673">
        <v>0</v>
      </c>
      <c r="AV80" s="673">
        <v>0</v>
      </c>
      <c r="AW80" s="673">
        <v>0</v>
      </c>
      <c r="AX80" s="673">
        <v>0</v>
      </c>
      <c r="AY80" s="673">
        <v>0</v>
      </c>
      <c r="AZ80" s="673">
        <v>0</v>
      </c>
      <c r="BA80" s="673">
        <v>0</v>
      </c>
      <c r="BB80" s="673">
        <v>0</v>
      </c>
    </row>
    <row r="81" spans="1:54" x14ac:dyDescent="0.25">
      <c r="A81">
        <v>361</v>
      </c>
      <c r="B81">
        <v>361</v>
      </c>
      <c r="C81">
        <v>361</v>
      </c>
      <c r="D81" t="s">
        <v>965</v>
      </c>
      <c r="E81" t="s">
        <v>455</v>
      </c>
      <c r="F81" s="673">
        <v>0</v>
      </c>
      <c r="G81" s="673">
        <v>0</v>
      </c>
      <c r="H81" s="673">
        <v>0</v>
      </c>
      <c r="I81" s="673">
        <v>0</v>
      </c>
      <c r="J81" s="673">
        <v>0</v>
      </c>
      <c r="K81" s="673">
        <v>0</v>
      </c>
      <c r="L81" s="673">
        <v>0</v>
      </c>
      <c r="M81" s="673">
        <v>0</v>
      </c>
      <c r="N81" s="673">
        <v>0</v>
      </c>
      <c r="O81" s="673">
        <v>0</v>
      </c>
      <c r="P81" s="673">
        <v>0</v>
      </c>
      <c r="Q81" s="673">
        <v>0</v>
      </c>
      <c r="R81" s="673">
        <v>0</v>
      </c>
      <c r="S81" s="673">
        <v>0</v>
      </c>
      <c r="T81" s="673">
        <v>0</v>
      </c>
      <c r="U81" s="673">
        <v>0</v>
      </c>
      <c r="V81" s="673">
        <v>68819904</v>
      </c>
      <c r="W81" s="673">
        <v>0</v>
      </c>
      <c r="X81" s="673">
        <v>0</v>
      </c>
      <c r="Y81" s="673">
        <v>0</v>
      </c>
      <c r="Z81" s="673">
        <v>0</v>
      </c>
      <c r="AA81" s="673">
        <v>0</v>
      </c>
      <c r="AB81" s="673">
        <v>0</v>
      </c>
      <c r="AC81" s="673">
        <v>0</v>
      </c>
      <c r="AD81" s="673">
        <v>0</v>
      </c>
      <c r="AE81" s="673">
        <v>0</v>
      </c>
      <c r="AF81" s="673">
        <v>0</v>
      </c>
      <c r="AG81" s="673">
        <v>0</v>
      </c>
      <c r="AH81" s="673">
        <v>0</v>
      </c>
      <c r="AI81" s="673">
        <v>0</v>
      </c>
      <c r="AJ81" s="673">
        <v>104165893</v>
      </c>
      <c r="AK81" s="673">
        <v>0</v>
      </c>
      <c r="AL81" s="673">
        <v>0</v>
      </c>
      <c r="AM81" s="673">
        <v>0</v>
      </c>
      <c r="AN81" s="673">
        <v>0</v>
      </c>
      <c r="AO81" s="673">
        <v>0</v>
      </c>
      <c r="AP81" s="673">
        <v>0</v>
      </c>
      <c r="AQ81" s="673">
        <v>0</v>
      </c>
      <c r="AR81" s="673">
        <v>0</v>
      </c>
      <c r="AS81" s="673">
        <v>0</v>
      </c>
      <c r="AT81" s="673">
        <v>0</v>
      </c>
      <c r="AU81" s="673">
        <v>0</v>
      </c>
      <c r="AV81" s="673">
        <v>0</v>
      </c>
      <c r="AW81" s="673">
        <v>0</v>
      </c>
      <c r="AX81" s="673">
        <v>0</v>
      </c>
      <c r="AY81" s="673">
        <v>0</v>
      </c>
      <c r="AZ81" s="673">
        <v>0</v>
      </c>
      <c r="BA81" s="673">
        <v>0</v>
      </c>
      <c r="BB81" s="673">
        <v>0</v>
      </c>
    </row>
    <row r="82" spans="1:54" x14ac:dyDescent="0.25">
      <c r="A82">
        <v>362</v>
      </c>
      <c r="B82">
        <v>362</v>
      </c>
      <c r="C82">
        <v>362</v>
      </c>
      <c r="D82" t="s">
        <v>966</v>
      </c>
      <c r="E82" t="s">
        <v>456</v>
      </c>
      <c r="F82" s="673">
        <v>0</v>
      </c>
      <c r="G82" s="673">
        <v>0</v>
      </c>
      <c r="H82" s="673">
        <v>0</v>
      </c>
      <c r="I82" s="673">
        <v>0</v>
      </c>
      <c r="J82" s="673">
        <v>0</v>
      </c>
      <c r="K82" s="673">
        <v>0</v>
      </c>
      <c r="L82" s="673">
        <v>0</v>
      </c>
      <c r="M82" s="673">
        <v>0</v>
      </c>
      <c r="N82" s="673">
        <v>0</v>
      </c>
      <c r="O82" s="673">
        <v>0</v>
      </c>
      <c r="P82" s="673">
        <v>0</v>
      </c>
      <c r="Q82" s="673">
        <v>0</v>
      </c>
      <c r="R82" s="673">
        <v>0</v>
      </c>
      <c r="S82" s="673">
        <v>0</v>
      </c>
      <c r="T82" s="673">
        <v>0</v>
      </c>
      <c r="U82" s="673">
        <v>0</v>
      </c>
      <c r="V82" s="673">
        <v>145381712</v>
      </c>
      <c r="W82" s="673">
        <v>0</v>
      </c>
      <c r="X82" s="673">
        <v>0</v>
      </c>
      <c r="Y82" s="673">
        <v>0</v>
      </c>
      <c r="Z82" s="673">
        <v>0</v>
      </c>
      <c r="AA82" s="673">
        <v>0</v>
      </c>
      <c r="AB82" s="673">
        <v>0</v>
      </c>
      <c r="AC82" s="673">
        <v>0</v>
      </c>
      <c r="AD82" s="673">
        <v>0</v>
      </c>
      <c r="AE82" s="673">
        <v>0</v>
      </c>
      <c r="AF82" s="673">
        <v>0</v>
      </c>
      <c r="AG82" s="673">
        <v>0</v>
      </c>
      <c r="AH82" s="673">
        <v>0</v>
      </c>
      <c r="AI82" s="673">
        <v>0</v>
      </c>
      <c r="AJ82" s="673">
        <v>452983139</v>
      </c>
      <c r="AK82" s="673">
        <v>0</v>
      </c>
      <c r="AL82" s="673">
        <v>0</v>
      </c>
      <c r="AM82" s="673">
        <v>0</v>
      </c>
      <c r="AN82" s="673">
        <v>0</v>
      </c>
      <c r="AO82" s="673">
        <v>0</v>
      </c>
      <c r="AP82" s="673">
        <v>0</v>
      </c>
      <c r="AQ82" s="673">
        <v>0</v>
      </c>
      <c r="AR82" s="673">
        <v>0</v>
      </c>
      <c r="AS82" s="673">
        <v>0</v>
      </c>
      <c r="AT82" s="673">
        <v>0</v>
      </c>
      <c r="AU82" s="673">
        <v>0</v>
      </c>
      <c r="AV82" s="673">
        <v>0</v>
      </c>
      <c r="AW82" s="673">
        <v>0</v>
      </c>
      <c r="AX82" s="673">
        <v>0</v>
      </c>
      <c r="AY82" s="673">
        <v>0</v>
      </c>
      <c r="AZ82" s="673">
        <v>0</v>
      </c>
      <c r="BA82" s="673">
        <v>0</v>
      </c>
      <c r="BB82" s="673">
        <v>0</v>
      </c>
    </row>
    <row r="83" spans="1:54" x14ac:dyDescent="0.25">
      <c r="A83">
        <v>363</v>
      </c>
      <c r="B83">
        <v>363</v>
      </c>
      <c r="C83">
        <v>363</v>
      </c>
      <c r="D83" t="s">
        <v>322</v>
      </c>
      <c r="E83" t="s">
        <v>457</v>
      </c>
      <c r="F83" s="673">
        <v>0</v>
      </c>
      <c r="G83" s="673">
        <v>0</v>
      </c>
      <c r="H83" s="673">
        <v>0</v>
      </c>
      <c r="I83" s="673">
        <v>0</v>
      </c>
      <c r="J83" s="673">
        <v>0</v>
      </c>
      <c r="K83" s="673">
        <v>0</v>
      </c>
      <c r="L83" s="673">
        <v>0</v>
      </c>
      <c r="M83" s="673">
        <v>0</v>
      </c>
      <c r="N83" s="673">
        <v>0</v>
      </c>
      <c r="O83" s="673">
        <v>0</v>
      </c>
      <c r="P83" s="673">
        <v>0</v>
      </c>
      <c r="Q83" s="673">
        <v>0</v>
      </c>
      <c r="R83" s="673">
        <v>0</v>
      </c>
      <c r="S83" s="673">
        <v>0</v>
      </c>
      <c r="T83" s="673">
        <v>0</v>
      </c>
      <c r="U83" s="673">
        <v>0</v>
      </c>
      <c r="V83" s="673">
        <v>3034089</v>
      </c>
      <c r="W83" s="673">
        <v>0</v>
      </c>
      <c r="X83" s="673">
        <v>0</v>
      </c>
      <c r="Y83" s="673">
        <v>0</v>
      </c>
      <c r="Z83" s="673">
        <v>0</v>
      </c>
      <c r="AA83" s="673">
        <v>0</v>
      </c>
      <c r="AB83" s="673">
        <v>0</v>
      </c>
      <c r="AC83" s="673">
        <v>0</v>
      </c>
      <c r="AD83" s="673">
        <v>0</v>
      </c>
      <c r="AE83" s="673">
        <v>0</v>
      </c>
      <c r="AF83" s="673">
        <v>0</v>
      </c>
      <c r="AG83" s="673">
        <v>0</v>
      </c>
      <c r="AH83" s="673">
        <v>0</v>
      </c>
      <c r="AI83" s="673">
        <v>0</v>
      </c>
      <c r="AJ83" s="673">
        <v>1760279</v>
      </c>
      <c r="AK83" s="673">
        <v>0</v>
      </c>
      <c r="AL83" s="673">
        <v>0</v>
      </c>
      <c r="AM83" s="673">
        <v>0</v>
      </c>
      <c r="AN83" s="673">
        <v>0</v>
      </c>
      <c r="AO83" s="673">
        <v>0</v>
      </c>
      <c r="AP83" s="673">
        <v>0</v>
      </c>
      <c r="AQ83" s="673">
        <v>0</v>
      </c>
      <c r="AR83" s="673">
        <v>0</v>
      </c>
      <c r="AS83" s="673">
        <v>0</v>
      </c>
      <c r="AT83" s="673">
        <v>0</v>
      </c>
      <c r="AU83" s="673">
        <v>0</v>
      </c>
      <c r="AV83" s="673">
        <v>0</v>
      </c>
      <c r="AW83" s="673">
        <v>0</v>
      </c>
      <c r="AX83" s="673">
        <v>0</v>
      </c>
      <c r="AY83" s="673">
        <v>0</v>
      </c>
      <c r="AZ83" s="673">
        <v>0</v>
      </c>
      <c r="BA83" s="673">
        <v>0</v>
      </c>
      <c r="BB83" s="673">
        <v>0</v>
      </c>
    </row>
    <row r="84" spans="1:54" x14ac:dyDescent="0.25">
      <c r="A84">
        <v>364</v>
      </c>
      <c r="B84">
        <v>364</v>
      </c>
      <c r="C84">
        <v>364</v>
      </c>
      <c r="D84" t="s">
        <v>323</v>
      </c>
      <c r="E84" t="s">
        <v>458</v>
      </c>
      <c r="F84" s="673">
        <v>0</v>
      </c>
      <c r="G84" s="673">
        <v>0</v>
      </c>
      <c r="H84" s="673">
        <v>0</v>
      </c>
      <c r="I84" s="673">
        <v>0</v>
      </c>
      <c r="J84" s="673">
        <v>0</v>
      </c>
      <c r="K84" s="673">
        <v>0</v>
      </c>
      <c r="L84" s="673">
        <v>0</v>
      </c>
      <c r="M84" s="673">
        <v>0</v>
      </c>
      <c r="N84" s="673">
        <v>0</v>
      </c>
      <c r="O84" s="673">
        <v>0</v>
      </c>
      <c r="P84" s="673">
        <v>0</v>
      </c>
      <c r="Q84" s="673">
        <v>0</v>
      </c>
      <c r="R84" s="673">
        <v>0</v>
      </c>
      <c r="S84" s="673">
        <v>0</v>
      </c>
      <c r="T84" s="673">
        <v>0</v>
      </c>
      <c r="U84" s="673">
        <v>0</v>
      </c>
      <c r="V84" s="673">
        <v>1904002</v>
      </c>
      <c r="W84" s="673">
        <v>0</v>
      </c>
      <c r="X84" s="673">
        <v>0</v>
      </c>
      <c r="Y84" s="673">
        <v>0</v>
      </c>
      <c r="Z84" s="673">
        <v>0</v>
      </c>
      <c r="AA84" s="673">
        <v>0</v>
      </c>
      <c r="AB84" s="673">
        <v>0</v>
      </c>
      <c r="AC84" s="673">
        <v>0</v>
      </c>
      <c r="AD84" s="673">
        <v>0</v>
      </c>
      <c r="AE84" s="673">
        <v>0</v>
      </c>
      <c r="AF84" s="673">
        <v>0</v>
      </c>
      <c r="AG84" s="673">
        <v>0</v>
      </c>
      <c r="AH84" s="673">
        <v>0</v>
      </c>
      <c r="AI84" s="673">
        <v>0</v>
      </c>
      <c r="AJ84" s="673">
        <v>13840732</v>
      </c>
      <c r="AK84" s="673">
        <v>0</v>
      </c>
      <c r="AL84" s="673">
        <v>0</v>
      </c>
      <c r="AM84" s="673">
        <v>0</v>
      </c>
      <c r="AN84" s="673">
        <v>0</v>
      </c>
      <c r="AO84" s="673">
        <v>0</v>
      </c>
      <c r="AP84" s="673">
        <v>0</v>
      </c>
      <c r="AQ84" s="673">
        <v>0</v>
      </c>
      <c r="AR84" s="673">
        <v>0</v>
      </c>
      <c r="AS84" s="673">
        <v>0</v>
      </c>
      <c r="AT84" s="673">
        <v>0</v>
      </c>
      <c r="AU84" s="673">
        <v>0</v>
      </c>
      <c r="AV84" s="673">
        <v>0</v>
      </c>
      <c r="AW84" s="673">
        <v>0</v>
      </c>
      <c r="AX84" s="673">
        <v>0</v>
      </c>
      <c r="AY84" s="673">
        <v>0</v>
      </c>
      <c r="AZ84" s="673">
        <v>0</v>
      </c>
      <c r="BA84" s="673">
        <v>0</v>
      </c>
      <c r="BB84" s="673">
        <v>0</v>
      </c>
    </row>
    <row r="85" spans="1:54" x14ac:dyDescent="0.25">
      <c r="A85">
        <v>365</v>
      </c>
      <c r="B85">
        <v>365</v>
      </c>
      <c r="C85">
        <v>365</v>
      </c>
      <c r="D85" t="s">
        <v>325</v>
      </c>
      <c r="E85" t="s">
        <v>459</v>
      </c>
      <c r="F85" s="673">
        <v>0</v>
      </c>
      <c r="G85" s="673">
        <v>0</v>
      </c>
      <c r="H85" s="673">
        <v>0</v>
      </c>
      <c r="I85" s="673">
        <v>0</v>
      </c>
      <c r="J85" s="673">
        <v>0</v>
      </c>
      <c r="K85" s="673">
        <v>0</v>
      </c>
      <c r="L85" s="673">
        <v>0</v>
      </c>
      <c r="M85" s="673">
        <v>0</v>
      </c>
      <c r="N85" s="673">
        <v>0</v>
      </c>
      <c r="O85" s="673">
        <v>0</v>
      </c>
      <c r="P85" s="673">
        <v>0</v>
      </c>
      <c r="Q85" s="673">
        <v>0</v>
      </c>
      <c r="R85" s="673">
        <v>0</v>
      </c>
      <c r="S85" s="673">
        <v>0</v>
      </c>
      <c r="T85" s="673">
        <v>0</v>
      </c>
      <c r="U85" s="673">
        <v>0</v>
      </c>
      <c r="V85" s="673">
        <v>0</v>
      </c>
      <c r="W85" s="673">
        <v>0</v>
      </c>
      <c r="X85" s="673">
        <v>0</v>
      </c>
      <c r="Y85" s="673">
        <v>0</v>
      </c>
      <c r="Z85" s="673">
        <v>0</v>
      </c>
      <c r="AA85" s="673">
        <v>0</v>
      </c>
      <c r="AB85" s="673">
        <v>0</v>
      </c>
      <c r="AC85" s="673">
        <v>0</v>
      </c>
      <c r="AD85" s="673">
        <v>0</v>
      </c>
      <c r="AE85" s="673">
        <v>0</v>
      </c>
      <c r="AF85" s="673">
        <v>0</v>
      </c>
      <c r="AG85" s="673">
        <v>0</v>
      </c>
      <c r="AH85" s="673">
        <v>0</v>
      </c>
      <c r="AI85" s="673">
        <v>0</v>
      </c>
      <c r="AJ85" s="673">
        <v>0</v>
      </c>
      <c r="AK85" s="673">
        <v>0</v>
      </c>
      <c r="AL85" s="673">
        <v>0</v>
      </c>
      <c r="AM85" s="673">
        <v>0</v>
      </c>
      <c r="AN85" s="673">
        <v>0</v>
      </c>
      <c r="AO85" s="673">
        <v>0</v>
      </c>
      <c r="AP85" s="673">
        <v>0</v>
      </c>
      <c r="AQ85" s="673">
        <v>0</v>
      </c>
      <c r="AR85" s="673">
        <v>0</v>
      </c>
      <c r="AS85" s="673">
        <v>0</v>
      </c>
      <c r="AT85" s="673">
        <v>0</v>
      </c>
      <c r="AU85" s="673">
        <v>0</v>
      </c>
      <c r="AV85" s="673">
        <v>0</v>
      </c>
      <c r="AW85" s="673">
        <v>0</v>
      </c>
      <c r="AX85" s="673">
        <v>0</v>
      </c>
      <c r="AY85" s="673">
        <v>0</v>
      </c>
      <c r="AZ85" s="673">
        <v>0</v>
      </c>
      <c r="BA85" s="673">
        <v>0</v>
      </c>
      <c r="BB85" s="673">
        <v>0</v>
      </c>
    </row>
    <row r="86" spans="1:54" x14ac:dyDescent="0.25">
      <c r="A86">
        <v>366</v>
      </c>
      <c r="B86">
        <v>366</v>
      </c>
      <c r="C86">
        <v>366</v>
      </c>
      <c r="D86" t="s">
        <v>967</v>
      </c>
      <c r="E86" t="s">
        <v>460</v>
      </c>
      <c r="F86" s="673">
        <v>0</v>
      </c>
      <c r="G86" s="673">
        <v>0</v>
      </c>
      <c r="H86" s="673">
        <v>0</v>
      </c>
      <c r="I86" s="673">
        <v>0</v>
      </c>
      <c r="J86" s="673">
        <v>0</v>
      </c>
      <c r="K86" s="673">
        <v>0</v>
      </c>
      <c r="L86" s="673">
        <v>0</v>
      </c>
      <c r="M86" s="673">
        <v>0</v>
      </c>
      <c r="N86" s="673">
        <v>0</v>
      </c>
      <c r="O86" s="673">
        <v>0</v>
      </c>
      <c r="P86" s="673">
        <v>0</v>
      </c>
      <c r="Q86" s="673">
        <v>0</v>
      </c>
      <c r="R86" s="673">
        <v>0</v>
      </c>
      <c r="S86" s="673">
        <v>0</v>
      </c>
      <c r="T86" s="673">
        <v>0</v>
      </c>
      <c r="U86" s="673">
        <v>0</v>
      </c>
      <c r="V86" s="673">
        <v>5002127</v>
      </c>
      <c r="W86" s="673">
        <v>0</v>
      </c>
      <c r="X86" s="673">
        <v>0</v>
      </c>
      <c r="Y86" s="673">
        <v>0</v>
      </c>
      <c r="Z86" s="673">
        <v>0</v>
      </c>
      <c r="AA86" s="673">
        <v>0</v>
      </c>
      <c r="AB86" s="673">
        <v>0</v>
      </c>
      <c r="AC86" s="673">
        <v>0</v>
      </c>
      <c r="AD86" s="673">
        <v>0</v>
      </c>
      <c r="AE86" s="673">
        <v>0</v>
      </c>
      <c r="AF86" s="673">
        <v>0</v>
      </c>
      <c r="AG86" s="673">
        <v>0</v>
      </c>
      <c r="AH86" s="673">
        <v>0</v>
      </c>
      <c r="AI86" s="673">
        <v>0</v>
      </c>
      <c r="AJ86" s="673">
        <v>2504327</v>
      </c>
      <c r="AK86" s="673">
        <v>0</v>
      </c>
      <c r="AL86" s="673">
        <v>0</v>
      </c>
      <c r="AM86" s="673">
        <v>0</v>
      </c>
      <c r="AN86" s="673">
        <v>0</v>
      </c>
      <c r="AO86" s="673">
        <v>0</v>
      </c>
      <c r="AP86" s="673">
        <v>0</v>
      </c>
      <c r="AQ86" s="673">
        <v>0</v>
      </c>
      <c r="AR86" s="673">
        <v>0</v>
      </c>
      <c r="AS86" s="673">
        <v>0</v>
      </c>
      <c r="AT86" s="673">
        <v>0</v>
      </c>
      <c r="AU86" s="673">
        <v>0</v>
      </c>
      <c r="AV86" s="673">
        <v>0</v>
      </c>
      <c r="AW86" s="673">
        <v>0</v>
      </c>
      <c r="AX86" s="673">
        <v>0</v>
      </c>
      <c r="AY86" s="673">
        <v>0</v>
      </c>
      <c r="AZ86" s="673">
        <v>0</v>
      </c>
      <c r="BA86" s="673">
        <v>0</v>
      </c>
      <c r="BB86" s="673">
        <v>0</v>
      </c>
    </row>
    <row r="87" spans="1:54" x14ac:dyDescent="0.25">
      <c r="A87">
        <v>368</v>
      </c>
      <c r="B87">
        <v>368</v>
      </c>
      <c r="C87">
        <v>368</v>
      </c>
      <c r="D87" t="s">
        <v>280</v>
      </c>
      <c r="E87" t="s">
        <v>461</v>
      </c>
      <c r="F87" s="673">
        <v>0</v>
      </c>
      <c r="G87" s="673">
        <v>0</v>
      </c>
      <c r="H87" s="673">
        <v>0</v>
      </c>
      <c r="I87" s="673">
        <v>0</v>
      </c>
      <c r="J87" s="673">
        <v>0</v>
      </c>
      <c r="K87" s="673">
        <v>0</v>
      </c>
      <c r="L87" s="673">
        <v>0</v>
      </c>
      <c r="M87" s="673">
        <v>0</v>
      </c>
      <c r="N87" s="673">
        <v>0</v>
      </c>
      <c r="O87" s="673">
        <v>0</v>
      </c>
      <c r="P87" s="673">
        <v>0</v>
      </c>
      <c r="Q87" s="673">
        <v>0</v>
      </c>
      <c r="R87" s="673">
        <v>0</v>
      </c>
      <c r="S87" s="673">
        <v>0</v>
      </c>
      <c r="T87" s="673">
        <v>0</v>
      </c>
      <c r="U87" s="673">
        <v>0</v>
      </c>
      <c r="V87" s="673">
        <v>0</v>
      </c>
      <c r="W87" s="673">
        <v>0</v>
      </c>
      <c r="X87" s="673">
        <v>0</v>
      </c>
      <c r="Y87" s="673">
        <v>0</v>
      </c>
      <c r="Z87" s="673">
        <v>0</v>
      </c>
      <c r="AA87" s="673">
        <v>0</v>
      </c>
      <c r="AB87" s="673">
        <v>0</v>
      </c>
      <c r="AC87" s="673">
        <v>0</v>
      </c>
      <c r="AD87" s="673">
        <v>0</v>
      </c>
      <c r="AE87" s="673">
        <v>0</v>
      </c>
      <c r="AF87" s="673">
        <v>0</v>
      </c>
      <c r="AG87" s="673">
        <v>0</v>
      </c>
      <c r="AH87" s="673">
        <v>0</v>
      </c>
      <c r="AI87" s="673">
        <v>0</v>
      </c>
      <c r="AJ87" s="673">
        <v>0</v>
      </c>
      <c r="AK87" s="673">
        <v>0</v>
      </c>
      <c r="AL87" s="673">
        <v>0</v>
      </c>
      <c r="AM87" s="673">
        <v>0</v>
      </c>
      <c r="AN87" s="673">
        <v>0</v>
      </c>
      <c r="AO87" s="673">
        <v>0</v>
      </c>
      <c r="AP87" s="673">
        <v>0</v>
      </c>
      <c r="AQ87" s="673">
        <v>0</v>
      </c>
      <c r="AR87" s="673">
        <v>0</v>
      </c>
      <c r="AS87" s="673">
        <v>0</v>
      </c>
      <c r="AT87" s="673">
        <v>0</v>
      </c>
      <c r="AU87" s="673">
        <v>0</v>
      </c>
      <c r="AV87" s="673">
        <v>0</v>
      </c>
      <c r="AW87" s="673">
        <v>0</v>
      </c>
      <c r="AX87" s="673">
        <v>0</v>
      </c>
      <c r="AY87" s="673">
        <v>0</v>
      </c>
      <c r="AZ87" s="673">
        <v>0</v>
      </c>
      <c r="BA87" s="673">
        <v>0</v>
      </c>
      <c r="BB87" s="673">
        <v>0</v>
      </c>
    </row>
    <row r="88" spans="1:54" x14ac:dyDescent="0.25">
      <c r="A88">
        <v>369</v>
      </c>
      <c r="B88">
        <v>369</v>
      </c>
      <c r="C88">
        <v>369</v>
      </c>
      <c r="D88" t="s">
        <v>285</v>
      </c>
      <c r="E88" t="s">
        <v>462</v>
      </c>
      <c r="F88" s="673">
        <v>0</v>
      </c>
      <c r="G88" s="673">
        <v>0</v>
      </c>
      <c r="H88" s="673">
        <v>0</v>
      </c>
      <c r="I88" s="673">
        <v>0</v>
      </c>
      <c r="J88" s="673">
        <v>0</v>
      </c>
      <c r="K88" s="673">
        <v>0</v>
      </c>
      <c r="L88" s="673">
        <v>0</v>
      </c>
      <c r="M88" s="673">
        <v>0</v>
      </c>
      <c r="N88" s="673">
        <v>0</v>
      </c>
      <c r="O88" s="673">
        <v>0</v>
      </c>
      <c r="P88" s="673">
        <v>0</v>
      </c>
      <c r="Q88" s="673">
        <v>0</v>
      </c>
      <c r="R88" s="673">
        <v>0</v>
      </c>
      <c r="S88" s="673">
        <v>0</v>
      </c>
      <c r="T88" s="673">
        <v>0</v>
      </c>
      <c r="U88" s="673">
        <v>0</v>
      </c>
      <c r="V88" s="673">
        <v>0</v>
      </c>
      <c r="W88" s="673">
        <v>0</v>
      </c>
      <c r="X88" s="673">
        <v>0</v>
      </c>
      <c r="Y88" s="673">
        <v>0</v>
      </c>
      <c r="Z88" s="673">
        <v>0</v>
      </c>
      <c r="AA88" s="673">
        <v>0</v>
      </c>
      <c r="AB88" s="673">
        <v>0</v>
      </c>
      <c r="AC88" s="673">
        <v>0</v>
      </c>
      <c r="AD88" s="673">
        <v>0</v>
      </c>
      <c r="AE88" s="673">
        <v>0</v>
      </c>
      <c r="AF88" s="673">
        <v>0</v>
      </c>
      <c r="AG88" s="673">
        <v>0</v>
      </c>
      <c r="AH88" s="673">
        <v>0</v>
      </c>
      <c r="AI88" s="673">
        <v>0</v>
      </c>
      <c r="AJ88" s="673">
        <v>0</v>
      </c>
      <c r="AK88" s="673">
        <v>0</v>
      </c>
      <c r="AL88" s="673">
        <v>0</v>
      </c>
      <c r="AM88" s="673">
        <v>0</v>
      </c>
      <c r="AN88" s="673">
        <v>0</v>
      </c>
      <c r="AO88" s="673">
        <v>0</v>
      </c>
      <c r="AP88" s="673">
        <v>0</v>
      </c>
      <c r="AQ88" s="673">
        <v>0</v>
      </c>
      <c r="AR88" s="673">
        <v>0</v>
      </c>
      <c r="AS88" s="673">
        <v>0</v>
      </c>
      <c r="AT88" s="673">
        <v>0</v>
      </c>
      <c r="AU88" s="673">
        <v>0</v>
      </c>
      <c r="AV88" s="673">
        <v>0</v>
      </c>
      <c r="AW88" s="673">
        <v>0</v>
      </c>
      <c r="AX88" s="673">
        <v>0</v>
      </c>
      <c r="AY88" s="673">
        <v>0</v>
      </c>
      <c r="AZ88" s="673">
        <v>0</v>
      </c>
      <c r="BA88" s="673">
        <v>0</v>
      </c>
      <c r="BB88" s="673">
        <v>0</v>
      </c>
    </row>
    <row r="89" spans="1:54" x14ac:dyDescent="0.25">
      <c r="A89">
        <v>370</v>
      </c>
      <c r="B89">
        <v>370</v>
      </c>
      <c r="C89">
        <v>370</v>
      </c>
      <c r="D89" t="s">
        <v>287</v>
      </c>
      <c r="E89" t="s">
        <v>463</v>
      </c>
      <c r="F89" s="673">
        <v>0</v>
      </c>
      <c r="G89" s="673">
        <v>0</v>
      </c>
      <c r="H89" s="673">
        <v>0</v>
      </c>
      <c r="I89" s="673">
        <v>0</v>
      </c>
      <c r="J89" s="673">
        <v>0</v>
      </c>
      <c r="K89" s="673">
        <v>0</v>
      </c>
      <c r="L89" s="673">
        <v>0</v>
      </c>
      <c r="M89" s="673">
        <v>0</v>
      </c>
      <c r="N89" s="673">
        <v>0</v>
      </c>
      <c r="O89" s="673">
        <v>0</v>
      </c>
      <c r="P89" s="673">
        <v>0</v>
      </c>
      <c r="Q89" s="673">
        <v>0</v>
      </c>
      <c r="R89" s="673">
        <v>0</v>
      </c>
      <c r="S89" s="673">
        <v>0</v>
      </c>
      <c r="T89" s="673">
        <v>0</v>
      </c>
      <c r="U89" s="673">
        <v>0</v>
      </c>
      <c r="V89" s="673">
        <v>0</v>
      </c>
      <c r="W89" s="673">
        <v>0</v>
      </c>
      <c r="X89" s="673">
        <v>0</v>
      </c>
      <c r="Y89" s="673">
        <v>0</v>
      </c>
      <c r="Z89" s="673">
        <v>0</v>
      </c>
      <c r="AA89" s="673">
        <v>0</v>
      </c>
      <c r="AB89" s="673">
        <v>0</v>
      </c>
      <c r="AC89" s="673">
        <v>0</v>
      </c>
      <c r="AD89" s="673">
        <v>0</v>
      </c>
      <c r="AE89" s="673">
        <v>0</v>
      </c>
      <c r="AF89" s="673">
        <v>0</v>
      </c>
      <c r="AG89" s="673">
        <v>0</v>
      </c>
      <c r="AH89" s="673">
        <v>0</v>
      </c>
      <c r="AI89" s="673">
        <v>0</v>
      </c>
      <c r="AJ89" s="673">
        <v>0</v>
      </c>
      <c r="AK89" s="673">
        <v>0</v>
      </c>
      <c r="AL89" s="673">
        <v>0</v>
      </c>
      <c r="AM89" s="673">
        <v>0</v>
      </c>
      <c r="AN89" s="673">
        <v>0</v>
      </c>
      <c r="AO89" s="673">
        <v>0</v>
      </c>
      <c r="AP89" s="673">
        <v>0</v>
      </c>
      <c r="AQ89" s="673">
        <v>0</v>
      </c>
      <c r="AR89" s="673">
        <v>0</v>
      </c>
      <c r="AS89" s="673">
        <v>0</v>
      </c>
      <c r="AT89" s="673">
        <v>0</v>
      </c>
      <c r="AU89" s="673">
        <v>0</v>
      </c>
      <c r="AV89" s="673">
        <v>0</v>
      </c>
      <c r="AW89" s="673">
        <v>0</v>
      </c>
      <c r="AX89" s="673">
        <v>0</v>
      </c>
      <c r="AY89" s="673">
        <v>0</v>
      </c>
      <c r="AZ89" s="673">
        <v>0</v>
      </c>
      <c r="BA89" s="673">
        <v>0</v>
      </c>
      <c r="BB89" s="673">
        <v>0</v>
      </c>
    </row>
    <row r="90" spans="1:54" x14ac:dyDescent="0.25">
      <c r="A90">
        <v>371</v>
      </c>
      <c r="C90">
        <v>371</v>
      </c>
      <c r="D90" t="s">
        <v>343</v>
      </c>
      <c r="E90" t="s">
        <v>464</v>
      </c>
      <c r="F90" s="673">
        <v>0</v>
      </c>
      <c r="G90" s="673">
        <v>0</v>
      </c>
      <c r="H90" s="673">
        <v>0</v>
      </c>
      <c r="I90" s="673">
        <v>0</v>
      </c>
      <c r="J90" s="673">
        <v>0</v>
      </c>
      <c r="K90" s="673">
        <v>0</v>
      </c>
      <c r="L90" s="673">
        <v>0</v>
      </c>
      <c r="M90" s="673">
        <v>0</v>
      </c>
      <c r="N90" s="673">
        <v>0</v>
      </c>
      <c r="O90" s="673">
        <v>0</v>
      </c>
      <c r="P90" s="673">
        <v>0</v>
      </c>
      <c r="Q90" s="673">
        <v>0</v>
      </c>
      <c r="R90" s="673">
        <v>0</v>
      </c>
      <c r="S90" s="673">
        <v>0</v>
      </c>
      <c r="T90" s="673">
        <v>0</v>
      </c>
      <c r="U90" s="673">
        <v>0</v>
      </c>
      <c r="V90" s="673">
        <v>0</v>
      </c>
      <c r="W90" s="673">
        <v>0</v>
      </c>
      <c r="X90" s="673">
        <v>0</v>
      </c>
      <c r="Y90" s="673">
        <v>0</v>
      </c>
      <c r="Z90" s="673">
        <v>0</v>
      </c>
      <c r="AA90" s="673">
        <v>0</v>
      </c>
      <c r="AB90" s="673">
        <v>0</v>
      </c>
      <c r="AC90" s="673">
        <v>0</v>
      </c>
      <c r="AD90" s="673">
        <v>0</v>
      </c>
      <c r="AE90" s="673">
        <v>0</v>
      </c>
      <c r="AF90" s="673">
        <v>0</v>
      </c>
      <c r="AG90" s="673">
        <v>0</v>
      </c>
      <c r="AH90" s="673">
        <v>0</v>
      </c>
      <c r="AI90" s="673">
        <v>0</v>
      </c>
      <c r="AJ90" s="673">
        <v>0</v>
      </c>
      <c r="AK90" s="673">
        <v>0</v>
      </c>
      <c r="AL90" s="673">
        <v>0</v>
      </c>
      <c r="AM90" s="673">
        <v>0</v>
      </c>
      <c r="AN90" s="673">
        <v>0</v>
      </c>
      <c r="AO90" s="673">
        <v>0</v>
      </c>
      <c r="AP90" s="673">
        <v>0</v>
      </c>
      <c r="AQ90" s="673">
        <v>0</v>
      </c>
      <c r="AR90" s="673">
        <v>0</v>
      </c>
      <c r="AS90" s="673">
        <v>0</v>
      </c>
      <c r="AT90" s="673">
        <v>0</v>
      </c>
      <c r="AU90" s="673">
        <v>0</v>
      </c>
      <c r="AV90" s="673">
        <v>0</v>
      </c>
      <c r="AW90" s="673">
        <v>0</v>
      </c>
      <c r="AX90" s="673">
        <v>0</v>
      </c>
      <c r="AY90" s="673">
        <v>0</v>
      </c>
      <c r="AZ90" s="673">
        <v>0</v>
      </c>
      <c r="BA90" s="673">
        <v>0</v>
      </c>
      <c r="BB90" s="673">
        <v>0</v>
      </c>
    </row>
    <row r="91" spans="1:54" x14ac:dyDescent="0.25">
      <c r="A91">
        <v>373</v>
      </c>
      <c r="B91">
        <v>373</v>
      </c>
      <c r="C91">
        <v>373</v>
      </c>
      <c r="D91" t="s">
        <v>567</v>
      </c>
      <c r="E91" t="s">
        <v>465</v>
      </c>
      <c r="F91" s="673">
        <v>0</v>
      </c>
      <c r="G91" s="673">
        <v>0</v>
      </c>
      <c r="H91" s="673">
        <v>0</v>
      </c>
      <c r="I91" s="673">
        <v>0</v>
      </c>
      <c r="J91" s="673">
        <v>0</v>
      </c>
      <c r="K91" s="673">
        <v>0</v>
      </c>
      <c r="L91" s="673">
        <v>0</v>
      </c>
      <c r="M91" s="673">
        <v>0</v>
      </c>
      <c r="N91" s="673">
        <v>0</v>
      </c>
      <c r="O91" s="673">
        <v>0</v>
      </c>
      <c r="P91" s="673">
        <v>0</v>
      </c>
      <c r="Q91" s="673">
        <v>0</v>
      </c>
      <c r="R91" s="673">
        <v>0</v>
      </c>
      <c r="S91" s="673">
        <v>0</v>
      </c>
      <c r="T91" s="673">
        <v>0</v>
      </c>
      <c r="U91" s="673">
        <v>0</v>
      </c>
      <c r="V91" s="673">
        <v>0</v>
      </c>
      <c r="W91" s="673">
        <v>0</v>
      </c>
      <c r="X91" s="673">
        <v>0</v>
      </c>
      <c r="Y91" s="673">
        <v>0</v>
      </c>
      <c r="Z91" s="673">
        <v>0</v>
      </c>
      <c r="AA91" s="673">
        <v>0</v>
      </c>
      <c r="AB91" s="673">
        <v>0</v>
      </c>
      <c r="AC91" s="673">
        <v>0</v>
      </c>
      <c r="AD91" s="673">
        <v>0</v>
      </c>
      <c r="AE91" s="673">
        <v>0</v>
      </c>
      <c r="AF91" s="673">
        <v>0</v>
      </c>
      <c r="AG91" s="673">
        <v>0</v>
      </c>
      <c r="AH91" s="673">
        <v>0</v>
      </c>
      <c r="AI91" s="673">
        <v>0</v>
      </c>
      <c r="AJ91" s="673">
        <v>0</v>
      </c>
      <c r="AK91" s="673">
        <v>287988</v>
      </c>
      <c r="AL91" s="673">
        <v>0</v>
      </c>
      <c r="AM91" s="673">
        <v>0</v>
      </c>
      <c r="AN91" s="673">
        <v>0</v>
      </c>
      <c r="AO91" s="673">
        <v>0</v>
      </c>
      <c r="AP91" s="673">
        <v>0</v>
      </c>
      <c r="AQ91" s="673">
        <v>0</v>
      </c>
      <c r="AR91" s="673">
        <v>0</v>
      </c>
      <c r="AS91" s="673">
        <v>0</v>
      </c>
      <c r="AT91" s="673">
        <v>0</v>
      </c>
      <c r="AU91" s="673">
        <v>0</v>
      </c>
      <c r="AV91" s="673">
        <v>0</v>
      </c>
      <c r="AW91" s="673">
        <v>0</v>
      </c>
      <c r="AX91" s="673">
        <v>0</v>
      </c>
      <c r="AY91" s="673">
        <v>0</v>
      </c>
      <c r="AZ91" s="673">
        <v>0</v>
      </c>
      <c r="BA91" s="673">
        <v>0</v>
      </c>
      <c r="BB91" s="673">
        <v>0</v>
      </c>
    </row>
    <row r="92" spans="1:54" x14ac:dyDescent="0.25">
      <c r="A92">
        <v>375</v>
      </c>
      <c r="B92">
        <v>375</v>
      </c>
      <c r="C92">
        <v>375</v>
      </c>
      <c r="D92" t="s">
        <v>302</v>
      </c>
      <c r="E92" t="s">
        <v>466</v>
      </c>
      <c r="F92" s="673">
        <v>1694132</v>
      </c>
      <c r="G92" s="673">
        <v>5106273</v>
      </c>
      <c r="H92" s="673">
        <v>9450362</v>
      </c>
      <c r="I92" s="673">
        <v>7962333</v>
      </c>
      <c r="J92" s="673">
        <v>69374003</v>
      </c>
      <c r="K92" s="673">
        <v>10658726</v>
      </c>
      <c r="L92" s="673">
        <v>100413843</v>
      </c>
      <c r="M92" s="673">
        <v>3356705</v>
      </c>
      <c r="N92" s="673">
        <v>0</v>
      </c>
      <c r="O92" s="673">
        <v>2311805</v>
      </c>
      <c r="P92" s="673">
        <v>3402445</v>
      </c>
      <c r="Q92" s="673">
        <v>113417</v>
      </c>
      <c r="R92" s="673">
        <v>1369311</v>
      </c>
      <c r="S92" s="673">
        <v>23818</v>
      </c>
      <c r="T92" s="673">
        <v>0</v>
      </c>
      <c r="U92" s="673">
        <v>317297</v>
      </c>
      <c r="V92" s="673">
        <v>10773421</v>
      </c>
      <c r="W92" s="673">
        <v>2606652</v>
      </c>
      <c r="X92" s="673">
        <v>830339</v>
      </c>
      <c r="Y92" s="673">
        <v>2816180</v>
      </c>
      <c r="Z92" s="673">
        <v>3547018</v>
      </c>
      <c r="AA92" s="673">
        <v>979217</v>
      </c>
      <c r="AB92" s="673">
        <v>2178731</v>
      </c>
      <c r="AC92" s="673">
        <v>1505145</v>
      </c>
      <c r="AD92" s="673">
        <v>7885750</v>
      </c>
      <c r="AE92" s="673">
        <v>1796937</v>
      </c>
      <c r="AF92" s="673">
        <v>675466</v>
      </c>
      <c r="AG92" s="673">
        <v>35378241</v>
      </c>
      <c r="AH92" s="673">
        <v>9495342</v>
      </c>
      <c r="AI92" s="673">
        <v>14163889</v>
      </c>
      <c r="AJ92" s="673">
        <v>24425384</v>
      </c>
      <c r="AK92" s="673">
        <v>356473</v>
      </c>
      <c r="AL92" s="673">
        <v>8703509</v>
      </c>
      <c r="AM92" s="673">
        <v>410648</v>
      </c>
      <c r="AN92" s="673">
        <v>1712258</v>
      </c>
      <c r="AO92" s="673">
        <v>28130205</v>
      </c>
      <c r="AP92" s="673">
        <v>3070205</v>
      </c>
      <c r="AQ92" s="673">
        <v>5856389</v>
      </c>
      <c r="AR92" s="673">
        <v>2038772</v>
      </c>
      <c r="AS92" s="673">
        <v>1064490</v>
      </c>
      <c r="AT92" s="673">
        <v>-654018</v>
      </c>
      <c r="AU92" s="673">
        <v>122795</v>
      </c>
      <c r="AV92" s="673">
        <v>189525</v>
      </c>
      <c r="AW92" s="673">
        <v>11759214</v>
      </c>
      <c r="AX92" s="673">
        <v>0</v>
      </c>
      <c r="AY92" s="673">
        <v>40374</v>
      </c>
      <c r="AZ92" s="673">
        <v>27260</v>
      </c>
      <c r="BA92" s="673">
        <v>3441829</v>
      </c>
      <c r="BB92" s="673">
        <v>912049</v>
      </c>
    </row>
    <row r="93" spans="1:54" x14ac:dyDescent="0.25">
      <c r="A93">
        <v>376</v>
      </c>
      <c r="B93">
        <v>376</v>
      </c>
      <c r="C93">
        <v>376</v>
      </c>
      <c r="D93" t="s">
        <v>131</v>
      </c>
      <c r="E93" t="s">
        <v>467</v>
      </c>
      <c r="F93" s="673">
        <v>0</v>
      </c>
      <c r="G93" s="673">
        <v>0</v>
      </c>
      <c r="H93" s="673">
        <v>0</v>
      </c>
      <c r="I93" s="673">
        <v>0</v>
      </c>
      <c r="J93" s="673">
        <v>0</v>
      </c>
      <c r="K93" s="673">
        <v>0</v>
      </c>
      <c r="L93" s="673">
        <v>0</v>
      </c>
      <c r="M93" s="673">
        <v>0</v>
      </c>
      <c r="N93" s="673">
        <v>0</v>
      </c>
      <c r="O93" s="673">
        <v>0</v>
      </c>
      <c r="P93" s="673">
        <v>0</v>
      </c>
      <c r="Q93" s="673">
        <v>0</v>
      </c>
      <c r="R93" s="673">
        <v>0</v>
      </c>
      <c r="S93" s="673">
        <v>0</v>
      </c>
      <c r="T93" s="673">
        <v>0</v>
      </c>
      <c r="U93" s="673">
        <v>0</v>
      </c>
      <c r="V93" s="673">
        <v>0</v>
      </c>
      <c r="W93" s="673">
        <v>0</v>
      </c>
      <c r="X93" s="673">
        <v>0</v>
      </c>
      <c r="Y93" s="673">
        <v>0</v>
      </c>
      <c r="Z93" s="673">
        <v>0</v>
      </c>
      <c r="AA93" s="673">
        <v>0</v>
      </c>
      <c r="AB93" s="673">
        <v>0</v>
      </c>
      <c r="AC93" s="673">
        <v>0</v>
      </c>
      <c r="AD93" s="673">
        <v>0</v>
      </c>
      <c r="AE93" s="673">
        <v>0</v>
      </c>
      <c r="AF93" s="673">
        <v>0</v>
      </c>
      <c r="AG93" s="673">
        <v>0</v>
      </c>
      <c r="AH93" s="673">
        <v>0</v>
      </c>
      <c r="AI93" s="673">
        <v>0</v>
      </c>
      <c r="AJ93" s="673">
        <v>0</v>
      </c>
      <c r="AK93" s="673">
        <v>0</v>
      </c>
      <c r="AL93" s="673">
        <v>0</v>
      </c>
      <c r="AM93" s="673">
        <v>0</v>
      </c>
      <c r="AN93" s="673">
        <v>0</v>
      </c>
      <c r="AO93" s="673">
        <v>0</v>
      </c>
      <c r="AP93" s="673">
        <v>0</v>
      </c>
      <c r="AQ93" s="673">
        <v>0</v>
      </c>
      <c r="AR93" s="673">
        <v>0</v>
      </c>
      <c r="AS93" s="673">
        <v>0</v>
      </c>
      <c r="AT93" s="673">
        <v>0</v>
      </c>
      <c r="AU93" s="673">
        <v>0</v>
      </c>
      <c r="AV93" s="673">
        <v>0</v>
      </c>
      <c r="AW93" s="673">
        <v>0</v>
      </c>
      <c r="AX93" s="673">
        <v>0</v>
      </c>
      <c r="AY93" s="673">
        <v>0</v>
      </c>
      <c r="AZ93" s="673">
        <v>0</v>
      </c>
      <c r="BA93" s="673">
        <v>0</v>
      </c>
      <c r="BB93" s="673">
        <v>0</v>
      </c>
    </row>
    <row r="94" spans="1:54" x14ac:dyDescent="0.25">
      <c r="A94">
        <v>377</v>
      </c>
      <c r="B94">
        <v>377</v>
      </c>
      <c r="C94">
        <v>377</v>
      </c>
      <c r="D94" t="s">
        <v>132</v>
      </c>
      <c r="E94" t="s">
        <v>468</v>
      </c>
      <c r="F94" s="673">
        <v>0</v>
      </c>
      <c r="G94" s="673">
        <v>0</v>
      </c>
      <c r="H94" s="673">
        <v>0</v>
      </c>
      <c r="I94" s="673">
        <v>0</v>
      </c>
      <c r="J94" s="673">
        <v>-1355500</v>
      </c>
      <c r="K94" s="673">
        <v>-3287683</v>
      </c>
      <c r="L94" s="673">
        <v>-2496175</v>
      </c>
      <c r="M94" s="673">
        <v>-966353</v>
      </c>
      <c r="N94" s="673">
        <v>0</v>
      </c>
      <c r="O94" s="673">
        <v>-618701</v>
      </c>
      <c r="P94" s="673">
        <v>-1017034</v>
      </c>
      <c r="Q94" s="673">
        <v>0</v>
      </c>
      <c r="R94" s="673">
        <v>0</v>
      </c>
      <c r="S94" s="673">
        <v>0</v>
      </c>
      <c r="T94" s="673">
        <v>0</v>
      </c>
      <c r="U94" s="673">
        <v>1809118</v>
      </c>
      <c r="V94" s="673">
        <v>-5931891</v>
      </c>
      <c r="W94" s="673">
        <v>0</v>
      </c>
      <c r="X94" s="673">
        <v>0</v>
      </c>
      <c r="Y94" s="673">
        <v>0</v>
      </c>
      <c r="Z94" s="673">
        <v>0</v>
      </c>
      <c r="AA94" s="673">
        <v>-111678</v>
      </c>
      <c r="AB94" s="673">
        <v>0</v>
      </c>
      <c r="AC94" s="673">
        <v>0</v>
      </c>
      <c r="AD94" s="673">
        <v>0</v>
      </c>
      <c r="AE94" s="673">
        <v>0</v>
      </c>
      <c r="AF94" s="673">
        <v>0</v>
      </c>
      <c r="AG94" s="673">
        <v>-2425941</v>
      </c>
      <c r="AH94" s="673">
        <v>-6273424</v>
      </c>
      <c r="AI94" s="673">
        <v>0</v>
      </c>
      <c r="AJ94" s="673">
        <v>-9270276</v>
      </c>
      <c r="AK94" s="673">
        <v>0</v>
      </c>
      <c r="AL94" s="673">
        <v>-3743628</v>
      </c>
      <c r="AM94" s="673">
        <v>0</v>
      </c>
      <c r="AN94" s="673">
        <v>0</v>
      </c>
      <c r="AO94" s="673">
        <v>0</v>
      </c>
      <c r="AP94" s="673">
        <v>0</v>
      </c>
      <c r="AQ94" s="673">
        <v>0</v>
      </c>
      <c r="AR94" s="673">
        <v>0</v>
      </c>
      <c r="AS94" s="673">
        <v>0</v>
      </c>
      <c r="AT94" s="673">
        <v>0</v>
      </c>
      <c r="AU94" s="673">
        <v>0</v>
      </c>
      <c r="AV94" s="673">
        <v>0</v>
      </c>
      <c r="AW94" s="673">
        <v>-962179</v>
      </c>
      <c r="AX94" s="673">
        <v>0</v>
      </c>
      <c r="AY94" s="673">
        <v>0</v>
      </c>
      <c r="AZ94" s="673">
        <v>0</v>
      </c>
      <c r="BA94" s="673">
        <v>0</v>
      </c>
      <c r="BB94" s="673">
        <v>0</v>
      </c>
    </row>
    <row r="95" spans="1:54" x14ac:dyDescent="0.25">
      <c r="A95">
        <v>378</v>
      </c>
      <c r="B95">
        <v>378</v>
      </c>
      <c r="C95">
        <v>378</v>
      </c>
      <c r="D95" t="s">
        <v>968</v>
      </c>
      <c r="E95" t="s">
        <v>469</v>
      </c>
      <c r="F95" s="673">
        <v>0</v>
      </c>
      <c r="G95" s="673">
        <v>0</v>
      </c>
      <c r="H95" s="673">
        <v>0</v>
      </c>
      <c r="I95" s="673">
        <v>0</v>
      </c>
      <c r="J95" s="673">
        <v>0</v>
      </c>
      <c r="K95" s="673">
        <v>0</v>
      </c>
      <c r="L95" s="673">
        <v>0</v>
      </c>
      <c r="M95" s="673">
        <v>0</v>
      </c>
      <c r="N95" s="673">
        <v>0</v>
      </c>
      <c r="O95" s="673">
        <v>0</v>
      </c>
      <c r="P95" s="673">
        <v>0</v>
      </c>
      <c r="Q95" s="673">
        <v>0</v>
      </c>
      <c r="R95" s="673">
        <v>0</v>
      </c>
      <c r="S95" s="673">
        <v>0</v>
      </c>
      <c r="T95" s="673">
        <v>0</v>
      </c>
      <c r="U95" s="673">
        <v>0</v>
      </c>
      <c r="V95" s="673">
        <v>-11178116</v>
      </c>
      <c r="W95" s="673">
        <v>0</v>
      </c>
      <c r="X95" s="673">
        <v>0</v>
      </c>
      <c r="Y95" s="673">
        <v>0</v>
      </c>
      <c r="Z95" s="673">
        <v>0</v>
      </c>
      <c r="AA95" s="673">
        <v>0</v>
      </c>
      <c r="AB95" s="673">
        <v>0</v>
      </c>
      <c r="AC95" s="673">
        <v>0</v>
      </c>
      <c r="AD95" s="673">
        <v>0</v>
      </c>
      <c r="AE95" s="673">
        <v>0</v>
      </c>
      <c r="AF95" s="673">
        <v>0</v>
      </c>
      <c r="AG95" s="673">
        <v>0</v>
      </c>
      <c r="AH95" s="673">
        <v>0</v>
      </c>
      <c r="AI95" s="673">
        <v>0</v>
      </c>
      <c r="AJ95" s="673">
        <v>-8028190</v>
      </c>
      <c r="AK95" s="673">
        <v>0</v>
      </c>
      <c r="AL95" s="673">
        <v>0</v>
      </c>
      <c r="AM95" s="673">
        <v>0</v>
      </c>
      <c r="AN95" s="673">
        <v>0</v>
      </c>
      <c r="AO95" s="673">
        <v>0</v>
      </c>
      <c r="AP95" s="673">
        <v>0</v>
      </c>
      <c r="AQ95" s="673">
        <v>0</v>
      </c>
      <c r="AR95" s="673">
        <v>0</v>
      </c>
      <c r="AS95" s="673">
        <v>0</v>
      </c>
      <c r="AT95" s="673">
        <v>0</v>
      </c>
      <c r="AU95" s="673">
        <v>0</v>
      </c>
      <c r="AV95" s="673">
        <v>0</v>
      </c>
      <c r="AW95" s="673">
        <v>0</v>
      </c>
      <c r="AX95" s="673">
        <v>0</v>
      </c>
      <c r="AY95" s="673">
        <v>0</v>
      </c>
      <c r="AZ95" s="673">
        <v>0</v>
      </c>
      <c r="BA95" s="673">
        <v>0</v>
      </c>
      <c r="BB95" s="673">
        <v>0</v>
      </c>
    </row>
    <row r="96" spans="1:54" x14ac:dyDescent="0.25">
      <c r="A96">
        <v>379</v>
      </c>
      <c r="B96">
        <v>379</v>
      </c>
      <c r="C96">
        <v>379</v>
      </c>
      <c r="D96" t="s">
        <v>141</v>
      </c>
      <c r="E96" t="s">
        <v>470</v>
      </c>
      <c r="F96" s="673">
        <v>0</v>
      </c>
      <c r="G96" s="673">
        <v>0</v>
      </c>
      <c r="H96" s="673">
        <v>0</v>
      </c>
      <c r="I96" s="673">
        <v>0</v>
      </c>
      <c r="J96" s="673">
        <v>0</v>
      </c>
      <c r="K96" s="673">
        <v>0</v>
      </c>
      <c r="L96" s="673">
        <v>0</v>
      </c>
      <c r="M96" s="673">
        <v>0</v>
      </c>
      <c r="N96" s="673">
        <v>0</v>
      </c>
      <c r="O96" s="673">
        <v>0</v>
      </c>
      <c r="P96" s="673">
        <v>0</v>
      </c>
      <c r="Q96" s="673">
        <v>0</v>
      </c>
      <c r="R96" s="673">
        <v>0</v>
      </c>
      <c r="S96" s="673">
        <v>0</v>
      </c>
      <c r="T96" s="673">
        <v>0</v>
      </c>
      <c r="U96" s="673">
        <v>0</v>
      </c>
      <c r="V96" s="673">
        <v>0</v>
      </c>
      <c r="W96" s="673">
        <v>0</v>
      </c>
      <c r="X96" s="673">
        <v>0</v>
      </c>
      <c r="Y96" s="673">
        <v>0</v>
      </c>
      <c r="Z96" s="673">
        <v>0</v>
      </c>
      <c r="AA96" s="673">
        <v>0</v>
      </c>
      <c r="AB96" s="673">
        <v>0</v>
      </c>
      <c r="AC96" s="673">
        <v>0</v>
      </c>
      <c r="AD96" s="673">
        <v>0</v>
      </c>
      <c r="AE96" s="673">
        <v>0</v>
      </c>
      <c r="AF96" s="673">
        <v>0</v>
      </c>
      <c r="AG96" s="673">
        <v>0</v>
      </c>
      <c r="AH96" s="673">
        <v>0</v>
      </c>
      <c r="AI96" s="673">
        <v>0</v>
      </c>
      <c r="AJ96" s="673">
        <v>0</v>
      </c>
      <c r="AK96" s="673">
        <v>518032</v>
      </c>
      <c r="AL96" s="673">
        <v>0</v>
      </c>
      <c r="AM96" s="673">
        <v>0</v>
      </c>
      <c r="AN96" s="673">
        <v>0</v>
      </c>
      <c r="AO96" s="673">
        <v>0</v>
      </c>
      <c r="AP96" s="673">
        <v>0</v>
      </c>
      <c r="AQ96" s="673">
        <v>0</v>
      </c>
      <c r="AR96" s="673">
        <v>0</v>
      </c>
      <c r="AS96" s="673">
        <v>0</v>
      </c>
      <c r="AT96" s="673">
        <v>0</v>
      </c>
      <c r="AU96" s="673">
        <v>0</v>
      </c>
      <c r="AV96" s="673">
        <v>0</v>
      </c>
      <c r="AW96" s="673">
        <v>0</v>
      </c>
      <c r="AX96" s="673">
        <v>0</v>
      </c>
      <c r="AY96" s="673">
        <v>0</v>
      </c>
      <c r="AZ96" s="673">
        <v>0</v>
      </c>
      <c r="BA96" s="673">
        <v>0</v>
      </c>
      <c r="BB96" s="673">
        <v>0</v>
      </c>
    </row>
    <row r="97" spans="1:54" x14ac:dyDescent="0.25">
      <c r="A97">
        <v>380</v>
      </c>
      <c r="B97">
        <v>380</v>
      </c>
      <c r="C97">
        <v>380</v>
      </c>
      <c r="D97" t="s">
        <v>144</v>
      </c>
      <c r="E97" t="s">
        <v>471</v>
      </c>
      <c r="F97" s="673">
        <v>0</v>
      </c>
      <c r="G97" s="673">
        <v>0</v>
      </c>
      <c r="H97" s="673">
        <v>0</v>
      </c>
      <c r="I97" s="673">
        <v>0</v>
      </c>
      <c r="J97" s="673">
        <v>0</v>
      </c>
      <c r="K97" s="673">
        <v>0</v>
      </c>
      <c r="L97" s="673">
        <v>0</v>
      </c>
      <c r="M97" s="673">
        <v>0</v>
      </c>
      <c r="N97" s="673">
        <v>0</v>
      </c>
      <c r="O97" s="673">
        <v>0</v>
      </c>
      <c r="P97" s="673">
        <v>0</v>
      </c>
      <c r="Q97" s="673">
        <v>0</v>
      </c>
      <c r="R97" s="673">
        <v>0</v>
      </c>
      <c r="S97" s="673">
        <v>0</v>
      </c>
      <c r="T97" s="673">
        <v>0</v>
      </c>
      <c r="U97" s="673">
        <v>0</v>
      </c>
      <c r="V97" s="673">
        <v>0</v>
      </c>
      <c r="W97" s="673">
        <v>0</v>
      </c>
      <c r="X97" s="673">
        <v>0</v>
      </c>
      <c r="Y97" s="673">
        <v>0</v>
      </c>
      <c r="Z97" s="673">
        <v>0</v>
      </c>
      <c r="AA97" s="673">
        <v>0</v>
      </c>
      <c r="AB97" s="673">
        <v>0</v>
      </c>
      <c r="AC97" s="673">
        <v>0</v>
      </c>
      <c r="AD97" s="673">
        <v>0</v>
      </c>
      <c r="AE97" s="673">
        <v>0</v>
      </c>
      <c r="AF97" s="673">
        <v>0</v>
      </c>
      <c r="AG97" s="673">
        <v>0</v>
      </c>
      <c r="AH97" s="673">
        <v>0</v>
      </c>
      <c r="AI97" s="673">
        <v>0</v>
      </c>
      <c r="AJ97" s="673">
        <v>0</v>
      </c>
      <c r="AK97" s="673">
        <v>2211</v>
      </c>
      <c r="AL97" s="673">
        <v>0</v>
      </c>
      <c r="AM97" s="673">
        <v>0</v>
      </c>
      <c r="AN97" s="673">
        <v>0</v>
      </c>
      <c r="AO97" s="673">
        <v>0</v>
      </c>
      <c r="AP97" s="673">
        <v>0</v>
      </c>
      <c r="AQ97" s="673">
        <v>0</v>
      </c>
      <c r="AR97" s="673">
        <v>0</v>
      </c>
      <c r="AS97" s="673">
        <v>0</v>
      </c>
      <c r="AT97" s="673">
        <v>0</v>
      </c>
      <c r="AU97" s="673">
        <v>0</v>
      </c>
      <c r="AV97" s="673">
        <v>0</v>
      </c>
      <c r="AW97" s="673">
        <v>0</v>
      </c>
      <c r="AX97" s="673">
        <v>0</v>
      </c>
      <c r="AY97" s="673">
        <v>0</v>
      </c>
      <c r="AZ97" s="673">
        <v>0</v>
      </c>
      <c r="BA97" s="673">
        <v>0</v>
      </c>
      <c r="BB97" s="673">
        <v>0</v>
      </c>
    </row>
    <row r="98" spans="1:54" x14ac:dyDescent="0.25">
      <c r="A98">
        <v>381</v>
      </c>
      <c r="B98">
        <v>381</v>
      </c>
      <c r="C98">
        <v>381</v>
      </c>
      <c r="D98" t="s">
        <v>136</v>
      </c>
      <c r="E98" t="s">
        <v>472</v>
      </c>
      <c r="F98" s="673">
        <v>15600077</v>
      </c>
      <c r="G98" s="673">
        <v>24274381</v>
      </c>
      <c r="H98" s="673">
        <v>41670898</v>
      </c>
      <c r="I98" s="673">
        <v>12562262</v>
      </c>
      <c r="J98" s="673">
        <v>525165697</v>
      </c>
      <c r="K98" s="673">
        <v>163040608</v>
      </c>
      <c r="L98" s="673">
        <v>862010839</v>
      </c>
      <c r="M98" s="673">
        <v>42499210</v>
      </c>
      <c r="N98" s="673">
        <v>0</v>
      </c>
      <c r="O98" s="673">
        <v>32927445</v>
      </c>
      <c r="P98" s="673">
        <v>31960051</v>
      </c>
      <c r="Q98" s="673">
        <v>4362207</v>
      </c>
      <c r="R98" s="673">
        <v>4441698</v>
      </c>
      <c r="S98" s="673">
        <v>5294448</v>
      </c>
      <c r="T98" s="673">
        <v>24085003</v>
      </c>
      <c r="U98" s="673">
        <v>1998935</v>
      </c>
      <c r="V98" s="673">
        <v>281112904</v>
      </c>
      <c r="W98" s="673">
        <v>23494089</v>
      </c>
      <c r="X98" s="673">
        <v>2292308</v>
      </c>
      <c r="Y98" s="673">
        <v>14458049</v>
      </c>
      <c r="Z98" s="673">
        <v>48117867</v>
      </c>
      <c r="AA98" s="673">
        <v>7823368</v>
      </c>
      <c r="AB98" s="673">
        <v>26673345</v>
      </c>
      <c r="AC98" s="673">
        <v>2921450</v>
      </c>
      <c r="AD98" s="673">
        <v>117362322</v>
      </c>
      <c r="AE98" s="673">
        <v>13793881</v>
      </c>
      <c r="AF98" s="673">
        <v>3640602</v>
      </c>
      <c r="AG98" s="673">
        <v>231916114</v>
      </c>
      <c r="AH98" s="673">
        <v>353431308</v>
      </c>
      <c r="AI98" s="673">
        <v>132513656</v>
      </c>
      <c r="AJ98" s="673">
        <v>791724350</v>
      </c>
      <c r="AK98" s="673">
        <v>517257</v>
      </c>
      <c r="AL98" s="673">
        <v>53864658</v>
      </c>
      <c r="AM98" s="673">
        <v>7300537</v>
      </c>
      <c r="AN98" s="673">
        <v>2030521</v>
      </c>
      <c r="AO98" s="673">
        <v>85348374</v>
      </c>
      <c r="AP98" s="673">
        <v>15052040</v>
      </c>
      <c r="AQ98" s="673">
        <v>29541513</v>
      </c>
      <c r="AR98" s="673">
        <v>5494089</v>
      </c>
      <c r="AS98" s="673">
        <v>6983490</v>
      </c>
      <c r="AT98" s="673">
        <v>11453147</v>
      </c>
      <c r="AU98" s="673">
        <v>1198942</v>
      </c>
      <c r="AV98" s="673">
        <v>3843248</v>
      </c>
      <c r="AW98" s="673">
        <v>51941725</v>
      </c>
      <c r="AX98" s="673">
        <v>11082137</v>
      </c>
      <c r="AY98" s="673">
        <v>121676</v>
      </c>
      <c r="AZ98" s="673">
        <v>130067</v>
      </c>
      <c r="BA98" s="673">
        <v>10365253</v>
      </c>
      <c r="BB98" s="673">
        <v>23329273</v>
      </c>
    </row>
    <row r="99" spans="1:54" x14ac:dyDescent="0.25">
      <c r="A99">
        <v>382</v>
      </c>
      <c r="B99">
        <v>382</v>
      </c>
      <c r="C99">
        <v>382</v>
      </c>
      <c r="D99" t="s">
        <v>969</v>
      </c>
      <c r="E99" t="s">
        <v>473</v>
      </c>
      <c r="F99" s="673">
        <v>0</v>
      </c>
      <c r="G99" s="673">
        <v>0</v>
      </c>
      <c r="H99" s="673">
        <v>0</v>
      </c>
      <c r="I99" s="673">
        <v>0</v>
      </c>
      <c r="J99" s="673">
        <v>0</v>
      </c>
      <c r="K99" s="673">
        <v>0</v>
      </c>
      <c r="L99" s="673">
        <v>0</v>
      </c>
      <c r="M99" s="673">
        <v>0</v>
      </c>
      <c r="N99" s="673">
        <v>0</v>
      </c>
      <c r="O99" s="673">
        <v>0</v>
      </c>
      <c r="P99" s="673">
        <v>0</v>
      </c>
      <c r="Q99" s="673">
        <v>0</v>
      </c>
      <c r="R99" s="673">
        <v>0</v>
      </c>
      <c r="S99" s="673">
        <v>0</v>
      </c>
      <c r="T99" s="673">
        <v>0</v>
      </c>
      <c r="U99" s="673">
        <v>0</v>
      </c>
      <c r="V99" s="673">
        <v>221812189</v>
      </c>
      <c r="W99" s="673">
        <v>0</v>
      </c>
      <c r="X99" s="673">
        <v>0</v>
      </c>
      <c r="Y99" s="673">
        <v>0</v>
      </c>
      <c r="Z99" s="673">
        <v>0</v>
      </c>
      <c r="AA99" s="673">
        <v>0</v>
      </c>
      <c r="AB99" s="673">
        <v>0</v>
      </c>
      <c r="AC99" s="673">
        <v>0</v>
      </c>
      <c r="AD99" s="673">
        <v>0</v>
      </c>
      <c r="AE99" s="673">
        <v>0</v>
      </c>
      <c r="AF99" s="673">
        <v>0</v>
      </c>
      <c r="AG99" s="673">
        <v>0</v>
      </c>
      <c r="AH99" s="673">
        <v>0</v>
      </c>
      <c r="AI99" s="673">
        <v>0</v>
      </c>
      <c r="AJ99" s="673">
        <v>544773998</v>
      </c>
      <c r="AK99" s="673">
        <v>0</v>
      </c>
      <c r="AL99" s="673">
        <v>0</v>
      </c>
      <c r="AM99" s="673">
        <v>0</v>
      </c>
      <c r="AN99" s="673">
        <v>0</v>
      </c>
      <c r="AO99" s="673">
        <v>0</v>
      </c>
      <c r="AP99" s="673">
        <v>0</v>
      </c>
      <c r="AQ99" s="673">
        <v>0</v>
      </c>
      <c r="AR99" s="673">
        <v>0</v>
      </c>
      <c r="AS99" s="673">
        <v>0</v>
      </c>
      <c r="AT99" s="673">
        <v>0</v>
      </c>
      <c r="AU99" s="673">
        <v>0</v>
      </c>
      <c r="AV99" s="673">
        <v>0</v>
      </c>
      <c r="AW99" s="673">
        <v>0</v>
      </c>
      <c r="AX99" s="673">
        <v>0</v>
      </c>
      <c r="AY99" s="673">
        <v>0</v>
      </c>
      <c r="AZ99" s="673">
        <v>0</v>
      </c>
      <c r="BA99" s="673">
        <v>0</v>
      </c>
      <c r="BB99" s="673">
        <v>0</v>
      </c>
    </row>
    <row r="100" spans="1:54" x14ac:dyDescent="0.25">
      <c r="A100">
        <v>383</v>
      </c>
      <c r="B100">
        <v>383</v>
      </c>
      <c r="C100">
        <v>383</v>
      </c>
      <c r="D100" t="s">
        <v>301</v>
      </c>
      <c r="E100" t="s">
        <v>474</v>
      </c>
      <c r="F100" s="673">
        <v>0</v>
      </c>
      <c r="G100" s="673">
        <v>0</v>
      </c>
      <c r="H100" s="673">
        <v>0</v>
      </c>
      <c r="I100" s="673">
        <v>0</v>
      </c>
      <c r="J100" s="673">
        <v>0</v>
      </c>
      <c r="K100" s="673">
        <v>0</v>
      </c>
      <c r="L100" s="673">
        <v>214059</v>
      </c>
      <c r="M100" s="673">
        <v>0</v>
      </c>
      <c r="N100" s="673">
        <v>0</v>
      </c>
      <c r="O100" s="673">
        <v>0</v>
      </c>
      <c r="P100" s="673">
        <v>0</v>
      </c>
      <c r="Q100" s="673">
        <v>0</v>
      </c>
      <c r="R100" s="673">
        <v>0</v>
      </c>
      <c r="S100" s="673">
        <v>0</v>
      </c>
      <c r="T100" s="673">
        <v>0</v>
      </c>
      <c r="U100" s="673">
        <v>0</v>
      </c>
      <c r="V100" s="673">
        <v>214721</v>
      </c>
      <c r="W100" s="673">
        <v>117970</v>
      </c>
      <c r="X100" s="673">
        <v>0</v>
      </c>
      <c r="Y100" s="673">
        <v>11311</v>
      </c>
      <c r="Z100" s="673">
        <v>0</v>
      </c>
      <c r="AA100" s="673">
        <v>26346</v>
      </c>
      <c r="AB100" s="673">
        <v>0</v>
      </c>
      <c r="AC100" s="673">
        <v>0</v>
      </c>
      <c r="AD100" s="673">
        <v>0</v>
      </c>
      <c r="AE100" s="673">
        <v>47463</v>
      </c>
      <c r="AF100" s="673">
        <v>93754</v>
      </c>
      <c r="AG100" s="673">
        <v>0</v>
      </c>
      <c r="AH100" s="673">
        <v>0</v>
      </c>
      <c r="AI100" s="673">
        <v>4408</v>
      </c>
      <c r="AJ100" s="673">
        <v>0</v>
      </c>
      <c r="AK100" s="673">
        <v>0</v>
      </c>
      <c r="AL100" s="673">
        <v>0</v>
      </c>
      <c r="AM100" s="673">
        <v>0</v>
      </c>
      <c r="AN100" s="673">
        <v>968</v>
      </c>
      <c r="AO100" s="673">
        <v>0</v>
      </c>
      <c r="AP100" s="673">
        <v>0</v>
      </c>
      <c r="AQ100" s="673">
        <v>0</v>
      </c>
      <c r="AR100" s="673">
        <v>0</v>
      </c>
      <c r="AS100" s="673">
        <v>0</v>
      </c>
      <c r="AT100" s="673">
        <v>0</v>
      </c>
      <c r="AU100" s="673">
        <v>0</v>
      </c>
      <c r="AV100" s="673">
        <v>0</v>
      </c>
      <c r="AW100" s="673">
        <v>0</v>
      </c>
      <c r="AX100" s="673">
        <v>0</v>
      </c>
      <c r="AY100" s="673">
        <v>0</v>
      </c>
      <c r="AZ100" s="673">
        <v>0</v>
      </c>
      <c r="BA100" s="673">
        <v>13660</v>
      </c>
      <c r="BB100" s="673">
        <v>0</v>
      </c>
    </row>
    <row r="101" spans="1:54" x14ac:dyDescent="0.25">
      <c r="A101">
        <v>384</v>
      </c>
      <c r="B101">
        <v>384</v>
      </c>
      <c r="C101">
        <v>384</v>
      </c>
      <c r="D101" t="s">
        <v>147</v>
      </c>
      <c r="E101" t="s">
        <v>475</v>
      </c>
      <c r="F101" s="673">
        <v>0</v>
      </c>
      <c r="G101" s="673">
        <v>0</v>
      </c>
      <c r="H101" s="673">
        <v>0</v>
      </c>
      <c r="I101" s="673">
        <v>0</v>
      </c>
      <c r="J101" s="673">
        <v>0</v>
      </c>
      <c r="K101" s="673">
        <v>0</v>
      </c>
      <c r="L101" s="673">
        <v>0</v>
      </c>
      <c r="M101" s="673">
        <v>0</v>
      </c>
      <c r="N101" s="673">
        <v>0</v>
      </c>
      <c r="O101" s="673">
        <v>0</v>
      </c>
      <c r="P101" s="673">
        <v>0</v>
      </c>
      <c r="Q101" s="673">
        <v>0</v>
      </c>
      <c r="R101" s="673">
        <v>0</v>
      </c>
      <c r="S101" s="673">
        <v>0</v>
      </c>
      <c r="T101" s="673">
        <v>0</v>
      </c>
      <c r="U101" s="673">
        <v>0</v>
      </c>
      <c r="V101" s="673">
        <v>179760</v>
      </c>
      <c r="W101" s="673">
        <v>0</v>
      </c>
      <c r="X101" s="673">
        <v>0</v>
      </c>
      <c r="Y101" s="673">
        <v>0</v>
      </c>
      <c r="Z101" s="673">
        <v>0</v>
      </c>
      <c r="AA101" s="673">
        <v>0</v>
      </c>
      <c r="AB101" s="673">
        <v>0</v>
      </c>
      <c r="AC101" s="673">
        <v>0</v>
      </c>
      <c r="AD101" s="673">
        <v>0</v>
      </c>
      <c r="AE101" s="673">
        <v>0</v>
      </c>
      <c r="AF101" s="673">
        <v>0</v>
      </c>
      <c r="AG101" s="673">
        <v>0</v>
      </c>
      <c r="AH101" s="673">
        <v>0</v>
      </c>
      <c r="AI101" s="673">
        <v>0</v>
      </c>
      <c r="AJ101" s="673">
        <v>0</v>
      </c>
      <c r="AK101" s="673">
        <v>0</v>
      </c>
      <c r="AL101" s="673">
        <v>0</v>
      </c>
      <c r="AM101" s="673">
        <v>0</v>
      </c>
      <c r="AN101" s="673">
        <v>0</v>
      </c>
      <c r="AO101" s="673">
        <v>0</v>
      </c>
      <c r="AP101" s="673">
        <v>0</v>
      </c>
      <c r="AQ101" s="673">
        <v>0</v>
      </c>
      <c r="AR101" s="673">
        <v>0</v>
      </c>
      <c r="AS101" s="673">
        <v>0</v>
      </c>
      <c r="AT101" s="673">
        <v>0</v>
      </c>
      <c r="AU101" s="673">
        <v>0</v>
      </c>
      <c r="AV101" s="673">
        <v>0</v>
      </c>
      <c r="AW101" s="673">
        <v>0</v>
      </c>
      <c r="AX101" s="673">
        <v>0</v>
      </c>
      <c r="AY101" s="673">
        <v>0</v>
      </c>
      <c r="AZ101" s="673">
        <v>0</v>
      </c>
      <c r="BA101" s="673">
        <v>0</v>
      </c>
      <c r="BB101" s="673">
        <v>0</v>
      </c>
    </row>
    <row r="102" spans="1:54" x14ac:dyDescent="0.25">
      <c r="A102">
        <v>385</v>
      </c>
      <c r="B102">
        <v>385</v>
      </c>
      <c r="C102">
        <v>385</v>
      </c>
      <c r="D102" t="s">
        <v>138</v>
      </c>
      <c r="E102" t="s">
        <v>476</v>
      </c>
      <c r="F102" s="673">
        <v>0</v>
      </c>
      <c r="G102" s="673">
        <v>0</v>
      </c>
      <c r="H102" s="673">
        <v>0</v>
      </c>
      <c r="I102" s="673">
        <v>0</v>
      </c>
      <c r="J102" s="673">
        <v>0</v>
      </c>
      <c r="K102" s="673">
        <v>0</v>
      </c>
      <c r="L102" s="673">
        <v>0</v>
      </c>
      <c r="M102" s="673">
        <v>0</v>
      </c>
      <c r="N102" s="673">
        <v>0</v>
      </c>
      <c r="O102" s="673">
        <v>0</v>
      </c>
      <c r="P102" s="673">
        <v>0</v>
      </c>
      <c r="Q102" s="673">
        <v>0</v>
      </c>
      <c r="R102" s="673">
        <v>0</v>
      </c>
      <c r="S102" s="673">
        <v>0</v>
      </c>
      <c r="T102" s="673">
        <v>0</v>
      </c>
      <c r="U102" s="673">
        <v>0</v>
      </c>
      <c r="V102" s="673">
        <v>0</v>
      </c>
      <c r="W102" s="673">
        <v>0</v>
      </c>
      <c r="X102" s="673">
        <v>0</v>
      </c>
      <c r="Y102" s="673">
        <v>0</v>
      </c>
      <c r="Z102" s="673">
        <v>0</v>
      </c>
      <c r="AA102" s="673">
        <v>0</v>
      </c>
      <c r="AB102" s="673">
        <v>0</v>
      </c>
      <c r="AC102" s="673">
        <v>0</v>
      </c>
      <c r="AD102" s="673">
        <v>0</v>
      </c>
      <c r="AE102" s="673">
        <v>0</v>
      </c>
      <c r="AF102" s="673">
        <v>0</v>
      </c>
      <c r="AG102" s="673">
        <v>0</v>
      </c>
      <c r="AH102" s="673">
        <v>0</v>
      </c>
      <c r="AI102" s="673">
        <v>0</v>
      </c>
      <c r="AJ102" s="673">
        <v>0</v>
      </c>
      <c r="AK102" s="673">
        <v>525557</v>
      </c>
      <c r="AL102" s="673">
        <v>0</v>
      </c>
      <c r="AM102" s="673">
        <v>0</v>
      </c>
      <c r="AN102" s="673">
        <v>0</v>
      </c>
      <c r="AO102" s="673">
        <v>0</v>
      </c>
      <c r="AP102" s="673">
        <v>0</v>
      </c>
      <c r="AQ102" s="673">
        <v>0</v>
      </c>
      <c r="AR102" s="673">
        <v>0</v>
      </c>
      <c r="AS102" s="673">
        <v>0</v>
      </c>
      <c r="AT102" s="673">
        <v>0</v>
      </c>
      <c r="AU102" s="673">
        <v>0</v>
      </c>
      <c r="AV102" s="673">
        <v>0</v>
      </c>
      <c r="AW102" s="673">
        <v>0</v>
      </c>
      <c r="AX102" s="673">
        <v>0</v>
      </c>
      <c r="AY102" s="673">
        <v>0</v>
      </c>
      <c r="AZ102" s="673">
        <v>0</v>
      </c>
      <c r="BA102" s="673">
        <v>0</v>
      </c>
      <c r="BB102" s="673">
        <v>0</v>
      </c>
    </row>
    <row r="103" spans="1:54" x14ac:dyDescent="0.25">
      <c r="A103">
        <v>386</v>
      </c>
      <c r="B103">
        <v>386</v>
      </c>
      <c r="C103">
        <v>386</v>
      </c>
      <c r="D103" t="s">
        <v>274</v>
      </c>
      <c r="E103" t="s">
        <v>477</v>
      </c>
      <c r="F103" s="673">
        <v>0</v>
      </c>
      <c r="G103" s="673">
        <v>0</v>
      </c>
      <c r="H103" s="673">
        <v>0</v>
      </c>
      <c r="I103" s="673">
        <v>0</v>
      </c>
      <c r="J103" s="673">
        <v>0</v>
      </c>
      <c r="K103" s="673">
        <v>0</v>
      </c>
      <c r="L103" s="673">
        <v>0</v>
      </c>
      <c r="M103" s="673">
        <v>0</v>
      </c>
      <c r="N103" s="673">
        <v>0</v>
      </c>
      <c r="O103" s="673">
        <v>0</v>
      </c>
      <c r="P103" s="673">
        <v>0</v>
      </c>
      <c r="Q103" s="673">
        <v>0</v>
      </c>
      <c r="R103" s="673">
        <v>0</v>
      </c>
      <c r="S103" s="673">
        <v>0</v>
      </c>
      <c r="T103" s="673">
        <v>0</v>
      </c>
      <c r="U103" s="673">
        <v>0</v>
      </c>
      <c r="V103" s="673">
        <v>0</v>
      </c>
      <c r="W103" s="673">
        <v>0</v>
      </c>
      <c r="X103" s="673">
        <v>0</v>
      </c>
      <c r="Y103" s="673">
        <v>0</v>
      </c>
      <c r="Z103" s="673">
        <v>0</v>
      </c>
      <c r="AA103" s="673">
        <v>0</v>
      </c>
      <c r="AB103" s="673">
        <v>0</v>
      </c>
      <c r="AC103" s="673">
        <v>0</v>
      </c>
      <c r="AD103" s="673">
        <v>0</v>
      </c>
      <c r="AE103" s="673">
        <v>0</v>
      </c>
      <c r="AF103" s="673">
        <v>0</v>
      </c>
      <c r="AG103" s="673">
        <v>0</v>
      </c>
      <c r="AH103" s="673">
        <v>0</v>
      </c>
      <c r="AI103" s="673">
        <v>0</v>
      </c>
      <c r="AJ103" s="673">
        <v>0</v>
      </c>
      <c r="AK103" s="673">
        <v>0</v>
      </c>
      <c r="AL103" s="673">
        <v>0</v>
      </c>
      <c r="AM103" s="673">
        <v>0</v>
      </c>
      <c r="AN103" s="673">
        <v>0</v>
      </c>
      <c r="AO103" s="673">
        <v>0</v>
      </c>
      <c r="AP103" s="673">
        <v>0</v>
      </c>
      <c r="AQ103" s="673">
        <v>0</v>
      </c>
      <c r="AR103" s="673">
        <v>0</v>
      </c>
      <c r="AS103" s="673">
        <v>0</v>
      </c>
      <c r="AT103" s="673">
        <v>0</v>
      </c>
      <c r="AU103" s="673">
        <v>0</v>
      </c>
      <c r="AV103" s="673">
        <v>0</v>
      </c>
      <c r="AW103" s="673">
        <v>0</v>
      </c>
      <c r="AX103" s="673">
        <v>0</v>
      </c>
      <c r="AY103" s="673">
        <v>0</v>
      </c>
      <c r="AZ103" s="673">
        <v>0</v>
      </c>
      <c r="BA103" s="673">
        <v>0</v>
      </c>
      <c r="BB103" s="673">
        <v>0</v>
      </c>
    </row>
    <row r="104" spans="1:54" x14ac:dyDescent="0.25">
      <c r="A104">
        <v>387</v>
      </c>
      <c r="B104">
        <v>387</v>
      </c>
      <c r="C104">
        <v>387</v>
      </c>
      <c r="D104" t="s">
        <v>275</v>
      </c>
      <c r="E104" t="s">
        <v>478</v>
      </c>
      <c r="F104" s="673">
        <v>0</v>
      </c>
      <c r="G104" s="673">
        <v>0</v>
      </c>
      <c r="H104" s="673">
        <v>0</v>
      </c>
      <c r="I104" s="673">
        <v>0</v>
      </c>
      <c r="J104" s="673">
        <v>0</v>
      </c>
      <c r="K104" s="673">
        <v>0</v>
      </c>
      <c r="L104" s="673">
        <v>0</v>
      </c>
      <c r="M104" s="673">
        <v>0</v>
      </c>
      <c r="N104" s="673">
        <v>0</v>
      </c>
      <c r="O104" s="673">
        <v>0</v>
      </c>
      <c r="P104" s="673">
        <v>0</v>
      </c>
      <c r="Q104" s="673">
        <v>0</v>
      </c>
      <c r="R104" s="673">
        <v>0</v>
      </c>
      <c r="S104" s="673">
        <v>0</v>
      </c>
      <c r="T104" s="673">
        <v>0</v>
      </c>
      <c r="U104" s="673">
        <v>0</v>
      </c>
      <c r="V104" s="673">
        <v>0</v>
      </c>
      <c r="W104" s="673">
        <v>0</v>
      </c>
      <c r="X104" s="673">
        <v>0</v>
      </c>
      <c r="Y104" s="673">
        <v>0</v>
      </c>
      <c r="Z104" s="673">
        <v>0</v>
      </c>
      <c r="AA104" s="673">
        <v>0</v>
      </c>
      <c r="AB104" s="673">
        <v>0</v>
      </c>
      <c r="AC104" s="673">
        <v>0</v>
      </c>
      <c r="AD104" s="673">
        <v>0</v>
      </c>
      <c r="AE104" s="673">
        <v>0</v>
      </c>
      <c r="AF104" s="673">
        <v>0</v>
      </c>
      <c r="AG104" s="673">
        <v>0</v>
      </c>
      <c r="AH104" s="673">
        <v>0</v>
      </c>
      <c r="AI104" s="673">
        <v>0</v>
      </c>
      <c r="AJ104" s="673">
        <v>0</v>
      </c>
      <c r="AK104" s="673">
        <v>0</v>
      </c>
      <c r="AL104" s="673">
        <v>0</v>
      </c>
      <c r="AM104" s="673">
        <v>0</v>
      </c>
      <c r="AN104" s="673">
        <v>0</v>
      </c>
      <c r="AO104" s="673">
        <v>0</v>
      </c>
      <c r="AP104" s="673">
        <v>0</v>
      </c>
      <c r="AQ104" s="673">
        <v>0</v>
      </c>
      <c r="AR104" s="673">
        <v>0</v>
      </c>
      <c r="AS104" s="673">
        <v>0</v>
      </c>
      <c r="AT104" s="673">
        <v>0</v>
      </c>
      <c r="AU104" s="673">
        <v>0</v>
      </c>
      <c r="AV104" s="673">
        <v>0</v>
      </c>
      <c r="AW104" s="673">
        <v>0</v>
      </c>
      <c r="AX104" s="673">
        <v>0</v>
      </c>
      <c r="AY104" s="673">
        <v>0</v>
      </c>
      <c r="AZ104" s="673">
        <v>0</v>
      </c>
      <c r="BA104" s="673">
        <v>0</v>
      </c>
      <c r="BB104" s="673">
        <v>0</v>
      </c>
    </row>
    <row r="105" spans="1:54" x14ac:dyDescent="0.25">
      <c r="A105">
        <v>388</v>
      </c>
      <c r="B105">
        <v>388</v>
      </c>
      <c r="C105">
        <v>388</v>
      </c>
      <c r="D105" t="s">
        <v>269</v>
      </c>
      <c r="E105" t="s">
        <v>479</v>
      </c>
      <c r="F105" s="673">
        <v>0</v>
      </c>
      <c r="G105" s="673">
        <v>0</v>
      </c>
      <c r="H105" s="673">
        <v>0</v>
      </c>
      <c r="I105" s="673">
        <v>0</v>
      </c>
      <c r="J105" s="673">
        <v>0</v>
      </c>
      <c r="K105" s="673">
        <v>0</v>
      </c>
      <c r="L105" s="673">
        <v>0</v>
      </c>
      <c r="M105" s="673">
        <v>0</v>
      </c>
      <c r="N105" s="673">
        <v>0</v>
      </c>
      <c r="O105" s="673">
        <v>0</v>
      </c>
      <c r="P105" s="673">
        <v>0</v>
      </c>
      <c r="Q105" s="673">
        <v>0</v>
      </c>
      <c r="R105" s="673">
        <v>0</v>
      </c>
      <c r="S105" s="673">
        <v>0</v>
      </c>
      <c r="T105" s="673">
        <v>0</v>
      </c>
      <c r="U105" s="673">
        <v>0</v>
      </c>
      <c r="V105" s="673">
        <v>0</v>
      </c>
      <c r="W105" s="673">
        <v>0</v>
      </c>
      <c r="X105" s="673">
        <v>0</v>
      </c>
      <c r="Y105" s="673">
        <v>0</v>
      </c>
      <c r="Z105" s="673">
        <v>0</v>
      </c>
      <c r="AA105" s="673">
        <v>0</v>
      </c>
      <c r="AB105" s="673">
        <v>0</v>
      </c>
      <c r="AC105" s="673">
        <v>0</v>
      </c>
      <c r="AD105" s="673">
        <v>0</v>
      </c>
      <c r="AE105" s="673">
        <v>0</v>
      </c>
      <c r="AF105" s="673">
        <v>0</v>
      </c>
      <c r="AG105" s="673">
        <v>0</v>
      </c>
      <c r="AH105" s="673">
        <v>0</v>
      </c>
      <c r="AI105" s="673">
        <v>0</v>
      </c>
      <c r="AJ105" s="673">
        <v>0</v>
      </c>
      <c r="AK105" s="673">
        <v>71020</v>
      </c>
      <c r="AL105" s="673">
        <v>0</v>
      </c>
      <c r="AM105" s="673">
        <v>0</v>
      </c>
      <c r="AN105" s="673">
        <v>0</v>
      </c>
      <c r="AO105" s="673">
        <v>0</v>
      </c>
      <c r="AP105" s="673">
        <v>0</v>
      </c>
      <c r="AQ105" s="673">
        <v>0</v>
      </c>
      <c r="AR105" s="673">
        <v>0</v>
      </c>
      <c r="AS105" s="673">
        <v>0</v>
      </c>
      <c r="AT105" s="673">
        <v>0</v>
      </c>
      <c r="AU105" s="673">
        <v>0</v>
      </c>
      <c r="AV105" s="673">
        <v>0</v>
      </c>
      <c r="AW105" s="673">
        <v>0</v>
      </c>
      <c r="AX105" s="673">
        <v>0</v>
      </c>
      <c r="AY105" s="673">
        <v>0</v>
      </c>
      <c r="AZ105" s="673">
        <v>0</v>
      </c>
      <c r="BA105" s="673">
        <v>0</v>
      </c>
      <c r="BB105" s="673">
        <v>0</v>
      </c>
    </row>
    <row r="106" spans="1:54" x14ac:dyDescent="0.25">
      <c r="A106">
        <v>389</v>
      </c>
      <c r="B106">
        <v>389</v>
      </c>
      <c r="C106">
        <v>389</v>
      </c>
      <c r="D106" t="s">
        <v>276</v>
      </c>
      <c r="E106" t="s">
        <v>480</v>
      </c>
      <c r="F106" s="673">
        <v>0</v>
      </c>
      <c r="G106" s="673">
        <v>0</v>
      </c>
      <c r="H106" s="673">
        <v>0</v>
      </c>
      <c r="I106" s="673">
        <v>0</v>
      </c>
      <c r="J106" s="673">
        <v>0</v>
      </c>
      <c r="K106" s="673">
        <v>0</v>
      </c>
      <c r="L106" s="673">
        <v>0</v>
      </c>
      <c r="M106" s="673">
        <v>0</v>
      </c>
      <c r="N106" s="673">
        <v>0</v>
      </c>
      <c r="O106" s="673">
        <v>0</v>
      </c>
      <c r="P106" s="673">
        <v>0</v>
      </c>
      <c r="Q106" s="673">
        <v>0</v>
      </c>
      <c r="R106" s="673">
        <v>0</v>
      </c>
      <c r="S106" s="673">
        <v>0</v>
      </c>
      <c r="T106" s="673">
        <v>0</v>
      </c>
      <c r="U106" s="673">
        <v>0</v>
      </c>
      <c r="V106" s="673">
        <v>0</v>
      </c>
      <c r="W106" s="673">
        <v>0</v>
      </c>
      <c r="X106" s="673">
        <v>0</v>
      </c>
      <c r="Y106" s="673">
        <v>0</v>
      </c>
      <c r="Z106" s="673">
        <v>0</v>
      </c>
      <c r="AA106" s="673">
        <v>0</v>
      </c>
      <c r="AB106" s="673">
        <v>0</v>
      </c>
      <c r="AC106" s="673">
        <v>0</v>
      </c>
      <c r="AD106" s="673">
        <v>0</v>
      </c>
      <c r="AE106" s="673">
        <v>0</v>
      </c>
      <c r="AF106" s="673">
        <v>0</v>
      </c>
      <c r="AG106" s="673">
        <v>0</v>
      </c>
      <c r="AH106" s="673">
        <v>0</v>
      </c>
      <c r="AI106" s="673">
        <v>0</v>
      </c>
      <c r="AJ106" s="673">
        <v>0</v>
      </c>
      <c r="AK106" s="673">
        <v>0</v>
      </c>
      <c r="AL106" s="673">
        <v>0</v>
      </c>
      <c r="AM106" s="673">
        <v>0</v>
      </c>
      <c r="AN106" s="673">
        <v>0</v>
      </c>
      <c r="AO106" s="673">
        <v>0</v>
      </c>
      <c r="AP106" s="673">
        <v>0</v>
      </c>
      <c r="AQ106" s="673">
        <v>0</v>
      </c>
      <c r="AR106" s="673">
        <v>0</v>
      </c>
      <c r="AS106" s="673">
        <v>0</v>
      </c>
      <c r="AT106" s="673">
        <v>0</v>
      </c>
      <c r="AU106" s="673">
        <v>0</v>
      </c>
      <c r="AV106" s="673">
        <v>0</v>
      </c>
      <c r="AW106" s="673">
        <v>0</v>
      </c>
      <c r="AX106" s="673">
        <v>0</v>
      </c>
      <c r="AY106" s="673">
        <v>0</v>
      </c>
      <c r="AZ106" s="673">
        <v>0</v>
      </c>
      <c r="BA106" s="673">
        <v>0</v>
      </c>
      <c r="BB106" s="673">
        <v>0</v>
      </c>
    </row>
    <row r="107" spans="1:54" x14ac:dyDescent="0.25">
      <c r="A107">
        <v>391</v>
      </c>
      <c r="B107">
        <v>391</v>
      </c>
      <c r="C107">
        <v>391</v>
      </c>
      <c r="D107" t="s">
        <v>281</v>
      </c>
      <c r="E107" t="s">
        <v>481</v>
      </c>
      <c r="F107" s="673">
        <v>0</v>
      </c>
      <c r="G107" s="673">
        <v>0</v>
      </c>
      <c r="H107" s="673">
        <v>0</v>
      </c>
      <c r="I107" s="673">
        <v>0</v>
      </c>
      <c r="J107" s="673">
        <v>0</v>
      </c>
      <c r="K107" s="673">
        <v>0</v>
      </c>
      <c r="L107" s="673">
        <v>0</v>
      </c>
      <c r="M107" s="673">
        <v>0</v>
      </c>
      <c r="N107" s="673">
        <v>0</v>
      </c>
      <c r="O107" s="673">
        <v>0</v>
      </c>
      <c r="P107" s="673">
        <v>0</v>
      </c>
      <c r="Q107" s="673">
        <v>0</v>
      </c>
      <c r="R107" s="673">
        <v>0</v>
      </c>
      <c r="S107" s="673">
        <v>0</v>
      </c>
      <c r="T107" s="673">
        <v>0</v>
      </c>
      <c r="U107" s="673">
        <v>0</v>
      </c>
      <c r="V107" s="673">
        <v>0</v>
      </c>
      <c r="W107" s="673">
        <v>0</v>
      </c>
      <c r="X107" s="673">
        <v>0</v>
      </c>
      <c r="Y107" s="673">
        <v>0</v>
      </c>
      <c r="Z107" s="673">
        <v>0</v>
      </c>
      <c r="AA107" s="673">
        <v>0</v>
      </c>
      <c r="AB107" s="673">
        <v>0</v>
      </c>
      <c r="AC107" s="673">
        <v>0</v>
      </c>
      <c r="AD107" s="673">
        <v>0</v>
      </c>
      <c r="AE107" s="673">
        <v>0</v>
      </c>
      <c r="AF107" s="673">
        <v>0</v>
      </c>
      <c r="AG107" s="673">
        <v>0</v>
      </c>
      <c r="AH107" s="673">
        <v>0</v>
      </c>
      <c r="AI107" s="673">
        <v>0</v>
      </c>
      <c r="AJ107" s="673">
        <v>0</v>
      </c>
      <c r="AK107" s="673">
        <v>0</v>
      </c>
      <c r="AL107" s="673">
        <v>0</v>
      </c>
      <c r="AM107" s="673">
        <v>0</v>
      </c>
      <c r="AN107" s="673">
        <v>0</v>
      </c>
      <c r="AO107" s="673">
        <v>0</v>
      </c>
      <c r="AP107" s="673">
        <v>0</v>
      </c>
      <c r="AQ107" s="673">
        <v>0</v>
      </c>
      <c r="AR107" s="673">
        <v>0</v>
      </c>
      <c r="AS107" s="673">
        <v>0</v>
      </c>
      <c r="AT107" s="673">
        <v>0</v>
      </c>
      <c r="AU107" s="673">
        <v>0</v>
      </c>
      <c r="AV107" s="673">
        <v>0</v>
      </c>
      <c r="AW107" s="673">
        <v>0</v>
      </c>
      <c r="AX107" s="673">
        <v>0</v>
      </c>
      <c r="AY107" s="673">
        <v>0</v>
      </c>
      <c r="AZ107" s="673">
        <v>0</v>
      </c>
      <c r="BA107" s="673">
        <v>0</v>
      </c>
      <c r="BB107" s="673">
        <v>0</v>
      </c>
    </row>
    <row r="108" spans="1:54" x14ac:dyDescent="0.25">
      <c r="A108">
        <v>500</v>
      </c>
      <c r="B108">
        <v>500</v>
      </c>
      <c r="C108">
        <v>500</v>
      </c>
      <c r="D108" t="s">
        <v>264</v>
      </c>
      <c r="E108" t="s">
        <v>482</v>
      </c>
      <c r="F108" s="673">
        <v>0</v>
      </c>
      <c r="G108" s="673">
        <v>0</v>
      </c>
      <c r="H108" s="673">
        <v>0</v>
      </c>
      <c r="I108" s="673">
        <v>0</v>
      </c>
      <c r="J108" s="673">
        <v>0</v>
      </c>
      <c r="K108" s="673">
        <v>0</v>
      </c>
      <c r="L108" s="673">
        <v>0</v>
      </c>
      <c r="M108" s="673">
        <v>0</v>
      </c>
      <c r="N108" s="673">
        <v>0</v>
      </c>
      <c r="O108" s="673">
        <v>0</v>
      </c>
      <c r="P108" s="673">
        <v>0</v>
      </c>
      <c r="Q108" s="673">
        <v>0</v>
      </c>
      <c r="R108" s="673">
        <v>0</v>
      </c>
      <c r="S108" s="673">
        <v>0</v>
      </c>
      <c r="T108" s="673">
        <v>0</v>
      </c>
      <c r="U108" s="673">
        <v>0</v>
      </c>
      <c r="V108" s="673">
        <v>0</v>
      </c>
      <c r="W108" s="673">
        <v>0</v>
      </c>
      <c r="X108" s="673">
        <v>0</v>
      </c>
      <c r="Y108" s="673">
        <v>0</v>
      </c>
      <c r="Z108" s="673">
        <v>0</v>
      </c>
      <c r="AA108" s="673">
        <v>0</v>
      </c>
      <c r="AB108" s="673">
        <v>0</v>
      </c>
      <c r="AC108" s="673">
        <v>0</v>
      </c>
      <c r="AD108" s="673">
        <v>0</v>
      </c>
      <c r="AE108" s="673">
        <v>0</v>
      </c>
      <c r="AF108" s="673">
        <v>0</v>
      </c>
      <c r="AG108" s="673">
        <v>0</v>
      </c>
      <c r="AH108" s="673">
        <v>0</v>
      </c>
      <c r="AI108" s="673">
        <v>0</v>
      </c>
      <c r="AJ108" s="673">
        <v>0</v>
      </c>
      <c r="AK108" s="673">
        <v>0</v>
      </c>
      <c r="AL108" s="673">
        <v>0</v>
      </c>
      <c r="AM108" s="673">
        <v>0</v>
      </c>
      <c r="AN108" s="673">
        <v>0</v>
      </c>
      <c r="AO108" s="673">
        <v>0</v>
      </c>
      <c r="AP108" s="673">
        <v>0</v>
      </c>
      <c r="AQ108" s="673">
        <v>0</v>
      </c>
      <c r="AR108" s="673">
        <v>0</v>
      </c>
      <c r="AS108" s="673">
        <v>0</v>
      </c>
      <c r="AT108" s="673">
        <v>0</v>
      </c>
      <c r="AU108" s="673">
        <v>0</v>
      </c>
      <c r="AV108" s="673">
        <v>0</v>
      </c>
      <c r="AW108" s="673">
        <v>0</v>
      </c>
      <c r="AX108" s="673">
        <v>0</v>
      </c>
      <c r="AY108" s="673">
        <v>0</v>
      </c>
      <c r="AZ108" s="673">
        <v>0</v>
      </c>
      <c r="BA108" s="673">
        <v>0</v>
      </c>
      <c r="BB108" s="673">
        <v>0</v>
      </c>
    </row>
    <row r="109" spans="1:54" x14ac:dyDescent="0.25">
      <c r="A109">
        <v>502</v>
      </c>
      <c r="B109">
        <v>502</v>
      </c>
      <c r="C109">
        <v>502</v>
      </c>
      <c r="D109" t="s">
        <v>266</v>
      </c>
      <c r="E109" t="s">
        <v>483</v>
      </c>
      <c r="F109" s="673">
        <v>1330171</v>
      </c>
      <c r="G109" s="673">
        <v>4368127</v>
      </c>
      <c r="H109" s="673">
        <v>9119517</v>
      </c>
      <c r="I109" s="673">
        <v>6876774</v>
      </c>
      <c r="J109" s="673">
        <v>70016652</v>
      </c>
      <c r="K109" s="673">
        <v>15659598</v>
      </c>
      <c r="L109" s="673">
        <v>107748466</v>
      </c>
      <c r="M109" s="673">
        <v>4975407</v>
      </c>
      <c r="N109" s="673">
        <v>0</v>
      </c>
      <c r="O109" s="673">
        <v>2573645</v>
      </c>
      <c r="P109" s="673">
        <v>3593692</v>
      </c>
      <c r="Q109" s="673">
        <v>138501</v>
      </c>
      <c r="R109" s="673">
        <v>1304234</v>
      </c>
      <c r="S109" s="673">
        <v>307235</v>
      </c>
      <c r="T109" s="673">
        <v>6635346</v>
      </c>
      <c r="U109" s="673">
        <v>270010</v>
      </c>
      <c r="V109" s="673">
        <v>78483338</v>
      </c>
      <c r="W109" s="673">
        <v>2356010</v>
      </c>
      <c r="X109" s="673">
        <v>816042</v>
      </c>
      <c r="Y109" s="673">
        <v>2455258</v>
      </c>
      <c r="Z109" s="673">
        <v>3320994</v>
      </c>
      <c r="AA109" s="673">
        <v>870241</v>
      </c>
      <c r="AB109" s="673">
        <v>2192612</v>
      </c>
      <c r="AC109" s="673">
        <v>1477767</v>
      </c>
      <c r="AD109" s="673">
        <v>0</v>
      </c>
      <c r="AE109" s="673">
        <v>1713781</v>
      </c>
      <c r="AF109" s="673">
        <v>676221</v>
      </c>
      <c r="AG109" s="673">
        <v>41768868</v>
      </c>
      <c r="AH109" s="673">
        <v>15961713</v>
      </c>
      <c r="AI109" s="673">
        <v>13991673</v>
      </c>
      <c r="AJ109" s="673">
        <v>119443302</v>
      </c>
      <c r="AK109" s="673">
        <v>349594</v>
      </c>
      <c r="AL109" s="673">
        <v>12447398</v>
      </c>
      <c r="AM109" s="673">
        <v>410619</v>
      </c>
      <c r="AN109" s="673">
        <v>1508329</v>
      </c>
      <c r="AO109" s="673">
        <v>27806367</v>
      </c>
      <c r="AP109" s="673">
        <v>2919997</v>
      </c>
      <c r="AQ109" s="673">
        <v>5372647</v>
      </c>
      <c r="AR109" s="673">
        <v>1894382</v>
      </c>
      <c r="AS109" s="673">
        <v>970079</v>
      </c>
      <c r="AT109" s="673">
        <v>0</v>
      </c>
      <c r="AU109" s="673">
        <v>128088</v>
      </c>
      <c r="AV109" s="673">
        <v>165154</v>
      </c>
      <c r="AW109" s="673">
        <v>12998747</v>
      </c>
      <c r="AX109" s="673">
        <v>0</v>
      </c>
      <c r="AY109" s="673">
        <v>40110</v>
      </c>
      <c r="AZ109" s="673">
        <v>28281</v>
      </c>
      <c r="BA109" s="673">
        <v>3359294</v>
      </c>
      <c r="BB109" s="673">
        <v>1304848</v>
      </c>
    </row>
    <row r="110" spans="1:54" x14ac:dyDescent="0.25">
      <c r="A110">
        <v>503</v>
      </c>
      <c r="B110">
        <v>503</v>
      </c>
      <c r="C110">
        <v>503</v>
      </c>
      <c r="D110" t="s">
        <v>267</v>
      </c>
      <c r="E110" t="s">
        <v>484</v>
      </c>
      <c r="F110" s="673">
        <v>35625</v>
      </c>
      <c r="G110" s="673">
        <v>1103053</v>
      </c>
      <c r="H110" s="673">
        <v>214311</v>
      </c>
      <c r="I110" s="673">
        <v>685822</v>
      </c>
      <c r="J110" s="673">
        <v>8800509</v>
      </c>
      <c r="K110" s="673">
        <v>6362871</v>
      </c>
      <c r="L110" s="673">
        <v>16252063</v>
      </c>
      <c r="M110" s="673">
        <v>0</v>
      </c>
      <c r="N110" s="673">
        <v>0</v>
      </c>
      <c r="O110" s="673">
        <v>1821001</v>
      </c>
      <c r="P110" s="673">
        <v>1762116</v>
      </c>
      <c r="Q110" s="673">
        <v>3685</v>
      </c>
      <c r="R110" s="673">
        <v>189148</v>
      </c>
      <c r="S110" s="673">
        <v>0</v>
      </c>
      <c r="T110" s="673">
        <v>336859</v>
      </c>
      <c r="U110" s="673">
        <v>26521</v>
      </c>
      <c r="V110" s="673">
        <v>4338382</v>
      </c>
      <c r="W110" s="673">
        <v>312123</v>
      </c>
      <c r="X110" s="673">
        <v>109146</v>
      </c>
      <c r="Y110" s="673">
        <v>181979</v>
      </c>
      <c r="Z110" s="673">
        <v>0</v>
      </c>
      <c r="AA110" s="673">
        <v>401898</v>
      </c>
      <c r="AB110" s="673">
        <v>0</v>
      </c>
      <c r="AC110" s="673">
        <v>7550</v>
      </c>
      <c r="AD110" s="673">
        <v>0</v>
      </c>
      <c r="AE110" s="673">
        <v>864740</v>
      </c>
      <c r="AF110" s="673">
        <v>13510</v>
      </c>
      <c r="AG110" s="673">
        <v>2863532</v>
      </c>
      <c r="AH110" s="673">
        <v>6949697</v>
      </c>
      <c r="AI110" s="673">
        <v>0</v>
      </c>
      <c r="AJ110" s="673">
        <v>189351548</v>
      </c>
      <c r="AK110" s="673">
        <v>0</v>
      </c>
      <c r="AL110" s="673">
        <v>449635</v>
      </c>
      <c r="AM110" s="673">
        <v>697689</v>
      </c>
      <c r="AN110" s="673">
        <v>0</v>
      </c>
      <c r="AO110" s="673">
        <v>0</v>
      </c>
      <c r="AP110" s="673">
        <v>250462</v>
      </c>
      <c r="AQ110" s="673">
        <v>992017</v>
      </c>
      <c r="AR110" s="673">
        <v>178055</v>
      </c>
      <c r="AS110" s="673">
        <v>480848</v>
      </c>
      <c r="AT110" s="673">
        <v>287146</v>
      </c>
      <c r="AU110" s="673">
        <v>6453</v>
      </c>
      <c r="AV110" s="673">
        <v>0</v>
      </c>
      <c r="AW110" s="673">
        <v>677248</v>
      </c>
      <c r="AX110" s="673">
        <v>0</v>
      </c>
      <c r="AY110" s="673">
        <v>0</v>
      </c>
      <c r="AZ110" s="673">
        <v>630</v>
      </c>
      <c r="BA110" s="673">
        <v>97530</v>
      </c>
      <c r="BB110" s="673">
        <v>83834</v>
      </c>
    </row>
    <row r="111" spans="1:54" x14ac:dyDescent="0.25">
      <c r="A111">
        <v>504</v>
      </c>
      <c r="B111">
        <v>504</v>
      </c>
      <c r="C111">
        <v>504</v>
      </c>
      <c r="D111" t="s">
        <v>271</v>
      </c>
      <c r="E111" t="s">
        <v>485</v>
      </c>
      <c r="F111" s="673">
        <v>0</v>
      </c>
      <c r="G111" s="673">
        <v>0</v>
      </c>
      <c r="H111" s="673">
        <v>0</v>
      </c>
      <c r="I111" s="673">
        <v>0</v>
      </c>
      <c r="J111" s="673">
        <v>0</v>
      </c>
      <c r="K111" s="673">
        <v>0</v>
      </c>
      <c r="L111" s="673">
        <v>0</v>
      </c>
      <c r="M111" s="673">
        <v>0</v>
      </c>
      <c r="N111" s="673">
        <v>0</v>
      </c>
      <c r="O111" s="673">
        <v>0</v>
      </c>
      <c r="P111" s="673">
        <v>0</v>
      </c>
      <c r="Q111" s="673">
        <v>0</v>
      </c>
      <c r="R111" s="673">
        <v>0</v>
      </c>
      <c r="S111" s="673">
        <v>0</v>
      </c>
      <c r="T111" s="673">
        <v>0</v>
      </c>
      <c r="U111" s="673">
        <v>0</v>
      </c>
      <c r="V111" s="673">
        <v>0</v>
      </c>
      <c r="W111" s="673">
        <v>0</v>
      </c>
      <c r="X111" s="673">
        <v>0</v>
      </c>
      <c r="Y111" s="673">
        <v>0</v>
      </c>
      <c r="Z111" s="673">
        <v>0</v>
      </c>
      <c r="AA111" s="673">
        <v>0</v>
      </c>
      <c r="AB111" s="673">
        <v>0</v>
      </c>
      <c r="AC111" s="673">
        <v>0</v>
      </c>
      <c r="AD111" s="673">
        <v>0</v>
      </c>
      <c r="AE111" s="673">
        <v>0</v>
      </c>
      <c r="AF111" s="673">
        <v>0</v>
      </c>
      <c r="AG111" s="673">
        <v>0</v>
      </c>
      <c r="AH111" s="673">
        <v>0</v>
      </c>
      <c r="AI111" s="673">
        <v>0</v>
      </c>
      <c r="AJ111" s="673">
        <v>0</v>
      </c>
      <c r="AK111" s="673">
        <v>0</v>
      </c>
      <c r="AL111" s="673">
        <v>0</v>
      </c>
      <c r="AM111" s="673">
        <v>0</v>
      </c>
      <c r="AN111" s="673">
        <v>0</v>
      </c>
      <c r="AO111" s="673">
        <v>0</v>
      </c>
      <c r="AP111" s="673">
        <v>0</v>
      </c>
      <c r="AQ111" s="673">
        <v>0</v>
      </c>
      <c r="AR111" s="673">
        <v>0</v>
      </c>
      <c r="AS111" s="673">
        <v>0</v>
      </c>
      <c r="AT111" s="673">
        <v>0</v>
      </c>
      <c r="AU111" s="673">
        <v>0</v>
      </c>
      <c r="AV111" s="673">
        <v>0</v>
      </c>
      <c r="AW111" s="673">
        <v>0</v>
      </c>
      <c r="AX111" s="673">
        <v>0</v>
      </c>
      <c r="AY111" s="673">
        <v>0</v>
      </c>
      <c r="AZ111" s="673">
        <v>0</v>
      </c>
      <c r="BA111" s="673">
        <v>0</v>
      </c>
      <c r="BB111" s="673">
        <v>0</v>
      </c>
    </row>
    <row r="112" spans="1:54" x14ac:dyDescent="0.25">
      <c r="A112">
        <v>505</v>
      </c>
      <c r="B112">
        <v>505</v>
      </c>
      <c r="C112">
        <v>505</v>
      </c>
      <c r="D112" t="s">
        <v>272</v>
      </c>
      <c r="E112" t="s">
        <v>486</v>
      </c>
      <c r="F112" s="673">
        <v>0</v>
      </c>
      <c r="G112" s="673">
        <v>0</v>
      </c>
      <c r="H112" s="673">
        <v>0</v>
      </c>
      <c r="I112" s="673">
        <v>0</v>
      </c>
      <c r="J112" s="673">
        <v>0</v>
      </c>
      <c r="K112" s="673">
        <v>0</v>
      </c>
      <c r="L112" s="673">
        <v>0</v>
      </c>
      <c r="M112" s="673">
        <v>0</v>
      </c>
      <c r="N112" s="673">
        <v>0</v>
      </c>
      <c r="O112" s="673">
        <v>0</v>
      </c>
      <c r="P112" s="673">
        <v>0</v>
      </c>
      <c r="Q112" s="673">
        <v>0</v>
      </c>
      <c r="R112" s="673">
        <v>0</v>
      </c>
      <c r="S112" s="673">
        <v>0</v>
      </c>
      <c r="T112" s="673">
        <v>0</v>
      </c>
      <c r="U112" s="673">
        <v>0</v>
      </c>
      <c r="V112" s="673">
        <v>0</v>
      </c>
      <c r="W112" s="673">
        <v>0</v>
      </c>
      <c r="X112" s="673">
        <v>0</v>
      </c>
      <c r="Y112" s="673">
        <v>0</v>
      </c>
      <c r="Z112" s="673">
        <v>0</v>
      </c>
      <c r="AA112" s="673">
        <v>0</v>
      </c>
      <c r="AB112" s="673">
        <v>0</v>
      </c>
      <c r="AC112" s="673">
        <v>0</v>
      </c>
      <c r="AD112" s="673">
        <v>0</v>
      </c>
      <c r="AE112" s="673">
        <v>0</v>
      </c>
      <c r="AF112" s="673">
        <v>0</v>
      </c>
      <c r="AG112" s="673">
        <v>0</v>
      </c>
      <c r="AH112" s="673">
        <v>0</v>
      </c>
      <c r="AI112" s="673">
        <v>0</v>
      </c>
      <c r="AJ112" s="673">
        <v>0</v>
      </c>
      <c r="AK112" s="673">
        <v>0</v>
      </c>
      <c r="AL112" s="673">
        <v>0</v>
      </c>
      <c r="AM112" s="673">
        <v>0</v>
      </c>
      <c r="AN112" s="673">
        <v>0</v>
      </c>
      <c r="AO112" s="673">
        <v>0</v>
      </c>
      <c r="AP112" s="673">
        <v>0</v>
      </c>
      <c r="AQ112" s="673">
        <v>0</v>
      </c>
      <c r="AR112" s="673">
        <v>0</v>
      </c>
      <c r="AS112" s="673">
        <v>0</v>
      </c>
      <c r="AT112" s="673">
        <v>0</v>
      </c>
      <c r="AU112" s="673">
        <v>0</v>
      </c>
      <c r="AV112" s="673">
        <v>0</v>
      </c>
      <c r="AW112" s="673">
        <v>0</v>
      </c>
      <c r="AX112" s="673">
        <v>0</v>
      </c>
      <c r="AY112" s="673">
        <v>0</v>
      </c>
      <c r="AZ112" s="673">
        <v>0</v>
      </c>
      <c r="BA112" s="673">
        <v>0</v>
      </c>
      <c r="BB112" s="673">
        <v>0</v>
      </c>
    </row>
    <row r="113" spans="1:54" x14ac:dyDescent="0.25">
      <c r="A113">
        <v>506</v>
      </c>
      <c r="B113">
        <v>506</v>
      </c>
      <c r="C113">
        <v>506</v>
      </c>
      <c r="D113" t="s">
        <v>278</v>
      </c>
      <c r="E113" t="s">
        <v>487</v>
      </c>
      <c r="F113" s="673">
        <v>0</v>
      </c>
      <c r="G113" s="673">
        <v>0</v>
      </c>
      <c r="H113" s="673">
        <v>0</v>
      </c>
      <c r="I113" s="673">
        <v>0</v>
      </c>
      <c r="J113" s="673">
        <v>0</v>
      </c>
      <c r="K113" s="673">
        <v>0</v>
      </c>
      <c r="L113" s="673">
        <v>0</v>
      </c>
      <c r="M113" s="673">
        <v>0</v>
      </c>
      <c r="N113" s="673">
        <v>0</v>
      </c>
      <c r="O113" s="673">
        <v>0</v>
      </c>
      <c r="P113" s="673">
        <v>0</v>
      </c>
      <c r="Q113" s="673">
        <v>0</v>
      </c>
      <c r="R113" s="673">
        <v>0</v>
      </c>
      <c r="S113" s="673">
        <v>0</v>
      </c>
      <c r="T113" s="673">
        <v>0</v>
      </c>
      <c r="U113" s="673">
        <v>0</v>
      </c>
      <c r="V113" s="673">
        <v>0</v>
      </c>
      <c r="W113" s="673">
        <v>0</v>
      </c>
      <c r="X113" s="673">
        <v>0</v>
      </c>
      <c r="Y113" s="673">
        <v>0</v>
      </c>
      <c r="Z113" s="673">
        <v>0</v>
      </c>
      <c r="AA113" s="673">
        <v>0</v>
      </c>
      <c r="AB113" s="673">
        <v>0</v>
      </c>
      <c r="AC113" s="673">
        <v>0</v>
      </c>
      <c r="AD113" s="673">
        <v>0</v>
      </c>
      <c r="AE113" s="673">
        <v>0</v>
      </c>
      <c r="AF113" s="673">
        <v>0</v>
      </c>
      <c r="AG113" s="673">
        <v>0</v>
      </c>
      <c r="AH113" s="673">
        <v>0</v>
      </c>
      <c r="AI113" s="673">
        <v>0</v>
      </c>
      <c r="AJ113" s="673">
        <v>0</v>
      </c>
      <c r="AK113" s="673">
        <v>515821</v>
      </c>
      <c r="AL113" s="673">
        <v>0</v>
      </c>
      <c r="AM113" s="673">
        <v>0</v>
      </c>
      <c r="AN113" s="673">
        <v>0</v>
      </c>
      <c r="AO113" s="673">
        <v>0</v>
      </c>
      <c r="AP113" s="673">
        <v>0</v>
      </c>
      <c r="AQ113" s="673">
        <v>0</v>
      </c>
      <c r="AR113" s="673">
        <v>0</v>
      </c>
      <c r="AS113" s="673">
        <v>0</v>
      </c>
      <c r="AT113" s="673">
        <v>0</v>
      </c>
      <c r="AU113" s="673">
        <v>0</v>
      </c>
      <c r="AV113" s="673">
        <v>0</v>
      </c>
      <c r="AW113" s="673">
        <v>0</v>
      </c>
      <c r="AX113" s="673">
        <v>0</v>
      </c>
      <c r="AY113" s="673">
        <v>0</v>
      </c>
      <c r="AZ113" s="673">
        <v>0</v>
      </c>
      <c r="BA113" s="673">
        <v>0</v>
      </c>
      <c r="BB113" s="673">
        <v>0</v>
      </c>
    </row>
    <row r="114" spans="1:54" x14ac:dyDescent="0.25">
      <c r="A114">
        <v>507</v>
      </c>
      <c r="B114">
        <v>507</v>
      </c>
      <c r="C114">
        <v>507</v>
      </c>
      <c r="D114" t="s">
        <v>296</v>
      </c>
      <c r="E114" t="s">
        <v>488</v>
      </c>
      <c r="F114" s="673">
        <v>0</v>
      </c>
      <c r="G114" s="673">
        <v>0</v>
      </c>
      <c r="H114" s="673">
        <v>0</v>
      </c>
      <c r="I114" s="673">
        <v>0</v>
      </c>
      <c r="J114" s="673">
        <v>0</v>
      </c>
      <c r="K114" s="673">
        <v>0</v>
      </c>
      <c r="L114" s="673">
        <v>0</v>
      </c>
      <c r="M114" s="673">
        <v>0</v>
      </c>
      <c r="N114" s="673">
        <v>0</v>
      </c>
      <c r="O114" s="673">
        <v>0</v>
      </c>
      <c r="P114" s="673">
        <v>0</v>
      </c>
      <c r="Q114" s="673">
        <v>0</v>
      </c>
      <c r="R114" s="673">
        <v>0</v>
      </c>
      <c r="S114" s="673">
        <v>0</v>
      </c>
      <c r="T114" s="673">
        <v>0</v>
      </c>
      <c r="U114" s="673">
        <v>0</v>
      </c>
      <c r="V114" s="673">
        <v>0</v>
      </c>
      <c r="W114" s="673">
        <v>0</v>
      </c>
      <c r="X114" s="673">
        <v>0</v>
      </c>
      <c r="Y114" s="673">
        <v>0</v>
      </c>
      <c r="Z114" s="673">
        <v>0</v>
      </c>
      <c r="AA114" s="673">
        <v>0</v>
      </c>
      <c r="AB114" s="673">
        <v>0</v>
      </c>
      <c r="AC114" s="673">
        <v>0</v>
      </c>
      <c r="AD114" s="673">
        <v>0</v>
      </c>
      <c r="AE114" s="673">
        <v>0</v>
      </c>
      <c r="AF114" s="673">
        <v>0</v>
      </c>
      <c r="AG114" s="673">
        <v>0</v>
      </c>
      <c r="AH114" s="673">
        <v>0</v>
      </c>
      <c r="AI114" s="673">
        <v>0</v>
      </c>
      <c r="AJ114" s="673">
        <v>0</v>
      </c>
      <c r="AK114" s="673">
        <v>0</v>
      </c>
      <c r="AL114" s="673">
        <v>0</v>
      </c>
      <c r="AM114" s="673">
        <v>0</v>
      </c>
      <c r="AN114" s="673">
        <v>0</v>
      </c>
      <c r="AO114" s="673">
        <v>0</v>
      </c>
      <c r="AP114" s="673">
        <v>0</v>
      </c>
      <c r="AQ114" s="673">
        <v>0</v>
      </c>
      <c r="AR114" s="673">
        <v>0</v>
      </c>
      <c r="AS114" s="673">
        <v>0</v>
      </c>
      <c r="AT114" s="673">
        <v>0</v>
      </c>
      <c r="AU114" s="673">
        <v>0</v>
      </c>
      <c r="AV114" s="673">
        <v>0</v>
      </c>
      <c r="AW114" s="673">
        <v>0</v>
      </c>
      <c r="AX114" s="673">
        <v>0</v>
      </c>
      <c r="AY114" s="673">
        <v>0</v>
      </c>
      <c r="AZ114" s="673">
        <v>0</v>
      </c>
      <c r="BA114" s="673">
        <v>0</v>
      </c>
      <c r="BB114" s="673">
        <v>0</v>
      </c>
    </row>
    <row r="115" spans="1:54" x14ac:dyDescent="0.25">
      <c r="A115">
        <v>508</v>
      </c>
      <c r="B115">
        <v>508</v>
      </c>
      <c r="C115">
        <v>508</v>
      </c>
      <c r="D115" t="s">
        <v>293</v>
      </c>
      <c r="E115" t="s">
        <v>489</v>
      </c>
      <c r="F115" s="673">
        <v>0</v>
      </c>
      <c r="G115" s="673">
        <v>0</v>
      </c>
      <c r="H115" s="673">
        <v>0</v>
      </c>
      <c r="I115" s="673">
        <v>0</v>
      </c>
      <c r="J115" s="673">
        <v>0</v>
      </c>
      <c r="K115" s="673">
        <v>0</v>
      </c>
      <c r="L115" s="673">
        <v>0</v>
      </c>
      <c r="M115" s="673">
        <v>0</v>
      </c>
      <c r="N115" s="673">
        <v>0</v>
      </c>
      <c r="O115" s="673">
        <v>0</v>
      </c>
      <c r="P115" s="673">
        <v>0</v>
      </c>
      <c r="Q115" s="673">
        <v>0</v>
      </c>
      <c r="R115" s="673">
        <v>0</v>
      </c>
      <c r="S115" s="673">
        <v>0</v>
      </c>
      <c r="T115" s="673">
        <v>0</v>
      </c>
      <c r="U115" s="673">
        <v>0</v>
      </c>
      <c r="V115" s="673">
        <v>0</v>
      </c>
      <c r="W115" s="673">
        <v>0</v>
      </c>
      <c r="X115" s="673">
        <v>0</v>
      </c>
      <c r="Y115" s="673">
        <v>0</v>
      </c>
      <c r="Z115" s="673">
        <v>0</v>
      </c>
      <c r="AA115" s="673">
        <v>0</v>
      </c>
      <c r="AB115" s="673">
        <v>0</v>
      </c>
      <c r="AC115" s="673">
        <v>0</v>
      </c>
      <c r="AD115" s="673">
        <v>0</v>
      </c>
      <c r="AE115" s="673">
        <v>0</v>
      </c>
      <c r="AF115" s="673">
        <v>0</v>
      </c>
      <c r="AG115" s="673">
        <v>0</v>
      </c>
      <c r="AH115" s="673">
        <v>0</v>
      </c>
      <c r="AI115" s="673">
        <v>0</v>
      </c>
      <c r="AJ115" s="673">
        <v>0</v>
      </c>
      <c r="AK115" s="673">
        <v>0</v>
      </c>
      <c r="AL115" s="673">
        <v>0</v>
      </c>
      <c r="AM115" s="673">
        <v>0</v>
      </c>
      <c r="AN115" s="673">
        <v>0</v>
      </c>
      <c r="AO115" s="673">
        <v>0</v>
      </c>
      <c r="AP115" s="673">
        <v>0</v>
      </c>
      <c r="AQ115" s="673">
        <v>0</v>
      </c>
      <c r="AR115" s="673">
        <v>0</v>
      </c>
      <c r="AS115" s="673">
        <v>0</v>
      </c>
      <c r="AT115" s="673">
        <v>0</v>
      </c>
      <c r="AU115" s="673">
        <v>0</v>
      </c>
      <c r="AV115" s="673">
        <v>0</v>
      </c>
      <c r="AW115" s="673">
        <v>0</v>
      </c>
      <c r="AX115" s="673">
        <v>0</v>
      </c>
      <c r="AY115" s="673">
        <v>0</v>
      </c>
      <c r="AZ115" s="673">
        <v>0</v>
      </c>
      <c r="BA115" s="673">
        <v>0</v>
      </c>
      <c r="BB115" s="673">
        <v>0</v>
      </c>
    </row>
    <row r="116" spans="1:54" x14ac:dyDescent="0.25">
      <c r="A116">
        <v>509</v>
      </c>
      <c r="B116">
        <v>509</v>
      </c>
      <c r="C116">
        <v>509</v>
      </c>
      <c r="D116" t="s">
        <v>294</v>
      </c>
      <c r="E116" t="s">
        <v>490</v>
      </c>
      <c r="F116" s="673">
        <v>0</v>
      </c>
      <c r="G116" s="673">
        <v>0</v>
      </c>
      <c r="H116" s="673">
        <v>0</v>
      </c>
      <c r="I116" s="673">
        <v>0</v>
      </c>
      <c r="J116" s="673">
        <v>0</v>
      </c>
      <c r="K116" s="673">
        <v>0</v>
      </c>
      <c r="L116" s="673">
        <v>0</v>
      </c>
      <c r="M116" s="673">
        <v>0</v>
      </c>
      <c r="N116" s="673">
        <v>0</v>
      </c>
      <c r="O116" s="673">
        <v>0</v>
      </c>
      <c r="P116" s="673">
        <v>0</v>
      </c>
      <c r="Q116" s="673">
        <v>0</v>
      </c>
      <c r="R116" s="673">
        <v>0</v>
      </c>
      <c r="S116" s="673">
        <v>0</v>
      </c>
      <c r="T116" s="673">
        <v>0</v>
      </c>
      <c r="U116" s="673">
        <v>0</v>
      </c>
      <c r="V116" s="673">
        <v>0</v>
      </c>
      <c r="W116" s="673">
        <v>0</v>
      </c>
      <c r="X116" s="673">
        <v>0</v>
      </c>
      <c r="Y116" s="673">
        <v>0</v>
      </c>
      <c r="Z116" s="673">
        <v>0</v>
      </c>
      <c r="AA116" s="673">
        <v>0</v>
      </c>
      <c r="AB116" s="673">
        <v>0</v>
      </c>
      <c r="AC116" s="673">
        <v>0</v>
      </c>
      <c r="AD116" s="673">
        <v>0</v>
      </c>
      <c r="AE116" s="673">
        <v>0</v>
      </c>
      <c r="AF116" s="673">
        <v>0</v>
      </c>
      <c r="AG116" s="673">
        <v>0</v>
      </c>
      <c r="AH116" s="673">
        <v>0</v>
      </c>
      <c r="AI116" s="673">
        <v>0</v>
      </c>
      <c r="AJ116" s="673">
        <v>0</v>
      </c>
      <c r="AK116" s="673">
        <v>0</v>
      </c>
      <c r="AL116" s="673">
        <v>0</v>
      </c>
      <c r="AM116" s="673">
        <v>0</v>
      </c>
      <c r="AN116" s="673">
        <v>0</v>
      </c>
      <c r="AO116" s="673">
        <v>0</v>
      </c>
      <c r="AP116" s="673">
        <v>0</v>
      </c>
      <c r="AQ116" s="673">
        <v>0</v>
      </c>
      <c r="AR116" s="673">
        <v>0</v>
      </c>
      <c r="AS116" s="673">
        <v>0</v>
      </c>
      <c r="AT116" s="673">
        <v>0</v>
      </c>
      <c r="AU116" s="673">
        <v>0</v>
      </c>
      <c r="AV116" s="673">
        <v>0</v>
      </c>
      <c r="AW116" s="673">
        <v>0</v>
      </c>
      <c r="AX116" s="673">
        <v>0</v>
      </c>
      <c r="AY116" s="673">
        <v>0</v>
      </c>
      <c r="AZ116" s="673">
        <v>0</v>
      </c>
      <c r="BA116" s="673">
        <v>0</v>
      </c>
      <c r="BB116" s="673">
        <v>0</v>
      </c>
    </row>
    <row r="117" spans="1:54" x14ac:dyDescent="0.25">
      <c r="A117">
        <v>510</v>
      </c>
      <c r="B117">
        <v>510</v>
      </c>
      <c r="C117">
        <v>510</v>
      </c>
      <c r="D117" t="s">
        <v>300</v>
      </c>
      <c r="E117" t="s">
        <v>491</v>
      </c>
      <c r="F117" s="673">
        <v>157705</v>
      </c>
      <c r="G117" s="673">
        <v>2307</v>
      </c>
      <c r="H117" s="673">
        <v>0</v>
      </c>
      <c r="I117" s="673">
        <v>104345</v>
      </c>
      <c r="J117" s="673">
        <v>425854</v>
      </c>
      <c r="K117" s="673">
        <v>0</v>
      </c>
      <c r="L117" s="673">
        <v>44742</v>
      </c>
      <c r="M117" s="673">
        <v>361572</v>
      </c>
      <c r="N117" s="673">
        <v>0</v>
      </c>
      <c r="O117" s="673">
        <v>0</v>
      </c>
      <c r="P117" s="673">
        <v>2950</v>
      </c>
      <c r="Q117" s="673">
        <v>0</v>
      </c>
      <c r="R117" s="673">
        <v>86677</v>
      </c>
      <c r="S117" s="673">
        <v>0</v>
      </c>
      <c r="T117" s="673">
        <v>18377</v>
      </c>
      <c r="U117" s="673">
        <v>1690</v>
      </c>
      <c r="V117" s="673">
        <v>1042025</v>
      </c>
      <c r="W117" s="673">
        <v>0</v>
      </c>
      <c r="X117" s="673">
        <v>5625</v>
      </c>
      <c r="Y117" s="673">
        <v>175687</v>
      </c>
      <c r="Z117" s="673">
        <v>0</v>
      </c>
      <c r="AA117" s="673">
        <v>73448</v>
      </c>
      <c r="AB117" s="673">
        <v>0</v>
      </c>
      <c r="AC117" s="673">
        <v>0</v>
      </c>
      <c r="AD117" s="673">
        <v>0</v>
      </c>
      <c r="AE117" s="673">
        <v>997</v>
      </c>
      <c r="AF117" s="673">
        <v>43990</v>
      </c>
      <c r="AG117" s="673">
        <v>540168</v>
      </c>
      <c r="AH117" s="673">
        <v>1230131</v>
      </c>
      <c r="AI117" s="673">
        <v>93752</v>
      </c>
      <c r="AJ117" s="673">
        <v>3470637</v>
      </c>
      <c r="AK117" s="673">
        <v>0</v>
      </c>
      <c r="AL117" s="673">
        <v>219817</v>
      </c>
      <c r="AM117" s="673">
        <v>1850</v>
      </c>
      <c r="AN117" s="673">
        <v>0</v>
      </c>
      <c r="AO117" s="673">
        <v>284738</v>
      </c>
      <c r="AP117" s="673">
        <v>0</v>
      </c>
      <c r="AQ117" s="673">
        <v>3174</v>
      </c>
      <c r="AR117" s="673">
        <v>13739</v>
      </c>
      <c r="AS117" s="673">
        <v>621</v>
      </c>
      <c r="AT117" s="673">
        <v>0</v>
      </c>
      <c r="AU117" s="673">
        <v>0</v>
      </c>
      <c r="AV117" s="673">
        <v>13964</v>
      </c>
      <c r="AW117" s="673">
        <v>3104</v>
      </c>
      <c r="AX117" s="673">
        <v>0</v>
      </c>
      <c r="AY117" s="673">
        <v>0</v>
      </c>
      <c r="AZ117" s="673">
        <v>0</v>
      </c>
      <c r="BA117" s="673">
        <v>67212</v>
      </c>
      <c r="BB117" s="673">
        <v>31748</v>
      </c>
    </row>
    <row r="118" spans="1:54" x14ac:dyDescent="0.25">
      <c r="A118">
        <v>511</v>
      </c>
      <c r="B118">
        <v>511</v>
      </c>
      <c r="C118">
        <v>511</v>
      </c>
      <c r="D118" t="s">
        <v>305</v>
      </c>
      <c r="E118" t="s">
        <v>492</v>
      </c>
      <c r="F118" s="673">
        <v>0</v>
      </c>
      <c r="G118" s="673">
        <v>0</v>
      </c>
      <c r="H118" s="673">
        <v>0</v>
      </c>
      <c r="I118" s="673">
        <v>0</v>
      </c>
      <c r="J118" s="673">
        <v>0</v>
      </c>
      <c r="K118" s="673">
        <v>0</v>
      </c>
      <c r="L118" s="673">
        <v>0</v>
      </c>
      <c r="M118" s="673">
        <v>0</v>
      </c>
      <c r="N118" s="673">
        <v>0</v>
      </c>
      <c r="O118" s="673">
        <v>0</v>
      </c>
      <c r="P118" s="673">
        <v>0</v>
      </c>
      <c r="Q118" s="673">
        <v>0</v>
      </c>
      <c r="R118" s="673">
        <v>0</v>
      </c>
      <c r="S118" s="673">
        <v>0</v>
      </c>
      <c r="T118" s="673">
        <v>0</v>
      </c>
      <c r="U118" s="673">
        <v>0</v>
      </c>
      <c r="V118" s="673">
        <v>6257360</v>
      </c>
      <c r="W118" s="673">
        <v>0</v>
      </c>
      <c r="X118" s="673">
        <v>0</v>
      </c>
      <c r="Y118" s="673">
        <v>0</v>
      </c>
      <c r="Z118" s="673">
        <v>0</v>
      </c>
      <c r="AA118" s="673">
        <v>0</v>
      </c>
      <c r="AB118" s="673">
        <v>0</v>
      </c>
      <c r="AC118" s="673">
        <v>0</v>
      </c>
      <c r="AD118" s="673">
        <v>0</v>
      </c>
      <c r="AE118" s="673">
        <v>0</v>
      </c>
      <c r="AF118" s="673">
        <v>0</v>
      </c>
      <c r="AG118" s="673">
        <v>0</v>
      </c>
      <c r="AH118" s="673">
        <v>0</v>
      </c>
      <c r="AI118" s="673">
        <v>0</v>
      </c>
      <c r="AJ118" s="673">
        <v>16746486</v>
      </c>
      <c r="AK118" s="673">
        <v>0</v>
      </c>
      <c r="AL118" s="673">
        <v>0</v>
      </c>
      <c r="AM118" s="673">
        <v>0</v>
      </c>
      <c r="AN118" s="673">
        <v>0</v>
      </c>
      <c r="AO118" s="673">
        <v>0</v>
      </c>
      <c r="AP118" s="673">
        <v>0</v>
      </c>
      <c r="AQ118" s="673">
        <v>0</v>
      </c>
      <c r="AR118" s="673">
        <v>0</v>
      </c>
      <c r="AS118" s="673">
        <v>0</v>
      </c>
      <c r="AT118" s="673">
        <v>0</v>
      </c>
      <c r="AU118" s="673">
        <v>0</v>
      </c>
      <c r="AV118" s="673">
        <v>0</v>
      </c>
      <c r="AW118" s="673">
        <v>0</v>
      </c>
      <c r="AX118" s="673">
        <v>0</v>
      </c>
      <c r="AY118" s="673">
        <v>0</v>
      </c>
      <c r="AZ118" s="673">
        <v>0</v>
      </c>
      <c r="BA118" s="673">
        <v>0</v>
      </c>
      <c r="BB118" s="673">
        <v>0</v>
      </c>
    </row>
    <row r="119" spans="1:54" x14ac:dyDescent="0.25">
      <c r="A119">
        <v>512</v>
      </c>
      <c r="B119">
        <v>512</v>
      </c>
      <c r="C119">
        <v>512</v>
      </c>
      <c r="D119" t="s">
        <v>332</v>
      </c>
      <c r="E119" t="s">
        <v>493</v>
      </c>
      <c r="F119" s="673">
        <v>0</v>
      </c>
      <c r="G119" s="673">
        <v>0</v>
      </c>
      <c r="H119" s="673">
        <v>0</v>
      </c>
      <c r="I119" s="673">
        <v>180794</v>
      </c>
      <c r="J119" s="673">
        <v>0</v>
      </c>
      <c r="K119" s="673">
        <v>0</v>
      </c>
      <c r="L119" s="673">
        <v>0</v>
      </c>
      <c r="M119" s="673">
        <v>0</v>
      </c>
      <c r="N119" s="673">
        <v>0</v>
      </c>
      <c r="O119" s="673">
        <v>0</v>
      </c>
      <c r="P119" s="673">
        <v>0</v>
      </c>
      <c r="Q119" s="673">
        <v>0</v>
      </c>
      <c r="R119" s="673">
        <v>0</v>
      </c>
      <c r="S119" s="673">
        <v>0</v>
      </c>
      <c r="T119" s="673">
        <v>0</v>
      </c>
      <c r="U119" s="673">
        <v>0</v>
      </c>
      <c r="V119" s="673">
        <v>6597815</v>
      </c>
      <c r="W119" s="673">
        <v>0</v>
      </c>
      <c r="X119" s="673">
        <v>0</v>
      </c>
      <c r="Y119" s="673">
        <v>0</v>
      </c>
      <c r="Z119" s="673">
        <v>0</v>
      </c>
      <c r="AA119" s="673">
        <v>0</v>
      </c>
      <c r="AB119" s="673">
        <v>0</v>
      </c>
      <c r="AC119" s="673">
        <v>0</v>
      </c>
      <c r="AD119" s="673">
        <v>0</v>
      </c>
      <c r="AE119" s="673">
        <v>0</v>
      </c>
      <c r="AF119" s="673">
        <v>0</v>
      </c>
      <c r="AG119" s="673">
        <v>0</v>
      </c>
      <c r="AH119" s="673">
        <v>0</v>
      </c>
      <c r="AI119" s="673">
        <v>0</v>
      </c>
      <c r="AJ119" s="673">
        <v>0</v>
      </c>
      <c r="AK119" s="673">
        <v>0</v>
      </c>
      <c r="AL119" s="673">
        <v>0</v>
      </c>
      <c r="AM119" s="673">
        <v>0</v>
      </c>
      <c r="AN119" s="673">
        <v>0</v>
      </c>
      <c r="AO119" s="673">
        <v>0</v>
      </c>
      <c r="AP119" s="673">
        <v>0</v>
      </c>
      <c r="AQ119" s="673">
        <v>0</v>
      </c>
      <c r="AR119" s="673">
        <v>0</v>
      </c>
      <c r="AS119" s="673">
        <v>0</v>
      </c>
      <c r="AT119" s="673">
        <v>0</v>
      </c>
      <c r="AU119" s="673">
        <v>0</v>
      </c>
      <c r="AV119" s="673">
        <v>0</v>
      </c>
      <c r="AW119" s="673">
        <v>0</v>
      </c>
      <c r="AX119" s="673">
        <v>0</v>
      </c>
      <c r="AY119" s="673">
        <v>0</v>
      </c>
      <c r="AZ119" s="673">
        <v>0</v>
      </c>
      <c r="BA119" s="673">
        <v>0</v>
      </c>
      <c r="BB119" s="673">
        <v>0</v>
      </c>
    </row>
    <row r="120" spans="1:54" x14ac:dyDescent="0.25">
      <c r="A120">
        <v>513</v>
      </c>
      <c r="B120">
        <v>513</v>
      </c>
      <c r="C120">
        <v>513</v>
      </c>
      <c r="D120" t="s">
        <v>344</v>
      </c>
      <c r="E120" t="s">
        <v>494</v>
      </c>
      <c r="F120" s="673">
        <v>0</v>
      </c>
      <c r="G120" s="673">
        <v>0</v>
      </c>
      <c r="H120" s="673">
        <v>0</v>
      </c>
      <c r="I120" s="673">
        <v>0</v>
      </c>
      <c r="J120" s="673">
        <v>0</v>
      </c>
      <c r="K120" s="673">
        <v>0</v>
      </c>
      <c r="L120" s="673">
        <v>0</v>
      </c>
      <c r="M120" s="673">
        <v>0</v>
      </c>
      <c r="N120" s="673">
        <v>0</v>
      </c>
      <c r="O120" s="673">
        <v>0</v>
      </c>
      <c r="P120" s="673">
        <v>0</v>
      </c>
      <c r="Q120" s="673">
        <v>0</v>
      </c>
      <c r="R120" s="673">
        <v>0</v>
      </c>
      <c r="S120" s="673">
        <v>0</v>
      </c>
      <c r="T120" s="673">
        <v>0</v>
      </c>
      <c r="U120" s="673">
        <v>0</v>
      </c>
      <c r="V120" s="673">
        <v>0</v>
      </c>
      <c r="W120" s="673">
        <v>0</v>
      </c>
      <c r="X120" s="673">
        <v>0</v>
      </c>
      <c r="Y120" s="673">
        <v>0</v>
      </c>
      <c r="Z120" s="673">
        <v>0</v>
      </c>
      <c r="AA120" s="673">
        <v>0</v>
      </c>
      <c r="AB120" s="673">
        <v>0</v>
      </c>
      <c r="AC120" s="673">
        <v>0</v>
      </c>
      <c r="AD120" s="673">
        <v>0</v>
      </c>
      <c r="AE120" s="673">
        <v>0</v>
      </c>
      <c r="AF120" s="673">
        <v>0</v>
      </c>
      <c r="AG120" s="673">
        <v>0</v>
      </c>
      <c r="AH120" s="673">
        <v>0</v>
      </c>
      <c r="AI120" s="673">
        <v>0</v>
      </c>
      <c r="AJ120" s="673">
        <v>0</v>
      </c>
      <c r="AK120" s="673">
        <v>0</v>
      </c>
      <c r="AL120" s="673">
        <v>0</v>
      </c>
      <c r="AM120" s="673">
        <v>0</v>
      </c>
      <c r="AN120" s="673">
        <v>0</v>
      </c>
      <c r="AO120" s="673">
        <v>0</v>
      </c>
      <c r="AP120" s="673">
        <v>0</v>
      </c>
      <c r="AQ120" s="673">
        <v>0</v>
      </c>
      <c r="AR120" s="673">
        <v>0</v>
      </c>
      <c r="AS120" s="673">
        <v>0</v>
      </c>
      <c r="AT120" s="673">
        <v>0</v>
      </c>
      <c r="AU120" s="673">
        <v>0</v>
      </c>
      <c r="AV120" s="673">
        <v>0</v>
      </c>
      <c r="AW120" s="673">
        <v>0</v>
      </c>
      <c r="AX120" s="673">
        <v>0</v>
      </c>
      <c r="AY120" s="673">
        <v>0</v>
      </c>
      <c r="AZ120" s="673">
        <v>0</v>
      </c>
      <c r="BA120" s="673">
        <v>0</v>
      </c>
      <c r="BB120" s="673">
        <v>0</v>
      </c>
    </row>
    <row r="121" spans="1:54" x14ac:dyDescent="0.25">
      <c r="A121">
        <v>514</v>
      </c>
      <c r="B121">
        <v>514</v>
      </c>
      <c r="C121">
        <v>514</v>
      </c>
      <c r="D121" t="s">
        <v>345</v>
      </c>
      <c r="E121" t="s">
        <v>495</v>
      </c>
      <c r="F121" s="673">
        <v>0</v>
      </c>
      <c r="G121" s="673">
        <v>0</v>
      </c>
      <c r="H121" s="673">
        <v>0</v>
      </c>
      <c r="I121" s="673">
        <v>0</v>
      </c>
      <c r="J121" s="673">
        <v>0</v>
      </c>
      <c r="K121" s="673">
        <v>0</v>
      </c>
      <c r="L121" s="673">
        <v>0</v>
      </c>
      <c r="M121" s="673">
        <v>0</v>
      </c>
      <c r="N121" s="673">
        <v>0</v>
      </c>
      <c r="O121" s="673">
        <v>0</v>
      </c>
      <c r="P121" s="673">
        <v>0</v>
      </c>
      <c r="Q121" s="673">
        <v>0</v>
      </c>
      <c r="R121" s="673">
        <v>0</v>
      </c>
      <c r="S121" s="673">
        <v>0</v>
      </c>
      <c r="T121" s="673">
        <v>0</v>
      </c>
      <c r="U121" s="673">
        <v>0</v>
      </c>
      <c r="V121" s="673">
        <v>5002127</v>
      </c>
      <c r="W121" s="673">
        <v>0</v>
      </c>
      <c r="X121" s="673">
        <v>0</v>
      </c>
      <c r="Y121" s="673">
        <v>0</v>
      </c>
      <c r="Z121" s="673">
        <v>0</v>
      </c>
      <c r="AA121" s="673">
        <v>0</v>
      </c>
      <c r="AB121" s="673">
        <v>0</v>
      </c>
      <c r="AC121" s="673">
        <v>0</v>
      </c>
      <c r="AD121" s="673">
        <v>0</v>
      </c>
      <c r="AE121" s="673">
        <v>0</v>
      </c>
      <c r="AF121" s="673">
        <v>0</v>
      </c>
      <c r="AG121" s="673">
        <v>0</v>
      </c>
      <c r="AH121" s="673">
        <v>0</v>
      </c>
      <c r="AI121" s="673">
        <v>0</v>
      </c>
      <c r="AJ121" s="673">
        <v>0</v>
      </c>
      <c r="AK121" s="673">
        <v>0</v>
      </c>
      <c r="AL121" s="673">
        <v>0</v>
      </c>
      <c r="AM121" s="673">
        <v>0</v>
      </c>
      <c r="AN121" s="673">
        <v>0</v>
      </c>
      <c r="AO121" s="673">
        <v>0</v>
      </c>
      <c r="AP121" s="673">
        <v>0</v>
      </c>
      <c r="AQ121" s="673">
        <v>0</v>
      </c>
      <c r="AR121" s="673">
        <v>0</v>
      </c>
      <c r="AS121" s="673">
        <v>0</v>
      </c>
      <c r="AT121" s="673">
        <v>0</v>
      </c>
      <c r="AU121" s="673">
        <v>0</v>
      </c>
      <c r="AV121" s="673">
        <v>0</v>
      </c>
      <c r="AW121" s="673">
        <v>0</v>
      </c>
      <c r="AX121" s="673">
        <v>0</v>
      </c>
      <c r="AY121" s="673">
        <v>0</v>
      </c>
      <c r="AZ121" s="673">
        <v>0</v>
      </c>
      <c r="BA121" s="673">
        <v>0</v>
      </c>
      <c r="BB121" s="673">
        <v>0</v>
      </c>
    </row>
    <row r="122" spans="1:54" x14ac:dyDescent="0.25">
      <c r="A122">
        <v>515</v>
      </c>
      <c r="B122">
        <v>515</v>
      </c>
      <c r="C122">
        <v>515</v>
      </c>
      <c r="D122" t="s">
        <v>357</v>
      </c>
      <c r="E122" t="s">
        <v>496</v>
      </c>
      <c r="F122" s="673">
        <v>185904</v>
      </c>
      <c r="G122" s="673">
        <v>351832</v>
      </c>
      <c r="H122" s="673">
        <v>0</v>
      </c>
      <c r="I122" s="673">
        <v>0</v>
      </c>
      <c r="J122" s="673">
        <v>47662163</v>
      </c>
      <c r="K122" s="673">
        <v>1849661</v>
      </c>
      <c r="L122" s="673">
        <v>0</v>
      </c>
      <c r="M122" s="673">
        <v>618911</v>
      </c>
      <c r="N122" s="673">
        <v>0</v>
      </c>
      <c r="O122" s="673">
        <v>0</v>
      </c>
      <c r="P122" s="673">
        <v>353692</v>
      </c>
      <c r="Q122" s="673">
        <v>0</v>
      </c>
      <c r="R122" s="673">
        <v>0</v>
      </c>
      <c r="S122" s="673">
        <v>0</v>
      </c>
      <c r="T122" s="673">
        <v>511963</v>
      </c>
      <c r="U122" s="673">
        <v>0</v>
      </c>
      <c r="V122" s="673">
        <v>4774591</v>
      </c>
      <c r="W122" s="673">
        <v>120901</v>
      </c>
      <c r="X122" s="673">
        <v>0</v>
      </c>
      <c r="Y122" s="673">
        <v>229355</v>
      </c>
      <c r="Z122" s="673">
        <v>395734</v>
      </c>
      <c r="AA122" s="673">
        <v>602858</v>
      </c>
      <c r="AB122" s="673">
        <v>26597591</v>
      </c>
      <c r="AC122" s="673">
        <v>173564</v>
      </c>
      <c r="AD122" s="673">
        <v>0</v>
      </c>
      <c r="AE122" s="673">
        <v>351572</v>
      </c>
      <c r="AF122" s="673">
        <v>0</v>
      </c>
      <c r="AG122" s="673">
        <v>11883201</v>
      </c>
      <c r="AH122" s="673">
        <v>0</v>
      </c>
      <c r="AI122" s="673">
        <v>483110</v>
      </c>
      <c r="AJ122" s="673">
        <v>6147624</v>
      </c>
      <c r="AK122" s="673">
        <v>0</v>
      </c>
      <c r="AL122" s="673">
        <v>1197991</v>
      </c>
      <c r="AM122" s="673">
        <v>0</v>
      </c>
      <c r="AN122" s="673">
        <v>0</v>
      </c>
      <c r="AO122" s="673">
        <v>34230255</v>
      </c>
      <c r="AP122" s="673">
        <v>0</v>
      </c>
      <c r="AQ122" s="673">
        <v>351876</v>
      </c>
      <c r="AR122" s="673">
        <v>0</v>
      </c>
      <c r="AS122" s="673">
        <v>351523</v>
      </c>
      <c r="AT122" s="673">
        <v>0</v>
      </c>
      <c r="AU122" s="673">
        <v>0</v>
      </c>
      <c r="AV122" s="673">
        <v>0</v>
      </c>
      <c r="AW122" s="673">
        <v>755555</v>
      </c>
      <c r="AX122" s="673">
        <v>0</v>
      </c>
      <c r="AY122" s="673">
        <v>0</v>
      </c>
      <c r="AZ122" s="673">
        <v>268240</v>
      </c>
      <c r="BA122" s="673">
        <v>0</v>
      </c>
      <c r="BB122" s="673">
        <v>457735</v>
      </c>
    </row>
    <row r="123" spans="1:54" x14ac:dyDescent="0.25">
      <c r="A123">
        <v>516</v>
      </c>
      <c r="B123">
        <v>516</v>
      </c>
      <c r="C123">
        <v>516</v>
      </c>
      <c r="D123" t="s">
        <v>358</v>
      </c>
      <c r="E123" t="s">
        <v>497</v>
      </c>
      <c r="F123" s="673">
        <v>23062554</v>
      </c>
      <c r="G123" s="673">
        <v>24893592</v>
      </c>
      <c r="H123" s="673">
        <v>44152951</v>
      </c>
      <c r="I123" s="673">
        <v>2567668</v>
      </c>
      <c r="J123" s="673">
        <v>451759444</v>
      </c>
      <c r="K123" s="673">
        <v>205672339</v>
      </c>
      <c r="L123" s="673">
        <v>779602865</v>
      </c>
      <c r="M123" s="673">
        <v>54745188</v>
      </c>
      <c r="N123" s="673">
        <v>0</v>
      </c>
      <c r="O123" s="673">
        <v>38363500</v>
      </c>
      <c r="P123" s="673">
        <v>32582784</v>
      </c>
      <c r="Q123" s="673">
        <v>4159234</v>
      </c>
      <c r="R123" s="673">
        <v>6112377</v>
      </c>
      <c r="S123" s="673">
        <v>6572659</v>
      </c>
      <c r="T123" s="673">
        <v>23753824</v>
      </c>
      <c r="U123" s="673">
        <v>3770614</v>
      </c>
      <c r="V123" s="673">
        <v>357825095</v>
      </c>
      <c r="W123" s="673">
        <v>6314053</v>
      </c>
      <c r="X123" s="673">
        <v>2368414</v>
      </c>
      <c r="Y123" s="673">
        <v>13355521</v>
      </c>
      <c r="Z123" s="673">
        <v>68076702</v>
      </c>
      <c r="AA123" s="673">
        <v>10724488</v>
      </c>
      <c r="AB123" s="673">
        <v>0</v>
      </c>
      <c r="AC123" s="673">
        <v>2958467</v>
      </c>
      <c r="AD123" s="673">
        <v>135092492</v>
      </c>
      <c r="AE123" s="673">
        <v>10159002</v>
      </c>
      <c r="AF123" s="673">
        <v>7138541</v>
      </c>
      <c r="AG123" s="673">
        <v>220083219</v>
      </c>
      <c r="AH123" s="673">
        <v>387620709</v>
      </c>
      <c r="AI123" s="673">
        <v>70943992</v>
      </c>
      <c r="AJ123" s="673">
        <v>939338645</v>
      </c>
      <c r="AK123" s="673">
        <v>302952</v>
      </c>
      <c r="AL123" s="673">
        <v>69363304</v>
      </c>
      <c r="AM123" s="673">
        <v>7384758</v>
      </c>
      <c r="AN123" s="673">
        <v>1062979</v>
      </c>
      <c r="AO123" s="673">
        <v>32251893</v>
      </c>
      <c r="AP123" s="673">
        <v>19224184</v>
      </c>
      <c r="AQ123" s="673">
        <v>25217982</v>
      </c>
      <c r="AR123" s="673">
        <v>7893828</v>
      </c>
      <c r="AS123" s="673">
        <v>7437928</v>
      </c>
      <c r="AT123" s="673">
        <v>12836291</v>
      </c>
      <c r="AU123" s="673">
        <v>1517807</v>
      </c>
      <c r="AV123" s="673">
        <v>4233348</v>
      </c>
      <c r="AW123" s="673">
        <v>47393136</v>
      </c>
      <c r="AX123" s="673">
        <v>11823021</v>
      </c>
      <c r="AY123" s="673">
        <v>178232</v>
      </c>
      <c r="AZ123" s="673">
        <v>77842</v>
      </c>
      <c r="BA123" s="673">
        <v>9859872</v>
      </c>
      <c r="BB123" s="673">
        <v>29420612</v>
      </c>
    </row>
    <row r="124" spans="1:54" x14ac:dyDescent="0.25">
      <c r="A124">
        <v>517</v>
      </c>
      <c r="B124">
        <v>517</v>
      </c>
      <c r="C124">
        <v>517</v>
      </c>
      <c r="D124" t="s">
        <v>359</v>
      </c>
      <c r="E124" t="s">
        <v>498</v>
      </c>
      <c r="F124" s="673">
        <v>0</v>
      </c>
      <c r="G124" s="673">
        <v>0</v>
      </c>
      <c r="H124" s="673">
        <v>0</v>
      </c>
      <c r="I124" s="673">
        <v>0</v>
      </c>
      <c r="J124" s="673">
        <v>0</v>
      </c>
      <c r="K124" s="673">
        <v>0</v>
      </c>
      <c r="L124" s="673">
        <v>0</v>
      </c>
      <c r="M124" s="673">
        <v>0</v>
      </c>
      <c r="N124" s="673">
        <v>0</v>
      </c>
      <c r="O124" s="673">
        <v>0</v>
      </c>
      <c r="P124" s="673">
        <v>0</v>
      </c>
      <c r="Q124" s="673">
        <v>0</v>
      </c>
      <c r="R124" s="673">
        <v>0</v>
      </c>
      <c r="S124" s="673">
        <v>0</v>
      </c>
      <c r="T124" s="673">
        <v>0</v>
      </c>
      <c r="U124" s="673">
        <v>0</v>
      </c>
      <c r="V124" s="673">
        <v>0</v>
      </c>
      <c r="W124" s="673">
        <v>0</v>
      </c>
      <c r="X124" s="673">
        <v>0</v>
      </c>
      <c r="Y124" s="673">
        <v>0</v>
      </c>
      <c r="Z124" s="673">
        <v>0</v>
      </c>
      <c r="AA124" s="673">
        <v>0</v>
      </c>
      <c r="AB124" s="673">
        <v>0</v>
      </c>
      <c r="AC124" s="673">
        <v>0</v>
      </c>
      <c r="AD124" s="673">
        <v>0</v>
      </c>
      <c r="AE124" s="673">
        <v>0</v>
      </c>
      <c r="AF124" s="673">
        <v>0</v>
      </c>
      <c r="AG124" s="673">
        <v>0</v>
      </c>
      <c r="AH124" s="673">
        <v>0</v>
      </c>
      <c r="AI124" s="673">
        <v>30845602</v>
      </c>
      <c r="AJ124" s="673">
        <v>0</v>
      </c>
      <c r="AK124" s="673">
        <v>0</v>
      </c>
      <c r="AL124" s="673">
        <v>0</v>
      </c>
      <c r="AM124" s="673">
        <v>0</v>
      </c>
      <c r="AN124" s="673">
        <v>0</v>
      </c>
      <c r="AO124" s="673">
        <v>0</v>
      </c>
      <c r="AP124" s="673">
        <v>0</v>
      </c>
      <c r="AQ124" s="673">
        <v>0</v>
      </c>
      <c r="AR124" s="673">
        <v>0</v>
      </c>
      <c r="AS124" s="673">
        <v>0</v>
      </c>
      <c r="AT124" s="673">
        <v>0</v>
      </c>
      <c r="AU124" s="673">
        <v>0</v>
      </c>
      <c r="AV124" s="673">
        <v>0</v>
      </c>
      <c r="AW124" s="673">
        <v>0</v>
      </c>
      <c r="AX124" s="673">
        <v>0</v>
      </c>
      <c r="AY124" s="673">
        <v>0</v>
      </c>
      <c r="AZ124" s="673">
        <v>0</v>
      </c>
      <c r="BA124" s="673">
        <v>0</v>
      </c>
      <c r="BB124" s="673">
        <v>0</v>
      </c>
    </row>
    <row r="125" spans="1:54" x14ac:dyDescent="0.25">
      <c r="A125">
        <v>518</v>
      </c>
      <c r="B125">
        <v>518</v>
      </c>
      <c r="C125">
        <v>518</v>
      </c>
      <c r="D125" t="s">
        <v>360</v>
      </c>
      <c r="E125" t="s">
        <v>499</v>
      </c>
      <c r="F125" s="673">
        <v>835905</v>
      </c>
      <c r="G125" s="673">
        <v>354366</v>
      </c>
      <c r="H125" s="673">
        <v>4719926</v>
      </c>
      <c r="I125" s="673">
        <v>116204</v>
      </c>
      <c r="J125" s="673">
        <v>86538094</v>
      </c>
      <c r="K125" s="673">
        <v>8361404</v>
      </c>
      <c r="L125" s="673">
        <v>32079528</v>
      </c>
      <c r="M125" s="673">
        <v>5670838</v>
      </c>
      <c r="N125" s="673">
        <v>0</v>
      </c>
      <c r="O125" s="673">
        <v>397140</v>
      </c>
      <c r="P125" s="673">
        <v>490196</v>
      </c>
      <c r="Q125" s="673">
        <v>0</v>
      </c>
      <c r="R125" s="673">
        <v>274288</v>
      </c>
      <c r="S125" s="673">
        <v>0</v>
      </c>
      <c r="T125" s="673">
        <v>255303</v>
      </c>
      <c r="U125" s="673">
        <v>91031</v>
      </c>
      <c r="V125" s="673">
        <v>24292146</v>
      </c>
      <c r="W125" s="673">
        <v>19403213</v>
      </c>
      <c r="X125" s="673">
        <v>392529</v>
      </c>
      <c r="Y125" s="673">
        <v>457479</v>
      </c>
      <c r="Z125" s="673">
        <v>377959</v>
      </c>
      <c r="AA125" s="673">
        <v>1148795</v>
      </c>
      <c r="AB125" s="673">
        <v>40807</v>
      </c>
      <c r="AC125" s="673">
        <v>40884</v>
      </c>
      <c r="AD125" s="673">
        <v>919093</v>
      </c>
      <c r="AE125" s="673">
        <v>164718</v>
      </c>
      <c r="AF125" s="673">
        <v>111171</v>
      </c>
      <c r="AG125" s="673">
        <v>8255105</v>
      </c>
      <c r="AH125" s="673">
        <v>47400290</v>
      </c>
      <c r="AI125" s="673">
        <v>904130</v>
      </c>
      <c r="AJ125" s="673">
        <v>45282188</v>
      </c>
      <c r="AK125" s="673">
        <v>6563</v>
      </c>
      <c r="AL125" s="673">
        <v>0</v>
      </c>
      <c r="AM125" s="673">
        <v>120017</v>
      </c>
      <c r="AN125" s="673">
        <v>25809</v>
      </c>
      <c r="AO125" s="673">
        <v>1085614</v>
      </c>
      <c r="AP125" s="673">
        <v>336022</v>
      </c>
      <c r="AQ125" s="673">
        <v>436474</v>
      </c>
      <c r="AR125" s="673">
        <v>147956</v>
      </c>
      <c r="AS125" s="673">
        <v>198809</v>
      </c>
      <c r="AT125" s="673">
        <v>0</v>
      </c>
      <c r="AU125" s="673">
        <v>23728</v>
      </c>
      <c r="AV125" s="673">
        <v>0</v>
      </c>
      <c r="AW125" s="673">
        <v>7304949</v>
      </c>
      <c r="AX125" s="673">
        <v>0</v>
      </c>
      <c r="AY125" s="673">
        <v>0</v>
      </c>
      <c r="AZ125" s="673">
        <v>16664</v>
      </c>
      <c r="BA125" s="673">
        <v>606066</v>
      </c>
      <c r="BB125" s="673">
        <v>192520</v>
      </c>
    </row>
    <row r="126" spans="1:54" x14ac:dyDescent="0.25">
      <c r="A126">
        <v>519</v>
      </c>
      <c r="B126">
        <v>519</v>
      </c>
      <c r="C126">
        <v>519</v>
      </c>
      <c r="D126" t="s">
        <v>361</v>
      </c>
      <c r="E126" t="s">
        <v>500</v>
      </c>
      <c r="F126" s="673">
        <v>44648</v>
      </c>
      <c r="G126" s="673">
        <v>8796</v>
      </c>
      <c r="H126" s="673">
        <v>0</v>
      </c>
      <c r="I126" s="673">
        <v>2888</v>
      </c>
      <c r="J126" s="673">
        <v>957285</v>
      </c>
      <c r="K126" s="673">
        <v>73179</v>
      </c>
      <c r="L126" s="673">
        <v>0</v>
      </c>
      <c r="M126" s="673">
        <v>15019</v>
      </c>
      <c r="N126" s="673">
        <v>0</v>
      </c>
      <c r="O126" s="673">
        <v>0</v>
      </c>
      <c r="P126" s="673">
        <v>8842</v>
      </c>
      <c r="Q126" s="673">
        <v>0</v>
      </c>
      <c r="R126" s="673">
        <v>0</v>
      </c>
      <c r="S126" s="673">
        <v>0</v>
      </c>
      <c r="T126" s="673">
        <v>16956</v>
      </c>
      <c r="U126" s="673">
        <v>0</v>
      </c>
      <c r="V126" s="673">
        <v>144780</v>
      </c>
      <c r="W126" s="673">
        <v>2996</v>
      </c>
      <c r="X126" s="673">
        <v>0</v>
      </c>
      <c r="Y126" s="673">
        <v>6036</v>
      </c>
      <c r="Z126" s="673">
        <v>9893</v>
      </c>
      <c r="AA126" s="673">
        <v>14802</v>
      </c>
      <c r="AB126" s="673">
        <v>1063904</v>
      </c>
      <c r="AC126" s="673">
        <v>593</v>
      </c>
      <c r="AD126" s="673">
        <v>0</v>
      </c>
      <c r="AE126" s="673">
        <v>8789</v>
      </c>
      <c r="AF126" s="673">
        <v>0</v>
      </c>
      <c r="AG126" s="673">
        <v>370079</v>
      </c>
      <c r="AH126" s="673">
        <v>0</v>
      </c>
      <c r="AI126" s="673">
        <v>0</v>
      </c>
      <c r="AJ126" s="673">
        <v>153318</v>
      </c>
      <c r="AK126" s="673">
        <v>0</v>
      </c>
      <c r="AL126" s="673">
        <v>41284</v>
      </c>
      <c r="AM126" s="673">
        <v>0</v>
      </c>
      <c r="AN126" s="673">
        <v>0</v>
      </c>
      <c r="AO126" s="673">
        <v>778370</v>
      </c>
      <c r="AP126" s="673">
        <v>0</v>
      </c>
      <c r="AQ126" s="673">
        <v>8797</v>
      </c>
      <c r="AR126" s="673">
        <v>0</v>
      </c>
      <c r="AS126" s="673">
        <v>8788</v>
      </c>
      <c r="AT126" s="673">
        <v>0</v>
      </c>
      <c r="AU126" s="673">
        <v>0</v>
      </c>
      <c r="AV126" s="673">
        <v>0</v>
      </c>
      <c r="AW126" s="673">
        <v>22672</v>
      </c>
      <c r="AX126" s="673">
        <v>0</v>
      </c>
      <c r="AY126" s="673">
        <v>0</v>
      </c>
      <c r="AZ126" s="673">
        <v>4699</v>
      </c>
      <c r="BA126" s="673">
        <v>0</v>
      </c>
      <c r="BB126" s="673">
        <v>11443</v>
      </c>
    </row>
    <row r="127" spans="1:54" x14ac:dyDescent="0.25">
      <c r="A127">
        <v>520</v>
      </c>
      <c r="B127">
        <v>520</v>
      </c>
      <c r="C127">
        <v>520</v>
      </c>
      <c r="D127" t="s">
        <v>362</v>
      </c>
      <c r="E127" t="s">
        <v>501</v>
      </c>
      <c r="F127" s="673">
        <v>576218</v>
      </c>
      <c r="G127" s="673">
        <v>512470</v>
      </c>
      <c r="H127" s="673">
        <v>1050090</v>
      </c>
      <c r="I127" s="673">
        <v>418198</v>
      </c>
      <c r="J127" s="673">
        <v>5319790</v>
      </c>
      <c r="K127" s="673">
        <v>6058607</v>
      </c>
      <c r="L127" s="673">
        <v>19481851</v>
      </c>
      <c r="M127" s="673">
        <v>988737</v>
      </c>
      <c r="N127" s="673">
        <v>0</v>
      </c>
      <c r="O127" s="673">
        <v>907860</v>
      </c>
      <c r="P127" s="673">
        <v>812319</v>
      </c>
      <c r="Q127" s="673">
        <v>83185</v>
      </c>
      <c r="R127" s="673">
        <v>166344</v>
      </c>
      <c r="S127" s="673">
        <v>164317</v>
      </c>
      <c r="T127" s="673">
        <v>610261</v>
      </c>
      <c r="U127" s="673">
        <v>134140</v>
      </c>
      <c r="V127" s="673">
        <v>8814922</v>
      </c>
      <c r="W127" s="673">
        <v>129712</v>
      </c>
      <c r="X127" s="673">
        <v>89798</v>
      </c>
      <c r="Y127" s="673">
        <v>230573</v>
      </c>
      <c r="Z127" s="673">
        <v>1561114</v>
      </c>
      <c r="AA127" s="673">
        <v>252376</v>
      </c>
      <c r="AB127" s="673">
        <v>0</v>
      </c>
      <c r="AC127" s="673">
        <v>73952</v>
      </c>
      <c r="AD127" s="673">
        <v>3364641</v>
      </c>
      <c r="AE127" s="673">
        <v>255229</v>
      </c>
      <c r="AF127" s="673">
        <v>272270</v>
      </c>
      <c r="AG127" s="673">
        <v>4888962</v>
      </c>
      <c r="AH127" s="673">
        <v>7944185</v>
      </c>
      <c r="AI127" s="673">
        <v>2324253</v>
      </c>
      <c r="AJ127" s="673">
        <v>21076024</v>
      </c>
      <c r="AK127" s="673">
        <v>12003</v>
      </c>
      <c r="AL127" s="673">
        <v>2083747</v>
      </c>
      <c r="AM127" s="673">
        <v>150366</v>
      </c>
      <c r="AN127" s="673">
        <v>30684</v>
      </c>
      <c r="AO127" s="673">
        <v>1113745</v>
      </c>
      <c r="AP127" s="673">
        <v>485968</v>
      </c>
      <c r="AQ127" s="673">
        <v>630767</v>
      </c>
      <c r="AR127" s="673">
        <v>228078</v>
      </c>
      <c r="AS127" s="673">
        <v>186895</v>
      </c>
      <c r="AT127" s="673">
        <v>321208</v>
      </c>
      <c r="AU127" s="673">
        <v>30356</v>
      </c>
      <c r="AV127" s="673">
        <v>85626</v>
      </c>
      <c r="AW127" s="673">
        <v>1360772</v>
      </c>
      <c r="AX127" s="673">
        <v>55622</v>
      </c>
      <c r="AY127" s="673">
        <v>3565</v>
      </c>
      <c r="AZ127" s="673">
        <v>0</v>
      </c>
      <c r="BA127" s="673">
        <v>198349</v>
      </c>
      <c r="BB127" s="673">
        <v>580130</v>
      </c>
    </row>
    <row r="128" spans="1:54" x14ac:dyDescent="0.25">
      <c r="A128">
        <v>521</v>
      </c>
      <c r="B128">
        <v>521</v>
      </c>
      <c r="C128">
        <v>521</v>
      </c>
      <c r="D128" t="s">
        <v>363</v>
      </c>
      <c r="E128" t="s">
        <v>502</v>
      </c>
      <c r="F128" s="673">
        <v>0</v>
      </c>
      <c r="G128" s="673">
        <v>0</v>
      </c>
      <c r="H128" s="673">
        <v>0</v>
      </c>
      <c r="I128" s="673">
        <v>0</v>
      </c>
      <c r="J128" s="673">
        <v>0</v>
      </c>
      <c r="K128" s="673">
        <v>0</v>
      </c>
      <c r="L128" s="673">
        <v>0</v>
      </c>
      <c r="M128" s="673">
        <v>0</v>
      </c>
      <c r="N128" s="673">
        <v>0</v>
      </c>
      <c r="O128" s="673">
        <v>0</v>
      </c>
      <c r="P128" s="673">
        <v>0</v>
      </c>
      <c r="Q128" s="673">
        <v>0</v>
      </c>
      <c r="R128" s="673">
        <v>0</v>
      </c>
      <c r="S128" s="673">
        <v>0</v>
      </c>
      <c r="T128" s="673">
        <v>0</v>
      </c>
      <c r="U128" s="673">
        <v>0</v>
      </c>
      <c r="V128" s="673">
        <v>0</v>
      </c>
      <c r="W128" s="673">
        <v>0</v>
      </c>
      <c r="X128" s="673">
        <v>0</v>
      </c>
      <c r="Y128" s="673">
        <v>0</v>
      </c>
      <c r="Z128" s="673">
        <v>0</v>
      </c>
      <c r="AA128" s="673">
        <v>0</v>
      </c>
      <c r="AB128" s="673">
        <v>0</v>
      </c>
      <c r="AC128" s="673">
        <v>0</v>
      </c>
      <c r="AD128" s="673">
        <v>0</v>
      </c>
      <c r="AE128" s="673">
        <v>0</v>
      </c>
      <c r="AF128" s="673">
        <v>0</v>
      </c>
      <c r="AG128" s="673">
        <v>0</v>
      </c>
      <c r="AH128" s="673">
        <v>0</v>
      </c>
      <c r="AI128" s="673">
        <v>870901</v>
      </c>
      <c r="AJ128" s="673">
        <v>0</v>
      </c>
      <c r="AK128" s="673">
        <v>0</v>
      </c>
      <c r="AL128" s="673">
        <v>0</v>
      </c>
      <c r="AM128" s="673">
        <v>0</v>
      </c>
      <c r="AN128" s="673">
        <v>0</v>
      </c>
      <c r="AO128" s="673">
        <v>0</v>
      </c>
      <c r="AP128" s="673">
        <v>0</v>
      </c>
      <c r="AQ128" s="673">
        <v>0</v>
      </c>
      <c r="AR128" s="673">
        <v>0</v>
      </c>
      <c r="AS128" s="673">
        <v>0</v>
      </c>
      <c r="AT128" s="673">
        <v>0</v>
      </c>
      <c r="AU128" s="673">
        <v>0</v>
      </c>
      <c r="AV128" s="673">
        <v>0</v>
      </c>
      <c r="AW128" s="673">
        <v>0</v>
      </c>
      <c r="AX128" s="673">
        <v>0</v>
      </c>
      <c r="AY128" s="673">
        <v>0</v>
      </c>
      <c r="AZ128" s="673">
        <v>0</v>
      </c>
      <c r="BA128" s="673">
        <v>0</v>
      </c>
      <c r="BB128" s="673">
        <v>0</v>
      </c>
    </row>
    <row r="129" spans="1:54" x14ac:dyDescent="0.25">
      <c r="A129">
        <v>522</v>
      </c>
      <c r="B129">
        <v>522</v>
      </c>
      <c r="C129">
        <v>522</v>
      </c>
      <c r="D129" t="s">
        <v>364</v>
      </c>
      <c r="E129" t="s">
        <v>503</v>
      </c>
      <c r="F129" s="673">
        <v>75024</v>
      </c>
      <c r="G129" s="673">
        <v>34646</v>
      </c>
      <c r="H129" s="673">
        <v>710259</v>
      </c>
      <c r="I129" s="673">
        <v>37839</v>
      </c>
      <c r="J129" s="673">
        <v>4116051</v>
      </c>
      <c r="K129" s="673">
        <v>597729</v>
      </c>
      <c r="L129" s="673">
        <v>2542954</v>
      </c>
      <c r="M129" s="673">
        <v>412437</v>
      </c>
      <c r="N129" s="673">
        <v>0</v>
      </c>
      <c r="O129" s="673">
        <v>11807</v>
      </c>
      <c r="P129" s="673">
        <v>46877</v>
      </c>
      <c r="Q129" s="673">
        <v>0</v>
      </c>
      <c r="R129" s="673">
        <v>18943</v>
      </c>
      <c r="S129" s="673">
        <v>0</v>
      </c>
      <c r="T129" s="673">
        <v>25218</v>
      </c>
      <c r="U129" s="673">
        <v>4731</v>
      </c>
      <c r="V129" s="673">
        <v>1235620</v>
      </c>
      <c r="W129" s="673">
        <v>485406</v>
      </c>
      <c r="X129" s="673">
        <v>13249</v>
      </c>
      <c r="Y129" s="673">
        <v>49850</v>
      </c>
      <c r="Z129" s="673">
        <v>14019</v>
      </c>
      <c r="AA129" s="673">
        <v>39366</v>
      </c>
      <c r="AB129" s="673">
        <v>2649</v>
      </c>
      <c r="AC129" s="673">
        <v>0</v>
      </c>
      <c r="AD129" s="673">
        <v>73360</v>
      </c>
      <c r="AE129" s="673">
        <v>13502</v>
      </c>
      <c r="AF129" s="673">
        <v>5559</v>
      </c>
      <c r="AG129" s="673">
        <v>497207</v>
      </c>
      <c r="AH129" s="673">
        <v>1282072</v>
      </c>
      <c r="AI129" s="673">
        <v>68931</v>
      </c>
      <c r="AJ129" s="673">
        <v>2626817</v>
      </c>
      <c r="AK129" s="673">
        <v>0</v>
      </c>
      <c r="AL129" s="673">
        <v>0</v>
      </c>
      <c r="AM129" s="673">
        <v>2209</v>
      </c>
      <c r="AN129" s="673">
        <v>1630</v>
      </c>
      <c r="AO129" s="673">
        <v>74065</v>
      </c>
      <c r="AP129" s="673">
        <v>11929</v>
      </c>
      <c r="AQ129" s="673">
        <v>41061</v>
      </c>
      <c r="AR129" s="673">
        <v>4747</v>
      </c>
      <c r="AS129" s="673">
        <v>15190</v>
      </c>
      <c r="AT129" s="673">
        <v>0</v>
      </c>
      <c r="AU129" s="673">
        <v>1245</v>
      </c>
      <c r="AV129" s="673">
        <v>0</v>
      </c>
      <c r="AW129" s="673">
        <v>247050</v>
      </c>
      <c r="AX129" s="673">
        <v>0</v>
      </c>
      <c r="AY129" s="673">
        <v>0</v>
      </c>
      <c r="AZ129" s="673">
        <v>0</v>
      </c>
      <c r="BA129" s="673">
        <v>34322</v>
      </c>
      <c r="BB129" s="673">
        <v>26039</v>
      </c>
    </row>
    <row r="130" spans="1:54" x14ac:dyDescent="0.25">
      <c r="A130">
        <v>523</v>
      </c>
      <c r="B130">
        <v>523</v>
      </c>
      <c r="C130">
        <v>523</v>
      </c>
      <c r="D130" t="s">
        <v>365</v>
      </c>
      <c r="E130" t="s">
        <v>504</v>
      </c>
      <c r="F130" s="673">
        <v>96689</v>
      </c>
      <c r="G130" s="673">
        <v>43980</v>
      </c>
      <c r="H130" s="673">
        <v>0</v>
      </c>
      <c r="I130" s="673">
        <v>0</v>
      </c>
      <c r="J130" s="673">
        <v>24355758</v>
      </c>
      <c r="K130" s="673">
        <v>1065914</v>
      </c>
      <c r="L130" s="673">
        <v>0</v>
      </c>
      <c r="M130" s="673">
        <v>232532</v>
      </c>
      <c r="N130" s="673">
        <v>0</v>
      </c>
      <c r="O130" s="673">
        <v>0</v>
      </c>
      <c r="P130" s="673">
        <v>44210</v>
      </c>
      <c r="Q130" s="673">
        <v>0</v>
      </c>
      <c r="R130" s="673">
        <v>0</v>
      </c>
      <c r="S130" s="673">
        <v>0</v>
      </c>
      <c r="T130" s="673">
        <v>96046</v>
      </c>
      <c r="U130" s="673">
        <v>0</v>
      </c>
      <c r="V130" s="673">
        <v>2196878</v>
      </c>
      <c r="W130" s="673">
        <v>76525</v>
      </c>
      <c r="X130" s="673">
        <v>0</v>
      </c>
      <c r="Y130" s="673">
        <v>67205</v>
      </c>
      <c r="Z130" s="673">
        <v>128119</v>
      </c>
      <c r="AA130" s="673">
        <v>155917</v>
      </c>
      <c r="AB130" s="673">
        <v>2512681</v>
      </c>
      <c r="AC130" s="673">
        <v>164938</v>
      </c>
      <c r="AD130" s="673">
        <v>0</v>
      </c>
      <c r="AE130" s="673">
        <v>43945</v>
      </c>
      <c r="AF130" s="673">
        <v>0</v>
      </c>
      <c r="AG130" s="673">
        <v>8534829</v>
      </c>
      <c r="AH130" s="673">
        <v>0</v>
      </c>
      <c r="AI130" s="673">
        <v>0</v>
      </c>
      <c r="AJ130" s="673">
        <v>3473173</v>
      </c>
      <c r="AK130" s="673">
        <v>0</v>
      </c>
      <c r="AL130" s="673">
        <v>832722</v>
      </c>
      <c r="AM130" s="673">
        <v>0</v>
      </c>
      <c r="AN130" s="673">
        <v>0</v>
      </c>
      <c r="AO130" s="673">
        <v>5297367</v>
      </c>
      <c r="AP130" s="673">
        <v>0</v>
      </c>
      <c r="AQ130" s="673">
        <v>43985</v>
      </c>
      <c r="AR130" s="673">
        <v>0</v>
      </c>
      <c r="AS130" s="673">
        <v>43940</v>
      </c>
      <c r="AT130" s="673">
        <v>0</v>
      </c>
      <c r="AU130" s="673">
        <v>0</v>
      </c>
      <c r="AV130" s="673">
        <v>0</v>
      </c>
      <c r="AW130" s="673">
        <v>332773</v>
      </c>
      <c r="AX130" s="673">
        <v>0</v>
      </c>
      <c r="AY130" s="673">
        <v>0</v>
      </c>
      <c r="AZ130" s="673">
        <v>182962</v>
      </c>
      <c r="BA130" s="673">
        <v>0</v>
      </c>
      <c r="BB130" s="673">
        <v>59133</v>
      </c>
    </row>
    <row r="131" spans="1:54" x14ac:dyDescent="0.25">
      <c r="A131">
        <v>524</v>
      </c>
      <c r="B131">
        <v>524</v>
      </c>
      <c r="C131">
        <v>524</v>
      </c>
      <c r="D131" t="s">
        <v>366</v>
      </c>
      <c r="E131" t="s">
        <v>505</v>
      </c>
      <c r="F131" s="673">
        <v>12111821</v>
      </c>
      <c r="G131" s="673">
        <v>7922095</v>
      </c>
      <c r="H131" s="673">
        <v>15381660</v>
      </c>
      <c r="I131" s="673">
        <v>11915</v>
      </c>
      <c r="J131" s="673">
        <v>100751920</v>
      </c>
      <c r="K131" s="673">
        <v>86091912</v>
      </c>
      <c r="L131" s="673">
        <v>153690506</v>
      </c>
      <c r="M131" s="673">
        <v>23030614</v>
      </c>
      <c r="N131" s="673">
        <v>0</v>
      </c>
      <c r="O131" s="673">
        <v>11842502</v>
      </c>
      <c r="P131" s="673">
        <v>11717792</v>
      </c>
      <c r="Q131" s="673">
        <v>1321111</v>
      </c>
      <c r="R131" s="673">
        <v>3467356</v>
      </c>
      <c r="S131" s="673">
        <v>1643164</v>
      </c>
      <c r="T131" s="673">
        <v>9448435</v>
      </c>
      <c r="U131" s="673">
        <v>2331538</v>
      </c>
      <c r="V131" s="673">
        <v>146502173</v>
      </c>
      <c r="W131" s="673">
        <v>3968876</v>
      </c>
      <c r="X131" s="673">
        <v>1461777</v>
      </c>
      <c r="Y131" s="673">
        <v>3339183</v>
      </c>
      <c r="Z131" s="673">
        <v>25055333</v>
      </c>
      <c r="AA131" s="673">
        <v>6047987</v>
      </c>
      <c r="AB131" s="673">
        <v>0</v>
      </c>
      <c r="AC131" s="673">
        <v>1677567</v>
      </c>
      <c r="AD131" s="673">
        <v>32939306</v>
      </c>
      <c r="AE131" s="673">
        <v>3672099</v>
      </c>
      <c r="AF131" s="673">
        <v>4441770</v>
      </c>
      <c r="AG131" s="673">
        <v>67501039</v>
      </c>
      <c r="AH131" s="673">
        <v>140072732</v>
      </c>
      <c r="AI131" s="673">
        <v>16043144</v>
      </c>
      <c r="AJ131" s="673">
        <v>353771788</v>
      </c>
      <c r="AK131" s="673">
        <v>142167</v>
      </c>
      <c r="AL131" s="673">
        <v>32016151</v>
      </c>
      <c r="AM131" s="673">
        <v>2043280</v>
      </c>
      <c r="AN131" s="673">
        <v>767086</v>
      </c>
      <c r="AO131" s="673">
        <v>6366800</v>
      </c>
      <c r="AP131" s="673">
        <v>7721175</v>
      </c>
      <c r="AQ131" s="673">
        <v>9019857</v>
      </c>
      <c r="AR131" s="673">
        <v>4754827</v>
      </c>
      <c r="AS131" s="673">
        <v>3225817</v>
      </c>
      <c r="AT131" s="673">
        <v>1765921</v>
      </c>
      <c r="AU131" s="673">
        <v>527856</v>
      </c>
      <c r="AV131" s="673">
        <v>1233921</v>
      </c>
      <c r="AW131" s="673">
        <v>17681408</v>
      </c>
      <c r="AX131" s="673">
        <v>740884</v>
      </c>
      <c r="AY131" s="673">
        <v>97348</v>
      </c>
      <c r="AZ131" s="673">
        <v>77841</v>
      </c>
      <c r="BA131" s="673">
        <v>3845478</v>
      </c>
      <c r="BB131" s="673">
        <v>11523304</v>
      </c>
    </row>
    <row r="132" spans="1:54" x14ac:dyDescent="0.25">
      <c r="A132">
        <v>525</v>
      </c>
      <c r="B132">
        <v>525</v>
      </c>
      <c r="C132">
        <v>525</v>
      </c>
      <c r="D132" t="s">
        <v>367</v>
      </c>
      <c r="E132" t="s">
        <v>506</v>
      </c>
      <c r="F132" s="673">
        <v>0</v>
      </c>
      <c r="G132" s="673">
        <v>0</v>
      </c>
      <c r="H132" s="673">
        <v>0</v>
      </c>
      <c r="I132" s="673">
        <v>0</v>
      </c>
      <c r="J132" s="673">
        <v>0</v>
      </c>
      <c r="K132" s="673">
        <v>0</v>
      </c>
      <c r="L132" s="673">
        <v>0</v>
      </c>
      <c r="M132" s="673">
        <v>0</v>
      </c>
      <c r="N132" s="673">
        <v>0</v>
      </c>
      <c r="O132" s="673">
        <v>0</v>
      </c>
      <c r="P132" s="673">
        <v>0</v>
      </c>
      <c r="Q132" s="673">
        <v>0</v>
      </c>
      <c r="R132" s="673">
        <v>0</v>
      </c>
      <c r="S132" s="673">
        <v>0</v>
      </c>
      <c r="T132" s="673">
        <v>0</v>
      </c>
      <c r="U132" s="673">
        <v>0</v>
      </c>
      <c r="V132" s="673">
        <v>0</v>
      </c>
      <c r="W132" s="673">
        <v>0</v>
      </c>
      <c r="X132" s="673">
        <v>0</v>
      </c>
      <c r="Y132" s="673">
        <v>0</v>
      </c>
      <c r="Z132" s="673">
        <v>0</v>
      </c>
      <c r="AA132" s="673">
        <v>0</v>
      </c>
      <c r="AB132" s="673">
        <v>0</v>
      </c>
      <c r="AC132" s="673">
        <v>0</v>
      </c>
      <c r="AD132" s="673">
        <v>0</v>
      </c>
      <c r="AE132" s="673">
        <v>0</v>
      </c>
      <c r="AF132" s="673">
        <v>0</v>
      </c>
      <c r="AG132" s="673">
        <v>0</v>
      </c>
      <c r="AH132" s="673">
        <v>0</v>
      </c>
      <c r="AI132" s="673">
        <v>9840123</v>
      </c>
      <c r="AJ132" s="673">
        <v>0</v>
      </c>
      <c r="AK132" s="673">
        <v>0</v>
      </c>
      <c r="AL132" s="673">
        <v>0</v>
      </c>
      <c r="AM132" s="673">
        <v>0</v>
      </c>
      <c r="AN132" s="673">
        <v>0</v>
      </c>
      <c r="AO132" s="673">
        <v>0</v>
      </c>
      <c r="AP132" s="673">
        <v>0</v>
      </c>
      <c r="AQ132" s="673">
        <v>0</v>
      </c>
      <c r="AR132" s="673">
        <v>0</v>
      </c>
      <c r="AS132" s="673">
        <v>0</v>
      </c>
      <c r="AT132" s="673">
        <v>0</v>
      </c>
      <c r="AU132" s="673">
        <v>0</v>
      </c>
      <c r="AV132" s="673">
        <v>0</v>
      </c>
      <c r="AW132" s="673">
        <v>0</v>
      </c>
      <c r="AX132" s="673">
        <v>0</v>
      </c>
      <c r="AY132" s="673">
        <v>0</v>
      </c>
      <c r="AZ132" s="673">
        <v>0</v>
      </c>
      <c r="BA132" s="673">
        <v>0</v>
      </c>
      <c r="BB132" s="673">
        <v>0</v>
      </c>
    </row>
    <row r="133" spans="1:54" x14ac:dyDescent="0.25">
      <c r="A133">
        <v>526</v>
      </c>
      <c r="B133">
        <v>526</v>
      </c>
      <c r="C133">
        <v>526</v>
      </c>
      <c r="D133" t="s">
        <v>368</v>
      </c>
      <c r="E133" t="s">
        <v>507</v>
      </c>
      <c r="F133" s="673">
        <v>693422</v>
      </c>
      <c r="G133" s="673">
        <v>252625</v>
      </c>
      <c r="H133" s="673">
        <v>3580366</v>
      </c>
      <c r="I133" s="673">
        <v>1016</v>
      </c>
      <c r="J133" s="673">
        <v>52164615</v>
      </c>
      <c r="K133" s="673">
        <v>6661929</v>
      </c>
      <c r="L133" s="673">
        <v>19777447</v>
      </c>
      <c r="M133" s="673">
        <v>3561120</v>
      </c>
      <c r="N133" s="673">
        <v>0</v>
      </c>
      <c r="O133" s="673">
        <v>255319</v>
      </c>
      <c r="P133" s="673">
        <v>328893</v>
      </c>
      <c r="Q133" s="673">
        <v>0</v>
      </c>
      <c r="R133" s="673">
        <v>218647</v>
      </c>
      <c r="S133" s="673">
        <v>0</v>
      </c>
      <c r="T133" s="673">
        <v>187322</v>
      </c>
      <c r="U133" s="673">
        <v>82906</v>
      </c>
      <c r="V133" s="673">
        <v>14810019</v>
      </c>
      <c r="W133" s="673">
        <v>2190856</v>
      </c>
      <c r="X133" s="673">
        <v>242700</v>
      </c>
      <c r="Y133" s="673">
        <v>307205</v>
      </c>
      <c r="Z133" s="673">
        <v>217712</v>
      </c>
      <c r="AA133" s="673">
        <v>410997</v>
      </c>
      <c r="AB133" s="673">
        <v>2810</v>
      </c>
      <c r="AC133" s="673">
        <v>40884</v>
      </c>
      <c r="AD133" s="673">
        <v>474997</v>
      </c>
      <c r="AE133" s="673">
        <v>103150</v>
      </c>
      <c r="AF133" s="673">
        <v>34278</v>
      </c>
      <c r="AG133" s="673">
        <v>7045427</v>
      </c>
      <c r="AH133" s="673">
        <v>34440139</v>
      </c>
      <c r="AI133" s="673">
        <v>780013</v>
      </c>
      <c r="AJ133" s="673">
        <v>32451086</v>
      </c>
      <c r="AK133" s="673">
        <v>6563</v>
      </c>
      <c r="AL133" s="673">
        <v>0</v>
      </c>
      <c r="AM133" s="673">
        <v>96393</v>
      </c>
      <c r="AN133" s="673">
        <v>21598</v>
      </c>
      <c r="AO133" s="673">
        <v>756287</v>
      </c>
      <c r="AP133" s="673">
        <v>284481</v>
      </c>
      <c r="AQ133" s="673">
        <v>312966</v>
      </c>
      <c r="AR133" s="673">
        <v>123085</v>
      </c>
      <c r="AS133" s="673">
        <v>91911</v>
      </c>
      <c r="AT133" s="673">
        <v>0</v>
      </c>
      <c r="AU133" s="673">
        <v>14416</v>
      </c>
      <c r="AV133" s="673">
        <v>0</v>
      </c>
      <c r="AW133" s="673">
        <v>2447309</v>
      </c>
      <c r="AX133" s="673">
        <v>0</v>
      </c>
      <c r="AY133" s="673">
        <v>0</v>
      </c>
      <c r="AZ133" s="673">
        <v>16664</v>
      </c>
      <c r="BA133" s="673">
        <v>470844</v>
      </c>
      <c r="BB133" s="673">
        <v>51320</v>
      </c>
    </row>
    <row r="134" spans="1:54" x14ac:dyDescent="0.25">
      <c r="A134">
        <v>527</v>
      </c>
      <c r="B134">
        <v>527</v>
      </c>
      <c r="C134">
        <v>527</v>
      </c>
      <c r="D134" t="s">
        <v>369</v>
      </c>
      <c r="E134" t="s">
        <v>508</v>
      </c>
      <c r="F134" s="673">
        <v>0</v>
      </c>
      <c r="G134" s="673">
        <v>0</v>
      </c>
      <c r="H134" s="673">
        <v>0</v>
      </c>
      <c r="I134" s="673">
        <v>0</v>
      </c>
      <c r="J134" s="673">
        <v>0</v>
      </c>
      <c r="K134" s="673">
        <v>0</v>
      </c>
      <c r="L134" s="673">
        <v>0</v>
      </c>
      <c r="M134" s="673">
        <v>0</v>
      </c>
      <c r="N134" s="673">
        <v>0</v>
      </c>
      <c r="O134" s="673">
        <v>0</v>
      </c>
      <c r="P134" s="673">
        <v>0</v>
      </c>
      <c r="Q134" s="673">
        <v>0</v>
      </c>
      <c r="R134" s="673">
        <v>0</v>
      </c>
      <c r="S134" s="673">
        <v>0</v>
      </c>
      <c r="T134" s="673">
        <v>0</v>
      </c>
      <c r="U134" s="673">
        <v>0</v>
      </c>
      <c r="V134" s="673">
        <v>15366890</v>
      </c>
      <c r="W134" s="673">
        <v>0</v>
      </c>
      <c r="X134" s="673">
        <v>0</v>
      </c>
      <c r="Y134" s="673">
        <v>0</v>
      </c>
      <c r="Z134" s="673">
        <v>0</v>
      </c>
      <c r="AA134" s="673">
        <v>0</v>
      </c>
      <c r="AB134" s="673">
        <v>0</v>
      </c>
      <c r="AC134" s="673">
        <v>0</v>
      </c>
      <c r="AD134" s="673">
        <v>0</v>
      </c>
      <c r="AE134" s="673">
        <v>0</v>
      </c>
      <c r="AF134" s="673">
        <v>0</v>
      </c>
      <c r="AG134" s="673">
        <v>0</v>
      </c>
      <c r="AH134" s="673">
        <v>0</v>
      </c>
      <c r="AI134" s="673">
        <v>0</v>
      </c>
      <c r="AJ134" s="673">
        <v>39029395</v>
      </c>
      <c r="AK134" s="673">
        <v>0</v>
      </c>
      <c r="AL134" s="673">
        <v>0</v>
      </c>
      <c r="AM134" s="673">
        <v>0</v>
      </c>
      <c r="AN134" s="673">
        <v>0</v>
      </c>
      <c r="AO134" s="673">
        <v>0</v>
      </c>
      <c r="AP134" s="673">
        <v>0</v>
      </c>
      <c r="AQ134" s="673">
        <v>0</v>
      </c>
      <c r="AR134" s="673">
        <v>0</v>
      </c>
      <c r="AS134" s="673">
        <v>0</v>
      </c>
      <c r="AT134" s="673">
        <v>0</v>
      </c>
      <c r="AU134" s="673">
        <v>0</v>
      </c>
      <c r="AV134" s="673">
        <v>0</v>
      </c>
      <c r="AW134" s="673">
        <v>0</v>
      </c>
      <c r="AX134" s="673">
        <v>0</v>
      </c>
      <c r="AY134" s="673">
        <v>0</v>
      </c>
      <c r="AZ134" s="673">
        <v>0</v>
      </c>
      <c r="BA134" s="673">
        <v>0</v>
      </c>
      <c r="BB134" s="673">
        <v>0</v>
      </c>
    </row>
    <row r="135" spans="1:54" x14ac:dyDescent="0.25">
      <c r="A135">
        <v>528</v>
      </c>
      <c r="B135">
        <v>528</v>
      </c>
      <c r="C135">
        <v>528</v>
      </c>
      <c r="D135" t="s">
        <v>352</v>
      </c>
      <c r="E135" t="s">
        <v>509</v>
      </c>
      <c r="F135" s="673">
        <v>0</v>
      </c>
      <c r="G135" s="673">
        <v>0</v>
      </c>
      <c r="H135" s="673">
        <v>0</v>
      </c>
      <c r="I135" s="673">
        <v>0</v>
      </c>
      <c r="J135" s="673">
        <v>0</v>
      </c>
      <c r="K135" s="673">
        <v>0</v>
      </c>
      <c r="L135" s="673">
        <v>0</v>
      </c>
      <c r="M135" s="673">
        <v>659891</v>
      </c>
      <c r="N135" s="673">
        <v>0</v>
      </c>
      <c r="O135" s="673">
        <v>0</v>
      </c>
      <c r="P135" s="673">
        <v>0</v>
      </c>
      <c r="Q135" s="673">
        <v>0</v>
      </c>
      <c r="R135" s="673">
        <v>0</v>
      </c>
      <c r="S135" s="673">
        <v>0</v>
      </c>
      <c r="T135" s="673">
        <v>0</v>
      </c>
      <c r="U135" s="673">
        <v>0</v>
      </c>
      <c r="V135" s="673">
        <v>0</v>
      </c>
      <c r="W135" s="673">
        <v>0</v>
      </c>
      <c r="X135" s="673">
        <v>0</v>
      </c>
      <c r="Y135" s="673">
        <v>240837</v>
      </c>
      <c r="Z135" s="673">
        <v>0</v>
      </c>
      <c r="AA135" s="673">
        <v>0</v>
      </c>
      <c r="AB135" s="673">
        <v>0</v>
      </c>
      <c r="AC135" s="673">
        <v>0</v>
      </c>
      <c r="AD135" s="673">
        <v>0</v>
      </c>
      <c r="AE135" s="673">
        <v>0</v>
      </c>
      <c r="AF135" s="673">
        <v>0</v>
      </c>
      <c r="AG135" s="673">
        <v>0</v>
      </c>
      <c r="AH135" s="673">
        <v>0</v>
      </c>
      <c r="AI135" s="673">
        <v>0</v>
      </c>
      <c r="AJ135" s="673">
        <v>0</v>
      </c>
      <c r="AK135" s="673">
        <v>59817</v>
      </c>
      <c r="AL135" s="673">
        <v>0</v>
      </c>
      <c r="AM135" s="673">
        <v>0</v>
      </c>
      <c r="AN135" s="673">
        <v>118814</v>
      </c>
      <c r="AO135" s="673">
        <v>0</v>
      </c>
      <c r="AP135" s="673">
        <v>0</v>
      </c>
      <c r="AQ135" s="673">
        <v>0</v>
      </c>
      <c r="AR135" s="673">
        <v>0</v>
      </c>
      <c r="AS135" s="673">
        <v>0</v>
      </c>
      <c r="AT135" s="673">
        <v>0</v>
      </c>
      <c r="AU135" s="673">
        <v>0</v>
      </c>
      <c r="AV135" s="673">
        <v>0</v>
      </c>
      <c r="AW135" s="673">
        <v>0</v>
      </c>
      <c r="AX135" s="673">
        <v>0</v>
      </c>
      <c r="AY135" s="673">
        <v>16236</v>
      </c>
      <c r="AZ135" s="673">
        <v>0</v>
      </c>
      <c r="BA135" s="673">
        <v>0</v>
      </c>
      <c r="BB135" s="673">
        <v>0</v>
      </c>
    </row>
    <row r="136" spans="1:54" x14ac:dyDescent="0.25">
      <c r="A136">
        <v>529</v>
      </c>
      <c r="B136">
        <v>529</v>
      </c>
      <c r="C136">
        <v>529</v>
      </c>
      <c r="D136" t="s">
        <v>353</v>
      </c>
      <c r="E136" t="s">
        <v>510</v>
      </c>
      <c r="F136" s="673">
        <v>0</v>
      </c>
      <c r="G136" s="673">
        <v>0</v>
      </c>
      <c r="H136" s="673">
        <v>0</v>
      </c>
      <c r="I136" s="673">
        <v>0</v>
      </c>
      <c r="J136" s="673">
        <v>0</v>
      </c>
      <c r="K136" s="673">
        <v>0</v>
      </c>
      <c r="L136" s="673">
        <v>0</v>
      </c>
      <c r="M136" s="673">
        <v>78016</v>
      </c>
      <c r="N136" s="673">
        <v>0</v>
      </c>
      <c r="O136" s="673">
        <v>0</v>
      </c>
      <c r="P136" s="673">
        <v>0</v>
      </c>
      <c r="Q136" s="673">
        <v>0</v>
      </c>
      <c r="R136" s="673">
        <v>0</v>
      </c>
      <c r="S136" s="673">
        <v>0</v>
      </c>
      <c r="T136" s="673">
        <v>0</v>
      </c>
      <c r="U136" s="673">
        <v>0</v>
      </c>
      <c r="V136" s="673">
        <v>0</v>
      </c>
      <c r="W136" s="673">
        <v>0</v>
      </c>
      <c r="X136" s="673">
        <v>0</v>
      </c>
      <c r="Y136" s="673">
        <v>19503</v>
      </c>
      <c r="Z136" s="673">
        <v>0</v>
      </c>
      <c r="AA136" s="673">
        <v>0</v>
      </c>
      <c r="AB136" s="673">
        <v>0</v>
      </c>
      <c r="AC136" s="673">
        <v>0</v>
      </c>
      <c r="AD136" s="673">
        <v>0</v>
      </c>
      <c r="AE136" s="673">
        <v>0</v>
      </c>
      <c r="AF136" s="673">
        <v>0</v>
      </c>
      <c r="AG136" s="673">
        <v>0</v>
      </c>
      <c r="AH136" s="673">
        <v>0</v>
      </c>
      <c r="AI136" s="673">
        <v>0</v>
      </c>
      <c r="AJ136" s="673">
        <v>0</v>
      </c>
      <c r="AK136" s="673">
        <v>9626</v>
      </c>
      <c r="AL136" s="673">
        <v>0</v>
      </c>
      <c r="AM136" s="673">
        <v>0</v>
      </c>
      <c r="AN136" s="673">
        <v>13965</v>
      </c>
      <c r="AO136" s="673">
        <v>0</v>
      </c>
      <c r="AP136" s="673">
        <v>0</v>
      </c>
      <c r="AQ136" s="673">
        <v>0</v>
      </c>
      <c r="AR136" s="673">
        <v>0</v>
      </c>
      <c r="AS136" s="673">
        <v>0</v>
      </c>
      <c r="AT136" s="673">
        <v>0</v>
      </c>
      <c r="AU136" s="673">
        <v>0</v>
      </c>
      <c r="AV136" s="673">
        <v>0</v>
      </c>
      <c r="AW136" s="673">
        <v>0</v>
      </c>
      <c r="AX136" s="673">
        <v>0</v>
      </c>
      <c r="AY136" s="673">
        <v>2474</v>
      </c>
      <c r="AZ136" s="673">
        <v>0</v>
      </c>
      <c r="BA136" s="673">
        <v>0</v>
      </c>
      <c r="BB136" s="673">
        <v>0</v>
      </c>
    </row>
    <row r="137" spans="1:54" x14ac:dyDescent="0.25">
      <c r="A137">
        <v>530</v>
      </c>
      <c r="B137">
        <v>530</v>
      </c>
      <c r="C137">
        <v>530</v>
      </c>
      <c r="D137" t="s">
        <v>354</v>
      </c>
      <c r="E137" t="s">
        <v>511</v>
      </c>
      <c r="F137" s="673">
        <v>0</v>
      </c>
      <c r="G137" s="673">
        <v>0</v>
      </c>
      <c r="H137" s="673">
        <v>0</v>
      </c>
      <c r="I137" s="673">
        <v>0</v>
      </c>
      <c r="J137" s="673">
        <v>0</v>
      </c>
      <c r="K137" s="673">
        <v>0</v>
      </c>
      <c r="L137" s="673">
        <v>0</v>
      </c>
      <c r="M137" s="673">
        <v>16374</v>
      </c>
      <c r="N137" s="673">
        <v>0</v>
      </c>
      <c r="O137" s="673">
        <v>0</v>
      </c>
      <c r="P137" s="673">
        <v>0</v>
      </c>
      <c r="Q137" s="673">
        <v>0</v>
      </c>
      <c r="R137" s="673">
        <v>0</v>
      </c>
      <c r="S137" s="673">
        <v>0</v>
      </c>
      <c r="T137" s="673">
        <v>0</v>
      </c>
      <c r="U137" s="673">
        <v>0</v>
      </c>
      <c r="V137" s="673">
        <v>0</v>
      </c>
      <c r="W137" s="673">
        <v>0</v>
      </c>
      <c r="X137" s="673">
        <v>0</v>
      </c>
      <c r="Y137" s="673">
        <v>3330</v>
      </c>
      <c r="Z137" s="673">
        <v>0</v>
      </c>
      <c r="AA137" s="673">
        <v>0</v>
      </c>
      <c r="AB137" s="673">
        <v>0</v>
      </c>
      <c r="AC137" s="673">
        <v>0</v>
      </c>
      <c r="AD137" s="673">
        <v>0</v>
      </c>
      <c r="AE137" s="673">
        <v>0</v>
      </c>
      <c r="AF137" s="673">
        <v>0</v>
      </c>
      <c r="AG137" s="673">
        <v>0</v>
      </c>
      <c r="AH137" s="673">
        <v>0</v>
      </c>
      <c r="AI137" s="673">
        <v>0</v>
      </c>
      <c r="AJ137" s="673">
        <v>0</v>
      </c>
      <c r="AK137" s="673">
        <v>769</v>
      </c>
      <c r="AL137" s="673">
        <v>0</v>
      </c>
      <c r="AM137" s="673">
        <v>0</v>
      </c>
      <c r="AN137" s="673">
        <v>1700</v>
      </c>
      <c r="AO137" s="673">
        <v>0</v>
      </c>
      <c r="AP137" s="673">
        <v>0</v>
      </c>
      <c r="AQ137" s="673">
        <v>0</v>
      </c>
      <c r="AR137" s="673">
        <v>0</v>
      </c>
      <c r="AS137" s="673">
        <v>0</v>
      </c>
      <c r="AT137" s="673">
        <v>0</v>
      </c>
      <c r="AU137" s="673">
        <v>0</v>
      </c>
      <c r="AV137" s="673">
        <v>0</v>
      </c>
      <c r="AW137" s="673">
        <v>0</v>
      </c>
      <c r="AX137" s="673">
        <v>0</v>
      </c>
      <c r="AY137" s="673">
        <v>0</v>
      </c>
      <c r="AZ137" s="673">
        <v>0</v>
      </c>
      <c r="BA137" s="673">
        <v>0</v>
      </c>
      <c r="BB137" s="673">
        <v>0</v>
      </c>
    </row>
    <row r="138" spans="1:54" x14ac:dyDescent="0.25">
      <c r="A138">
        <v>531</v>
      </c>
      <c r="B138">
        <v>531</v>
      </c>
      <c r="C138">
        <v>531</v>
      </c>
      <c r="D138" t="s">
        <v>355</v>
      </c>
      <c r="E138" t="s">
        <v>512</v>
      </c>
      <c r="F138" s="673">
        <v>0</v>
      </c>
      <c r="G138" s="673">
        <v>0</v>
      </c>
      <c r="H138" s="673">
        <v>0</v>
      </c>
      <c r="I138" s="673">
        <v>0</v>
      </c>
      <c r="J138" s="673">
        <v>0</v>
      </c>
      <c r="K138" s="673">
        <v>0</v>
      </c>
      <c r="L138" s="673">
        <v>0</v>
      </c>
      <c r="M138" s="673">
        <v>865</v>
      </c>
      <c r="N138" s="673">
        <v>0</v>
      </c>
      <c r="O138" s="673">
        <v>0</v>
      </c>
      <c r="P138" s="673">
        <v>0</v>
      </c>
      <c r="Q138" s="673">
        <v>0</v>
      </c>
      <c r="R138" s="673">
        <v>0</v>
      </c>
      <c r="S138" s="673">
        <v>0</v>
      </c>
      <c r="T138" s="673">
        <v>0</v>
      </c>
      <c r="U138" s="673">
        <v>0</v>
      </c>
      <c r="V138" s="673">
        <v>0</v>
      </c>
      <c r="W138" s="673">
        <v>0</v>
      </c>
      <c r="X138" s="673">
        <v>0</v>
      </c>
      <c r="Y138" s="673">
        <v>76</v>
      </c>
      <c r="Z138" s="673">
        <v>0</v>
      </c>
      <c r="AA138" s="673">
        <v>0</v>
      </c>
      <c r="AB138" s="673">
        <v>0</v>
      </c>
      <c r="AC138" s="673">
        <v>0</v>
      </c>
      <c r="AD138" s="673">
        <v>0</v>
      </c>
      <c r="AE138" s="673">
        <v>0</v>
      </c>
      <c r="AF138" s="673">
        <v>0</v>
      </c>
      <c r="AG138" s="673">
        <v>0</v>
      </c>
      <c r="AH138" s="673">
        <v>0</v>
      </c>
      <c r="AI138" s="673">
        <v>0</v>
      </c>
      <c r="AJ138" s="673">
        <v>0</v>
      </c>
      <c r="AK138" s="673">
        <v>0</v>
      </c>
      <c r="AL138" s="673">
        <v>0</v>
      </c>
      <c r="AM138" s="673">
        <v>0</v>
      </c>
      <c r="AN138" s="673">
        <v>0</v>
      </c>
      <c r="AO138" s="673">
        <v>0</v>
      </c>
      <c r="AP138" s="673">
        <v>0</v>
      </c>
      <c r="AQ138" s="673">
        <v>0</v>
      </c>
      <c r="AR138" s="673">
        <v>0</v>
      </c>
      <c r="AS138" s="673">
        <v>0</v>
      </c>
      <c r="AT138" s="673">
        <v>0</v>
      </c>
      <c r="AU138" s="673">
        <v>0</v>
      </c>
      <c r="AV138" s="673">
        <v>0</v>
      </c>
      <c r="AW138" s="673">
        <v>0</v>
      </c>
      <c r="AX138" s="673">
        <v>0</v>
      </c>
      <c r="AY138" s="673">
        <v>0</v>
      </c>
      <c r="AZ138" s="673">
        <v>0</v>
      </c>
      <c r="BA138" s="673">
        <v>0</v>
      </c>
      <c r="BB138" s="673">
        <v>0</v>
      </c>
    </row>
    <row r="139" spans="1:54" x14ac:dyDescent="0.25">
      <c r="A139">
        <v>532</v>
      </c>
      <c r="B139">
        <v>532</v>
      </c>
      <c r="C139">
        <v>532</v>
      </c>
      <c r="D139" t="s">
        <v>589</v>
      </c>
      <c r="E139" t="s">
        <v>513</v>
      </c>
      <c r="F139" s="673">
        <v>0</v>
      </c>
      <c r="G139" s="673">
        <v>0</v>
      </c>
      <c r="H139" s="673">
        <v>0</v>
      </c>
      <c r="I139" s="673">
        <v>0</v>
      </c>
      <c r="J139" s="673">
        <v>0</v>
      </c>
      <c r="K139" s="673">
        <v>0</v>
      </c>
      <c r="L139" s="673">
        <v>0</v>
      </c>
      <c r="M139" s="673">
        <v>0</v>
      </c>
      <c r="N139" s="673">
        <v>0</v>
      </c>
      <c r="O139" s="673">
        <v>0</v>
      </c>
      <c r="P139" s="673">
        <v>0</v>
      </c>
      <c r="Q139" s="673">
        <v>0</v>
      </c>
      <c r="R139" s="673">
        <v>0</v>
      </c>
      <c r="S139" s="673">
        <v>0</v>
      </c>
      <c r="T139" s="673">
        <v>0</v>
      </c>
      <c r="U139" s="673">
        <v>0</v>
      </c>
      <c r="V139" s="673">
        <v>0</v>
      </c>
      <c r="W139" s="673">
        <v>0</v>
      </c>
      <c r="X139" s="673">
        <v>0</v>
      </c>
      <c r="Y139" s="673">
        <v>0</v>
      </c>
      <c r="Z139" s="673">
        <v>0</v>
      </c>
      <c r="AA139" s="673">
        <v>0</v>
      </c>
      <c r="AB139" s="673">
        <v>0</v>
      </c>
      <c r="AC139" s="673">
        <v>0</v>
      </c>
      <c r="AD139" s="673">
        <v>0</v>
      </c>
      <c r="AE139" s="673">
        <v>0</v>
      </c>
      <c r="AF139" s="673">
        <v>0</v>
      </c>
      <c r="AG139" s="673">
        <v>0</v>
      </c>
      <c r="AH139" s="673">
        <v>0</v>
      </c>
      <c r="AI139" s="673">
        <v>0</v>
      </c>
      <c r="AJ139" s="673">
        <v>0</v>
      </c>
      <c r="AK139" s="673">
        <v>70742</v>
      </c>
      <c r="AL139" s="673">
        <v>0</v>
      </c>
      <c r="AM139" s="673">
        <v>0</v>
      </c>
      <c r="AN139" s="673">
        <v>0</v>
      </c>
      <c r="AO139" s="673">
        <v>0</v>
      </c>
      <c r="AP139" s="673">
        <v>0</v>
      </c>
      <c r="AQ139" s="673">
        <v>0</v>
      </c>
      <c r="AR139" s="673">
        <v>0</v>
      </c>
      <c r="AS139" s="673">
        <v>0</v>
      </c>
      <c r="AT139" s="673">
        <v>0</v>
      </c>
      <c r="AU139" s="673">
        <v>0</v>
      </c>
      <c r="AV139" s="673">
        <v>0</v>
      </c>
      <c r="AW139" s="673">
        <v>0</v>
      </c>
      <c r="AX139" s="673">
        <v>0</v>
      </c>
      <c r="AY139" s="673">
        <v>0</v>
      </c>
      <c r="AZ139" s="673">
        <v>0</v>
      </c>
      <c r="BA139" s="673">
        <v>0</v>
      </c>
      <c r="BB139" s="673">
        <v>0</v>
      </c>
    </row>
    <row r="140" spans="1:54" x14ac:dyDescent="0.25">
      <c r="A140">
        <v>533</v>
      </c>
      <c r="B140">
        <v>533</v>
      </c>
      <c r="C140">
        <v>533</v>
      </c>
      <c r="D140" t="s">
        <v>590</v>
      </c>
      <c r="E140" t="s">
        <v>514</v>
      </c>
      <c r="F140" s="673">
        <v>0</v>
      </c>
      <c r="G140" s="673">
        <v>0</v>
      </c>
      <c r="H140" s="673">
        <v>0</v>
      </c>
      <c r="I140" s="673">
        <v>0</v>
      </c>
      <c r="J140" s="673">
        <v>0</v>
      </c>
      <c r="K140" s="673">
        <v>0</v>
      </c>
      <c r="L140" s="673">
        <v>0</v>
      </c>
      <c r="M140" s="673">
        <v>0</v>
      </c>
      <c r="N140" s="673">
        <v>0</v>
      </c>
      <c r="O140" s="673">
        <v>0</v>
      </c>
      <c r="P140" s="673">
        <v>0</v>
      </c>
      <c r="Q140" s="673">
        <v>0</v>
      </c>
      <c r="R140" s="673">
        <v>0</v>
      </c>
      <c r="S140" s="673">
        <v>0</v>
      </c>
      <c r="T140" s="673">
        <v>0</v>
      </c>
      <c r="U140" s="673">
        <v>0</v>
      </c>
      <c r="V140" s="673">
        <v>0</v>
      </c>
      <c r="W140" s="673">
        <v>0</v>
      </c>
      <c r="X140" s="673">
        <v>0</v>
      </c>
      <c r="Y140" s="673">
        <v>0</v>
      </c>
      <c r="Z140" s="673">
        <v>0</v>
      </c>
      <c r="AA140" s="673">
        <v>0</v>
      </c>
      <c r="AB140" s="673">
        <v>0</v>
      </c>
      <c r="AC140" s="673">
        <v>0</v>
      </c>
      <c r="AD140" s="673">
        <v>0</v>
      </c>
      <c r="AE140" s="673">
        <v>0</v>
      </c>
      <c r="AF140" s="673">
        <v>0</v>
      </c>
      <c r="AG140" s="673">
        <v>0</v>
      </c>
      <c r="AH140" s="673">
        <v>0</v>
      </c>
      <c r="AI140" s="673">
        <v>0</v>
      </c>
      <c r="AJ140" s="673">
        <v>0</v>
      </c>
      <c r="AK140" s="673">
        <v>0</v>
      </c>
      <c r="AL140" s="673">
        <v>0</v>
      </c>
      <c r="AM140" s="673">
        <v>0</v>
      </c>
      <c r="AN140" s="673">
        <v>0</v>
      </c>
      <c r="AO140" s="673">
        <v>0</v>
      </c>
      <c r="AP140" s="673">
        <v>0</v>
      </c>
      <c r="AQ140" s="673">
        <v>0</v>
      </c>
      <c r="AR140" s="673">
        <v>0</v>
      </c>
      <c r="AS140" s="673">
        <v>0</v>
      </c>
      <c r="AT140" s="673">
        <v>0</v>
      </c>
      <c r="AU140" s="673">
        <v>0</v>
      </c>
      <c r="AV140" s="673">
        <v>0</v>
      </c>
      <c r="AW140" s="673">
        <v>0</v>
      </c>
      <c r="AX140" s="673">
        <v>0</v>
      </c>
      <c r="AY140" s="673">
        <v>0</v>
      </c>
      <c r="AZ140" s="673">
        <v>0</v>
      </c>
      <c r="BA140" s="673">
        <v>0</v>
      </c>
      <c r="BB140" s="673">
        <v>0</v>
      </c>
    </row>
    <row r="141" spans="1:54" x14ac:dyDescent="0.25">
      <c r="A141">
        <v>535</v>
      </c>
      <c r="B141">
        <v>535</v>
      </c>
      <c r="C141">
        <v>535</v>
      </c>
      <c r="D141" t="s">
        <v>333</v>
      </c>
      <c r="E141" t="s">
        <v>515</v>
      </c>
      <c r="F141" s="673">
        <v>0</v>
      </c>
      <c r="G141" s="673">
        <v>0</v>
      </c>
      <c r="H141" s="673">
        <v>0</v>
      </c>
      <c r="I141" s="673">
        <v>0</v>
      </c>
      <c r="J141" s="673">
        <v>0</v>
      </c>
      <c r="K141" s="673">
        <v>0</v>
      </c>
      <c r="L141" s="673">
        <v>0</v>
      </c>
      <c r="M141" s="673">
        <v>0</v>
      </c>
      <c r="N141" s="673">
        <v>0</v>
      </c>
      <c r="O141" s="673">
        <v>0</v>
      </c>
      <c r="P141" s="673">
        <v>0</v>
      </c>
      <c r="Q141" s="673">
        <v>0</v>
      </c>
      <c r="R141" s="673">
        <v>0</v>
      </c>
      <c r="S141" s="673">
        <v>0</v>
      </c>
      <c r="T141" s="673">
        <v>0</v>
      </c>
      <c r="U141" s="673">
        <v>0</v>
      </c>
      <c r="V141" s="673">
        <v>9402632</v>
      </c>
      <c r="W141" s="673">
        <v>0</v>
      </c>
      <c r="X141" s="673">
        <v>0</v>
      </c>
      <c r="Y141" s="673">
        <v>0</v>
      </c>
      <c r="Z141" s="673">
        <v>0</v>
      </c>
      <c r="AA141" s="673">
        <v>356337</v>
      </c>
      <c r="AB141" s="673">
        <v>0</v>
      </c>
      <c r="AC141" s="673">
        <v>0</v>
      </c>
      <c r="AD141" s="673">
        <v>0</v>
      </c>
      <c r="AE141" s="673">
        <v>0</v>
      </c>
      <c r="AF141" s="673">
        <v>0</v>
      </c>
      <c r="AG141" s="673">
        <v>0</v>
      </c>
      <c r="AH141" s="673">
        <v>0</v>
      </c>
      <c r="AI141" s="673">
        <v>0</v>
      </c>
      <c r="AJ141" s="673">
        <v>26954146</v>
      </c>
      <c r="AK141" s="673">
        <v>0</v>
      </c>
      <c r="AL141" s="673">
        <v>0</v>
      </c>
      <c r="AM141" s="673">
        <v>697689</v>
      </c>
      <c r="AN141" s="673">
        <v>0</v>
      </c>
      <c r="AO141" s="673">
        <v>0</v>
      </c>
      <c r="AP141" s="673">
        <v>0</v>
      </c>
      <c r="AQ141" s="673">
        <v>0</v>
      </c>
      <c r="AR141" s="673">
        <v>0</v>
      </c>
      <c r="AS141" s="673">
        <v>0</v>
      </c>
      <c r="AT141" s="673">
        <v>0</v>
      </c>
      <c r="AU141" s="673">
        <v>0</v>
      </c>
      <c r="AV141" s="673">
        <v>0</v>
      </c>
      <c r="AW141" s="673">
        <v>0</v>
      </c>
      <c r="AX141" s="673">
        <v>0</v>
      </c>
      <c r="AY141" s="673">
        <v>0</v>
      </c>
      <c r="AZ141" s="673">
        <v>0</v>
      </c>
      <c r="BA141" s="673">
        <v>0</v>
      </c>
      <c r="BB141" s="673">
        <v>83834</v>
      </c>
    </row>
    <row r="142" spans="1:54" x14ac:dyDescent="0.25">
      <c r="A142">
        <v>536</v>
      </c>
      <c r="B142">
        <v>536</v>
      </c>
      <c r="C142">
        <v>536</v>
      </c>
      <c r="D142" t="s">
        <v>279</v>
      </c>
      <c r="E142" t="s">
        <v>516</v>
      </c>
      <c r="F142" s="673">
        <v>0</v>
      </c>
      <c r="G142" s="673">
        <v>0</v>
      </c>
      <c r="H142" s="673">
        <v>0</v>
      </c>
      <c r="I142" s="673">
        <v>0</v>
      </c>
      <c r="J142" s="673">
        <v>0</v>
      </c>
      <c r="K142" s="673">
        <v>0</v>
      </c>
      <c r="L142" s="673">
        <v>0</v>
      </c>
      <c r="M142" s="673">
        <v>0</v>
      </c>
      <c r="N142" s="673">
        <v>0</v>
      </c>
      <c r="O142" s="673">
        <v>0</v>
      </c>
      <c r="P142" s="673">
        <v>0</v>
      </c>
      <c r="Q142" s="673">
        <v>0</v>
      </c>
      <c r="R142" s="673">
        <v>0</v>
      </c>
      <c r="S142" s="673">
        <v>0</v>
      </c>
      <c r="T142" s="673">
        <v>0</v>
      </c>
      <c r="U142" s="673">
        <v>0</v>
      </c>
      <c r="V142" s="673">
        <v>0</v>
      </c>
      <c r="W142" s="673">
        <v>0</v>
      </c>
      <c r="X142" s="673">
        <v>0</v>
      </c>
      <c r="Y142" s="673">
        <v>0</v>
      </c>
      <c r="Z142" s="673">
        <v>0</v>
      </c>
      <c r="AA142" s="673">
        <v>0</v>
      </c>
      <c r="AB142" s="673">
        <v>0</v>
      </c>
      <c r="AC142" s="673">
        <v>0</v>
      </c>
      <c r="AD142" s="673">
        <v>0</v>
      </c>
      <c r="AE142" s="673">
        <v>0</v>
      </c>
      <c r="AF142" s="673">
        <v>0</v>
      </c>
      <c r="AG142" s="673">
        <v>0</v>
      </c>
      <c r="AH142" s="673">
        <v>0</v>
      </c>
      <c r="AI142" s="673">
        <v>0</v>
      </c>
      <c r="AJ142" s="673">
        <v>0</v>
      </c>
      <c r="AK142" s="673">
        <v>0</v>
      </c>
      <c r="AL142" s="673">
        <v>0</v>
      </c>
      <c r="AM142" s="673">
        <v>0</v>
      </c>
      <c r="AN142" s="673">
        <v>0</v>
      </c>
      <c r="AO142" s="673">
        <v>0</v>
      </c>
      <c r="AP142" s="673">
        <v>0</v>
      </c>
      <c r="AQ142" s="673">
        <v>0</v>
      </c>
      <c r="AR142" s="673">
        <v>0</v>
      </c>
      <c r="AS142" s="673">
        <v>0</v>
      </c>
      <c r="AT142" s="673">
        <v>0</v>
      </c>
      <c r="AU142" s="673">
        <v>0</v>
      </c>
      <c r="AV142" s="673">
        <v>0</v>
      </c>
      <c r="AW142" s="673">
        <v>0</v>
      </c>
      <c r="AX142" s="673">
        <v>0</v>
      </c>
      <c r="AY142" s="673">
        <v>0</v>
      </c>
      <c r="AZ142" s="673">
        <v>0</v>
      </c>
      <c r="BA142" s="673">
        <v>0</v>
      </c>
      <c r="BB142" s="673">
        <v>0</v>
      </c>
    </row>
    <row r="143" spans="1:54" x14ac:dyDescent="0.25">
      <c r="A143">
        <v>537</v>
      </c>
      <c r="B143">
        <v>537</v>
      </c>
      <c r="C143">
        <v>537</v>
      </c>
      <c r="D143" t="s">
        <v>375</v>
      </c>
      <c r="F143" s="673">
        <v>2</v>
      </c>
      <c r="G143" s="673">
        <v>1</v>
      </c>
      <c r="H143" s="673">
        <v>2</v>
      </c>
      <c r="I143" s="673">
        <v>2</v>
      </c>
      <c r="J143" s="673">
        <v>1</v>
      </c>
      <c r="K143" s="673">
        <v>1</v>
      </c>
      <c r="L143" s="673">
        <v>2</v>
      </c>
      <c r="M143" s="673">
        <v>1</v>
      </c>
      <c r="N143" s="673">
        <v>0</v>
      </c>
      <c r="O143" s="673">
        <v>1</v>
      </c>
      <c r="P143" s="673">
        <v>1</v>
      </c>
      <c r="Q143" s="673">
        <v>2</v>
      </c>
      <c r="R143" s="673">
        <v>2</v>
      </c>
      <c r="S143" s="673">
        <v>1</v>
      </c>
      <c r="T143" s="673">
        <v>2</v>
      </c>
      <c r="U143" s="673">
        <v>1</v>
      </c>
      <c r="V143" s="673">
        <v>2</v>
      </c>
      <c r="W143" s="673">
        <v>2</v>
      </c>
      <c r="X143" s="673">
        <v>2</v>
      </c>
      <c r="Y143" s="673">
        <v>1</v>
      </c>
      <c r="Z143" s="673">
        <v>2</v>
      </c>
      <c r="AA143" s="673">
        <v>2</v>
      </c>
      <c r="AB143" s="673">
        <v>1</v>
      </c>
      <c r="AC143" s="673">
        <v>1</v>
      </c>
      <c r="AD143" s="673">
        <v>2</v>
      </c>
      <c r="AE143" s="673">
        <v>1</v>
      </c>
      <c r="AF143" s="673">
        <v>2</v>
      </c>
      <c r="AG143" s="673">
        <v>2</v>
      </c>
      <c r="AH143" s="673">
        <v>2</v>
      </c>
      <c r="AI143" s="673">
        <v>2</v>
      </c>
      <c r="AJ143" s="673">
        <v>1</v>
      </c>
      <c r="AK143" s="673">
        <v>2</v>
      </c>
      <c r="AL143" s="673">
        <v>2</v>
      </c>
      <c r="AM143" s="673">
        <v>2</v>
      </c>
      <c r="AN143" s="673">
        <v>2</v>
      </c>
      <c r="AO143" s="673">
        <v>2</v>
      </c>
      <c r="AP143" s="673">
        <v>2</v>
      </c>
      <c r="AQ143" s="673">
        <v>1</v>
      </c>
      <c r="AR143" s="673">
        <v>2</v>
      </c>
      <c r="AS143" s="673">
        <v>1</v>
      </c>
      <c r="AT143" s="673">
        <v>2</v>
      </c>
      <c r="AU143" s="673">
        <v>1</v>
      </c>
      <c r="AV143" s="673">
        <v>2</v>
      </c>
      <c r="AW143" s="673">
        <v>1</v>
      </c>
      <c r="AX143" s="673">
        <v>2</v>
      </c>
      <c r="AY143" s="673">
        <v>2</v>
      </c>
      <c r="AZ143" s="673">
        <v>2</v>
      </c>
      <c r="BA143" s="673">
        <v>1</v>
      </c>
      <c r="BB143" s="673">
        <v>1</v>
      </c>
    </row>
    <row r="144" spans="1:54" x14ac:dyDescent="0.25">
      <c r="A144">
        <v>538</v>
      </c>
      <c r="B144">
        <v>538</v>
      </c>
      <c r="C144">
        <v>538</v>
      </c>
      <c r="D144" t="s">
        <v>374</v>
      </c>
      <c r="F144" s="673">
        <v>2</v>
      </c>
      <c r="G144" s="673">
        <v>1</v>
      </c>
      <c r="H144" s="673">
        <v>2</v>
      </c>
      <c r="I144" s="673">
        <v>2</v>
      </c>
      <c r="J144" s="673">
        <v>1</v>
      </c>
      <c r="K144" s="673">
        <v>2</v>
      </c>
      <c r="L144" s="673">
        <v>2</v>
      </c>
      <c r="M144" s="673">
        <v>2</v>
      </c>
      <c r="N144" s="673">
        <v>0</v>
      </c>
      <c r="O144" s="673">
        <v>1</v>
      </c>
      <c r="P144" s="673">
        <v>1</v>
      </c>
      <c r="Q144" s="673">
        <v>2</v>
      </c>
      <c r="R144" s="673">
        <v>2</v>
      </c>
      <c r="S144" s="673">
        <v>1</v>
      </c>
      <c r="T144" s="673">
        <v>1</v>
      </c>
      <c r="U144" s="673">
        <v>2</v>
      </c>
      <c r="V144" s="673">
        <v>1</v>
      </c>
      <c r="W144" s="673">
        <v>2</v>
      </c>
      <c r="X144" s="673">
        <v>2</v>
      </c>
      <c r="Y144" s="673">
        <v>2</v>
      </c>
      <c r="Z144" s="673">
        <v>2</v>
      </c>
      <c r="AA144" s="673">
        <v>1</v>
      </c>
      <c r="AB144" s="673">
        <v>1</v>
      </c>
      <c r="AC144" s="673">
        <v>2</v>
      </c>
      <c r="AD144" s="673">
        <v>2</v>
      </c>
      <c r="AE144" s="673">
        <v>1</v>
      </c>
      <c r="AF144" s="673">
        <v>2</v>
      </c>
      <c r="AG144" s="673">
        <v>1</v>
      </c>
      <c r="AH144" s="673">
        <v>2</v>
      </c>
      <c r="AI144" s="673">
        <v>1</v>
      </c>
      <c r="AJ144" s="673">
        <v>1</v>
      </c>
      <c r="AK144" s="673">
        <v>2</v>
      </c>
      <c r="AL144" s="673">
        <v>2</v>
      </c>
      <c r="AM144" s="673">
        <v>2</v>
      </c>
      <c r="AN144" s="673">
        <v>2</v>
      </c>
      <c r="AO144" s="673">
        <v>2</v>
      </c>
      <c r="AP144" s="673">
        <v>2</v>
      </c>
      <c r="AQ144" s="673">
        <v>1</v>
      </c>
      <c r="AR144" s="673">
        <v>1</v>
      </c>
      <c r="AS144" s="673">
        <v>1</v>
      </c>
      <c r="AT144" s="673">
        <v>2</v>
      </c>
      <c r="AU144" s="673">
        <v>1</v>
      </c>
      <c r="AV144" s="673">
        <v>2</v>
      </c>
      <c r="AW144" s="673">
        <v>1</v>
      </c>
      <c r="AX144" s="673">
        <v>2</v>
      </c>
      <c r="AY144" s="673">
        <v>2</v>
      </c>
      <c r="AZ144" s="673">
        <v>2</v>
      </c>
      <c r="BA144" s="673">
        <v>1</v>
      </c>
      <c r="BB144" s="673">
        <v>1</v>
      </c>
    </row>
    <row r="145" spans="1:54" x14ac:dyDescent="0.25">
      <c r="B145">
        <v>539</v>
      </c>
      <c r="C145">
        <v>539</v>
      </c>
      <c r="D145" t="s">
        <v>338</v>
      </c>
      <c r="F145" s="673">
        <v>0</v>
      </c>
      <c r="G145" s="673">
        <v>0</v>
      </c>
      <c r="H145" s="673">
        <v>0</v>
      </c>
      <c r="I145" s="673">
        <v>0</v>
      </c>
      <c r="J145" s="673">
        <v>0</v>
      </c>
      <c r="K145" s="673">
        <v>0</v>
      </c>
      <c r="L145" s="673">
        <v>0</v>
      </c>
      <c r="M145" s="673">
        <v>0</v>
      </c>
      <c r="N145" s="673">
        <v>0</v>
      </c>
      <c r="O145" s="673">
        <v>0</v>
      </c>
      <c r="P145" s="673">
        <v>0</v>
      </c>
      <c r="Q145" s="673">
        <v>0</v>
      </c>
      <c r="R145" s="673">
        <v>0</v>
      </c>
      <c r="S145" s="673">
        <v>0</v>
      </c>
      <c r="T145" s="673">
        <v>0</v>
      </c>
      <c r="U145" s="673">
        <v>0</v>
      </c>
      <c r="V145" s="673">
        <v>0</v>
      </c>
      <c r="W145" s="673">
        <v>0</v>
      </c>
      <c r="X145" s="673">
        <v>0</v>
      </c>
      <c r="Y145" s="673">
        <v>0</v>
      </c>
      <c r="Z145" s="673">
        <v>0</v>
      </c>
      <c r="AA145" s="673">
        <v>0</v>
      </c>
      <c r="AB145" s="673">
        <v>0</v>
      </c>
      <c r="AC145" s="673">
        <v>0</v>
      </c>
      <c r="AD145" s="673">
        <v>0</v>
      </c>
      <c r="AE145" s="673">
        <v>0</v>
      </c>
      <c r="AF145" s="673">
        <v>0</v>
      </c>
      <c r="AG145" s="673">
        <v>0</v>
      </c>
      <c r="AH145" s="673">
        <v>0</v>
      </c>
      <c r="AI145" s="673">
        <v>0</v>
      </c>
      <c r="AJ145" s="673">
        <v>0</v>
      </c>
      <c r="AK145" s="673">
        <v>0</v>
      </c>
      <c r="AL145" s="673">
        <v>0</v>
      </c>
      <c r="AM145" s="673">
        <v>0</v>
      </c>
      <c r="AN145" s="673">
        <v>0</v>
      </c>
      <c r="AO145" s="673">
        <v>0</v>
      </c>
      <c r="AP145" s="673">
        <v>0</v>
      </c>
      <c r="AQ145" s="673">
        <v>0</v>
      </c>
      <c r="AR145" s="673">
        <v>0</v>
      </c>
      <c r="AS145" s="673">
        <v>0</v>
      </c>
      <c r="AT145" s="673">
        <v>0</v>
      </c>
      <c r="AU145" s="673">
        <v>0</v>
      </c>
      <c r="AV145" s="673">
        <v>0</v>
      </c>
      <c r="AW145" s="673">
        <v>0</v>
      </c>
      <c r="AX145" s="673">
        <v>0</v>
      </c>
      <c r="AY145" s="673">
        <v>0</v>
      </c>
      <c r="AZ145" s="673">
        <v>0</v>
      </c>
      <c r="BA145" s="673">
        <v>0</v>
      </c>
      <c r="BB145" s="673">
        <v>0</v>
      </c>
    </row>
    <row r="146" spans="1:54" x14ac:dyDescent="0.25">
      <c r="B146">
        <v>540</v>
      </c>
      <c r="C146">
        <v>540</v>
      </c>
      <c r="F146" s="673">
        <v>0</v>
      </c>
      <c r="G146" s="673">
        <v>0</v>
      </c>
      <c r="H146" s="673">
        <v>0</v>
      </c>
      <c r="I146" s="673">
        <v>0</v>
      </c>
      <c r="J146" s="673">
        <v>0</v>
      </c>
      <c r="K146" s="673">
        <v>0</v>
      </c>
      <c r="L146" s="673">
        <v>0</v>
      </c>
      <c r="M146" s="673">
        <v>0</v>
      </c>
      <c r="N146" s="673">
        <v>0</v>
      </c>
      <c r="O146" s="673">
        <v>0</v>
      </c>
      <c r="P146" s="673">
        <v>0</v>
      </c>
      <c r="Q146" s="673">
        <v>0</v>
      </c>
      <c r="R146" s="673">
        <v>0</v>
      </c>
      <c r="S146" s="673">
        <v>0</v>
      </c>
      <c r="T146" s="673">
        <v>0</v>
      </c>
      <c r="U146" s="673">
        <v>0</v>
      </c>
      <c r="V146" s="673">
        <v>0</v>
      </c>
      <c r="W146" s="673">
        <v>0</v>
      </c>
      <c r="X146" s="673">
        <v>0</v>
      </c>
      <c r="Y146" s="673">
        <v>0</v>
      </c>
      <c r="Z146" s="673">
        <v>0</v>
      </c>
      <c r="AA146" s="673">
        <v>0</v>
      </c>
      <c r="AB146" s="673">
        <v>0</v>
      </c>
      <c r="AC146" s="673">
        <v>0</v>
      </c>
      <c r="AD146" s="673">
        <v>0</v>
      </c>
      <c r="AE146" s="673">
        <v>0</v>
      </c>
      <c r="AF146" s="673">
        <v>0</v>
      </c>
      <c r="AG146" s="673">
        <v>0</v>
      </c>
      <c r="AH146" s="673">
        <v>0</v>
      </c>
      <c r="AI146" s="673">
        <v>0</v>
      </c>
      <c r="AJ146" s="673">
        <v>0</v>
      </c>
      <c r="AK146" s="673">
        <v>0</v>
      </c>
      <c r="AL146" s="673">
        <v>0</v>
      </c>
      <c r="AM146" s="673">
        <v>0</v>
      </c>
      <c r="AN146" s="673">
        <v>0</v>
      </c>
      <c r="AO146" s="673">
        <v>0</v>
      </c>
      <c r="AP146" s="673">
        <v>0</v>
      </c>
      <c r="AQ146" s="673">
        <v>0</v>
      </c>
      <c r="AR146" s="673">
        <v>0</v>
      </c>
      <c r="AS146" s="673">
        <v>0</v>
      </c>
      <c r="AT146" s="673">
        <v>0</v>
      </c>
      <c r="AU146" s="673">
        <v>0</v>
      </c>
      <c r="AV146" s="673">
        <v>0</v>
      </c>
      <c r="AW146" s="673">
        <v>0</v>
      </c>
      <c r="AX146" s="673">
        <v>0</v>
      </c>
      <c r="AY146" s="673">
        <v>0</v>
      </c>
      <c r="AZ146" s="673">
        <v>0</v>
      </c>
      <c r="BA146" s="673">
        <v>0</v>
      </c>
      <c r="BB146" s="673">
        <v>0</v>
      </c>
    </row>
    <row r="147" spans="1:54" x14ac:dyDescent="0.25">
      <c r="B147">
        <v>541</v>
      </c>
      <c r="C147">
        <v>541</v>
      </c>
      <c r="D147" t="s">
        <v>573</v>
      </c>
      <c r="F147" s="673">
        <v>-220960</v>
      </c>
      <c r="G147" s="673">
        <v>594351</v>
      </c>
      <c r="H147" s="673">
        <v>1233377</v>
      </c>
      <c r="I147" s="673">
        <v>-55161067</v>
      </c>
      <c r="J147" s="673">
        <v>23779824</v>
      </c>
      <c r="K147" s="673">
        <v>1805996</v>
      </c>
      <c r="L147" s="673">
        <v>3311040</v>
      </c>
      <c r="M147" s="673">
        <v>913194</v>
      </c>
      <c r="N147" s="673">
        <v>0</v>
      </c>
      <c r="O147" s="673">
        <v>209610</v>
      </c>
      <c r="P147" s="673">
        <v>123960</v>
      </c>
      <c r="Q147" s="673">
        <v>24177</v>
      </c>
      <c r="R147" s="673">
        <v>7280</v>
      </c>
      <c r="S147" s="673">
        <v>-4085</v>
      </c>
      <c r="T147" s="673">
        <v>498062</v>
      </c>
      <c r="U147" s="673">
        <v>21178</v>
      </c>
      <c r="V147" s="673">
        <v>4933656</v>
      </c>
      <c r="W147" s="673">
        <v>424670</v>
      </c>
      <c r="X147" s="673">
        <v>178207</v>
      </c>
      <c r="Y147" s="673">
        <v>733371</v>
      </c>
      <c r="Z147" s="673">
        <v>476896</v>
      </c>
      <c r="AA147" s="673">
        <v>-405032</v>
      </c>
      <c r="AB147" s="673">
        <v>-24758</v>
      </c>
      <c r="AC147" s="673">
        <v>90183</v>
      </c>
      <c r="AD147" s="673">
        <v>57321</v>
      </c>
      <c r="AE147" s="673">
        <v>116368</v>
      </c>
      <c r="AF147" s="673">
        <v>142682</v>
      </c>
      <c r="AG147" s="673">
        <v>2986385</v>
      </c>
      <c r="AH147" s="673">
        <v>-8753155</v>
      </c>
      <c r="AI147" s="673">
        <v>1374149</v>
      </c>
      <c r="AJ147" s="673">
        <v>13091445</v>
      </c>
      <c r="AK147" s="673">
        <v>44350</v>
      </c>
      <c r="AL147" s="673">
        <v>1447525</v>
      </c>
      <c r="AM147" s="673">
        <v>8020</v>
      </c>
      <c r="AN147" s="673">
        <v>70861</v>
      </c>
      <c r="AO147" s="673">
        <v>481787</v>
      </c>
      <c r="AP147" s="673">
        <v>446959</v>
      </c>
      <c r="AQ147" s="673">
        <v>804581</v>
      </c>
      <c r="AR147" s="673">
        <v>108163</v>
      </c>
      <c r="AS147" s="673">
        <v>-271555</v>
      </c>
      <c r="AT147" s="673">
        <v>19775</v>
      </c>
      <c r="AU147" s="673">
        <v>22134</v>
      </c>
      <c r="AV147" s="673">
        <v>39144</v>
      </c>
      <c r="AW147" s="673">
        <v>1365868</v>
      </c>
      <c r="AX147" s="673">
        <v>0</v>
      </c>
      <c r="AY147" s="673">
        <v>-479</v>
      </c>
      <c r="AZ147" s="673">
        <v>-490</v>
      </c>
      <c r="BA147" s="673">
        <v>6453</v>
      </c>
      <c r="BB147" s="673">
        <v>191174</v>
      </c>
    </row>
    <row r="148" spans="1:54" x14ac:dyDescent="0.25">
      <c r="A148">
        <v>540</v>
      </c>
      <c r="B148">
        <v>542</v>
      </c>
      <c r="C148">
        <v>542</v>
      </c>
      <c r="D148" t="s">
        <v>347</v>
      </c>
      <c r="F148" s="673">
        <v>0</v>
      </c>
      <c r="G148" s="673">
        <v>0</v>
      </c>
      <c r="H148" s="673">
        <v>0</v>
      </c>
      <c r="I148" s="673">
        <v>0</v>
      </c>
      <c r="J148" s="673">
        <v>10243546</v>
      </c>
      <c r="K148" s="673">
        <v>4365218</v>
      </c>
      <c r="L148" s="673">
        <v>0</v>
      </c>
      <c r="M148" s="673">
        <v>0</v>
      </c>
      <c r="N148" s="673">
        <v>0</v>
      </c>
      <c r="O148" s="673">
        <v>0</v>
      </c>
      <c r="P148" s="673">
        <v>0</v>
      </c>
      <c r="Q148" s="673">
        <v>0</v>
      </c>
      <c r="R148" s="673">
        <v>0</v>
      </c>
      <c r="S148" s="673">
        <v>0</v>
      </c>
      <c r="T148" s="673">
        <v>0</v>
      </c>
      <c r="U148" s="673">
        <v>0</v>
      </c>
      <c r="V148" s="673">
        <v>0</v>
      </c>
      <c r="W148" s="673">
        <v>0</v>
      </c>
      <c r="X148" s="673">
        <v>0</v>
      </c>
      <c r="Y148" s="673">
        <v>0</v>
      </c>
      <c r="Z148" s="673">
        <v>0</v>
      </c>
      <c r="AA148" s="673">
        <v>0</v>
      </c>
      <c r="AB148" s="673">
        <v>0</v>
      </c>
      <c r="AC148" s="673">
        <v>0</v>
      </c>
      <c r="AD148" s="673">
        <v>0</v>
      </c>
      <c r="AE148" s="673">
        <v>0</v>
      </c>
      <c r="AF148" s="673">
        <v>0</v>
      </c>
      <c r="AG148" s="673">
        <v>0</v>
      </c>
      <c r="AH148" s="673">
        <v>0</v>
      </c>
      <c r="AI148" s="673">
        <v>0</v>
      </c>
      <c r="AJ148" s="673">
        <v>1288200</v>
      </c>
      <c r="AK148" s="673">
        <v>0</v>
      </c>
      <c r="AL148" s="673">
        <v>0</v>
      </c>
      <c r="AM148" s="673">
        <v>0</v>
      </c>
      <c r="AN148" s="673">
        <v>0</v>
      </c>
      <c r="AO148" s="673">
        <v>1965161</v>
      </c>
      <c r="AP148" s="673">
        <v>0</v>
      </c>
      <c r="AQ148" s="673">
        <v>0</v>
      </c>
      <c r="AR148" s="673">
        <v>108163</v>
      </c>
      <c r="AS148" s="673">
        <v>0</v>
      </c>
      <c r="AT148" s="673">
        <v>0</v>
      </c>
      <c r="AU148" s="673">
        <v>0</v>
      </c>
      <c r="AV148" s="673">
        <v>0</v>
      </c>
      <c r="AW148" s="673">
        <v>0</v>
      </c>
      <c r="AX148" s="673">
        <v>0</v>
      </c>
      <c r="AY148" s="673">
        <v>0</v>
      </c>
      <c r="AZ148" s="673">
        <v>0</v>
      </c>
      <c r="BA148" s="673">
        <v>0</v>
      </c>
      <c r="BB148" s="673">
        <v>0</v>
      </c>
    </row>
    <row r="149" spans="1:54" x14ac:dyDescent="0.25">
      <c r="A149">
        <v>541</v>
      </c>
      <c r="C149">
        <v>543</v>
      </c>
      <c r="D149" t="e">
        <v>#VALUE!</v>
      </c>
      <c r="F149" s="673">
        <v>0</v>
      </c>
      <c r="G149" s="673">
        <v>0</v>
      </c>
      <c r="H149" s="673">
        <v>0</v>
      </c>
      <c r="I149" s="673">
        <v>0</v>
      </c>
      <c r="J149" s="673">
        <v>0</v>
      </c>
      <c r="K149" s="673">
        <v>0</v>
      </c>
      <c r="L149" s="673">
        <v>0</v>
      </c>
      <c r="M149" s="673">
        <v>0</v>
      </c>
      <c r="N149" s="673">
        <v>0</v>
      </c>
      <c r="O149" s="673">
        <v>0</v>
      </c>
      <c r="P149" s="673">
        <v>0</v>
      </c>
      <c r="Q149" s="673">
        <v>0</v>
      </c>
      <c r="R149" s="673">
        <v>0</v>
      </c>
      <c r="S149" s="673">
        <v>0</v>
      </c>
      <c r="T149" s="673">
        <v>0</v>
      </c>
      <c r="U149" s="673">
        <v>0</v>
      </c>
      <c r="V149" s="673">
        <v>0</v>
      </c>
      <c r="W149" s="673">
        <v>0</v>
      </c>
      <c r="X149" s="673">
        <v>0</v>
      </c>
      <c r="Y149" s="673">
        <v>0</v>
      </c>
      <c r="Z149" s="673">
        <v>0</v>
      </c>
      <c r="AA149" s="673">
        <v>0</v>
      </c>
      <c r="AB149" s="673">
        <v>0</v>
      </c>
      <c r="AC149" s="673">
        <v>0</v>
      </c>
      <c r="AD149" s="673">
        <v>0</v>
      </c>
      <c r="AE149" s="673">
        <v>0</v>
      </c>
      <c r="AF149" s="673">
        <v>0</v>
      </c>
      <c r="AG149" s="673">
        <v>0</v>
      </c>
      <c r="AH149" s="673">
        <v>0</v>
      </c>
      <c r="AI149" s="673">
        <v>0</v>
      </c>
      <c r="AJ149" s="673">
        <v>0</v>
      </c>
      <c r="AK149" s="673">
        <v>0</v>
      </c>
      <c r="AL149" s="673">
        <v>0</v>
      </c>
      <c r="AM149" s="673">
        <v>0</v>
      </c>
      <c r="AN149" s="673">
        <v>0</v>
      </c>
      <c r="AO149" s="673">
        <v>0</v>
      </c>
      <c r="AP149" s="673">
        <v>0</v>
      </c>
      <c r="AQ149" s="673">
        <v>0</v>
      </c>
      <c r="AR149" s="673">
        <v>0</v>
      </c>
      <c r="AS149" s="673">
        <v>0</v>
      </c>
      <c r="AT149" s="673">
        <v>0</v>
      </c>
      <c r="AU149" s="673">
        <v>0</v>
      </c>
      <c r="AV149" s="673">
        <v>0</v>
      </c>
      <c r="AW149" s="673">
        <v>0</v>
      </c>
      <c r="AX149" s="673">
        <v>0</v>
      </c>
      <c r="AY149" s="673">
        <v>0</v>
      </c>
      <c r="AZ149" s="673">
        <v>0</v>
      </c>
      <c r="BA149" s="673">
        <v>0</v>
      </c>
      <c r="BB149" s="673">
        <v>0</v>
      </c>
    </row>
    <row r="150" spans="1:54" x14ac:dyDescent="0.25">
      <c r="A150">
        <v>542</v>
      </c>
      <c r="B150">
        <v>544</v>
      </c>
      <c r="C150">
        <v>544</v>
      </c>
      <c r="D150" t="s">
        <v>76</v>
      </c>
      <c r="F150" s="673">
        <v>0</v>
      </c>
      <c r="G150" s="673">
        <v>0</v>
      </c>
      <c r="H150" s="673">
        <v>0</v>
      </c>
      <c r="I150" s="673">
        <v>0</v>
      </c>
      <c r="J150" s="673">
        <v>0</v>
      </c>
      <c r="K150" s="673">
        <v>0</v>
      </c>
      <c r="L150" s="673">
        <v>0</v>
      </c>
      <c r="M150" s="673">
        <v>0</v>
      </c>
      <c r="N150" s="673">
        <v>0</v>
      </c>
      <c r="O150" s="673">
        <v>0</v>
      </c>
      <c r="P150" s="673">
        <v>0</v>
      </c>
      <c r="Q150" s="673">
        <v>0</v>
      </c>
      <c r="R150" s="673">
        <v>0</v>
      </c>
      <c r="S150" s="673">
        <v>0</v>
      </c>
      <c r="T150" s="673">
        <v>0</v>
      </c>
      <c r="U150" s="673">
        <v>0</v>
      </c>
      <c r="V150" s="673">
        <v>0</v>
      </c>
      <c r="W150" s="673">
        <v>0</v>
      </c>
      <c r="X150" s="673">
        <v>0</v>
      </c>
      <c r="Y150" s="673">
        <v>0</v>
      </c>
      <c r="Z150" s="673">
        <v>0</v>
      </c>
      <c r="AA150" s="673">
        <v>0</v>
      </c>
      <c r="AB150" s="673">
        <v>0</v>
      </c>
      <c r="AC150" s="673">
        <v>0</v>
      </c>
      <c r="AD150" s="673">
        <v>0</v>
      </c>
      <c r="AE150" s="673">
        <v>0</v>
      </c>
      <c r="AF150" s="673">
        <v>0</v>
      </c>
      <c r="AG150" s="673">
        <v>0</v>
      </c>
      <c r="AH150" s="673">
        <v>0</v>
      </c>
      <c r="AI150" s="673">
        <v>0</v>
      </c>
      <c r="AJ150" s="673">
        <v>0</v>
      </c>
      <c r="AK150" s="673">
        <v>0</v>
      </c>
      <c r="AL150" s="673">
        <v>0</v>
      </c>
      <c r="AM150" s="673">
        <v>0</v>
      </c>
      <c r="AN150" s="673">
        <v>0</v>
      </c>
      <c r="AO150" s="673">
        <v>0</v>
      </c>
      <c r="AP150" s="673">
        <v>0</v>
      </c>
      <c r="AQ150" s="673">
        <v>0</v>
      </c>
      <c r="AR150" s="673">
        <v>0</v>
      </c>
      <c r="AS150" s="673">
        <v>0</v>
      </c>
      <c r="AT150" s="673">
        <v>0</v>
      </c>
      <c r="AU150" s="673">
        <v>0</v>
      </c>
      <c r="AV150" s="673">
        <v>0</v>
      </c>
      <c r="AW150" s="673">
        <v>0</v>
      </c>
      <c r="AX150" s="673">
        <v>0</v>
      </c>
      <c r="AY150" s="673">
        <v>0</v>
      </c>
      <c r="AZ150" s="673">
        <v>0</v>
      </c>
      <c r="BA150" s="673">
        <v>0</v>
      </c>
      <c r="BB150" s="673">
        <v>0</v>
      </c>
    </row>
    <row r="151" spans="1:54" x14ac:dyDescent="0.25">
      <c r="A151">
        <v>544</v>
      </c>
      <c r="B151">
        <v>545</v>
      </c>
      <c r="C151">
        <v>545</v>
      </c>
      <c r="D151" t="s">
        <v>77</v>
      </c>
      <c r="F151" s="673">
        <v>0</v>
      </c>
      <c r="G151" s="673">
        <v>0</v>
      </c>
      <c r="H151" s="673">
        <v>0</v>
      </c>
      <c r="I151" s="673">
        <v>0</v>
      </c>
      <c r="J151" s="673">
        <v>0</v>
      </c>
      <c r="K151" s="673">
        <v>0</v>
      </c>
      <c r="L151" s="673">
        <v>0</v>
      </c>
      <c r="M151" s="673">
        <v>0</v>
      </c>
      <c r="N151" s="673">
        <v>0</v>
      </c>
      <c r="O151" s="673">
        <v>0</v>
      </c>
      <c r="P151" s="673">
        <v>0</v>
      </c>
      <c r="Q151" s="673">
        <v>0</v>
      </c>
      <c r="R151" s="673">
        <v>0</v>
      </c>
      <c r="S151" s="673">
        <v>0</v>
      </c>
      <c r="T151" s="673">
        <v>0</v>
      </c>
      <c r="U151" s="673">
        <v>0</v>
      </c>
      <c r="V151" s="673">
        <v>0</v>
      </c>
      <c r="W151" s="673">
        <v>0</v>
      </c>
      <c r="X151" s="673">
        <v>0</v>
      </c>
      <c r="Y151" s="673">
        <v>0</v>
      </c>
      <c r="Z151" s="673">
        <v>0</v>
      </c>
      <c r="AA151" s="673">
        <v>0</v>
      </c>
      <c r="AB151" s="673">
        <v>0</v>
      </c>
      <c r="AC151" s="673">
        <v>0</v>
      </c>
      <c r="AD151" s="673">
        <v>0</v>
      </c>
      <c r="AE151" s="673">
        <v>0</v>
      </c>
      <c r="AF151" s="673">
        <v>0</v>
      </c>
      <c r="AG151" s="673">
        <v>0</v>
      </c>
      <c r="AH151" s="673">
        <v>0</v>
      </c>
      <c r="AI151" s="673">
        <v>0</v>
      </c>
      <c r="AJ151" s="673">
        <v>0</v>
      </c>
      <c r="AK151" s="673">
        <v>0</v>
      </c>
      <c r="AL151" s="673">
        <v>0</v>
      </c>
      <c r="AM151" s="673">
        <v>0</v>
      </c>
      <c r="AN151" s="673">
        <v>0</v>
      </c>
      <c r="AO151" s="673">
        <v>0</v>
      </c>
      <c r="AP151" s="673">
        <v>0</v>
      </c>
      <c r="AQ151" s="673">
        <v>0</v>
      </c>
      <c r="AR151" s="673">
        <v>0</v>
      </c>
      <c r="AS151" s="673">
        <v>0</v>
      </c>
      <c r="AT151" s="673">
        <v>0</v>
      </c>
      <c r="AU151" s="673">
        <v>0</v>
      </c>
      <c r="AV151" s="673">
        <v>0</v>
      </c>
      <c r="AW151" s="673">
        <v>0</v>
      </c>
      <c r="AX151" s="673">
        <v>0</v>
      </c>
      <c r="AY151" s="673">
        <v>0</v>
      </c>
      <c r="AZ151" s="673">
        <v>0</v>
      </c>
      <c r="BA151" s="673">
        <v>0</v>
      </c>
      <c r="BB151" s="673">
        <v>0</v>
      </c>
    </row>
    <row r="152" spans="1:54" x14ac:dyDescent="0.25">
      <c r="A152">
        <v>545</v>
      </c>
      <c r="C152">
        <v>546</v>
      </c>
      <c r="D152" t="e">
        <v>#VALUE!</v>
      </c>
      <c r="F152" s="673">
        <v>0</v>
      </c>
      <c r="G152" s="673">
        <v>0</v>
      </c>
      <c r="H152" s="673">
        <v>0</v>
      </c>
      <c r="I152" s="673">
        <v>0</v>
      </c>
      <c r="J152" s="673">
        <v>0</v>
      </c>
      <c r="K152" s="673">
        <v>0</v>
      </c>
      <c r="L152" s="673">
        <v>0</v>
      </c>
      <c r="M152" s="673">
        <v>0</v>
      </c>
      <c r="N152" s="673">
        <v>0</v>
      </c>
      <c r="O152" s="673">
        <v>0</v>
      </c>
      <c r="P152" s="673">
        <v>0</v>
      </c>
      <c r="Q152" s="673">
        <v>0</v>
      </c>
      <c r="R152" s="673">
        <v>0</v>
      </c>
      <c r="S152" s="673">
        <v>0</v>
      </c>
      <c r="T152" s="673">
        <v>0</v>
      </c>
      <c r="U152" s="673">
        <v>0</v>
      </c>
      <c r="V152" s="673">
        <v>0</v>
      </c>
      <c r="W152" s="673">
        <v>0</v>
      </c>
      <c r="X152" s="673">
        <v>0</v>
      </c>
      <c r="Y152" s="673">
        <v>0</v>
      </c>
      <c r="Z152" s="673">
        <v>0</v>
      </c>
      <c r="AA152" s="673">
        <v>0</v>
      </c>
      <c r="AB152" s="673">
        <v>0</v>
      </c>
      <c r="AC152" s="673">
        <v>0</v>
      </c>
      <c r="AD152" s="673">
        <v>0</v>
      </c>
      <c r="AE152" s="673">
        <v>0</v>
      </c>
      <c r="AF152" s="673">
        <v>0</v>
      </c>
      <c r="AG152" s="673">
        <v>0</v>
      </c>
      <c r="AH152" s="673">
        <v>0</v>
      </c>
      <c r="AI152" s="673">
        <v>0</v>
      </c>
      <c r="AJ152" s="673">
        <v>0</v>
      </c>
      <c r="AK152" s="673">
        <v>0</v>
      </c>
      <c r="AL152" s="673">
        <v>0</v>
      </c>
      <c r="AM152" s="673">
        <v>0</v>
      </c>
      <c r="AN152" s="673">
        <v>0</v>
      </c>
      <c r="AO152" s="673">
        <v>0</v>
      </c>
      <c r="AP152" s="673">
        <v>0</v>
      </c>
      <c r="AQ152" s="673">
        <v>0</v>
      </c>
      <c r="AR152" s="673">
        <v>0</v>
      </c>
      <c r="AS152" s="673">
        <v>0</v>
      </c>
      <c r="AT152" s="673">
        <v>0</v>
      </c>
      <c r="AU152" s="673">
        <v>0</v>
      </c>
      <c r="AV152" s="673">
        <v>0</v>
      </c>
      <c r="AW152" s="673">
        <v>0</v>
      </c>
      <c r="AX152" s="673">
        <v>0</v>
      </c>
      <c r="AY152" s="673">
        <v>0</v>
      </c>
      <c r="AZ152" s="673">
        <v>0</v>
      </c>
      <c r="BA152" s="673">
        <v>0</v>
      </c>
      <c r="BB152" s="673">
        <v>0</v>
      </c>
    </row>
    <row r="153" spans="1:54" ht="75" x14ac:dyDescent="0.25">
      <c r="A153">
        <v>547</v>
      </c>
      <c r="B153">
        <v>547</v>
      </c>
      <c r="C153">
        <v>547</v>
      </c>
      <c r="D153" s="612" t="s">
        <v>616</v>
      </c>
      <c r="F153" s="673">
        <v>2</v>
      </c>
      <c r="G153" s="673">
        <v>2</v>
      </c>
      <c r="H153" s="673">
        <v>2</v>
      </c>
      <c r="I153" s="673">
        <v>2</v>
      </c>
      <c r="J153" s="673">
        <v>3</v>
      </c>
      <c r="K153" s="673">
        <v>3</v>
      </c>
      <c r="L153" s="673">
        <v>3</v>
      </c>
      <c r="M153" s="673">
        <v>3</v>
      </c>
      <c r="N153" s="673">
        <v>0</v>
      </c>
      <c r="O153" s="673">
        <v>3</v>
      </c>
      <c r="P153" s="673">
        <v>3</v>
      </c>
      <c r="Q153" s="673">
        <v>2</v>
      </c>
      <c r="R153" s="673">
        <v>2</v>
      </c>
      <c r="S153" s="673">
        <v>2</v>
      </c>
      <c r="T153" s="673">
        <v>2</v>
      </c>
      <c r="U153" s="673">
        <v>2</v>
      </c>
      <c r="V153" s="673">
        <v>3</v>
      </c>
      <c r="W153" s="673">
        <v>2</v>
      </c>
      <c r="X153" s="673">
        <v>2</v>
      </c>
      <c r="Y153" s="673">
        <v>2</v>
      </c>
      <c r="Z153" s="673">
        <v>2</v>
      </c>
      <c r="AA153" s="673">
        <v>3</v>
      </c>
      <c r="AB153" s="673">
        <v>2</v>
      </c>
      <c r="AC153" s="673">
        <v>2</v>
      </c>
      <c r="AD153" s="673">
        <v>2</v>
      </c>
      <c r="AE153" s="673">
        <v>2</v>
      </c>
      <c r="AF153" s="673">
        <v>2</v>
      </c>
      <c r="AG153" s="673">
        <v>3</v>
      </c>
      <c r="AH153" s="673">
        <v>3</v>
      </c>
      <c r="AI153" s="673">
        <v>2</v>
      </c>
      <c r="AJ153" s="673">
        <v>3</v>
      </c>
      <c r="AK153" s="673">
        <v>2</v>
      </c>
      <c r="AL153" s="673">
        <v>1</v>
      </c>
      <c r="AM153" s="673">
        <v>2</v>
      </c>
      <c r="AN153" s="673">
        <v>2</v>
      </c>
      <c r="AO153" s="673">
        <v>2</v>
      </c>
      <c r="AP153" s="673">
        <v>2</v>
      </c>
      <c r="AQ153" s="673">
        <v>2</v>
      </c>
      <c r="AR153" s="673">
        <v>2</v>
      </c>
      <c r="AS153" s="673">
        <v>2</v>
      </c>
      <c r="AT153" s="673">
        <v>2</v>
      </c>
      <c r="AU153" s="673">
        <v>2</v>
      </c>
      <c r="AV153" s="673">
        <v>2</v>
      </c>
      <c r="AW153" s="673">
        <v>3</v>
      </c>
      <c r="AX153" s="673">
        <v>2</v>
      </c>
      <c r="AY153" s="673">
        <v>2</v>
      </c>
      <c r="AZ153" s="673">
        <v>2</v>
      </c>
      <c r="BA153" s="673">
        <v>2</v>
      </c>
      <c r="BB153" s="673">
        <v>2</v>
      </c>
    </row>
    <row r="154" spans="1:54" ht="75" x14ac:dyDescent="0.25">
      <c r="B154">
        <v>551</v>
      </c>
      <c r="C154">
        <v>551</v>
      </c>
      <c r="D154" s="612" t="s">
        <v>970</v>
      </c>
      <c r="F154" s="673">
        <v>0</v>
      </c>
      <c r="G154" s="673">
        <v>0</v>
      </c>
      <c r="H154" s="673">
        <v>0</v>
      </c>
      <c r="I154" s="673">
        <v>0</v>
      </c>
      <c r="J154" s="673">
        <v>0</v>
      </c>
      <c r="K154" s="673">
        <v>0</v>
      </c>
      <c r="L154" s="673">
        <v>0</v>
      </c>
      <c r="M154" s="673">
        <v>0</v>
      </c>
      <c r="N154" s="673">
        <v>0</v>
      </c>
      <c r="O154" s="673">
        <v>0</v>
      </c>
      <c r="P154" s="673">
        <v>0</v>
      </c>
      <c r="Q154" s="673">
        <v>0</v>
      </c>
      <c r="R154" s="673">
        <v>0</v>
      </c>
      <c r="S154" s="673">
        <v>0</v>
      </c>
      <c r="T154" s="673">
        <v>0</v>
      </c>
      <c r="U154" s="673">
        <v>0</v>
      </c>
      <c r="V154" s="673">
        <v>0</v>
      </c>
      <c r="W154" s="673">
        <v>0</v>
      </c>
      <c r="X154" s="673">
        <v>0</v>
      </c>
      <c r="Y154" s="673">
        <v>0</v>
      </c>
      <c r="Z154" s="673">
        <v>0</v>
      </c>
      <c r="AA154" s="673">
        <v>0</v>
      </c>
      <c r="AB154" s="673">
        <v>0</v>
      </c>
      <c r="AC154" s="673">
        <v>0</v>
      </c>
      <c r="AD154" s="673">
        <v>0</v>
      </c>
      <c r="AE154" s="673">
        <v>0</v>
      </c>
      <c r="AF154" s="673">
        <v>0</v>
      </c>
      <c r="AG154" s="673">
        <v>0</v>
      </c>
      <c r="AH154" s="673">
        <v>0</v>
      </c>
      <c r="AI154" s="673">
        <v>0</v>
      </c>
      <c r="AJ154" s="673">
        <v>0</v>
      </c>
      <c r="AK154" s="673">
        <v>0</v>
      </c>
      <c r="AL154" s="673">
        <v>0</v>
      </c>
      <c r="AM154" s="673">
        <v>0</v>
      </c>
      <c r="AN154" s="673">
        <v>0</v>
      </c>
      <c r="AO154" s="673">
        <v>0</v>
      </c>
      <c r="AP154" s="673">
        <v>0</v>
      </c>
      <c r="AQ154" s="673">
        <v>0</v>
      </c>
      <c r="AR154" s="673">
        <v>0</v>
      </c>
      <c r="AS154" s="673">
        <v>0</v>
      </c>
      <c r="AT154" s="673">
        <v>0</v>
      </c>
      <c r="AU154" s="673">
        <v>0</v>
      </c>
      <c r="AV154" s="673">
        <v>0</v>
      </c>
      <c r="AW154" s="673">
        <v>0</v>
      </c>
      <c r="AX154" s="673">
        <v>0</v>
      </c>
      <c r="AY154" s="673">
        <v>0</v>
      </c>
      <c r="AZ154" s="673">
        <v>0</v>
      </c>
      <c r="BA154" s="673">
        <v>0</v>
      </c>
      <c r="BB154" s="673">
        <v>0</v>
      </c>
    </row>
    <row r="155" spans="1:54" x14ac:dyDescent="0.25">
      <c r="A155">
        <v>554</v>
      </c>
      <c r="B155">
        <v>554</v>
      </c>
      <c r="C155">
        <v>554</v>
      </c>
      <c r="D155" t="s">
        <v>591</v>
      </c>
      <c r="F155" s="673">
        <v>0</v>
      </c>
      <c r="G155" s="673">
        <v>0</v>
      </c>
      <c r="H155" s="673">
        <v>0</v>
      </c>
      <c r="I155" s="673">
        <v>0</v>
      </c>
      <c r="J155" s="673">
        <v>0</v>
      </c>
      <c r="K155" s="673">
        <v>0</v>
      </c>
      <c r="L155" s="673">
        <v>0</v>
      </c>
      <c r="M155" s="673">
        <v>0</v>
      </c>
      <c r="N155" s="673">
        <v>0</v>
      </c>
      <c r="O155" s="673">
        <v>0</v>
      </c>
      <c r="P155" s="673">
        <v>0</v>
      </c>
      <c r="Q155" s="673">
        <v>0</v>
      </c>
      <c r="R155" s="673">
        <v>0</v>
      </c>
      <c r="S155" s="673">
        <v>0</v>
      </c>
      <c r="T155" s="673">
        <v>847851</v>
      </c>
      <c r="U155" s="673">
        <v>0</v>
      </c>
      <c r="V155" s="673">
        <v>0</v>
      </c>
      <c r="W155" s="673">
        <v>0</v>
      </c>
      <c r="X155" s="673">
        <v>0</v>
      </c>
      <c r="Y155" s="673">
        <v>0</v>
      </c>
      <c r="Z155" s="673">
        <v>0</v>
      </c>
      <c r="AA155" s="673">
        <v>0</v>
      </c>
      <c r="AB155" s="673">
        <v>0</v>
      </c>
      <c r="AC155" s="673">
        <v>0</v>
      </c>
      <c r="AD155" s="673">
        <v>0</v>
      </c>
      <c r="AE155" s="673">
        <v>0</v>
      </c>
      <c r="AF155" s="673">
        <v>0</v>
      </c>
      <c r="AG155" s="673">
        <v>0</v>
      </c>
      <c r="AH155" s="673">
        <v>3875609</v>
      </c>
      <c r="AI155" s="673">
        <v>0</v>
      </c>
      <c r="AJ155" s="673">
        <v>0</v>
      </c>
      <c r="AK155" s="673">
        <v>0</v>
      </c>
      <c r="AL155" s="673">
        <v>7213324</v>
      </c>
      <c r="AM155" s="673">
        <v>0</v>
      </c>
      <c r="AN155" s="673">
        <v>0</v>
      </c>
      <c r="AO155" s="673">
        <v>1063911</v>
      </c>
      <c r="AP155" s="673">
        <v>0</v>
      </c>
      <c r="AQ155" s="673">
        <v>0</v>
      </c>
      <c r="AR155" s="673">
        <v>0</v>
      </c>
      <c r="AS155" s="673">
        <v>0</v>
      </c>
      <c r="AT155" s="673">
        <v>0</v>
      </c>
      <c r="AU155" s="673">
        <v>0</v>
      </c>
      <c r="AV155" s="673">
        <v>0</v>
      </c>
      <c r="AW155" s="673">
        <v>0</v>
      </c>
      <c r="AX155" s="673">
        <v>0</v>
      </c>
      <c r="AY155" s="673">
        <v>0</v>
      </c>
      <c r="AZ155" s="673">
        <v>0</v>
      </c>
      <c r="BA155" s="673">
        <v>0</v>
      </c>
      <c r="BB155" s="673">
        <v>2249743</v>
      </c>
    </row>
    <row r="156" spans="1:54" x14ac:dyDescent="0.25">
      <c r="A156">
        <v>555</v>
      </c>
      <c r="B156">
        <v>555</v>
      </c>
      <c r="C156">
        <v>555</v>
      </c>
      <c r="D156" t="s">
        <v>592</v>
      </c>
      <c r="F156" s="673">
        <v>0</v>
      </c>
      <c r="G156" s="673">
        <v>0</v>
      </c>
      <c r="H156" s="673">
        <v>0</v>
      </c>
      <c r="I156" s="673">
        <v>0</v>
      </c>
      <c r="J156" s="673">
        <v>0</v>
      </c>
      <c r="K156" s="673">
        <v>0</v>
      </c>
      <c r="L156" s="673">
        <v>0</v>
      </c>
      <c r="M156" s="673">
        <v>0</v>
      </c>
      <c r="N156" s="673">
        <v>0</v>
      </c>
      <c r="O156" s="673">
        <v>0</v>
      </c>
      <c r="P156" s="673">
        <v>0</v>
      </c>
      <c r="Q156" s="673">
        <v>0</v>
      </c>
      <c r="R156" s="673">
        <v>0</v>
      </c>
      <c r="S156" s="673">
        <v>0</v>
      </c>
      <c r="T156" s="673">
        <v>649835</v>
      </c>
      <c r="U156" s="673">
        <v>0</v>
      </c>
      <c r="V156" s="673">
        <v>0</v>
      </c>
      <c r="W156" s="673">
        <v>0</v>
      </c>
      <c r="X156" s="673">
        <v>0</v>
      </c>
      <c r="Y156" s="673">
        <v>0</v>
      </c>
      <c r="Z156" s="673">
        <v>0</v>
      </c>
      <c r="AA156" s="673">
        <v>0</v>
      </c>
      <c r="AB156" s="673">
        <v>0</v>
      </c>
      <c r="AC156" s="673">
        <v>0</v>
      </c>
      <c r="AD156" s="673">
        <v>0</v>
      </c>
      <c r="AE156" s="673">
        <v>0</v>
      </c>
      <c r="AF156" s="673">
        <v>0</v>
      </c>
      <c r="AG156" s="673">
        <v>0</v>
      </c>
      <c r="AH156" s="673">
        <v>3875609</v>
      </c>
      <c r="AI156" s="673">
        <v>0</v>
      </c>
      <c r="AJ156" s="673">
        <v>0</v>
      </c>
      <c r="AK156" s="673">
        <v>0</v>
      </c>
      <c r="AL156" s="673">
        <v>7213324</v>
      </c>
      <c r="AM156" s="673">
        <v>0</v>
      </c>
      <c r="AN156" s="673">
        <v>0</v>
      </c>
      <c r="AO156" s="673">
        <v>1063911</v>
      </c>
      <c r="AP156" s="673">
        <v>0</v>
      </c>
      <c r="AQ156" s="673">
        <v>0</v>
      </c>
      <c r="AR156" s="673">
        <v>0</v>
      </c>
      <c r="AS156" s="673">
        <v>0</v>
      </c>
      <c r="AT156" s="673">
        <v>0</v>
      </c>
      <c r="AU156" s="673">
        <v>0</v>
      </c>
      <c r="AV156" s="673">
        <v>0</v>
      </c>
      <c r="AW156" s="673">
        <v>0</v>
      </c>
      <c r="AX156" s="673">
        <v>0</v>
      </c>
      <c r="AY156" s="673">
        <v>0</v>
      </c>
      <c r="AZ156" s="673">
        <v>0</v>
      </c>
      <c r="BA156" s="673">
        <v>0</v>
      </c>
      <c r="BB156" s="673">
        <v>1894080</v>
      </c>
    </row>
    <row r="157" spans="1:54" x14ac:dyDescent="0.25">
      <c r="A157">
        <v>556</v>
      </c>
      <c r="B157">
        <v>556</v>
      </c>
      <c r="C157">
        <v>556</v>
      </c>
      <c r="D157" t="s">
        <v>593</v>
      </c>
      <c r="F157" s="673">
        <v>0</v>
      </c>
      <c r="G157" s="673">
        <v>0</v>
      </c>
      <c r="H157" s="673">
        <v>0</v>
      </c>
      <c r="I157" s="673">
        <v>0</v>
      </c>
      <c r="J157" s="673">
        <v>0</v>
      </c>
      <c r="K157" s="673">
        <v>0</v>
      </c>
      <c r="L157" s="673">
        <v>0</v>
      </c>
      <c r="M157" s="673">
        <v>0</v>
      </c>
      <c r="N157" s="673">
        <v>0</v>
      </c>
      <c r="O157" s="673">
        <v>0</v>
      </c>
      <c r="P157" s="673">
        <v>0</v>
      </c>
      <c r="Q157" s="673">
        <v>0</v>
      </c>
      <c r="R157" s="673">
        <v>0</v>
      </c>
      <c r="S157" s="673">
        <v>0</v>
      </c>
      <c r="T157" s="673">
        <v>0</v>
      </c>
      <c r="U157" s="673">
        <v>0</v>
      </c>
      <c r="V157" s="673">
        <v>0</v>
      </c>
      <c r="W157" s="673">
        <v>0</v>
      </c>
      <c r="X157" s="673">
        <v>0</v>
      </c>
      <c r="Y157" s="673">
        <v>0</v>
      </c>
      <c r="Z157" s="673">
        <v>0</v>
      </c>
      <c r="AA157" s="673">
        <v>0</v>
      </c>
      <c r="AB157" s="673">
        <v>0</v>
      </c>
      <c r="AC157" s="673">
        <v>0</v>
      </c>
      <c r="AD157" s="673">
        <v>0</v>
      </c>
      <c r="AE157" s="673">
        <v>0</v>
      </c>
      <c r="AF157" s="673">
        <v>0</v>
      </c>
      <c r="AG157" s="673">
        <v>0</v>
      </c>
      <c r="AH157" s="673">
        <v>914001</v>
      </c>
      <c r="AI157" s="673">
        <v>0</v>
      </c>
      <c r="AJ157" s="673">
        <v>0</v>
      </c>
      <c r="AK157" s="673">
        <v>0</v>
      </c>
      <c r="AL157" s="673">
        <v>475713</v>
      </c>
      <c r="AM157" s="673">
        <v>0</v>
      </c>
      <c r="AN157" s="673">
        <v>0</v>
      </c>
      <c r="AO157" s="673">
        <v>67909</v>
      </c>
      <c r="AP157" s="673">
        <v>0</v>
      </c>
      <c r="AQ157" s="673">
        <v>0</v>
      </c>
      <c r="AR157" s="673">
        <v>0</v>
      </c>
      <c r="AS157" s="673">
        <v>0</v>
      </c>
      <c r="AT157" s="673">
        <v>0</v>
      </c>
      <c r="AU157" s="673">
        <v>0</v>
      </c>
      <c r="AV157" s="673">
        <v>0</v>
      </c>
      <c r="AW157" s="673">
        <v>0</v>
      </c>
      <c r="AX157" s="673">
        <v>0</v>
      </c>
      <c r="AY157" s="673">
        <v>0</v>
      </c>
      <c r="AZ157" s="673">
        <v>0</v>
      </c>
      <c r="BA157" s="673">
        <v>0</v>
      </c>
      <c r="BB157" s="673">
        <v>613375</v>
      </c>
    </row>
    <row r="158" spans="1:54" x14ac:dyDescent="0.25">
      <c r="A158">
        <v>557</v>
      </c>
      <c r="B158">
        <v>557</v>
      </c>
      <c r="C158">
        <v>557</v>
      </c>
      <c r="D158" t="s">
        <v>594</v>
      </c>
      <c r="F158" s="673">
        <v>0</v>
      </c>
      <c r="G158" s="673">
        <v>0</v>
      </c>
      <c r="H158" s="673">
        <v>0</v>
      </c>
      <c r="I158" s="673">
        <v>0</v>
      </c>
      <c r="J158" s="673">
        <v>0</v>
      </c>
      <c r="K158" s="673">
        <v>0</v>
      </c>
      <c r="L158" s="673">
        <v>0</v>
      </c>
      <c r="M158" s="673">
        <v>0</v>
      </c>
      <c r="N158" s="673">
        <v>0</v>
      </c>
      <c r="O158" s="673">
        <v>0</v>
      </c>
      <c r="P158" s="673">
        <v>0</v>
      </c>
      <c r="Q158" s="673">
        <v>0</v>
      </c>
      <c r="R158" s="673">
        <v>0</v>
      </c>
      <c r="S158" s="673">
        <v>0</v>
      </c>
      <c r="T158" s="673">
        <v>0</v>
      </c>
      <c r="U158" s="673">
        <v>0</v>
      </c>
      <c r="V158" s="673">
        <v>0</v>
      </c>
      <c r="W158" s="673">
        <v>0</v>
      </c>
      <c r="X158" s="673">
        <v>0</v>
      </c>
      <c r="Y158" s="673">
        <v>0</v>
      </c>
      <c r="Z158" s="673">
        <v>0</v>
      </c>
      <c r="AA158" s="673">
        <v>0</v>
      </c>
      <c r="AB158" s="673">
        <v>0</v>
      </c>
      <c r="AC158" s="673">
        <v>0</v>
      </c>
      <c r="AD158" s="673">
        <v>0</v>
      </c>
      <c r="AE158" s="673">
        <v>0</v>
      </c>
      <c r="AF158" s="673">
        <v>0</v>
      </c>
      <c r="AG158" s="673">
        <v>0</v>
      </c>
      <c r="AH158" s="673">
        <v>653055</v>
      </c>
      <c r="AI158" s="673">
        <v>0</v>
      </c>
      <c r="AJ158" s="673">
        <v>0</v>
      </c>
      <c r="AK158" s="673">
        <v>0</v>
      </c>
      <c r="AL158" s="673">
        <v>0</v>
      </c>
      <c r="AM158" s="673">
        <v>0</v>
      </c>
      <c r="AN158" s="673">
        <v>0</v>
      </c>
      <c r="AO158" s="673">
        <v>0</v>
      </c>
      <c r="AP158" s="673">
        <v>0</v>
      </c>
      <c r="AQ158" s="673">
        <v>0</v>
      </c>
      <c r="AR158" s="673">
        <v>0</v>
      </c>
      <c r="AS158" s="673">
        <v>0</v>
      </c>
      <c r="AT158" s="673">
        <v>0</v>
      </c>
      <c r="AU158" s="673">
        <v>0</v>
      </c>
      <c r="AV158" s="673">
        <v>0</v>
      </c>
      <c r="AW158" s="673">
        <v>0</v>
      </c>
      <c r="AX158" s="673">
        <v>0</v>
      </c>
      <c r="AY158" s="673">
        <v>0</v>
      </c>
      <c r="AZ158" s="673">
        <v>0</v>
      </c>
      <c r="BA158" s="673">
        <v>0</v>
      </c>
      <c r="BB158" s="673">
        <v>243176</v>
      </c>
    </row>
    <row r="159" spans="1:54" x14ac:dyDescent="0.25">
      <c r="A159">
        <v>575</v>
      </c>
      <c r="B159">
        <v>575</v>
      </c>
      <c r="C159">
        <v>575</v>
      </c>
      <c r="D159" t="s">
        <v>565</v>
      </c>
      <c r="E159" t="s">
        <v>617</v>
      </c>
      <c r="F159" s="673">
        <v>0</v>
      </c>
      <c r="G159" s="673">
        <v>0</v>
      </c>
      <c r="H159" s="673">
        <v>0</v>
      </c>
      <c r="I159" s="673">
        <v>0</v>
      </c>
      <c r="J159" s="673">
        <v>0</v>
      </c>
      <c r="K159" s="673">
        <v>0</v>
      </c>
      <c r="L159" s="673">
        <v>0</v>
      </c>
      <c r="M159" s="673">
        <v>0</v>
      </c>
      <c r="N159" s="673">
        <v>0</v>
      </c>
      <c r="O159" s="673">
        <v>0</v>
      </c>
      <c r="P159" s="673">
        <v>0</v>
      </c>
      <c r="Q159" s="673">
        <v>0</v>
      </c>
      <c r="R159" s="673">
        <v>0</v>
      </c>
      <c r="S159" s="673">
        <v>0</v>
      </c>
      <c r="T159" s="673">
        <v>0</v>
      </c>
      <c r="U159" s="673">
        <v>0</v>
      </c>
      <c r="V159" s="673">
        <v>0</v>
      </c>
      <c r="W159" s="673">
        <v>0</v>
      </c>
      <c r="X159" s="673">
        <v>0</v>
      </c>
      <c r="Y159" s="673">
        <v>0</v>
      </c>
      <c r="Z159" s="673">
        <v>0</v>
      </c>
      <c r="AA159" s="673">
        <v>0</v>
      </c>
      <c r="AB159" s="673">
        <v>0</v>
      </c>
      <c r="AC159" s="673">
        <v>0</v>
      </c>
      <c r="AD159" s="673">
        <v>0</v>
      </c>
      <c r="AE159" s="673">
        <v>0</v>
      </c>
      <c r="AF159" s="673">
        <v>0</v>
      </c>
      <c r="AG159" s="673">
        <v>0</v>
      </c>
      <c r="AH159" s="673">
        <v>0</v>
      </c>
      <c r="AI159" s="673">
        <v>0</v>
      </c>
      <c r="AJ159" s="673">
        <v>0</v>
      </c>
      <c r="AK159" s="673">
        <v>0</v>
      </c>
      <c r="AL159" s="673">
        <v>0</v>
      </c>
      <c r="AM159" s="673">
        <v>0</v>
      </c>
      <c r="AN159" s="673">
        <v>0</v>
      </c>
      <c r="AO159" s="673">
        <v>0</v>
      </c>
      <c r="AP159" s="673">
        <v>0</v>
      </c>
      <c r="AQ159" s="673">
        <v>0</v>
      </c>
      <c r="AR159" s="673">
        <v>0</v>
      </c>
      <c r="AS159" s="673">
        <v>0</v>
      </c>
      <c r="AT159" s="673">
        <v>0</v>
      </c>
      <c r="AU159" s="673">
        <v>0</v>
      </c>
      <c r="AV159" s="673">
        <v>0</v>
      </c>
      <c r="AW159" s="673">
        <v>0</v>
      </c>
      <c r="AX159" s="673">
        <v>0</v>
      </c>
      <c r="AY159" s="673">
        <v>0</v>
      </c>
      <c r="AZ159" s="673">
        <v>0</v>
      </c>
      <c r="BA159" s="673">
        <v>0</v>
      </c>
      <c r="BB159" s="673">
        <v>0</v>
      </c>
    </row>
    <row r="160" spans="1:54" x14ac:dyDescent="0.25">
      <c r="A160">
        <v>576</v>
      </c>
      <c r="B160">
        <v>576</v>
      </c>
      <c r="C160">
        <v>576</v>
      </c>
      <c r="D160" t="s">
        <v>566</v>
      </c>
      <c r="E160" t="s">
        <v>618</v>
      </c>
      <c r="F160" s="673">
        <v>0</v>
      </c>
      <c r="G160" s="673">
        <v>0</v>
      </c>
      <c r="H160" s="673">
        <v>0</v>
      </c>
      <c r="I160" s="673">
        <v>0</v>
      </c>
      <c r="J160" s="673">
        <v>0</v>
      </c>
      <c r="K160" s="673">
        <v>0</v>
      </c>
      <c r="L160" s="673">
        <v>0</v>
      </c>
      <c r="M160" s="673">
        <v>0</v>
      </c>
      <c r="N160" s="673">
        <v>0</v>
      </c>
      <c r="O160" s="673">
        <v>0</v>
      </c>
      <c r="P160" s="673">
        <v>0</v>
      </c>
      <c r="Q160" s="673">
        <v>0</v>
      </c>
      <c r="R160" s="673">
        <v>0</v>
      </c>
      <c r="S160" s="673">
        <v>0</v>
      </c>
      <c r="T160" s="673">
        <v>0</v>
      </c>
      <c r="U160" s="673">
        <v>0</v>
      </c>
      <c r="V160" s="673">
        <v>0</v>
      </c>
      <c r="W160" s="673">
        <v>0</v>
      </c>
      <c r="X160" s="673">
        <v>0</v>
      </c>
      <c r="Y160" s="673">
        <v>0</v>
      </c>
      <c r="Z160" s="673">
        <v>0</v>
      </c>
      <c r="AA160" s="673">
        <v>0</v>
      </c>
      <c r="AB160" s="673">
        <v>0</v>
      </c>
      <c r="AC160" s="673">
        <v>0</v>
      </c>
      <c r="AD160" s="673">
        <v>0</v>
      </c>
      <c r="AE160" s="673">
        <v>0</v>
      </c>
      <c r="AF160" s="673">
        <v>0</v>
      </c>
      <c r="AG160" s="673">
        <v>0</v>
      </c>
      <c r="AH160" s="673">
        <v>0</v>
      </c>
      <c r="AI160" s="673">
        <v>0</v>
      </c>
      <c r="AJ160" s="673">
        <v>0</v>
      </c>
      <c r="AK160" s="673">
        <v>0</v>
      </c>
      <c r="AL160" s="673">
        <v>0</v>
      </c>
      <c r="AM160" s="673">
        <v>0</v>
      </c>
      <c r="AN160" s="673">
        <v>0</v>
      </c>
      <c r="AO160" s="673">
        <v>0</v>
      </c>
      <c r="AP160" s="673">
        <v>0</v>
      </c>
      <c r="AQ160" s="673">
        <v>0</v>
      </c>
      <c r="AR160" s="673">
        <v>0</v>
      </c>
      <c r="AS160" s="673">
        <v>0</v>
      </c>
      <c r="AT160" s="673">
        <v>0</v>
      </c>
      <c r="AU160" s="673">
        <v>0</v>
      </c>
      <c r="AV160" s="673">
        <v>0</v>
      </c>
      <c r="AW160" s="673">
        <v>0</v>
      </c>
      <c r="AX160" s="673">
        <v>0</v>
      </c>
      <c r="AY160" s="673">
        <v>0</v>
      </c>
      <c r="AZ160" s="673">
        <v>0</v>
      </c>
      <c r="BA160" s="673">
        <v>0</v>
      </c>
      <c r="BB160" s="673">
        <v>0</v>
      </c>
    </row>
    <row r="161" spans="1:54" x14ac:dyDescent="0.25">
      <c r="A161">
        <v>577</v>
      </c>
      <c r="B161">
        <v>577</v>
      </c>
      <c r="C161">
        <v>577</v>
      </c>
      <c r="D161" t="s">
        <v>619</v>
      </c>
      <c r="E161" t="s">
        <v>620</v>
      </c>
      <c r="F161" s="673">
        <v>2</v>
      </c>
      <c r="G161" s="673">
        <v>2</v>
      </c>
      <c r="H161" s="673">
        <v>2</v>
      </c>
      <c r="I161" s="673">
        <v>2</v>
      </c>
      <c r="J161" s="673">
        <v>2</v>
      </c>
      <c r="K161" s="673">
        <v>2</v>
      </c>
      <c r="L161" s="673">
        <v>2</v>
      </c>
      <c r="M161" s="673">
        <v>2</v>
      </c>
      <c r="N161" s="673">
        <v>0</v>
      </c>
      <c r="O161" s="673">
        <v>2</v>
      </c>
      <c r="P161" s="673">
        <v>2</v>
      </c>
      <c r="Q161" s="673">
        <v>2</v>
      </c>
      <c r="R161" s="673">
        <v>1</v>
      </c>
      <c r="S161" s="673">
        <v>2</v>
      </c>
      <c r="T161" s="673">
        <v>2</v>
      </c>
      <c r="U161" s="673">
        <v>2</v>
      </c>
      <c r="V161" s="673">
        <v>2</v>
      </c>
      <c r="W161" s="673">
        <v>2</v>
      </c>
      <c r="X161" s="673">
        <v>2</v>
      </c>
      <c r="Y161" s="673">
        <v>2</v>
      </c>
      <c r="Z161" s="673">
        <v>2</v>
      </c>
      <c r="AA161" s="673">
        <v>2</v>
      </c>
      <c r="AB161" s="673">
        <v>2</v>
      </c>
      <c r="AC161" s="673">
        <v>2</v>
      </c>
      <c r="AD161" s="673">
        <v>2</v>
      </c>
      <c r="AE161" s="673">
        <v>2</v>
      </c>
      <c r="AF161" s="673">
        <v>2</v>
      </c>
      <c r="AG161" s="673">
        <v>2</v>
      </c>
      <c r="AH161" s="673">
        <v>2</v>
      </c>
      <c r="AI161" s="673">
        <v>0</v>
      </c>
      <c r="AJ161" s="673">
        <v>2</v>
      </c>
      <c r="AK161" s="673">
        <v>2</v>
      </c>
      <c r="AL161" s="673">
        <v>2</v>
      </c>
      <c r="AM161" s="673">
        <v>2</v>
      </c>
      <c r="AN161" s="673">
        <v>2</v>
      </c>
      <c r="AO161" s="673">
        <v>2</v>
      </c>
      <c r="AP161" s="673">
        <v>2</v>
      </c>
      <c r="AQ161" s="673">
        <v>2</v>
      </c>
      <c r="AR161" s="673">
        <v>2</v>
      </c>
      <c r="AS161" s="673">
        <v>2</v>
      </c>
      <c r="AT161" s="673">
        <v>0</v>
      </c>
      <c r="AU161" s="673">
        <v>2</v>
      </c>
      <c r="AV161" s="673">
        <v>2</v>
      </c>
      <c r="AW161" s="673">
        <v>2</v>
      </c>
      <c r="AX161" s="673">
        <v>2</v>
      </c>
      <c r="AY161" s="673">
        <v>2</v>
      </c>
      <c r="AZ161" s="673">
        <v>2</v>
      </c>
      <c r="BA161" s="673">
        <v>2</v>
      </c>
      <c r="BB161" s="673">
        <v>2</v>
      </c>
    </row>
    <row r="162" spans="1:54" x14ac:dyDescent="0.25">
      <c r="A162">
        <v>578</v>
      </c>
      <c r="B162">
        <v>578</v>
      </c>
      <c r="C162">
        <v>578</v>
      </c>
      <c r="D162" t="s">
        <v>621</v>
      </c>
      <c r="E162" t="s">
        <v>622</v>
      </c>
      <c r="F162" s="673">
        <v>0</v>
      </c>
      <c r="G162" s="673">
        <v>0</v>
      </c>
      <c r="H162" s="673">
        <v>0</v>
      </c>
      <c r="I162" s="673">
        <v>0</v>
      </c>
      <c r="J162" s="673">
        <v>0</v>
      </c>
      <c r="K162" s="673">
        <v>0</v>
      </c>
      <c r="L162" s="673">
        <v>0</v>
      </c>
      <c r="M162" s="673">
        <v>0</v>
      </c>
      <c r="N162" s="673">
        <v>0</v>
      </c>
      <c r="O162" s="673">
        <v>0</v>
      </c>
      <c r="P162" s="673">
        <v>0</v>
      </c>
      <c r="Q162" s="673">
        <v>0</v>
      </c>
      <c r="R162" s="673">
        <v>0</v>
      </c>
      <c r="S162" s="673">
        <v>0</v>
      </c>
      <c r="T162" s="673">
        <v>0</v>
      </c>
      <c r="U162" s="673">
        <v>0</v>
      </c>
      <c r="V162" s="673">
        <v>0</v>
      </c>
      <c r="W162" s="673">
        <v>0</v>
      </c>
      <c r="X162" s="673">
        <v>0</v>
      </c>
      <c r="Y162" s="673">
        <v>0</v>
      </c>
      <c r="Z162" s="673">
        <v>0</v>
      </c>
      <c r="AA162" s="673">
        <v>0</v>
      </c>
      <c r="AB162" s="673">
        <v>0</v>
      </c>
      <c r="AC162" s="673">
        <v>0</v>
      </c>
      <c r="AD162" s="673">
        <v>0</v>
      </c>
      <c r="AE162" s="673">
        <v>0</v>
      </c>
      <c r="AF162" s="673">
        <v>0</v>
      </c>
      <c r="AG162" s="673">
        <v>0</v>
      </c>
      <c r="AH162" s="673">
        <v>0</v>
      </c>
      <c r="AI162" s="673">
        <v>0</v>
      </c>
      <c r="AJ162" s="673">
        <v>0</v>
      </c>
      <c r="AK162" s="673">
        <v>0</v>
      </c>
      <c r="AL162" s="673">
        <v>0</v>
      </c>
      <c r="AM162" s="673">
        <v>0</v>
      </c>
      <c r="AN162" s="673">
        <v>0</v>
      </c>
      <c r="AO162" s="673">
        <v>0</v>
      </c>
      <c r="AP162" s="673">
        <v>0</v>
      </c>
      <c r="AQ162" s="673">
        <v>0</v>
      </c>
      <c r="AR162" s="673">
        <v>0</v>
      </c>
      <c r="AS162" s="673">
        <v>0</v>
      </c>
      <c r="AT162" s="673">
        <v>0</v>
      </c>
      <c r="AU162" s="673">
        <v>0</v>
      </c>
      <c r="AV162" s="673">
        <v>0</v>
      </c>
      <c r="AW162" s="673">
        <v>0</v>
      </c>
      <c r="AX162" s="673">
        <v>0</v>
      </c>
      <c r="AY162" s="673">
        <v>0</v>
      </c>
      <c r="AZ162" s="673">
        <v>0</v>
      </c>
      <c r="BA162" s="673">
        <v>0</v>
      </c>
      <c r="BB162" s="673">
        <v>0</v>
      </c>
    </row>
    <row r="163" spans="1:54" x14ac:dyDescent="0.25">
      <c r="A163">
        <v>579</v>
      </c>
      <c r="B163">
        <v>579</v>
      </c>
      <c r="C163">
        <v>579</v>
      </c>
      <c r="D163" t="s">
        <v>623</v>
      </c>
      <c r="E163" t="s">
        <v>624</v>
      </c>
      <c r="F163" s="673">
        <v>0</v>
      </c>
      <c r="G163" s="673">
        <v>0</v>
      </c>
      <c r="H163" s="673">
        <v>0</v>
      </c>
      <c r="I163" s="673">
        <v>0</v>
      </c>
      <c r="J163" s="673">
        <v>0</v>
      </c>
      <c r="K163" s="673">
        <v>0</v>
      </c>
      <c r="L163" s="673">
        <v>0</v>
      </c>
      <c r="M163" s="673">
        <v>0</v>
      </c>
      <c r="N163" s="673">
        <v>0</v>
      </c>
      <c r="O163" s="673">
        <v>0</v>
      </c>
      <c r="P163" s="673">
        <v>0</v>
      </c>
      <c r="Q163" s="673">
        <v>0</v>
      </c>
      <c r="R163" s="673">
        <v>0</v>
      </c>
      <c r="S163" s="673">
        <v>0</v>
      </c>
      <c r="T163" s="673">
        <v>0</v>
      </c>
      <c r="U163" s="673">
        <v>0</v>
      </c>
      <c r="V163" s="673">
        <v>0</v>
      </c>
      <c r="W163" s="673">
        <v>0</v>
      </c>
      <c r="X163" s="673">
        <v>0</v>
      </c>
      <c r="Y163" s="673">
        <v>0</v>
      </c>
      <c r="Z163" s="673">
        <v>0</v>
      </c>
      <c r="AA163" s="673">
        <v>0</v>
      </c>
      <c r="AB163" s="673">
        <v>0</v>
      </c>
      <c r="AC163" s="673">
        <v>0</v>
      </c>
      <c r="AD163" s="673">
        <v>0</v>
      </c>
      <c r="AE163" s="673">
        <v>0</v>
      </c>
      <c r="AF163" s="673">
        <v>0</v>
      </c>
      <c r="AG163" s="673">
        <v>0</v>
      </c>
      <c r="AH163" s="673">
        <v>0</v>
      </c>
      <c r="AI163" s="673">
        <v>0</v>
      </c>
      <c r="AJ163" s="673">
        <v>0</v>
      </c>
      <c r="AK163" s="673">
        <v>0</v>
      </c>
      <c r="AL163" s="673">
        <v>0</v>
      </c>
      <c r="AM163" s="673">
        <v>0</v>
      </c>
      <c r="AN163" s="673">
        <v>0</v>
      </c>
      <c r="AO163" s="673">
        <v>0</v>
      </c>
      <c r="AP163" s="673">
        <v>0</v>
      </c>
      <c r="AQ163" s="673">
        <v>0</v>
      </c>
      <c r="AR163" s="673">
        <v>0</v>
      </c>
      <c r="AS163" s="673">
        <v>0</v>
      </c>
      <c r="AT163" s="673">
        <v>0</v>
      </c>
      <c r="AU163" s="673">
        <v>0</v>
      </c>
      <c r="AV163" s="673">
        <v>0</v>
      </c>
      <c r="AW163" s="673">
        <v>0</v>
      </c>
      <c r="AX163" s="673">
        <v>0</v>
      </c>
      <c r="AY163" s="673">
        <v>0</v>
      </c>
      <c r="AZ163" s="673">
        <v>0</v>
      </c>
      <c r="BA163" s="673">
        <v>0</v>
      </c>
      <c r="BB163" s="673">
        <v>0</v>
      </c>
    </row>
    <row r="164" spans="1:54" x14ac:dyDescent="0.25">
      <c r="A164">
        <v>580</v>
      </c>
      <c r="B164">
        <v>580</v>
      </c>
      <c r="D164" t="s">
        <v>588</v>
      </c>
      <c r="F164" s="673">
        <v>0</v>
      </c>
      <c r="G164" s="673">
        <v>0</v>
      </c>
      <c r="H164" s="673">
        <v>0</v>
      </c>
      <c r="I164" s="673">
        <v>0</v>
      </c>
      <c r="J164" s="673">
        <v>0</v>
      </c>
      <c r="K164" s="673">
        <v>0</v>
      </c>
      <c r="L164" s="673">
        <v>0</v>
      </c>
      <c r="M164" s="673">
        <v>0</v>
      </c>
      <c r="N164" s="673">
        <v>0</v>
      </c>
      <c r="O164" s="673">
        <v>0</v>
      </c>
      <c r="P164" s="673">
        <v>0</v>
      </c>
      <c r="Q164" s="673">
        <v>0</v>
      </c>
      <c r="R164" s="673">
        <v>0</v>
      </c>
      <c r="S164" s="673">
        <v>0</v>
      </c>
      <c r="T164" s="673">
        <v>0</v>
      </c>
      <c r="U164" s="673">
        <v>0</v>
      </c>
      <c r="V164" s="673">
        <v>0</v>
      </c>
      <c r="W164" s="673">
        <v>0</v>
      </c>
      <c r="X164" s="673">
        <v>0</v>
      </c>
      <c r="Y164" s="673">
        <v>0</v>
      </c>
      <c r="Z164" s="673">
        <v>0</v>
      </c>
      <c r="AA164" s="673">
        <v>0</v>
      </c>
      <c r="AB164" s="673">
        <v>0</v>
      </c>
      <c r="AC164" s="673">
        <v>0</v>
      </c>
      <c r="AD164" s="673">
        <v>0</v>
      </c>
      <c r="AE164" s="673">
        <v>0</v>
      </c>
      <c r="AF164" s="673">
        <v>0</v>
      </c>
      <c r="AG164" s="673">
        <v>0</v>
      </c>
      <c r="AH164" s="673">
        <v>0</v>
      </c>
      <c r="AI164" s="673">
        <v>0</v>
      </c>
      <c r="AJ164" s="673">
        <v>0</v>
      </c>
      <c r="AK164" s="673">
        <v>0</v>
      </c>
      <c r="AL164" s="673">
        <v>0</v>
      </c>
      <c r="AM164" s="673">
        <v>0</v>
      </c>
      <c r="AN164" s="673">
        <v>0</v>
      </c>
      <c r="AO164" s="673">
        <v>0</v>
      </c>
      <c r="AP164" s="673">
        <v>0</v>
      </c>
      <c r="AQ164" s="673">
        <v>0</v>
      </c>
      <c r="AR164" s="673">
        <v>0</v>
      </c>
      <c r="AS164" s="673">
        <v>0</v>
      </c>
      <c r="AT164" s="673">
        <v>0</v>
      </c>
      <c r="AU164" s="673">
        <v>0</v>
      </c>
      <c r="AV164" s="673">
        <v>0</v>
      </c>
      <c r="AW164" s="673">
        <v>0</v>
      </c>
      <c r="AX164" s="673">
        <v>0</v>
      </c>
      <c r="AY164" s="673">
        <v>0</v>
      </c>
      <c r="AZ164" s="673">
        <v>0</v>
      </c>
      <c r="BA164" s="673">
        <v>0</v>
      </c>
      <c r="BB164" s="673">
        <v>0</v>
      </c>
    </row>
    <row r="165" spans="1:54" x14ac:dyDescent="0.25">
      <c r="A165">
        <v>581</v>
      </c>
      <c r="B165">
        <v>581</v>
      </c>
      <c r="D165" t="s">
        <v>587</v>
      </c>
      <c r="F165" s="673">
        <v>0</v>
      </c>
      <c r="G165" s="673">
        <v>0</v>
      </c>
      <c r="H165" s="673">
        <v>0</v>
      </c>
      <c r="I165" s="673">
        <v>0</v>
      </c>
      <c r="J165" s="673">
        <v>0</v>
      </c>
      <c r="K165" s="673">
        <v>0</v>
      </c>
      <c r="L165" s="673">
        <v>0</v>
      </c>
      <c r="M165" s="673">
        <v>0</v>
      </c>
      <c r="N165" s="673">
        <v>0</v>
      </c>
      <c r="O165" s="673">
        <v>0</v>
      </c>
      <c r="P165" s="673">
        <v>0</v>
      </c>
      <c r="Q165" s="673">
        <v>0</v>
      </c>
      <c r="R165" s="673">
        <v>0</v>
      </c>
      <c r="S165" s="673">
        <v>0</v>
      </c>
      <c r="T165" s="673">
        <v>0</v>
      </c>
      <c r="U165" s="673">
        <v>0</v>
      </c>
      <c r="V165" s="673">
        <v>0</v>
      </c>
      <c r="W165" s="673">
        <v>0</v>
      </c>
      <c r="X165" s="673">
        <v>0</v>
      </c>
      <c r="Y165" s="673">
        <v>0</v>
      </c>
      <c r="Z165" s="673">
        <v>0</v>
      </c>
      <c r="AA165" s="673">
        <v>0</v>
      </c>
      <c r="AB165" s="673">
        <v>0</v>
      </c>
      <c r="AC165" s="673">
        <v>0</v>
      </c>
      <c r="AD165" s="673">
        <v>0</v>
      </c>
      <c r="AE165" s="673">
        <v>0</v>
      </c>
      <c r="AF165" s="673">
        <v>0</v>
      </c>
      <c r="AG165" s="673">
        <v>0</v>
      </c>
      <c r="AH165" s="673">
        <v>0</v>
      </c>
      <c r="AI165" s="673">
        <v>0</v>
      </c>
      <c r="AJ165" s="673">
        <v>0</v>
      </c>
      <c r="AK165" s="673">
        <v>0</v>
      </c>
      <c r="AL165" s="673">
        <v>0</v>
      </c>
      <c r="AM165" s="673">
        <v>0</v>
      </c>
      <c r="AN165" s="673">
        <v>0</v>
      </c>
      <c r="AO165" s="673">
        <v>0</v>
      </c>
      <c r="AP165" s="673">
        <v>0</v>
      </c>
      <c r="AQ165" s="673">
        <v>0</v>
      </c>
      <c r="AR165" s="673">
        <v>0</v>
      </c>
      <c r="AS165" s="673">
        <v>0</v>
      </c>
      <c r="AT165" s="673">
        <v>0</v>
      </c>
      <c r="AU165" s="673">
        <v>0</v>
      </c>
      <c r="AV165" s="673">
        <v>0</v>
      </c>
      <c r="AW165" s="673">
        <v>0</v>
      </c>
      <c r="AX165" s="673">
        <v>0</v>
      </c>
      <c r="AY165" s="673">
        <v>0</v>
      </c>
      <c r="AZ165" s="673">
        <v>0</v>
      </c>
      <c r="BA165" s="673">
        <v>0</v>
      </c>
      <c r="BB165" s="673">
        <v>0</v>
      </c>
    </row>
    <row r="166" spans="1:54" x14ac:dyDescent="0.25">
      <c r="A166">
        <v>586</v>
      </c>
      <c r="B166">
        <v>586</v>
      </c>
      <c r="C166">
        <v>586</v>
      </c>
      <c r="D166" t="s">
        <v>971</v>
      </c>
      <c r="E166" t="s">
        <v>626</v>
      </c>
      <c r="F166" s="673">
        <v>0</v>
      </c>
      <c r="G166" s="673">
        <v>0</v>
      </c>
      <c r="H166" s="673">
        <v>0</v>
      </c>
      <c r="I166" s="673">
        <v>0</v>
      </c>
      <c r="J166" s="673">
        <v>0</v>
      </c>
      <c r="K166" s="673">
        <v>0</v>
      </c>
      <c r="L166" s="673">
        <v>0</v>
      </c>
      <c r="M166" s="673">
        <v>0</v>
      </c>
      <c r="N166" s="673">
        <v>0</v>
      </c>
      <c r="O166" s="673">
        <v>0</v>
      </c>
      <c r="P166" s="673">
        <v>0</v>
      </c>
      <c r="Q166" s="673">
        <v>0</v>
      </c>
      <c r="R166" s="673">
        <v>0</v>
      </c>
      <c r="S166" s="673">
        <v>0</v>
      </c>
      <c r="T166" s="673">
        <v>0</v>
      </c>
      <c r="U166" s="673">
        <v>0</v>
      </c>
      <c r="V166" s="673">
        <v>0</v>
      </c>
      <c r="W166" s="673">
        <v>0</v>
      </c>
      <c r="X166" s="673">
        <v>0</v>
      </c>
      <c r="Y166" s="673">
        <v>0</v>
      </c>
      <c r="Z166" s="673">
        <v>0</v>
      </c>
      <c r="AA166" s="673">
        <v>0</v>
      </c>
      <c r="AB166" s="673">
        <v>0</v>
      </c>
      <c r="AC166" s="673">
        <v>0</v>
      </c>
      <c r="AD166" s="673">
        <v>0</v>
      </c>
      <c r="AE166" s="673">
        <v>0</v>
      </c>
      <c r="AF166" s="673">
        <v>0</v>
      </c>
      <c r="AG166" s="673">
        <v>0</v>
      </c>
      <c r="AH166" s="673">
        <v>0</v>
      </c>
      <c r="AI166" s="673">
        <v>0</v>
      </c>
      <c r="AJ166" s="673">
        <v>0</v>
      </c>
      <c r="AK166" s="673">
        <v>0</v>
      </c>
      <c r="AL166" s="673">
        <v>0</v>
      </c>
      <c r="AM166" s="673">
        <v>0</v>
      </c>
      <c r="AN166" s="673">
        <v>0</v>
      </c>
      <c r="AO166" s="673">
        <v>0</v>
      </c>
      <c r="AP166" s="673">
        <v>0</v>
      </c>
      <c r="AQ166" s="673">
        <v>0</v>
      </c>
      <c r="AR166" s="673">
        <v>0</v>
      </c>
      <c r="AS166" s="673">
        <v>0</v>
      </c>
      <c r="AT166" s="673">
        <v>0</v>
      </c>
      <c r="AU166" s="673">
        <v>0</v>
      </c>
      <c r="AV166" s="673">
        <v>0</v>
      </c>
      <c r="AW166" s="673">
        <v>0</v>
      </c>
      <c r="AX166" s="673">
        <v>0</v>
      </c>
      <c r="AY166" s="673">
        <v>0</v>
      </c>
      <c r="AZ166" s="673">
        <v>0</v>
      </c>
      <c r="BA166" s="673">
        <v>0</v>
      </c>
      <c r="BB166" s="673">
        <v>0</v>
      </c>
    </row>
    <row r="167" spans="1:54" x14ac:dyDescent="0.25">
      <c r="A167">
        <v>591</v>
      </c>
      <c r="B167">
        <v>591</v>
      </c>
      <c r="D167" t="s">
        <v>602</v>
      </c>
      <c r="F167" s="673">
        <v>1884877</v>
      </c>
      <c r="G167" s="673">
        <v>1991522</v>
      </c>
      <c r="H167" s="673">
        <v>4349132</v>
      </c>
      <c r="I167" s="673">
        <v>8925786</v>
      </c>
      <c r="J167" s="673">
        <v>30642391</v>
      </c>
      <c r="K167" s="673">
        <v>17967525</v>
      </c>
      <c r="L167" s="673">
        <v>0</v>
      </c>
      <c r="M167" s="673">
        <v>6672848</v>
      </c>
      <c r="N167" s="673">
        <v>0</v>
      </c>
      <c r="O167" s="673">
        <v>2665936</v>
      </c>
      <c r="P167" s="673">
        <v>2597857</v>
      </c>
      <c r="Q167" s="673">
        <v>332781</v>
      </c>
      <c r="R167" s="673">
        <v>824055</v>
      </c>
      <c r="S167" s="673">
        <v>369693</v>
      </c>
      <c r="T167" s="673">
        <v>2135367</v>
      </c>
      <c r="U167" s="673">
        <v>412966</v>
      </c>
      <c r="V167" s="673">
        <v>237028057</v>
      </c>
      <c r="W167" s="673">
        <v>2854185</v>
      </c>
      <c r="X167" s="673">
        <v>360933</v>
      </c>
      <c r="Y167" s="673">
        <v>1972453</v>
      </c>
      <c r="Z167" s="673">
        <v>4723938</v>
      </c>
      <c r="AA167" s="673">
        <v>1812589</v>
      </c>
      <c r="AB167" s="673">
        <v>2030937</v>
      </c>
      <c r="AC167" s="673">
        <v>434971</v>
      </c>
      <c r="AD167" s="673">
        <v>10287118</v>
      </c>
      <c r="AE167" s="673">
        <v>933780</v>
      </c>
      <c r="AF167" s="673">
        <v>934085</v>
      </c>
      <c r="AG167" s="673">
        <v>23394024</v>
      </c>
      <c r="AH167" s="673">
        <v>33360056</v>
      </c>
      <c r="AI167" s="673">
        <v>7347137</v>
      </c>
      <c r="AJ167" s="673">
        <v>304571683</v>
      </c>
      <c r="AK167" s="673">
        <v>43435</v>
      </c>
      <c r="AL167" s="673">
        <v>7673302</v>
      </c>
      <c r="AM167" s="673">
        <v>673386</v>
      </c>
      <c r="AN167" s="673">
        <v>241329</v>
      </c>
      <c r="AO167" s="673">
        <v>8329564</v>
      </c>
      <c r="AP167" s="673">
        <v>2063318</v>
      </c>
      <c r="AQ167" s="673">
        <v>2568325</v>
      </c>
      <c r="AR167" s="673">
        <v>1263175</v>
      </c>
      <c r="AS167" s="673">
        <v>529326</v>
      </c>
      <c r="AT167" s="673">
        <v>439446</v>
      </c>
      <c r="AU167" s="673">
        <v>135395</v>
      </c>
      <c r="AV167" s="673">
        <v>194491</v>
      </c>
      <c r="AW167" s="673">
        <v>5419038</v>
      </c>
      <c r="AX167" s="673">
        <v>55622</v>
      </c>
      <c r="AY167" s="673">
        <v>16537</v>
      </c>
      <c r="AZ167" s="673">
        <v>38347</v>
      </c>
      <c r="BA167" s="673">
        <v>1960830</v>
      </c>
      <c r="BB167" s="673">
        <v>2065086</v>
      </c>
    </row>
    <row r="168" spans="1:54" x14ac:dyDescent="0.25">
      <c r="A168">
        <v>592</v>
      </c>
      <c r="B168">
        <v>592</v>
      </c>
      <c r="D168" t="s">
        <v>603</v>
      </c>
      <c r="F168" s="673">
        <v>112796</v>
      </c>
      <c r="G168" s="673">
        <v>848814</v>
      </c>
      <c r="H168" s="673">
        <v>2201240</v>
      </c>
      <c r="I168" s="673">
        <v>-52270865</v>
      </c>
      <c r="J168" s="673">
        <v>16543079</v>
      </c>
      <c r="K168" s="673">
        <v>-93797</v>
      </c>
      <c r="L168" s="673">
        <v>0</v>
      </c>
      <c r="M168" s="673">
        <v>1905262</v>
      </c>
      <c r="N168" s="673">
        <v>0</v>
      </c>
      <c r="O168" s="673">
        <v>-8691</v>
      </c>
      <c r="P168" s="673">
        <v>565737</v>
      </c>
      <c r="Q168" s="673">
        <v>-59008</v>
      </c>
      <c r="R168" s="673">
        <v>190033</v>
      </c>
      <c r="S168" s="673">
        <v>-128267</v>
      </c>
      <c r="T168" s="673">
        <v>411600</v>
      </c>
      <c r="U168" s="673">
        <v>-17897</v>
      </c>
      <c r="V168" s="673">
        <v>17988723</v>
      </c>
      <c r="W168" s="673">
        <v>640619</v>
      </c>
      <c r="X168" s="673">
        <v>142857</v>
      </c>
      <c r="Y168" s="673">
        <v>914169</v>
      </c>
      <c r="Z168" s="673">
        <v>1147490</v>
      </c>
      <c r="AA168" s="673">
        <v>70045</v>
      </c>
      <c r="AB168" s="673">
        <v>-779734</v>
      </c>
      <c r="AC168" s="673">
        <v>18670</v>
      </c>
      <c r="AD168" s="673">
        <v>808967</v>
      </c>
      <c r="AE168" s="673">
        <v>366101</v>
      </c>
      <c r="AF168" s="673">
        <v>-85328</v>
      </c>
      <c r="AG168" s="673">
        <v>5811175</v>
      </c>
      <c r="AH168" s="673">
        <v>7451451</v>
      </c>
      <c r="AI168" s="673">
        <v>306669</v>
      </c>
      <c r="AJ168" s="673">
        <v>43029830</v>
      </c>
      <c r="AK168" s="673">
        <v>40160</v>
      </c>
      <c r="AL168" s="673">
        <v>2414189</v>
      </c>
      <c r="AM168" s="673">
        <v>545820</v>
      </c>
      <c r="AN168" s="673">
        <v>29291</v>
      </c>
      <c r="AO168" s="673">
        <v>4076848</v>
      </c>
      <c r="AP168" s="673">
        <v>235401</v>
      </c>
      <c r="AQ168" s="673">
        <v>544289</v>
      </c>
      <c r="AR168" s="673">
        <v>101786</v>
      </c>
      <c r="AS168" s="673">
        <v>737528</v>
      </c>
      <c r="AT168" s="673">
        <v>-167855</v>
      </c>
      <c r="AU168" s="673">
        <v>-9467</v>
      </c>
      <c r="AV168" s="673">
        <v>-46482</v>
      </c>
      <c r="AW168" s="673">
        <v>81188</v>
      </c>
      <c r="AX168" s="673">
        <v>-55622</v>
      </c>
      <c r="AY168" s="673">
        <v>1956</v>
      </c>
      <c r="AZ168" s="673">
        <v>561</v>
      </c>
      <c r="BA168" s="673">
        <v>-185450</v>
      </c>
      <c r="BB168" s="673">
        <v>831238</v>
      </c>
    </row>
    <row r="169" spans="1:54" ht="120" x14ac:dyDescent="0.25">
      <c r="B169">
        <v>595</v>
      </c>
      <c r="D169" s="612" t="s">
        <v>972</v>
      </c>
      <c r="E169" t="s">
        <v>973</v>
      </c>
      <c r="F169" s="673"/>
      <c r="G169" s="673"/>
      <c r="H169" s="673"/>
      <c r="I169" s="673"/>
      <c r="J169" s="673"/>
      <c r="K169" s="673"/>
      <c r="L169" s="673"/>
      <c r="M169" s="673"/>
      <c r="N169" s="673"/>
      <c r="O169" s="673"/>
      <c r="P169" s="673"/>
      <c r="Q169" s="673"/>
      <c r="R169" s="673"/>
      <c r="S169" s="673"/>
      <c r="T169" s="673"/>
      <c r="U169" s="673"/>
      <c r="V169" s="673"/>
      <c r="W169" s="673"/>
      <c r="X169" s="673"/>
      <c r="Y169" s="673"/>
      <c r="Z169" s="673"/>
      <c r="AA169" s="673"/>
      <c r="AB169" s="673"/>
      <c r="AC169" s="673"/>
      <c r="AD169" s="673"/>
      <c r="AE169" s="673"/>
      <c r="AF169" s="673"/>
      <c r="AG169" s="673"/>
      <c r="AH169" s="673"/>
      <c r="AI169" s="673"/>
      <c r="AJ169" s="673"/>
      <c r="AK169" s="673"/>
      <c r="AL169" s="673"/>
      <c r="AM169" s="673"/>
      <c r="AN169" s="673"/>
      <c r="AO169" s="673"/>
      <c r="AP169" s="673"/>
      <c r="AQ169" s="673"/>
      <c r="AR169" s="673"/>
      <c r="AS169" s="673"/>
      <c r="AT169" s="673"/>
      <c r="AU169" s="673"/>
      <c r="AV169" s="673"/>
      <c r="AW169" s="673"/>
      <c r="AX169" s="673"/>
      <c r="AY169" s="673"/>
      <c r="AZ169" s="673"/>
      <c r="BA169" s="673"/>
      <c r="BB169" s="673"/>
    </row>
    <row r="170" spans="1:54" x14ac:dyDescent="0.25">
      <c r="A170">
        <v>596</v>
      </c>
      <c r="B170">
        <v>596</v>
      </c>
      <c r="D170" t="s">
        <v>609</v>
      </c>
      <c r="F170">
        <v>52</v>
      </c>
      <c r="G170">
        <v>52</v>
      </c>
      <c r="H170">
        <v>52</v>
      </c>
      <c r="I170">
        <v>52</v>
      </c>
      <c r="J170">
        <v>52</v>
      </c>
      <c r="K170">
        <v>52</v>
      </c>
      <c r="L170">
        <v>52</v>
      </c>
      <c r="M170">
        <v>52</v>
      </c>
      <c r="N170">
        <v>0</v>
      </c>
      <c r="O170">
        <v>52</v>
      </c>
      <c r="P170">
        <v>52</v>
      </c>
      <c r="Q170">
        <v>52</v>
      </c>
      <c r="R170">
        <v>52</v>
      </c>
      <c r="S170">
        <v>52</v>
      </c>
      <c r="T170">
        <v>52</v>
      </c>
      <c r="U170">
        <v>52</v>
      </c>
      <c r="V170">
        <v>52</v>
      </c>
      <c r="W170">
        <v>52</v>
      </c>
      <c r="X170">
        <v>52</v>
      </c>
      <c r="Y170">
        <v>52</v>
      </c>
      <c r="Z170">
        <v>52</v>
      </c>
      <c r="AA170">
        <v>52</v>
      </c>
      <c r="AB170">
        <v>52</v>
      </c>
      <c r="AC170">
        <v>52</v>
      </c>
      <c r="AD170">
        <v>52</v>
      </c>
      <c r="AE170">
        <v>52</v>
      </c>
      <c r="AF170">
        <v>52</v>
      </c>
      <c r="AG170">
        <v>52</v>
      </c>
      <c r="AH170">
        <v>52</v>
      </c>
      <c r="AI170">
        <v>52</v>
      </c>
      <c r="AJ170">
        <v>52</v>
      </c>
      <c r="AK170">
        <v>52</v>
      </c>
      <c r="AL170">
        <v>52</v>
      </c>
      <c r="AM170">
        <v>52</v>
      </c>
      <c r="AN170">
        <v>52</v>
      </c>
      <c r="AO170">
        <v>52</v>
      </c>
      <c r="AP170">
        <v>52</v>
      </c>
      <c r="AQ170">
        <v>52</v>
      </c>
      <c r="AR170">
        <v>52</v>
      </c>
      <c r="AS170">
        <v>52</v>
      </c>
      <c r="AT170">
        <v>52</v>
      </c>
      <c r="AU170">
        <v>52</v>
      </c>
      <c r="AV170">
        <v>52</v>
      </c>
      <c r="AW170">
        <v>52</v>
      </c>
      <c r="AX170">
        <v>52</v>
      </c>
      <c r="AY170">
        <v>52</v>
      </c>
      <c r="AZ170">
        <v>52</v>
      </c>
      <c r="BA170">
        <v>52</v>
      </c>
      <c r="BB170">
        <v>52</v>
      </c>
    </row>
    <row r="171" spans="1:54" x14ac:dyDescent="0.25">
      <c r="A171">
        <v>597</v>
      </c>
      <c r="B171">
        <v>597</v>
      </c>
      <c r="D171" t="s">
        <v>974</v>
      </c>
      <c r="F171">
        <v>8379</v>
      </c>
      <c r="G171">
        <v>19988</v>
      </c>
      <c r="H171">
        <v>3508</v>
      </c>
      <c r="I171">
        <v>0</v>
      </c>
      <c r="J171">
        <v>960222</v>
      </c>
      <c r="K171">
        <v>321775</v>
      </c>
      <c r="L171">
        <v>0</v>
      </c>
      <c r="M171">
        <v>33544</v>
      </c>
      <c r="N171">
        <v>0</v>
      </c>
      <c r="O171">
        <v>15208</v>
      </c>
      <c r="P171">
        <v>137041</v>
      </c>
      <c r="Q171">
        <v>0</v>
      </c>
      <c r="R171">
        <v>8384</v>
      </c>
      <c r="S171">
        <v>0</v>
      </c>
      <c r="T171">
        <v>0</v>
      </c>
      <c r="U171">
        <v>11</v>
      </c>
      <c r="V171">
        <v>1159451</v>
      </c>
      <c r="W171">
        <v>1735</v>
      </c>
      <c r="X171">
        <v>787</v>
      </c>
      <c r="Y171">
        <v>1887</v>
      </c>
      <c r="Z171">
        <v>4467</v>
      </c>
      <c r="AA171">
        <v>0</v>
      </c>
      <c r="AB171">
        <v>0</v>
      </c>
      <c r="AC171">
        <v>1189</v>
      </c>
      <c r="AD171">
        <v>139358</v>
      </c>
      <c r="AE171">
        <v>9145</v>
      </c>
      <c r="AF171">
        <v>4559</v>
      </c>
      <c r="AG171">
        <v>522147</v>
      </c>
      <c r="AH171">
        <v>56524</v>
      </c>
      <c r="AI171">
        <v>19081</v>
      </c>
      <c r="AJ171">
        <v>2632993</v>
      </c>
      <c r="AK171">
        <v>4773</v>
      </c>
      <c r="AL171">
        <v>147649</v>
      </c>
      <c r="AM171">
        <v>584</v>
      </c>
      <c r="AN171">
        <v>14645</v>
      </c>
      <c r="AO171">
        <v>214897</v>
      </c>
      <c r="AP171">
        <v>19287</v>
      </c>
      <c r="AQ171">
        <v>45135</v>
      </c>
      <c r="AR171">
        <v>0</v>
      </c>
      <c r="AS171">
        <v>7469</v>
      </c>
      <c r="AT171">
        <v>0</v>
      </c>
      <c r="AU171">
        <v>443</v>
      </c>
      <c r="AV171">
        <v>1938</v>
      </c>
      <c r="AW171">
        <v>0</v>
      </c>
      <c r="AX171">
        <v>0</v>
      </c>
      <c r="AY171">
        <v>0</v>
      </c>
      <c r="AZ171">
        <v>0</v>
      </c>
      <c r="BA171">
        <v>0</v>
      </c>
      <c r="BB171">
        <v>0</v>
      </c>
    </row>
    <row r="172" spans="1:54" x14ac:dyDescent="0.25">
      <c r="A172">
        <v>995</v>
      </c>
      <c r="B172">
        <v>995</v>
      </c>
      <c r="C172">
        <v>995</v>
      </c>
      <c r="D172" t="s">
        <v>370</v>
      </c>
      <c r="E172" t="s">
        <v>517</v>
      </c>
      <c r="F172">
        <v>0</v>
      </c>
      <c r="G172">
        <v>0</v>
      </c>
      <c r="H172">
        <v>0</v>
      </c>
      <c r="I172">
        <v>0</v>
      </c>
      <c r="J172">
        <v>0</v>
      </c>
      <c r="K172">
        <v>0</v>
      </c>
      <c r="L172">
        <v>0</v>
      </c>
      <c r="M172">
        <v>0</v>
      </c>
      <c r="N172">
        <v>0</v>
      </c>
      <c r="O172">
        <v>0</v>
      </c>
      <c r="P172">
        <v>0</v>
      </c>
      <c r="Q172">
        <v>0</v>
      </c>
      <c r="R172">
        <v>0</v>
      </c>
      <c r="S172">
        <v>0</v>
      </c>
      <c r="T172">
        <v>0</v>
      </c>
      <c r="U172">
        <v>0</v>
      </c>
      <c r="V172">
        <v>0</v>
      </c>
      <c r="W172">
        <v>0</v>
      </c>
      <c r="X172">
        <v>0</v>
      </c>
      <c r="Y172">
        <v>0</v>
      </c>
      <c r="Z172">
        <v>0</v>
      </c>
      <c r="AA172">
        <v>0</v>
      </c>
      <c r="AB172">
        <v>0</v>
      </c>
      <c r="AC172">
        <v>0</v>
      </c>
      <c r="AD172">
        <v>0</v>
      </c>
      <c r="AE172">
        <v>0</v>
      </c>
      <c r="AF172">
        <v>0</v>
      </c>
      <c r="AG172">
        <v>0</v>
      </c>
      <c r="AH172">
        <v>0</v>
      </c>
      <c r="AI172">
        <v>0</v>
      </c>
      <c r="AJ172">
        <v>0</v>
      </c>
      <c r="AK172">
        <v>0</v>
      </c>
      <c r="AL172">
        <v>0</v>
      </c>
      <c r="AM172">
        <v>0</v>
      </c>
      <c r="AN172">
        <v>0</v>
      </c>
      <c r="AO172">
        <v>0</v>
      </c>
      <c r="AP172">
        <v>0</v>
      </c>
      <c r="AQ172">
        <v>0</v>
      </c>
      <c r="AR172">
        <v>0</v>
      </c>
      <c r="AS172">
        <v>0</v>
      </c>
      <c r="AT172">
        <v>0</v>
      </c>
      <c r="AU172">
        <v>0</v>
      </c>
      <c r="AV172">
        <v>0</v>
      </c>
      <c r="AW172">
        <v>0</v>
      </c>
      <c r="AX172">
        <v>0</v>
      </c>
      <c r="AY172">
        <v>0</v>
      </c>
      <c r="AZ172">
        <v>0</v>
      </c>
      <c r="BA172">
        <v>0</v>
      </c>
      <c r="BB172">
        <v>0</v>
      </c>
    </row>
    <row r="173" spans="1:54" x14ac:dyDescent="0.25">
      <c r="A173">
        <v>996</v>
      </c>
      <c r="B173">
        <v>996</v>
      </c>
      <c r="C173">
        <v>996</v>
      </c>
      <c r="D173" t="s">
        <v>518</v>
      </c>
      <c r="E173" t="s">
        <v>519</v>
      </c>
      <c r="F173">
        <v>0.01</v>
      </c>
      <c r="G173">
        <v>0.01</v>
      </c>
      <c r="H173">
        <v>0.01</v>
      </c>
      <c r="I173">
        <v>0.01</v>
      </c>
      <c r="J173">
        <v>0.01</v>
      </c>
      <c r="K173">
        <v>0.01</v>
      </c>
      <c r="L173">
        <v>0.01</v>
      </c>
      <c r="M173">
        <v>0.01</v>
      </c>
      <c r="N173" s="364">
        <v>0</v>
      </c>
      <c r="O173">
        <v>0.01</v>
      </c>
      <c r="P173">
        <v>0.01</v>
      </c>
      <c r="Q173">
        <v>0.01</v>
      </c>
      <c r="R173">
        <v>0.01</v>
      </c>
      <c r="S173">
        <v>0.01</v>
      </c>
      <c r="T173">
        <v>0.01</v>
      </c>
      <c r="U173">
        <v>0.01</v>
      </c>
      <c r="V173">
        <v>0</v>
      </c>
      <c r="W173">
        <v>0.01</v>
      </c>
      <c r="X173">
        <v>0.01</v>
      </c>
      <c r="Y173">
        <v>0.01</v>
      </c>
      <c r="Z173">
        <v>0.01</v>
      </c>
      <c r="AA173">
        <v>0.01</v>
      </c>
      <c r="AB173">
        <v>0.01</v>
      </c>
      <c r="AC173">
        <v>0.01</v>
      </c>
      <c r="AD173">
        <v>0.01</v>
      </c>
      <c r="AE173">
        <v>0.01</v>
      </c>
      <c r="AF173">
        <v>0.01</v>
      </c>
      <c r="AG173">
        <v>0.01</v>
      </c>
      <c r="AH173">
        <v>0.01</v>
      </c>
      <c r="AI173">
        <v>0.01</v>
      </c>
      <c r="AJ173">
        <v>0.01</v>
      </c>
      <c r="AK173">
        <v>0.01</v>
      </c>
      <c r="AL173">
        <v>0.01</v>
      </c>
      <c r="AM173">
        <v>0.01</v>
      </c>
      <c r="AN173">
        <v>0.01</v>
      </c>
      <c r="AO173">
        <v>0.01</v>
      </c>
      <c r="AP173">
        <v>0.01</v>
      </c>
      <c r="AQ173">
        <v>0.01</v>
      </c>
      <c r="AR173">
        <v>0.01</v>
      </c>
      <c r="AS173">
        <v>0.01</v>
      </c>
      <c r="AT173">
        <v>0.01</v>
      </c>
      <c r="AU173">
        <v>0.01</v>
      </c>
      <c r="AV173">
        <v>0.01</v>
      </c>
      <c r="AW173">
        <v>0.01</v>
      </c>
      <c r="AX173">
        <v>0.01</v>
      </c>
      <c r="AY173">
        <v>0.01</v>
      </c>
      <c r="AZ173">
        <v>0.01</v>
      </c>
      <c r="BA173">
        <v>0.01</v>
      </c>
      <c r="BB173">
        <v>0.01</v>
      </c>
    </row>
    <row r="174" spans="1:54" x14ac:dyDescent="0.25">
      <c r="A174">
        <v>998</v>
      </c>
      <c r="B174">
        <v>998</v>
      </c>
      <c r="C174">
        <v>998</v>
      </c>
      <c r="D174" t="s">
        <v>372</v>
      </c>
      <c r="E174" t="s">
        <v>520</v>
      </c>
      <c r="F174">
        <v>59</v>
      </c>
      <c r="G174">
        <v>59</v>
      </c>
      <c r="H174">
        <v>59</v>
      </c>
      <c r="I174">
        <v>59</v>
      </c>
      <c r="J174">
        <v>59</v>
      </c>
      <c r="K174">
        <v>59</v>
      </c>
      <c r="L174">
        <v>59</v>
      </c>
      <c r="M174">
        <v>59</v>
      </c>
      <c r="N174" s="364">
        <v>59</v>
      </c>
      <c r="O174">
        <v>59</v>
      </c>
      <c r="P174">
        <v>59</v>
      </c>
      <c r="Q174">
        <v>59</v>
      </c>
      <c r="R174">
        <v>59</v>
      </c>
      <c r="S174">
        <v>59</v>
      </c>
      <c r="T174">
        <v>59</v>
      </c>
      <c r="U174">
        <v>59</v>
      </c>
      <c r="V174">
        <v>59</v>
      </c>
      <c r="W174">
        <v>59</v>
      </c>
      <c r="X174">
        <v>59</v>
      </c>
      <c r="Y174">
        <v>59</v>
      </c>
      <c r="Z174">
        <v>59</v>
      </c>
      <c r="AA174">
        <v>59</v>
      </c>
      <c r="AB174">
        <v>59</v>
      </c>
      <c r="AC174">
        <v>59</v>
      </c>
      <c r="AD174">
        <v>59</v>
      </c>
      <c r="AE174">
        <v>59</v>
      </c>
      <c r="AF174">
        <v>59</v>
      </c>
      <c r="AG174">
        <v>59</v>
      </c>
      <c r="AH174">
        <v>59</v>
      </c>
      <c r="AI174">
        <v>59</v>
      </c>
      <c r="AJ174">
        <v>59</v>
      </c>
      <c r="AK174">
        <v>59</v>
      </c>
      <c r="AL174">
        <v>59</v>
      </c>
      <c r="AM174">
        <v>59</v>
      </c>
      <c r="AN174">
        <v>59</v>
      </c>
      <c r="AO174">
        <v>59</v>
      </c>
      <c r="AP174">
        <v>59</v>
      </c>
      <c r="AQ174">
        <v>59</v>
      </c>
      <c r="AR174">
        <v>59</v>
      </c>
      <c r="AS174">
        <v>59</v>
      </c>
      <c r="AT174">
        <v>59</v>
      </c>
      <c r="AU174">
        <v>59</v>
      </c>
      <c r="AV174">
        <v>59</v>
      </c>
      <c r="AW174">
        <v>59</v>
      </c>
      <c r="AX174">
        <v>59</v>
      </c>
      <c r="AY174">
        <v>59</v>
      </c>
      <c r="AZ174">
        <v>59</v>
      </c>
      <c r="BA174">
        <v>59</v>
      </c>
      <c r="BB174">
        <v>59</v>
      </c>
    </row>
    <row r="175" spans="1:54" x14ac:dyDescent="0.25">
      <c r="A175">
        <v>999</v>
      </c>
      <c r="B175">
        <v>999</v>
      </c>
      <c r="C175">
        <v>999</v>
      </c>
      <c r="D175" t="s">
        <v>373</v>
      </c>
      <c r="E175" t="s">
        <v>521</v>
      </c>
      <c r="F175">
        <v>591706</v>
      </c>
      <c r="G175">
        <v>591600</v>
      </c>
      <c r="H175">
        <v>592152</v>
      </c>
      <c r="I175">
        <v>591612</v>
      </c>
      <c r="J175">
        <v>591752</v>
      </c>
      <c r="K175">
        <v>591715</v>
      </c>
      <c r="L175">
        <v>592388</v>
      </c>
      <c r="M175">
        <v>591603</v>
      </c>
      <c r="N175">
        <v>591604</v>
      </c>
      <c r="O175">
        <v>591721</v>
      </c>
      <c r="P175">
        <v>591605</v>
      </c>
      <c r="Q175">
        <v>591632</v>
      </c>
      <c r="R175">
        <v>591606</v>
      </c>
      <c r="S175">
        <v>592181</v>
      </c>
      <c r="T175">
        <v>591607</v>
      </c>
      <c r="U175">
        <v>591608</v>
      </c>
      <c r="V175">
        <v>591737</v>
      </c>
      <c r="W175">
        <v>591609</v>
      </c>
      <c r="X175">
        <v>591610</v>
      </c>
      <c r="Y175">
        <v>591611</v>
      </c>
      <c r="Z175">
        <v>591749</v>
      </c>
      <c r="AA175">
        <v>591613</v>
      </c>
      <c r="AB175">
        <v>592396</v>
      </c>
      <c r="AC175">
        <v>591614</v>
      </c>
      <c r="AD175">
        <v>592180</v>
      </c>
      <c r="AE175">
        <v>591615</v>
      </c>
      <c r="AF175">
        <v>591616</v>
      </c>
      <c r="AG175">
        <v>592158</v>
      </c>
      <c r="AH175">
        <v>591759</v>
      </c>
      <c r="AI175">
        <v>591762</v>
      </c>
      <c r="AJ175">
        <v>594150</v>
      </c>
      <c r="AK175">
        <v>591618</v>
      </c>
      <c r="AL175">
        <v>591619</v>
      </c>
      <c r="AM175">
        <v>591770</v>
      </c>
      <c r="AN175">
        <v>591620</v>
      </c>
      <c r="AO175">
        <v>592357</v>
      </c>
      <c r="AP175">
        <v>59713</v>
      </c>
      <c r="AQ175">
        <v>591622</v>
      </c>
      <c r="AR175">
        <v>591623</v>
      </c>
      <c r="AS175">
        <v>591624</v>
      </c>
      <c r="AT175">
        <v>592368</v>
      </c>
      <c r="AU175">
        <v>592155</v>
      </c>
      <c r="AV175">
        <v>591633</v>
      </c>
      <c r="AW175">
        <v>591768</v>
      </c>
      <c r="AX175">
        <v>591634</v>
      </c>
      <c r="AY175">
        <v>591627</v>
      </c>
      <c r="AZ175">
        <v>591628</v>
      </c>
      <c r="BA175">
        <v>591629</v>
      </c>
      <c r="BB175">
        <v>591636</v>
      </c>
    </row>
    <row r="176" spans="1:54" x14ac:dyDescent="0.25">
      <c r="C176">
        <v>537</v>
      </c>
      <c r="D176" t="s">
        <v>975</v>
      </c>
      <c r="F176" t="s">
        <v>75</v>
      </c>
      <c r="G176" t="s">
        <v>74</v>
      </c>
      <c r="H176" t="s">
        <v>75</v>
      </c>
      <c r="I176" t="s">
        <v>75</v>
      </c>
      <c r="J176" t="s">
        <v>74</v>
      </c>
      <c r="K176" t="s">
        <v>74</v>
      </c>
      <c r="L176" t="s">
        <v>75</v>
      </c>
      <c r="M176" t="s">
        <v>74</v>
      </c>
      <c r="N176" t="s">
        <v>75</v>
      </c>
      <c r="O176" t="s">
        <v>74</v>
      </c>
      <c r="P176" t="s">
        <v>74</v>
      </c>
      <c r="Q176" t="s">
        <v>75</v>
      </c>
      <c r="R176" t="s">
        <v>75</v>
      </c>
      <c r="S176" t="s">
        <v>74</v>
      </c>
      <c r="T176" t="s">
        <v>75</v>
      </c>
      <c r="U176" t="s">
        <v>74</v>
      </c>
      <c r="V176" t="s">
        <v>75</v>
      </c>
      <c r="W176" t="s">
        <v>75</v>
      </c>
      <c r="X176" t="s">
        <v>75</v>
      </c>
      <c r="Y176" t="s">
        <v>74</v>
      </c>
      <c r="Z176" t="s">
        <v>75</v>
      </c>
      <c r="AA176" t="s">
        <v>75</v>
      </c>
      <c r="AB176" t="s">
        <v>74</v>
      </c>
      <c r="AC176" t="s">
        <v>74</v>
      </c>
      <c r="AD176" t="s">
        <v>75</v>
      </c>
      <c r="AE176" t="s">
        <v>74</v>
      </c>
      <c r="AF176" t="s">
        <v>75</v>
      </c>
      <c r="AG176" t="s">
        <v>75</v>
      </c>
      <c r="AH176" t="s">
        <v>75</v>
      </c>
      <c r="AI176" t="s">
        <v>75</v>
      </c>
      <c r="AJ176" t="s">
        <v>74</v>
      </c>
      <c r="AK176" t="s">
        <v>75</v>
      </c>
      <c r="AL176" t="s">
        <v>75</v>
      </c>
      <c r="AM176" t="s">
        <v>75</v>
      </c>
      <c r="AN176" t="s">
        <v>75</v>
      </c>
      <c r="AO176" t="s">
        <v>75</v>
      </c>
      <c r="AP176" t="s">
        <v>75</v>
      </c>
      <c r="AQ176" t="s">
        <v>74</v>
      </c>
      <c r="AR176" t="s">
        <v>75</v>
      </c>
      <c r="AS176" t="s">
        <v>74</v>
      </c>
      <c r="AT176" t="s">
        <v>75</v>
      </c>
      <c r="AU176" t="s">
        <v>74</v>
      </c>
      <c r="AV176" t="s">
        <v>75</v>
      </c>
      <c r="AW176" t="s">
        <v>74</v>
      </c>
      <c r="AX176" t="s">
        <v>75</v>
      </c>
      <c r="AY176" t="s">
        <v>75</v>
      </c>
      <c r="AZ176" t="s">
        <v>75</v>
      </c>
      <c r="BA176" t="s">
        <v>74</v>
      </c>
      <c r="BB176" t="s">
        <v>74</v>
      </c>
    </row>
    <row r="177" spans="1:54" x14ac:dyDescent="0.25">
      <c r="C177">
        <v>538</v>
      </c>
      <c r="D177" t="s">
        <v>975</v>
      </c>
      <c r="F177" t="s">
        <v>75</v>
      </c>
      <c r="G177" t="s">
        <v>74</v>
      </c>
      <c r="H177" t="s">
        <v>75</v>
      </c>
      <c r="I177" t="s">
        <v>75</v>
      </c>
      <c r="J177" t="s">
        <v>74</v>
      </c>
      <c r="K177" t="s">
        <v>75</v>
      </c>
      <c r="L177" t="s">
        <v>75</v>
      </c>
      <c r="M177" t="s">
        <v>75</v>
      </c>
      <c r="N177" t="s">
        <v>75</v>
      </c>
      <c r="O177" t="s">
        <v>74</v>
      </c>
      <c r="P177" t="s">
        <v>74</v>
      </c>
      <c r="Q177" t="s">
        <v>75</v>
      </c>
      <c r="R177" t="s">
        <v>75</v>
      </c>
      <c r="S177" t="s">
        <v>74</v>
      </c>
      <c r="T177" t="s">
        <v>74</v>
      </c>
      <c r="U177" t="s">
        <v>75</v>
      </c>
      <c r="V177" t="s">
        <v>74</v>
      </c>
      <c r="W177" t="s">
        <v>75</v>
      </c>
      <c r="X177" t="s">
        <v>75</v>
      </c>
      <c r="Y177" t="s">
        <v>75</v>
      </c>
      <c r="Z177" t="s">
        <v>75</v>
      </c>
      <c r="AA177" t="s">
        <v>74</v>
      </c>
      <c r="AB177" t="s">
        <v>74</v>
      </c>
      <c r="AC177" t="s">
        <v>75</v>
      </c>
      <c r="AD177" t="s">
        <v>75</v>
      </c>
      <c r="AE177" t="s">
        <v>74</v>
      </c>
      <c r="AF177" t="s">
        <v>75</v>
      </c>
      <c r="AG177" t="s">
        <v>74</v>
      </c>
      <c r="AH177" t="s">
        <v>75</v>
      </c>
      <c r="AI177" t="s">
        <v>74</v>
      </c>
      <c r="AJ177" t="s">
        <v>74</v>
      </c>
      <c r="AK177" t="s">
        <v>75</v>
      </c>
      <c r="AL177" t="s">
        <v>75</v>
      </c>
      <c r="AM177" t="s">
        <v>75</v>
      </c>
      <c r="AN177" t="s">
        <v>75</v>
      </c>
      <c r="AO177" t="s">
        <v>75</v>
      </c>
      <c r="AP177" t="s">
        <v>75</v>
      </c>
      <c r="AQ177" t="s">
        <v>74</v>
      </c>
      <c r="AR177" t="s">
        <v>74</v>
      </c>
      <c r="AS177" t="s">
        <v>74</v>
      </c>
      <c r="AT177" t="s">
        <v>75</v>
      </c>
      <c r="AU177" t="s">
        <v>74</v>
      </c>
      <c r="AV177" t="s">
        <v>75</v>
      </c>
      <c r="AW177" t="s">
        <v>74</v>
      </c>
      <c r="AX177" t="s">
        <v>75</v>
      </c>
      <c r="AY177" t="s">
        <v>75</v>
      </c>
      <c r="AZ177" t="s">
        <v>75</v>
      </c>
      <c r="BA177" t="s">
        <v>74</v>
      </c>
      <c r="BB177" t="s">
        <v>74</v>
      </c>
    </row>
    <row r="178" spans="1:54" x14ac:dyDescent="0.25">
      <c r="C178">
        <v>598</v>
      </c>
      <c r="D178" t="s">
        <v>642</v>
      </c>
      <c r="F178">
        <v>0</v>
      </c>
      <c r="G178">
        <v>0</v>
      </c>
      <c r="H178">
        <v>0</v>
      </c>
      <c r="I178">
        <v>0</v>
      </c>
      <c r="J178">
        <v>0</v>
      </c>
      <c r="K178">
        <v>0</v>
      </c>
      <c r="L178">
        <v>0</v>
      </c>
      <c r="M178">
        <v>0</v>
      </c>
      <c r="N178">
        <v>0</v>
      </c>
      <c r="O178">
        <v>0</v>
      </c>
      <c r="P178">
        <v>0</v>
      </c>
      <c r="Q178">
        <v>0</v>
      </c>
      <c r="R178">
        <v>0</v>
      </c>
      <c r="S178">
        <v>0</v>
      </c>
      <c r="T178">
        <v>0</v>
      </c>
      <c r="U178">
        <v>0</v>
      </c>
      <c r="V178">
        <v>0</v>
      </c>
      <c r="W178">
        <v>0</v>
      </c>
      <c r="X178">
        <v>0</v>
      </c>
      <c r="Y178">
        <v>0</v>
      </c>
      <c r="Z178">
        <v>0</v>
      </c>
      <c r="AA178">
        <v>0</v>
      </c>
      <c r="AB178">
        <v>0</v>
      </c>
      <c r="AC178">
        <v>0</v>
      </c>
      <c r="AD178">
        <v>0</v>
      </c>
      <c r="AE178">
        <v>0</v>
      </c>
      <c r="AF178">
        <v>0</v>
      </c>
      <c r="AG178">
        <v>0</v>
      </c>
      <c r="AH178">
        <v>0</v>
      </c>
      <c r="AI178">
        <v>0</v>
      </c>
      <c r="AJ178">
        <v>0</v>
      </c>
      <c r="AK178">
        <v>0</v>
      </c>
      <c r="AL178">
        <v>0</v>
      </c>
      <c r="AM178">
        <v>0</v>
      </c>
      <c r="AN178">
        <v>0</v>
      </c>
      <c r="AO178">
        <v>0</v>
      </c>
      <c r="AP178">
        <v>0</v>
      </c>
      <c r="AQ178">
        <v>0</v>
      </c>
      <c r="AR178">
        <v>0</v>
      </c>
      <c r="AS178">
        <v>0</v>
      </c>
      <c r="AT178">
        <v>0</v>
      </c>
      <c r="AU178">
        <v>0</v>
      </c>
      <c r="AV178">
        <v>0</v>
      </c>
      <c r="AW178">
        <v>0</v>
      </c>
      <c r="AX178">
        <v>0</v>
      </c>
      <c r="AY178">
        <v>0</v>
      </c>
      <c r="AZ178">
        <v>0</v>
      </c>
      <c r="BA178">
        <v>0</v>
      </c>
      <c r="BB178">
        <v>0</v>
      </c>
    </row>
    <row r="179" spans="1:54" x14ac:dyDescent="0.25">
      <c r="C179">
        <v>599</v>
      </c>
      <c r="D179" t="s">
        <v>641</v>
      </c>
      <c r="F179">
        <v>0</v>
      </c>
      <c r="G179">
        <v>0</v>
      </c>
      <c r="H179">
        <v>0</v>
      </c>
      <c r="I179">
        <v>0</v>
      </c>
      <c r="J179">
        <v>0</v>
      </c>
      <c r="K179">
        <v>0</v>
      </c>
      <c r="L179">
        <v>0</v>
      </c>
      <c r="M179">
        <v>0</v>
      </c>
      <c r="N179">
        <v>0</v>
      </c>
      <c r="O179">
        <v>0</v>
      </c>
      <c r="P179">
        <v>0</v>
      </c>
      <c r="Q179">
        <v>0</v>
      </c>
      <c r="R179">
        <v>0</v>
      </c>
      <c r="S179">
        <v>0</v>
      </c>
      <c r="T179">
        <v>0</v>
      </c>
      <c r="U179">
        <v>0</v>
      </c>
      <c r="V179">
        <v>0</v>
      </c>
      <c r="W179">
        <v>0</v>
      </c>
      <c r="X179">
        <v>0</v>
      </c>
      <c r="Y179">
        <v>0</v>
      </c>
      <c r="Z179">
        <v>0</v>
      </c>
      <c r="AA179">
        <v>0</v>
      </c>
      <c r="AB179">
        <v>0</v>
      </c>
      <c r="AC179">
        <v>0</v>
      </c>
      <c r="AD179">
        <v>0</v>
      </c>
      <c r="AE179">
        <v>0</v>
      </c>
      <c r="AF179">
        <v>0</v>
      </c>
      <c r="AG179">
        <v>0</v>
      </c>
      <c r="AH179">
        <v>0</v>
      </c>
      <c r="AI179">
        <v>0</v>
      </c>
      <c r="AJ179">
        <v>0</v>
      </c>
      <c r="AK179">
        <v>0</v>
      </c>
      <c r="AL179">
        <v>0</v>
      </c>
      <c r="AM179">
        <v>0</v>
      </c>
      <c r="AN179">
        <v>0</v>
      </c>
      <c r="AO179">
        <v>0</v>
      </c>
      <c r="AP179">
        <v>0</v>
      </c>
      <c r="AQ179">
        <v>0</v>
      </c>
      <c r="AR179">
        <v>0</v>
      </c>
      <c r="AS179">
        <v>0</v>
      </c>
      <c r="AT179">
        <v>0</v>
      </c>
      <c r="AU179">
        <v>0</v>
      </c>
      <c r="AV179">
        <v>0</v>
      </c>
      <c r="AW179">
        <v>0</v>
      </c>
      <c r="AX179">
        <v>0</v>
      </c>
      <c r="AY179">
        <v>0</v>
      </c>
      <c r="AZ179">
        <v>0</v>
      </c>
      <c r="BA179">
        <v>0</v>
      </c>
      <c r="BB179">
        <v>0</v>
      </c>
    </row>
    <row r="180" spans="1:54" ht="105" x14ac:dyDescent="0.25">
      <c r="A180">
        <v>600</v>
      </c>
      <c r="C180">
        <v>600</v>
      </c>
      <c r="D180" s="612" t="s">
        <v>976</v>
      </c>
      <c r="F180">
        <v>0</v>
      </c>
      <c r="G180">
        <v>0</v>
      </c>
      <c r="H180">
        <v>0</v>
      </c>
      <c r="I180">
        <v>0</v>
      </c>
      <c r="J180">
        <v>0</v>
      </c>
      <c r="K180">
        <v>0</v>
      </c>
      <c r="L180">
        <v>0</v>
      </c>
      <c r="M180">
        <v>0</v>
      </c>
      <c r="N180">
        <v>0</v>
      </c>
      <c r="O180">
        <v>0</v>
      </c>
      <c r="P180">
        <v>0</v>
      </c>
      <c r="Q180">
        <v>0</v>
      </c>
      <c r="R180">
        <v>0</v>
      </c>
      <c r="S180">
        <v>0</v>
      </c>
      <c r="T180">
        <v>0</v>
      </c>
      <c r="U180">
        <v>0</v>
      </c>
      <c r="V180">
        <v>0</v>
      </c>
      <c r="W180">
        <v>0</v>
      </c>
      <c r="X180">
        <v>0</v>
      </c>
      <c r="Y180">
        <v>0</v>
      </c>
      <c r="Z180">
        <v>0</v>
      </c>
      <c r="AA180">
        <v>0</v>
      </c>
      <c r="AB180">
        <v>0</v>
      </c>
      <c r="AC180">
        <v>0</v>
      </c>
      <c r="AD180">
        <v>0</v>
      </c>
      <c r="AE180">
        <v>0</v>
      </c>
      <c r="AF180">
        <v>0</v>
      </c>
      <c r="AG180">
        <v>0</v>
      </c>
      <c r="AH180">
        <v>0</v>
      </c>
      <c r="AI180">
        <v>0</v>
      </c>
      <c r="AJ180">
        <v>0</v>
      </c>
      <c r="AK180">
        <v>0</v>
      </c>
      <c r="AL180">
        <v>0</v>
      </c>
      <c r="AM180">
        <v>0</v>
      </c>
      <c r="AN180">
        <v>0</v>
      </c>
      <c r="AO180">
        <v>0</v>
      </c>
      <c r="AP180">
        <v>0</v>
      </c>
      <c r="AQ180">
        <v>0</v>
      </c>
      <c r="AR180">
        <v>0</v>
      </c>
      <c r="AS180">
        <v>0</v>
      </c>
      <c r="AT180">
        <v>0</v>
      </c>
      <c r="AU180">
        <v>0</v>
      </c>
      <c r="AV180">
        <v>0</v>
      </c>
      <c r="AW180">
        <v>0</v>
      </c>
      <c r="AX180">
        <v>0</v>
      </c>
      <c r="AY180">
        <v>0</v>
      </c>
      <c r="AZ180">
        <v>0</v>
      </c>
      <c r="BA180">
        <v>0</v>
      </c>
      <c r="BB180">
        <v>0</v>
      </c>
    </row>
    <row r="181" spans="1:54" ht="210" x14ac:dyDescent="0.25">
      <c r="A181">
        <v>601</v>
      </c>
      <c r="C181">
        <v>601</v>
      </c>
      <c r="D181" s="612" t="s">
        <v>977</v>
      </c>
      <c r="F181">
        <v>0</v>
      </c>
      <c r="G181">
        <v>0</v>
      </c>
      <c r="H181">
        <v>0</v>
      </c>
      <c r="I181">
        <v>0</v>
      </c>
      <c r="J181">
        <v>0</v>
      </c>
      <c r="K181">
        <v>0</v>
      </c>
      <c r="L181">
        <v>0</v>
      </c>
      <c r="M181">
        <v>0</v>
      </c>
      <c r="N181">
        <v>0</v>
      </c>
      <c r="O181">
        <v>0</v>
      </c>
      <c r="P181">
        <v>0</v>
      </c>
      <c r="Q181">
        <v>0</v>
      </c>
      <c r="R181">
        <v>0</v>
      </c>
      <c r="S181">
        <v>0</v>
      </c>
      <c r="T181">
        <v>0</v>
      </c>
      <c r="U181">
        <v>0</v>
      </c>
      <c r="V181">
        <v>0</v>
      </c>
      <c r="W181">
        <v>0</v>
      </c>
      <c r="X181">
        <v>0</v>
      </c>
      <c r="Y181">
        <v>0</v>
      </c>
      <c r="Z181">
        <v>0</v>
      </c>
      <c r="AA181">
        <v>0</v>
      </c>
      <c r="AB181">
        <v>0</v>
      </c>
      <c r="AC181">
        <v>0</v>
      </c>
      <c r="AD181">
        <v>0</v>
      </c>
      <c r="AE181">
        <v>0</v>
      </c>
      <c r="AF181">
        <v>0</v>
      </c>
      <c r="AG181">
        <v>0</v>
      </c>
      <c r="AH181">
        <v>0</v>
      </c>
      <c r="AI181">
        <v>0</v>
      </c>
      <c r="AJ181">
        <v>0</v>
      </c>
      <c r="AK181">
        <v>0</v>
      </c>
      <c r="AL181">
        <v>0</v>
      </c>
      <c r="AM181">
        <v>0</v>
      </c>
      <c r="AN181">
        <v>0</v>
      </c>
      <c r="AO181">
        <v>0</v>
      </c>
      <c r="AP181">
        <v>0</v>
      </c>
      <c r="AQ181">
        <v>0</v>
      </c>
      <c r="AR181">
        <v>0</v>
      </c>
      <c r="AS181">
        <v>0</v>
      </c>
      <c r="AT181">
        <v>0</v>
      </c>
      <c r="AU181">
        <v>0</v>
      </c>
      <c r="AV181">
        <v>0</v>
      </c>
      <c r="AW181">
        <v>0</v>
      </c>
      <c r="AX181">
        <v>0</v>
      </c>
      <c r="AY181">
        <v>0</v>
      </c>
      <c r="AZ181">
        <v>0</v>
      </c>
      <c r="BA181">
        <v>0</v>
      </c>
      <c r="BB181">
        <v>0</v>
      </c>
    </row>
    <row r="182" spans="1:54" x14ac:dyDescent="0.25">
      <c r="A182">
        <v>602</v>
      </c>
      <c r="C182">
        <v>602</v>
      </c>
      <c r="D182" t="s">
        <v>643</v>
      </c>
      <c r="F182">
        <v>0</v>
      </c>
      <c r="G182">
        <v>0</v>
      </c>
      <c r="H182">
        <v>0</v>
      </c>
      <c r="I182">
        <v>0</v>
      </c>
      <c r="J182">
        <v>0</v>
      </c>
      <c r="K182">
        <v>0</v>
      </c>
      <c r="L182">
        <v>0</v>
      </c>
      <c r="M182">
        <v>0</v>
      </c>
      <c r="N182">
        <v>0</v>
      </c>
      <c r="O182">
        <v>0</v>
      </c>
      <c r="P182">
        <v>0</v>
      </c>
      <c r="Q182">
        <v>0</v>
      </c>
      <c r="R182">
        <v>0</v>
      </c>
      <c r="S182">
        <v>0</v>
      </c>
      <c r="T182">
        <v>0</v>
      </c>
      <c r="U182">
        <v>0</v>
      </c>
      <c r="V182">
        <v>0</v>
      </c>
      <c r="W182">
        <v>0</v>
      </c>
      <c r="X182">
        <v>0</v>
      </c>
      <c r="Y182">
        <v>0</v>
      </c>
      <c r="Z182">
        <v>0</v>
      </c>
      <c r="AA182">
        <v>0</v>
      </c>
      <c r="AB182">
        <v>0</v>
      </c>
      <c r="AC182">
        <v>0</v>
      </c>
      <c r="AD182">
        <v>0</v>
      </c>
      <c r="AE182">
        <v>0</v>
      </c>
      <c r="AF182">
        <v>0</v>
      </c>
      <c r="AG182">
        <v>0</v>
      </c>
      <c r="AH182">
        <v>0</v>
      </c>
      <c r="AI182">
        <v>0</v>
      </c>
      <c r="AJ182">
        <v>0</v>
      </c>
      <c r="AK182">
        <v>0</v>
      </c>
      <c r="AL182">
        <v>0</v>
      </c>
      <c r="AM182">
        <v>0</v>
      </c>
      <c r="AN182">
        <v>0</v>
      </c>
      <c r="AO182">
        <v>0</v>
      </c>
      <c r="AP182">
        <v>0</v>
      </c>
      <c r="AQ182">
        <v>0</v>
      </c>
      <c r="AR182">
        <v>0</v>
      </c>
      <c r="AS182">
        <v>0</v>
      </c>
      <c r="AT182">
        <v>0</v>
      </c>
      <c r="AU182">
        <v>0</v>
      </c>
      <c r="AV182">
        <v>0</v>
      </c>
      <c r="AW182">
        <v>0</v>
      </c>
      <c r="AX182">
        <v>0</v>
      </c>
      <c r="AY182">
        <v>0</v>
      </c>
      <c r="AZ182">
        <v>0</v>
      </c>
      <c r="BA182">
        <v>0</v>
      </c>
      <c r="BB182">
        <v>0</v>
      </c>
    </row>
    <row r="183" spans="1:54" ht="165" x14ac:dyDescent="0.25">
      <c r="A183">
        <v>603</v>
      </c>
      <c r="B183">
        <v>603</v>
      </c>
      <c r="C183">
        <v>603</v>
      </c>
      <c r="D183" s="612" t="s">
        <v>654</v>
      </c>
      <c r="F183">
        <v>2</v>
      </c>
      <c r="G183">
        <v>2</v>
      </c>
      <c r="H183">
        <v>1</v>
      </c>
      <c r="I183">
        <v>1</v>
      </c>
      <c r="J183">
        <v>1</v>
      </c>
      <c r="K183">
        <v>1</v>
      </c>
      <c r="L183">
        <v>1</v>
      </c>
      <c r="M183">
        <v>1</v>
      </c>
      <c r="N183">
        <v>0</v>
      </c>
      <c r="O183">
        <v>2</v>
      </c>
      <c r="P183">
        <v>2</v>
      </c>
      <c r="Q183">
        <v>1</v>
      </c>
      <c r="R183">
        <v>1</v>
      </c>
      <c r="S183">
        <v>1</v>
      </c>
      <c r="T183">
        <v>4</v>
      </c>
      <c r="U183">
        <v>4</v>
      </c>
      <c r="V183">
        <v>1</v>
      </c>
      <c r="W183">
        <v>2</v>
      </c>
      <c r="X183">
        <v>1</v>
      </c>
      <c r="Y183">
        <v>1</v>
      </c>
      <c r="Z183">
        <v>1</v>
      </c>
      <c r="AA183">
        <v>1</v>
      </c>
      <c r="AB183">
        <v>1</v>
      </c>
      <c r="AC183">
        <v>2</v>
      </c>
      <c r="AD183">
        <v>2</v>
      </c>
      <c r="AE183">
        <v>2</v>
      </c>
      <c r="AF183">
        <v>2</v>
      </c>
      <c r="AG183">
        <v>2</v>
      </c>
      <c r="AH183">
        <v>1</v>
      </c>
      <c r="AI183">
        <v>1</v>
      </c>
      <c r="AJ183">
        <v>2</v>
      </c>
      <c r="AK183">
        <v>1</v>
      </c>
      <c r="AL183">
        <v>1</v>
      </c>
      <c r="AM183">
        <v>4</v>
      </c>
      <c r="AN183">
        <v>1</v>
      </c>
      <c r="AO183">
        <v>1</v>
      </c>
      <c r="AP183">
        <v>2</v>
      </c>
      <c r="AQ183">
        <v>2</v>
      </c>
      <c r="AR183">
        <v>2</v>
      </c>
      <c r="AS183">
        <v>1</v>
      </c>
      <c r="AT183">
        <v>1</v>
      </c>
      <c r="AU183">
        <v>1</v>
      </c>
      <c r="AV183">
        <v>1</v>
      </c>
      <c r="AW183">
        <v>1</v>
      </c>
      <c r="AX183">
        <v>1</v>
      </c>
      <c r="AY183">
        <v>1</v>
      </c>
      <c r="AZ183">
        <v>1</v>
      </c>
      <c r="BA183">
        <v>2</v>
      </c>
      <c r="BB183">
        <v>2</v>
      </c>
    </row>
    <row r="184" spans="1:54" ht="120" x14ac:dyDescent="0.25">
      <c r="A184">
        <v>604</v>
      </c>
      <c r="B184">
        <v>604</v>
      </c>
      <c r="C184">
        <v>604</v>
      </c>
      <c r="D184" s="612" t="s">
        <v>655</v>
      </c>
      <c r="F184">
        <v>1</v>
      </c>
      <c r="G184">
        <v>1</v>
      </c>
      <c r="H184">
        <v>1</v>
      </c>
      <c r="I184">
        <v>1</v>
      </c>
      <c r="J184">
        <v>1</v>
      </c>
      <c r="K184">
        <v>1</v>
      </c>
      <c r="L184">
        <v>1</v>
      </c>
      <c r="M184">
        <v>1</v>
      </c>
      <c r="N184">
        <v>0</v>
      </c>
      <c r="O184">
        <v>1</v>
      </c>
      <c r="P184">
        <v>1</v>
      </c>
      <c r="Q184">
        <v>1</v>
      </c>
      <c r="R184">
        <v>1</v>
      </c>
      <c r="S184">
        <v>1</v>
      </c>
      <c r="T184">
        <v>4</v>
      </c>
      <c r="U184">
        <v>5</v>
      </c>
      <c r="V184">
        <v>1</v>
      </c>
      <c r="W184">
        <v>1</v>
      </c>
      <c r="X184">
        <v>1</v>
      </c>
      <c r="Y184">
        <v>1</v>
      </c>
      <c r="Z184">
        <v>1</v>
      </c>
      <c r="AA184">
        <v>1</v>
      </c>
      <c r="AB184">
        <v>1</v>
      </c>
      <c r="AC184">
        <v>1</v>
      </c>
      <c r="AD184">
        <v>1</v>
      </c>
      <c r="AE184">
        <v>1</v>
      </c>
      <c r="AF184">
        <v>1</v>
      </c>
      <c r="AG184">
        <v>1</v>
      </c>
      <c r="AH184">
        <v>1</v>
      </c>
      <c r="AI184">
        <v>1</v>
      </c>
      <c r="AJ184">
        <v>1</v>
      </c>
      <c r="AK184">
        <v>1</v>
      </c>
      <c r="AL184">
        <v>1</v>
      </c>
      <c r="AM184">
        <v>4</v>
      </c>
      <c r="AN184">
        <v>1</v>
      </c>
      <c r="AO184">
        <v>1</v>
      </c>
      <c r="AP184">
        <v>1</v>
      </c>
      <c r="AQ184">
        <v>1</v>
      </c>
      <c r="AR184">
        <v>1</v>
      </c>
      <c r="AS184">
        <v>1</v>
      </c>
      <c r="AT184">
        <v>5</v>
      </c>
      <c r="AU184">
        <v>1</v>
      </c>
      <c r="AV184">
        <v>1</v>
      </c>
      <c r="AW184">
        <v>5</v>
      </c>
      <c r="AX184">
        <v>1</v>
      </c>
      <c r="AY184">
        <v>1</v>
      </c>
      <c r="AZ184">
        <v>1</v>
      </c>
      <c r="BA184">
        <v>1</v>
      </c>
      <c r="BB184">
        <v>1</v>
      </c>
    </row>
    <row r="185" spans="1:54" x14ac:dyDescent="0.25">
      <c r="A185">
        <v>605</v>
      </c>
      <c r="B185">
        <v>605</v>
      </c>
      <c r="C185">
        <v>605</v>
      </c>
      <c r="D185" t="s">
        <v>657</v>
      </c>
      <c r="F185">
        <v>1</v>
      </c>
      <c r="G185">
        <v>1</v>
      </c>
      <c r="H185">
        <v>1</v>
      </c>
      <c r="I185">
        <v>1</v>
      </c>
      <c r="J185">
        <v>1</v>
      </c>
      <c r="K185">
        <v>1</v>
      </c>
      <c r="L185">
        <v>1</v>
      </c>
      <c r="M185">
        <v>1</v>
      </c>
      <c r="N185">
        <v>0</v>
      </c>
      <c r="O185">
        <v>1</v>
      </c>
      <c r="P185">
        <v>1</v>
      </c>
      <c r="Q185">
        <v>1</v>
      </c>
      <c r="R185">
        <v>1</v>
      </c>
      <c r="S185">
        <v>1</v>
      </c>
      <c r="T185">
        <v>1</v>
      </c>
      <c r="U185">
        <v>1</v>
      </c>
      <c r="V185">
        <v>1</v>
      </c>
      <c r="W185">
        <v>1</v>
      </c>
      <c r="X185">
        <v>1</v>
      </c>
      <c r="Y185">
        <v>1</v>
      </c>
      <c r="Z185">
        <v>1</v>
      </c>
      <c r="AA185">
        <v>1</v>
      </c>
      <c r="AB185">
        <v>1</v>
      </c>
      <c r="AC185">
        <v>1</v>
      </c>
      <c r="AD185">
        <v>1</v>
      </c>
      <c r="AE185">
        <v>0</v>
      </c>
      <c r="AF185">
        <v>1</v>
      </c>
      <c r="AG185">
        <v>1</v>
      </c>
      <c r="AH185">
        <v>1</v>
      </c>
      <c r="AI185">
        <v>1</v>
      </c>
      <c r="AJ185">
        <v>1</v>
      </c>
      <c r="AK185">
        <v>1</v>
      </c>
      <c r="AL185">
        <v>1</v>
      </c>
      <c r="AM185">
        <v>1</v>
      </c>
      <c r="AN185">
        <v>1</v>
      </c>
      <c r="AO185">
        <v>1</v>
      </c>
      <c r="AP185">
        <v>1</v>
      </c>
      <c r="AQ185">
        <v>1</v>
      </c>
      <c r="AR185">
        <v>1</v>
      </c>
      <c r="AS185">
        <v>1</v>
      </c>
      <c r="AT185">
        <v>1</v>
      </c>
      <c r="AU185">
        <v>1</v>
      </c>
      <c r="AV185">
        <v>1</v>
      </c>
      <c r="AW185">
        <v>1</v>
      </c>
      <c r="AX185">
        <v>1</v>
      </c>
      <c r="AY185">
        <v>1</v>
      </c>
      <c r="AZ185">
        <v>1</v>
      </c>
      <c r="BA185">
        <v>1</v>
      </c>
      <c r="BB185">
        <v>1</v>
      </c>
    </row>
    <row r="186" spans="1:54" x14ac:dyDescent="0.25">
      <c r="A186">
        <v>606</v>
      </c>
      <c r="B186">
        <v>606</v>
      </c>
      <c r="C186">
        <v>606</v>
      </c>
      <c r="D186" t="s">
        <v>667</v>
      </c>
      <c r="F186">
        <v>0</v>
      </c>
      <c r="G186">
        <v>0</v>
      </c>
      <c r="H186">
        <v>0</v>
      </c>
      <c r="I186">
        <v>0</v>
      </c>
      <c r="J186">
        <v>0</v>
      </c>
      <c r="K186">
        <v>0</v>
      </c>
      <c r="L186">
        <v>0</v>
      </c>
      <c r="M186">
        <v>0</v>
      </c>
      <c r="N186">
        <v>0</v>
      </c>
      <c r="O186">
        <v>0</v>
      </c>
      <c r="P186">
        <v>0</v>
      </c>
      <c r="Q186">
        <v>0</v>
      </c>
      <c r="R186">
        <v>0</v>
      </c>
      <c r="S186">
        <v>0</v>
      </c>
      <c r="T186">
        <v>1</v>
      </c>
      <c r="U186">
        <v>0</v>
      </c>
      <c r="V186">
        <v>0</v>
      </c>
      <c r="W186">
        <v>0</v>
      </c>
      <c r="X186">
        <v>0</v>
      </c>
      <c r="Y186">
        <v>0</v>
      </c>
      <c r="Z186">
        <v>0</v>
      </c>
      <c r="AA186">
        <v>0</v>
      </c>
      <c r="AB186">
        <v>0</v>
      </c>
      <c r="AC186">
        <v>0</v>
      </c>
      <c r="AD186">
        <v>0</v>
      </c>
      <c r="AE186">
        <v>0</v>
      </c>
      <c r="AF186">
        <v>0</v>
      </c>
      <c r="AG186">
        <v>0</v>
      </c>
      <c r="AH186">
        <v>1</v>
      </c>
      <c r="AI186">
        <v>0</v>
      </c>
      <c r="AJ186">
        <v>0</v>
      </c>
      <c r="AK186">
        <v>0</v>
      </c>
      <c r="AL186">
        <v>1</v>
      </c>
      <c r="AM186">
        <v>0</v>
      </c>
      <c r="AN186">
        <v>0</v>
      </c>
      <c r="AO186">
        <v>1</v>
      </c>
      <c r="AP186">
        <v>0</v>
      </c>
      <c r="AQ186">
        <v>0</v>
      </c>
      <c r="AR186">
        <v>0</v>
      </c>
      <c r="AS186">
        <v>0</v>
      </c>
      <c r="AT186">
        <v>0</v>
      </c>
      <c r="AU186">
        <v>0</v>
      </c>
      <c r="AV186">
        <v>0</v>
      </c>
      <c r="AW186">
        <v>0</v>
      </c>
      <c r="AX186">
        <v>0</v>
      </c>
      <c r="AY186">
        <v>0</v>
      </c>
      <c r="AZ186">
        <v>0</v>
      </c>
      <c r="BA186">
        <v>0</v>
      </c>
      <c r="BB186">
        <v>1</v>
      </c>
    </row>
    <row r="187" spans="1:54" x14ac:dyDescent="0.25">
      <c r="A187">
        <v>607</v>
      </c>
      <c r="B187">
        <v>607</v>
      </c>
      <c r="C187">
        <v>607</v>
      </c>
      <c r="D187" t="s">
        <v>647</v>
      </c>
      <c r="F187">
        <v>0</v>
      </c>
      <c r="G187">
        <v>0</v>
      </c>
      <c r="H187">
        <v>0</v>
      </c>
      <c r="I187">
        <v>0</v>
      </c>
      <c r="J187">
        <v>2973000</v>
      </c>
      <c r="K187">
        <v>4607949</v>
      </c>
      <c r="L187">
        <v>8473271</v>
      </c>
      <c r="M187">
        <v>1838734</v>
      </c>
      <c r="N187">
        <v>0</v>
      </c>
      <c r="O187">
        <v>1116696</v>
      </c>
      <c r="P187">
        <v>1392501</v>
      </c>
      <c r="Q187">
        <v>0</v>
      </c>
      <c r="R187">
        <v>0</v>
      </c>
      <c r="S187">
        <v>0</v>
      </c>
      <c r="T187">
        <v>0</v>
      </c>
      <c r="U187">
        <v>0</v>
      </c>
      <c r="V187">
        <v>39546467</v>
      </c>
      <c r="W187">
        <v>0</v>
      </c>
      <c r="X187">
        <v>0</v>
      </c>
      <c r="Y187">
        <v>0</v>
      </c>
      <c r="Z187">
        <v>0</v>
      </c>
      <c r="AA187">
        <v>351556</v>
      </c>
      <c r="AB187">
        <v>0</v>
      </c>
      <c r="AC187">
        <v>0</v>
      </c>
      <c r="AD187">
        <v>0</v>
      </c>
      <c r="AE187">
        <v>0</v>
      </c>
      <c r="AF187">
        <v>0</v>
      </c>
      <c r="AG187">
        <v>4139901</v>
      </c>
      <c r="AH187">
        <v>12738543</v>
      </c>
      <c r="AI187">
        <v>0</v>
      </c>
      <c r="AJ187">
        <v>28768663</v>
      </c>
      <c r="AK187">
        <v>0</v>
      </c>
      <c r="AL187">
        <v>3998873</v>
      </c>
      <c r="AM187">
        <v>0</v>
      </c>
      <c r="AN187">
        <v>0</v>
      </c>
      <c r="AO187">
        <v>0</v>
      </c>
      <c r="AP187">
        <v>0</v>
      </c>
      <c r="AQ187">
        <v>0</v>
      </c>
      <c r="AR187">
        <v>0</v>
      </c>
      <c r="AS187">
        <v>0</v>
      </c>
      <c r="AT187">
        <v>0</v>
      </c>
      <c r="AU187">
        <v>0</v>
      </c>
      <c r="AV187">
        <v>0</v>
      </c>
      <c r="AW187">
        <v>1696955</v>
      </c>
      <c r="AX187">
        <v>0</v>
      </c>
      <c r="AY187">
        <v>0</v>
      </c>
      <c r="AZ187">
        <v>0</v>
      </c>
      <c r="BA187">
        <v>0</v>
      </c>
      <c r="BB187">
        <v>0</v>
      </c>
    </row>
    <row r="188" spans="1:54" x14ac:dyDescent="0.25">
      <c r="A188">
        <v>608</v>
      </c>
      <c r="B188">
        <v>608</v>
      </c>
      <c r="C188">
        <v>608</v>
      </c>
      <c r="D188" t="s">
        <v>648</v>
      </c>
      <c r="F188">
        <v>0</v>
      </c>
      <c r="G188">
        <v>0</v>
      </c>
      <c r="H188">
        <v>0</v>
      </c>
      <c r="I188">
        <v>0</v>
      </c>
      <c r="J188">
        <v>0</v>
      </c>
      <c r="K188">
        <v>0</v>
      </c>
      <c r="L188">
        <v>0</v>
      </c>
      <c r="M188">
        <v>0</v>
      </c>
      <c r="N188">
        <v>0</v>
      </c>
      <c r="O188">
        <v>0</v>
      </c>
      <c r="P188">
        <v>0</v>
      </c>
      <c r="Q188">
        <v>0</v>
      </c>
      <c r="R188">
        <v>0</v>
      </c>
      <c r="S188">
        <v>0</v>
      </c>
      <c r="T188">
        <v>0</v>
      </c>
      <c r="U188">
        <v>0</v>
      </c>
      <c r="V188">
        <v>3887880</v>
      </c>
      <c r="W188">
        <v>0</v>
      </c>
      <c r="X188">
        <v>0</v>
      </c>
      <c r="Y188">
        <v>0</v>
      </c>
      <c r="Z188">
        <v>0</v>
      </c>
      <c r="AA188">
        <v>0</v>
      </c>
      <c r="AB188">
        <v>0</v>
      </c>
      <c r="AC188">
        <v>0</v>
      </c>
      <c r="AD188">
        <v>0</v>
      </c>
      <c r="AE188">
        <v>0</v>
      </c>
      <c r="AF188">
        <v>0</v>
      </c>
      <c r="AG188">
        <v>0</v>
      </c>
      <c r="AH188">
        <v>0</v>
      </c>
      <c r="AI188">
        <v>0</v>
      </c>
      <c r="AJ188">
        <v>0</v>
      </c>
      <c r="AK188">
        <v>0</v>
      </c>
      <c r="AL188">
        <v>0</v>
      </c>
      <c r="AM188">
        <v>0</v>
      </c>
      <c r="AN188">
        <v>0</v>
      </c>
      <c r="AO188">
        <v>0</v>
      </c>
      <c r="AP188">
        <v>0</v>
      </c>
      <c r="AQ188">
        <v>0</v>
      </c>
      <c r="AR188">
        <v>0</v>
      </c>
      <c r="AS188">
        <v>0</v>
      </c>
      <c r="AT188">
        <v>0</v>
      </c>
      <c r="AU188">
        <v>0</v>
      </c>
      <c r="AV188">
        <v>0</v>
      </c>
      <c r="AW188">
        <v>0</v>
      </c>
      <c r="AX188">
        <v>0</v>
      </c>
      <c r="AY188">
        <v>0</v>
      </c>
      <c r="AZ188">
        <v>0</v>
      </c>
      <c r="BA188">
        <v>0</v>
      </c>
      <c r="BB188">
        <v>0</v>
      </c>
    </row>
    <row r="189" spans="1:54" x14ac:dyDescent="0.25">
      <c r="A189">
        <v>609</v>
      </c>
      <c r="B189">
        <v>609</v>
      </c>
      <c r="C189">
        <v>609</v>
      </c>
      <c r="D189" t="s">
        <v>978</v>
      </c>
      <c r="F189">
        <v>0</v>
      </c>
      <c r="G189">
        <v>0</v>
      </c>
      <c r="H189">
        <v>0</v>
      </c>
      <c r="I189">
        <v>0</v>
      </c>
      <c r="J189">
        <v>0</v>
      </c>
      <c r="K189">
        <v>0</v>
      </c>
      <c r="L189">
        <v>0</v>
      </c>
      <c r="M189">
        <v>0</v>
      </c>
      <c r="N189">
        <v>0</v>
      </c>
      <c r="O189">
        <v>0</v>
      </c>
      <c r="P189">
        <v>0</v>
      </c>
      <c r="Q189">
        <v>0</v>
      </c>
      <c r="R189">
        <v>0</v>
      </c>
      <c r="S189">
        <v>0</v>
      </c>
      <c r="T189">
        <v>0</v>
      </c>
      <c r="U189">
        <v>0</v>
      </c>
      <c r="V189">
        <v>9.8000000000000007</v>
      </c>
      <c r="W189">
        <v>0</v>
      </c>
      <c r="X189">
        <v>0</v>
      </c>
      <c r="Y189">
        <v>0</v>
      </c>
      <c r="Z189">
        <v>0</v>
      </c>
      <c r="AA189">
        <v>0</v>
      </c>
      <c r="AB189">
        <v>0</v>
      </c>
      <c r="AC189">
        <v>0</v>
      </c>
      <c r="AD189">
        <v>0</v>
      </c>
      <c r="AE189">
        <v>0</v>
      </c>
      <c r="AF189">
        <v>0</v>
      </c>
      <c r="AG189">
        <v>0</v>
      </c>
      <c r="AH189">
        <v>0</v>
      </c>
      <c r="AI189">
        <v>0</v>
      </c>
      <c r="AJ189">
        <v>0</v>
      </c>
      <c r="AK189">
        <v>0</v>
      </c>
      <c r="AL189">
        <v>0</v>
      </c>
      <c r="AM189">
        <v>0</v>
      </c>
      <c r="AN189">
        <v>0</v>
      </c>
      <c r="AO189">
        <v>0</v>
      </c>
      <c r="AP189">
        <v>0</v>
      </c>
      <c r="AQ189">
        <v>0</v>
      </c>
      <c r="AR189">
        <v>0</v>
      </c>
      <c r="AS189">
        <v>0</v>
      </c>
      <c r="AT189">
        <v>0</v>
      </c>
      <c r="AU189">
        <v>0</v>
      </c>
      <c r="AV189">
        <v>0</v>
      </c>
      <c r="AW189">
        <v>0</v>
      </c>
      <c r="AX189">
        <v>0</v>
      </c>
      <c r="AY189">
        <v>0</v>
      </c>
      <c r="AZ189">
        <v>0</v>
      </c>
      <c r="BA189">
        <v>0</v>
      </c>
      <c r="BB189">
        <v>0</v>
      </c>
    </row>
    <row r="190" spans="1:54" x14ac:dyDescent="0.25">
      <c r="A190">
        <v>610</v>
      </c>
      <c r="B190">
        <v>610</v>
      </c>
      <c r="C190">
        <v>610</v>
      </c>
      <c r="D190" t="s">
        <v>649</v>
      </c>
      <c r="F190">
        <v>0</v>
      </c>
      <c r="G190">
        <v>0</v>
      </c>
      <c r="H190">
        <v>0</v>
      </c>
      <c r="I190">
        <v>0</v>
      </c>
      <c r="J190">
        <v>0</v>
      </c>
      <c r="K190">
        <v>0</v>
      </c>
      <c r="L190">
        <v>0</v>
      </c>
      <c r="M190">
        <v>0</v>
      </c>
      <c r="N190">
        <v>0</v>
      </c>
      <c r="O190">
        <v>0</v>
      </c>
      <c r="P190">
        <v>0</v>
      </c>
      <c r="Q190">
        <v>0</v>
      </c>
      <c r="R190">
        <v>0</v>
      </c>
      <c r="S190">
        <v>0</v>
      </c>
      <c r="T190">
        <v>0</v>
      </c>
      <c r="U190">
        <v>0</v>
      </c>
      <c r="V190">
        <v>0</v>
      </c>
      <c r="W190">
        <v>0</v>
      </c>
      <c r="X190">
        <v>0</v>
      </c>
      <c r="Y190">
        <v>0</v>
      </c>
      <c r="Z190">
        <v>0</v>
      </c>
      <c r="AA190">
        <v>0</v>
      </c>
      <c r="AB190">
        <v>0</v>
      </c>
      <c r="AC190">
        <v>0</v>
      </c>
      <c r="AD190">
        <v>0</v>
      </c>
      <c r="AE190">
        <v>0</v>
      </c>
      <c r="AF190">
        <v>0</v>
      </c>
      <c r="AG190">
        <v>0</v>
      </c>
      <c r="AH190">
        <v>0</v>
      </c>
      <c r="AI190">
        <v>0</v>
      </c>
      <c r="AJ190">
        <v>0</v>
      </c>
      <c r="AK190">
        <v>0</v>
      </c>
      <c r="AL190">
        <v>0</v>
      </c>
      <c r="AM190">
        <v>0</v>
      </c>
      <c r="AN190">
        <v>0</v>
      </c>
      <c r="AO190">
        <v>0</v>
      </c>
      <c r="AP190">
        <v>0</v>
      </c>
      <c r="AQ190">
        <v>0</v>
      </c>
      <c r="AR190">
        <v>0</v>
      </c>
      <c r="AS190">
        <v>0</v>
      </c>
      <c r="AT190">
        <v>0</v>
      </c>
      <c r="AU190">
        <v>0</v>
      </c>
      <c r="AV190">
        <v>0</v>
      </c>
      <c r="AW190">
        <v>0</v>
      </c>
      <c r="AX190">
        <v>0</v>
      </c>
      <c r="AY190">
        <v>0</v>
      </c>
      <c r="AZ190">
        <v>0</v>
      </c>
      <c r="BA190">
        <v>0</v>
      </c>
      <c r="BB190">
        <v>0</v>
      </c>
    </row>
    <row r="191" spans="1:54" x14ac:dyDescent="0.25">
      <c r="A191">
        <v>611</v>
      </c>
      <c r="B191">
        <v>611</v>
      </c>
      <c r="C191">
        <v>611</v>
      </c>
      <c r="D191" t="s">
        <v>650</v>
      </c>
      <c r="F191">
        <v>0</v>
      </c>
      <c r="G191">
        <v>0</v>
      </c>
      <c r="H191">
        <v>0</v>
      </c>
      <c r="I191">
        <v>0</v>
      </c>
      <c r="J191">
        <v>0</v>
      </c>
      <c r="K191">
        <v>0</v>
      </c>
      <c r="L191">
        <v>0</v>
      </c>
      <c r="M191">
        <v>0</v>
      </c>
      <c r="N191">
        <v>0</v>
      </c>
      <c r="O191">
        <v>0</v>
      </c>
      <c r="P191">
        <v>0</v>
      </c>
      <c r="Q191">
        <v>0</v>
      </c>
      <c r="R191">
        <v>0</v>
      </c>
      <c r="S191">
        <v>0</v>
      </c>
      <c r="T191">
        <v>0</v>
      </c>
      <c r="U191">
        <v>0</v>
      </c>
      <c r="V191">
        <v>0</v>
      </c>
      <c r="W191">
        <v>0</v>
      </c>
      <c r="X191">
        <v>0</v>
      </c>
      <c r="Y191">
        <v>0</v>
      </c>
      <c r="Z191">
        <v>0</v>
      </c>
      <c r="AA191">
        <v>0</v>
      </c>
      <c r="AB191">
        <v>0</v>
      </c>
      <c r="AC191">
        <v>0</v>
      </c>
      <c r="AD191">
        <v>0</v>
      </c>
      <c r="AE191">
        <v>0</v>
      </c>
      <c r="AF191">
        <v>0</v>
      </c>
      <c r="AG191">
        <v>0</v>
      </c>
      <c r="AH191">
        <v>0</v>
      </c>
      <c r="AI191">
        <v>0</v>
      </c>
      <c r="AJ191">
        <v>0</v>
      </c>
      <c r="AK191">
        <v>0</v>
      </c>
      <c r="AL191">
        <v>0</v>
      </c>
      <c r="AM191">
        <v>0</v>
      </c>
      <c r="AN191">
        <v>0</v>
      </c>
      <c r="AO191">
        <v>0</v>
      </c>
      <c r="AP191">
        <v>0</v>
      </c>
      <c r="AQ191">
        <v>0</v>
      </c>
      <c r="AR191">
        <v>0</v>
      </c>
      <c r="AS191">
        <v>0</v>
      </c>
      <c r="AT191">
        <v>0</v>
      </c>
      <c r="AU191">
        <v>0</v>
      </c>
      <c r="AV191">
        <v>0</v>
      </c>
      <c r="AW191">
        <v>0</v>
      </c>
      <c r="AX191">
        <v>0</v>
      </c>
      <c r="AY191">
        <v>0</v>
      </c>
      <c r="AZ191">
        <v>0</v>
      </c>
      <c r="BA191">
        <v>0</v>
      </c>
      <c r="BB191">
        <v>0</v>
      </c>
    </row>
    <row r="192" spans="1:54" x14ac:dyDescent="0.25">
      <c r="A192">
        <v>612</v>
      </c>
      <c r="B192">
        <v>612</v>
      </c>
      <c r="C192">
        <v>612</v>
      </c>
      <c r="D192" t="s">
        <v>979</v>
      </c>
      <c r="F192">
        <v>0</v>
      </c>
      <c r="G192">
        <v>0</v>
      </c>
      <c r="H192">
        <v>0</v>
      </c>
      <c r="I192">
        <v>0</v>
      </c>
      <c r="J192">
        <v>0</v>
      </c>
      <c r="K192">
        <v>0</v>
      </c>
      <c r="L192">
        <v>0</v>
      </c>
      <c r="M192">
        <v>0</v>
      </c>
      <c r="N192">
        <v>0</v>
      </c>
      <c r="O192">
        <v>0</v>
      </c>
      <c r="P192">
        <v>0</v>
      </c>
      <c r="Q192">
        <v>0</v>
      </c>
      <c r="R192">
        <v>0</v>
      </c>
      <c r="S192">
        <v>0</v>
      </c>
      <c r="T192">
        <v>0</v>
      </c>
      <c r="U192">
        <v>0</v>
      </c>
      <c r="V192">
        <v>0</v>
      </c>
      <c r="W192">
        <v>0</v>
      </c>
      <c r="X192">
        <v>0</v>
      </c>
      <c r="Y192">
        <v>0</v>
      </c>
      <c r="Z192">
        <v>0</v>
      </c>
      <c r="AA192">
        <v>0</v>
      </c>
      <c r="AB192">
        <v>0</v>
      </c>
      <c r="AC192">
        <v>0</v>
      </c>
      <c r="AD192">
        <v>0</v>
      </c>
      <c r="AE192">
        <v>0</v>
      </c>
      <c r="AF192">
        <v>0</v>
      </c>
      <c r="AG192">
        <v>0</v>
      </c>
      <c r="AH192">
        <v>0</v>
      </c>
      <c r="AI192">
        <v>0</v>
      </c>
      <c r="AJ192">
        <v>0</v>
      </c>
      <c r="AK192">
        <v>0</v>
      </c>
      <c r="AL192">
        <v>0</v>
      </c>
      <c r="AM192">
        <v>0</v>
      </c>
      <c r="AN192">
        <v>0</v>
      </c>
      <c r="AO192">
        <v>0</v>
      </c>
      <c r="AP192">
        <v>0</v>
      </c>
      <c r="AQ192">
        <v>0</v>
      </c>
      <c r="AR192">
        <v>0</v>
      </c>
      <c r="AS192">
        <v>0</v>
      </c>
      <c r="AT192">
        <v>0</v>
      </c>
      <c r="AU192">
        <v>0</v>
      </c>
      <c r="AV192">
        <v>0</v>
      </c>
      <c r="AW192">
        <v>0</v>
      </c>
      <c r="AX192">
        <v>0</v>
      </c>
      <c r="AY192">
        <v>0</v>
      </c>
      <c r="AZ192">
        <v>0</v>
      </c>
      <c r="BA192">
        <v>0</v>
      </c>
      <c r="BB192">
        <v>0</v>
      </c>
    </row>
    <row r="193" spans="1:54" x14ac:dyDescent="0.25">
      <c r="A193">
        <v>613</v>
      </c>
      <c r="B193">
        <v>613</v>
      </c>
      <c r="C193">
        <v>613</v>
      </c>
      <c r="D193" t="s">
        <v>658</v>
      </c>
      <c r="F193">
        <v>0</v>
      </c>
      <c r="G193">
        <v>0</v>
      </c>
      <c r="H193">
        <v>0</v>
      </c>
      <c r="I193">
        <v>0</v>
      </c>
      <c r="J193">
        <v>0</v>
      </c>
      <c r="K193">
        <v>0</v>
      </c>
      <c r="L193">
        <v>0</v>
      </c>
      <c r="M193">
        <v>0</v>
      </c>
      <c r="N193">
        <v>0</v>
      </c>
      <c r="O193">
        <v>0</v>
      </c>
      <c r="P193">
        <v>0</v>
      </c>
      <c r="Q193">
        <v>0</v>
      </c>
      <c r="R193">
        <v>0</v>
      </c>
      <c r="S193">
        <v>0</v>
      </c>
      <c r="T193">
        <v>0</v>
      </c>
      <c r="U193">
        <v>0</v>
      </c>
      <c r="V193">
        <v>0</v>
      </c>
      <c r="W193">
        <v>0</v>
      </c>
      <c r="X193">
        <v>0</v>
      </c>
      <c r="Y193">
        <v>0</v>
      </c>
      <c r="Z193">
        <v>0</v>
      </c>
      <c r="AA193">
        <v>0</v>
      </c>
      <c r="AB193">
        <v>0</v>
      </c>
      <c r="AC193">
        <v>0</v>
      </c>
      <c r="AD193">
        <v>0</v>
      </c>
      <c r="AE193">
        <v>0</v>
      </c>
      <c r="AF193">
        <v>0</v>
      </c>
      <c r="AG193">
        <v>0</v>
      </c>
      <c r="AH193">
        <v>0</v>
      </c>
      <c r="AI193">
        <v>0</v>
      </c>
      <c r="AJ193">
        <v>0</v>
      </c>
      <c r="AK193">
        <v>0</v>
      </c>
      <c r="AL193">
        <v>0</v>
      </c>
      <c r="AM193">
        <v>0</v>
      </c>
      <c r="AN193">
        <v>0</v>
      </c>
      <c r="AO193">
        <v>0</v>
      </c>
      <c r="AP193">
        <v>0</v>
      </c>
      <c r="AQ193">
        <v>0</v>
      </c>
      <c r="AR193">
        <v>0</v>
      </c>
      <c r="AS193">
        <v>0</v>
      </c>
      <c r="AT193">
        <v>0</v>
      </c>
      <c r="AU193">
        <v>0</v>
      </c>
      <c r="AV193">
        <v>0</v>
      </c>
      <c r="AW193">
        <v>0</v>
      </c>
      <c r="AX193">
        <v>0</v>
      </c>
      <c r="AY193">
        <v>0</v>
      </c>
      <c r="AZ193">
        <v>0</v>
      </c>
      <c r="BA193">
        <v>0</v>
      </c>
      <c r="BB193">
        <v>0</v>
      </c>
    </row>
    <row r="194" spans="1:54" x14ac:dyDescent="0.25">
      <c r="A194">
        <v>614</v>
      </c>
      <c r="B194">
        <v>614</v>
      </c>
      <c r="C194">
        <v>614</v>
      </c>
      <c r="D194" t="s">
        <v>651</v>
      </c>
      <c r="F194">
        <v>0</v>
      </c>
      <c r="G194">
        <v>0</v>
      </c>
      <c r="H194">
        <v>0</v>
      </c>
      <c r="I194">
        <v>0</v>
      </c>
      <c r="J194">
        <v>0</v>
      </c>
      <c r="K194">
        <v>0</v>
      </c>
      <c r="L194">
        <v>0</v>
      </c>
      <c r="M194">
        <v>0</v>
      </c>
      <c r="N194">
        <v>0</v>
      </c>
      <c r="O194">
        <v>0</v>
      </c>
      <c r="P194">
        <v>0</v>
      </c>
      <c r="Q194">
        <v>0</v>
      </c>
      <c r="R194">
        <v>0</v>
      </c>
      <c r="S194">
        <v>0</v>
      </c>
      <c r="T194">
        <v>0</v>
      </c>
      <c r="U194">
        <v>0</v>
      </c>
      <c r="V194">
        <v>0</v>
      </c>
      <c r="W194">
        <v>0</v>
      </c>
      <c r="X194">
        <v>0</v>
      </c>
      <c r="Y194">
        <v>0</v>
      </c>
      <c r="Z194">
        <v>0</v>
      </c>
      <c r="AA194">
        <v>0</v>
      </c>
      <c r="AB194">
        <v>0</v>
      </c>
      <c r="AC194">
        <v>0</v>
      </c>
      <c r="AD194">
        <v>0</v>
      </c>
      <c r="AE194">
        <v>0</v>
      </c>
      <c r="AF194">
        <v>0</v>
      </c>
      <c r="AG194">
        <v>0</v>
      </c>
      <c r="AH194">
        <v>0</v>
      </c>
      <c r="AI194">
        <v>0</v>
      </c>
      <c r="AJ194">
        <v>0</v>
      </c>
      <c r="AK194">
        <v>0</v>
      </c>
      <c r="AL194">
        <v>0</v>
      </c>
      <c r="AM194">
        <v>0</v>
      </c>
      <c r="AN194">
        <v>0</v>
      </c>
      <c r="AO194">
        <v>0</v>
      </c>
      <c r="AP194">
        <v>0</v>
      </c>
      <c r="AQ194">
        <v>0</v>
      </c>
      <c r="AR194">
        <v>0</v>
      </c>
      <c r="AS194">
        <v>0</v>
      </c>
      <c r="AT194">
        <v>0</v>
      </c>
      <c r="AU194">
        <v>0</v>
      </c>
      <c r="AV194">
        <v>0</v>
      </c>
      <c r="AW194">
        <v>0</v>
      </c>
      <c r="AX194">
        <v>0</v>
      </c>
      <c r="AY194">
        <v>0</v>
      </c>
      <c r="AZ194">
        <v>0</v>
      </c>
      <c r="BA194">
        <v>0</v>
      </c>
      <c r="BB194">
        <v>0</v>
      </c>
    </row>
    <row r="195" spans="1:54" x14ac:dyDescent="0.25">
      <c r="A195">
        <v>615</v>
      </c>
      <c r="B195">
        <v>615</v>
      </c>
      <c r="C195">
        <v>615</v>
      </c>
      <c r="D195" t="s">
        <v>980</v>
      </c>
      <c r="F195">
        <v>0</v>
      </c>
      <c r="G195">
        <v>0</v>
      </c>
      <c r="H195">
        <v>0</v>
      </c>
      <c r="I195">
        <v>0</v>
      </c>
      <c r="J195">
        <v>0</v>
      </c>
      <c r="K195">
        <v>0</v>
      </c>
      <c r="L195">
        <v>0</v>
      </c>
      <c r="M195">
        <v>0</v>
      </c>
      <c r="N195">
        <v>0</v>
      </c>
      <c r="O195">
        <v>0</v>
      </c>
      <c r="P195">
        <v>0</v>
      </c>
      <c r="Q195">
        <v>0</v>
      </c>
      <c r="R195">
        <v>0</v>
      </c>
      <c r="S195">
        <v>0</v>
      </c>
      <c r="T195">
        <v>0</v>
      </c>
      <c r="U195">
        <v>0</v>
      </c>
      <c r="V195">
        <v>0</v>
      </c>
      <c r="W195">
        <v>0</v>
      </c>
      <c r="X195">
        <v>0</v>
      </c>
      <c r="Y195">
        <v>0</v>
      </c>
      <c r="Z195">
        <v>0</v>
      </c>
      <c r="AA195">
        <v>0</v>
      </c>
      <c r="AB195">
        <v>0</v>
      </c>
      <c r="AC195">
        <v>0</v>
      </c>
      <c r="AD195">
        <v>0</v>
      </c>
      <c r="AE195">
        <v>0</v>
      </c>
      <c r="AF195">
        <v>0</v>
      </c>
      <c r="AG195">
        <v>0</v>
      </c>
      <c r="AH195">
        <v>0</v>
      </c>
      <c r="AI195">
        <v>0</v>
      </c>
      <c r="AJ195">
        <v>0</v>
      </c>
      <c r="AK195">
        <v>0</v>
      </c>
      <c r="AL195">
        <v>0</v>
      </c>
      <c r="AM195">
        <v>0</v>
      </c>
      <c r="AN195">
        <v>0</v>
      </c>
      <c r="AO195">
        <v>0</v>
      </c>
      <c r="AP195">
        <v>0</v>
      </c>
      <c r="AQ195">
        <v>0</v>
      </c>
      <c r="AR195">
        <v>0</v>
      </c>
      <c r="AS195">
        <v>0</v>
      </c>
      <c r="AT195">
        <v>0</v>
      </c>
      <c r="AU195">
        <v>0</v>
      </c>
      <c r="AV195">
        <v>0</v>
      </c>
      <c r="AW195">
        <v>0</v>
      </c>
      <c r="AX195">
        <v>0</v>
      </c>
      <c r="AY195">
        <v>0</v>
      </c>
      <c r="AZ195">
        <v>0</v>
      </c>
      <c r="BA195">
        <v>0</v>
      </c>
      <c r="BB195">
        <v>0</v>
      </c>
    </row>
    <row r="196" spans="1:54" x14ac:dyDescent="0.25">
      <c r="A196">
        <v>616</v>
      </c>
      <c r="B196">
        <v>616</v>
      </c>
      <c r="C196">
        <v>616</v>
      </c>
      <c r="D196" t="s">
        <v>652</v>
      </c>
      <c r="F196">
        <v>0</v>
      </c>
      <c r="G196">
        <v>0</v>
      </c>
      <c r="H196">
        <v>0</v>
      </c>
      <c r="I196">
        <v>0</v>
      </c>
      <c r="J196">
        <v>0</v>
      </c>
      <c r="K196">
        <v>0</v>
      </c>
      <c r="L196">
        <v>0</v>
      </c>
      <c r="M196">
        <v>0</v>
      </c>
      <c r="N196">
        <v>0</v>
      </c>
      <c r="O196">
        <v>0</v>
      </c>
      <c r="P196">
        <v>0</v>
      </c>
      <c r="Q196">
        <v>0</v>
      </c>
      <c r="R196">
        <v>0</v>
      </c>
      <c r="S196">
        <v>0</v>
      </c>
      <c r="T196">
        <v>0</v>
      </c>
      <c r="U196">
        <v>0</v>
      </c>
      <c r="V196">
        <v>0</v>
      </c>
      <c r="W196">
        <v>0</v>
      </c>
      <c r="X196">
        <v>0</v>
      </c>
      <c r="Y196">
        <v>0</v>
      </c>
      <c r="Z196">
        <v>0</v>
      </c>
      <c r="AA196">
        <v>0</v>
      </c>
      <c r="AB196">
        <v>0</v>
      </c>
      <c r="AC196">
        <v>0</v>
      </c>
      <c r="AD196">
        <v>0</v>
      </c>
      <c r="AE196">
        <v>0</v>
      </c>
      <c r="AF196">
        <v>0</v>
      </c>
      <c r="AG196">
        <v>0</v>
      </c>
      <c r="AH196">
        <v>0</v>
      </c>
      <c r="AI196">
        <v>0</v>
      </c>
      <c r="AJ196">
        <v>0</v>
      </c>
      <c r="AK196">
        <v>0</v>
      </c>
      <c r="AL196">
        <v>0</v>
      </c>
      <c r="AM196">
        <v>0</v>
      </c>
      <c r="AN196">
        <v>0</v>
      </c>
      <c r="AO196">
        <v>0</v>
      </c>
      <c r="AP196">
        <v>0</v>
      </c>
      <c r="AQ196">
        <v>0</v>
      </c>
      <c r="AR196">
        <v>0</v>
      </c>
      <c r="AS196">
        <v>0</v>
      </c>
      <c r="AT196">
        <v>0</v>
      </c>
      <c r="AU196">
        <v>0</v>
      </c>
      <c r="AV196">
        <v>0</v>
      </c>
      <c r="AW196">
        <v>0</v>
      </c>
      <c r="AX196">
        <v>0</v>
      </c>
      <c r="AY196">
        <v>0</v>
      </c>
      <c r="AZ196">
        <v>0</v>
      </c>
      <c r="BA196">
        <v>0</v>
      </c>
      <c r="BB196">
        <v>0</v>
      </c>
    </row>
    <row r="197" spans="1:54" x14ac:dyDescent="0.25">
      <c r="A197">
        <v>617</v>
      </c>
      <c r="B197">
        <v>617</v>
      </c>
      <c r="C197">
        <v>617</v>
      </c>
      <c r="D197" t="s">
        <v>653</v>
      </c>
      <c r="F197">
        <v>0</v>
      </c>
      <c r="G197">
        <v>0</v>
      </c>
      <c r="H197">
        <v>0</v>
      </c>
      <c r="I197">
        <v>0</v>
      </c>
      <c r="J197">
        <v>0</v>
      </c>
      <c r="K197">
        <v>0</v>
      </c>
      <c r="L197">
        <v>0</v>
      </c>
      <c r="M197">
        <v>0</v>
      </c>
      <c r="N197">
        <v>0</v>
      </c>
      <c r="O197">
        <v>0</v>
      </c>
      <c r="P197">
        <v>0</v>
      </c>
      <c r="Q197">
        <v>0</v>
      </c>
      <c r="R197">
        <v>0</v>
      </c>
      <c r="S197">
        <v>0</v>
      </c>
      <c r="T197">
        <v>0</v>
      </c>
      <c r="U197">
        <v>0</v>
      </c>
      <c r="V197">
        <v>0</v>
      </c>
      <c r="W197">
        <v>0</v>
      </c>
      <c r="X197">
        <v>0</v>
      </c>
      <c r="Y197">
        <v>0</v>
      </c>
      <c r="Z197">
        <v>0</v>
      </c>
      <c r="AA197">
        <v>0</v>
      </c>
      <c r="AB197">
        <v>0</v>
      </c>
      <c r="AC197">
        <v>0</v>
      </c>
      <c r="AD197">
        <v>0</v>
      </c>
      <c r="AE197">
        <v>0</v>
      </c>
      <c r="AF197">
        <v>0</v>
      </c>
      <c r="AG197">
        <v>0</v>
      </c>
      <c r="AH197">
        <v>0</v>
      </c>
      <c r="AI197">
        <v>0</v>
      </c>
      <c r="AJ197">
        <v>0</v>
      </c>
      <c r="AK197">
        <v>0</v>
      </c>
      <c r="AL197">
        <v>0</v>
      </c>
      <c r="AM197">
        <v>0</v>
      </c>
      <c r="AN197">
        <v>0</v>
      </c>
      <c r="AO197">
        <v>0</v>
      </c>
      <c r="AP197">
        <v>0</v>
      </c>
      <c r="AQ197">
        <v>0</v>
      </c>
      <c r="AR197">
        <v>0</v>
      </c>
      <c r="AS197">
        <v>0</v>
      </c>
      <c r="AT197">
        <v>0</v>
      </c>
      <c r="AU197">
        <v>0</v>
      </c>
      <c r="AV197">
        <v>0</v>
      </c>
      <c r="AW197">
        <v>0</v>
      </c>
      <c r="AX197">
        <v>0</v>
      </c>
      <c r="AY197">
        <v>0</v>
      </c>
      <c r="AZ197">
        <v>0</v>
      </c>
      <c r="BA197">
        <v>0</v>
      </c>
      <c r="BB197">
        <v>0</v>
      </c>
    </row>
    <row r="198" spans="1:54" x14ac:dyDescent="0.25">
      <c r="A198">
        <v>618</v>
      </c>
      <c r="B198">
        <v>618</v>
      </c>
      <c r="C198">
        <v>618</v>
      </c>
      <c r="D198" t="s">
        <v>981</v>
      </c>
      <c r="F198">
        <v>0</v>
      </c>
      <c r="G198">
        <v>0</v>
      </c>
      <c r="H198">
        <v>0</v>
      </c>
      <c r="I198">
        <v>0</v>
      </c>
      <c r="J198">
        <v>0</v>
      </c>
      <c r="K198">
        <v>0</v>
      </c>
      <c r="L198">
        <v>0</v>
      </c>
      <c r="M198">
        <v>0</v>
      </c>
      <c r="N198">
        <v>0</v>
      </c>
      <c r="O198">
        <v>0</v>
      </c>
      <c r="P198">
        <v>0</v>
      </c>
      <c r="Q198">
        <v>0</v>
      </c>
      <c r="R198">
        <v>0</v>
      </c>
      <c r="S198">
        <v>0</v>
      </c>
      <c r="T198">
        <v>0</v>
      </c>
      <c r="U198">
        <v>0</v>
      </c>
      <c r="V198">
        <v>0</v>
      </c>
      <c r="W198">
        <v>0</v>
      </c>
      <c r="X198">
        <v>0</v>
      </c>
      <c r="Y198">
        <v>0</v>
      </c>
      <c r="Z198">
        <v>0</v>
      </c>
      <c r="AA198">
        <v>0</v>
      </c>
      <c r="AB198">
        <v>0</v>
      </c>
      <c r="AC198">
        <v>0</v>
      </c>
      <c r="AD198">
        <v>0</v>
      </c>
      <c r="AE198">
        <v>0</v>
      </c>
      <c r="AF198">
        <v>0</v>
      </c>
      <c r="AG198">
        <v>0</v>
      </c>
      <c r="AH198">
        <v>0</v>
      </c>
      <c r="AI198">
        <v>0</v>
      </c>
      <c r="AJ198">
        <v>0</v>
      </c>
      <c r="AK198">
        <v>0</v>
      </c>
      <c r="AL198">
        <v>0</v>
      </c>
      <c r="AM198">
        <v>0</v>
      </c>
      <c r="AN198">
        <v>0</v>
      </c>
      <c r="AO198">
        <v>0</v>
      </c>
      <c r="AP198">
        <v>0</v>
      </c>
      <c r="AQ198">
        <v>0</v>
      </c>
      <c r="AR198">
        <v>0</v>
      </c>
      <c r="AS198">
        <v>0</v>
      </c>
      <c r="AT198">
        <v>0</v>
      </c>
      <c r="AU198">
        <v>0</v>
      </c>
      <c r="AV198">
        <v>0</v>
      </c>
      <c r="AW198">
        <v>0</v>
      </c>
      <c r="AX198">
        <v>0</v>
      </c>
      <c r="AY198">
        <v>0</v>
      </c>
      <c r="AZ198">
        <v>0</v>
      </c>
      <c r="BA198">
        <v>0</v>
      </c>
      <c r="BB198">
        <v>0</v>
      </c>
    </row>
    <row r="199" spans="1:54" x14ac:dyDescent="0.25">
      <c r="A199">
        <v>619</v>
      </c>
      <c r="F199">
        <v>0</v>
      </c>
      <c r="G199">
        <v>0</v>
      </c>
      <c r="H199">
        <v>0</v>
      </c>
      <c r="I199">
        <v>0</v>
      </c>
      <c r="J199">
        <v>0</v>
      </c>
      <c r="K199">
        <v>0</v>
      </c>
      <c r="L199">
        <v>0</v>
      </c>
      <c r="M199">
        <v>0</v>
      </c>
      <c r="N199">
        <v>0</v>
      </c>
      <c r="O199">
        <v>0</v>
      </c>
      <c r="P199">
        <v>0</v>
      </c>
      <c r="Q199">
        <v>0</v>
      </c>
      <c r="R199">
        <v>0</v>
      </c>
      <c r="S199">
        <v>0</v>
      </c>
      <c r="T199">
        <v>0</v>
      </c>
      <c r="U199">
        <v>0</v>
      </c>
      <c r="V199">
        <v>0</v>
      </c>
      <c r="W199">
        <v>0</v>
      </c>
      <c r="X199">
        <v>0</v>
      </c>
      <c r="Y199">
        <v>0</v>
      </c>
      <c r="Z199">
        <v>0</v>
      </c>
      <c r="AA199">
        <v>0</v>
      </c>
      <c r="AB199">
        <v>0</v>
      </c>
      <c r="AC199">
        <v>0</v>
      </c>
      <c r="AD199">
        <v>0</v>
      </c>
      <c r="AE199">
        <v>0</v>
      </c>
      <c r="AF199">
        <v>0</v>
      </c>
      <c r="AG199">
        <v>0</v>
      </c>
      <c r="AH199">
        <v>0</v>
      </c>
      <c r="AI199">
        <v>0</v>
      </c>
      <c r="AJ199">
        <v>0</v>
      </c>
      <c r="AK199">
        <v>0</v>
      </c>
      <c r="AL199">
        <v>0</v>
      </c>
      <c r="AM199">
        <v>0</v>
      </c>
      <c r="AN199">
        <v>0</v>
      </c>
      <c r="AO199">
        <v>0</v>
      </c>
      <c r="AP199">
        <v>0</v>
      </c>
      <c r="AQ199">
        <v>0</v>
      </c>
      <c r="AR199">
        <v>0</v>
      </c>
      <c r="AS199">
        <v>0</v>
      </c>
      <c r="AT199">
        <v>0</v>
      </c>
      <c r="AU199">
        <v>0</v>
      </c>
      <c r="AV199">
        <v>0</v>
      </c>
      <c r="AW199">
        <v>0</v>
      </c>
      <c r="AX199">
        <v>0</v>
      </c>
      <c r="AY199">
        <v>0</v>
      </c>
      <c r="AZ199">
        <v>0</v>
      </c>
      <c r="BA199">
        <v>0</v>
      </c>
      <c r="BB199">
        <v>0</v>
      </c>
    </row>
    <row r="200" spans="1:54" x14ac:dyDescent="0.25">
      <c r="A200">
        <v>620</v>
      </c>
      <c r="B200">
        <v>620</v>
      </c>
      <c r="C200">
        <v>620</v>
      </c>
      <c r="D200" t="s">
        <v>662</v>
      </c>
      <c r="F200">
        <v>2</v>
      </c>
      <c r="G200">
        <v>2</v>
      </c>
      <c r="H200">
        <v>2</v>
      </c>
      <c r="I200">
        <v>2</v>
      </c>
      <c r="J200">
        <v>2</v>
      </c>
      <c r="K200">
        <v>2</v>
      </c>
      <c r="L200">
        <v>2</v>
      </c>
      <c r="M200">
        <v>2</v>
      </c>
      <c r="N200">
        <v>0</v>
      </c>
      <c r="O200">
        <v>2</v>
      </c>
      <c r="P200">
        <v>2</v>
      </c>
      <c r="Q200">
        <v>2</v>
      </c>
      <c r="R200">
        <v>2</v>
      </c>
      <c r="S200">
        <v>2</v>
      </c>
      <c r="T200">
        <v>2</v>
      </c>
      <c r="U200">
        <v>1</v>
      </c>
      <c r="V200">
        <v>1</v>
      </c>
      <c r="W200">
        <v>2</v>
      </c>
      <c r="X200">
        <v>2</v>
      </c>
      <c r="Y200">
        <v>2</v>
      </c>
      <c r="Z200">
        <v>2</v>
      </c>
      <c r="AA200">
        <v>2</v>
      </c>
      <c r="AB200">
        <v>2</v>
      </c>
      <c r="AC200">
        <v>2</v>
      </c>
      <c r="AD200">
        <v>2</v>
      </c>
      <c r="AE200">
        <v>2</v>
      </c>
      <c r="AF200">
        <v>2</v>
      </c>
      <c r="AG200">
        <v>2</v>
      </c>
      <c r="AH200">
        <v>1</v>
      </c>
      <c r="AI200">
        <v>2</v>
      </c>
      <c r="AJ200">
        <v>1</v>
      </c>
      <c r="AK200">
        <v>2</v>
      </c>
      <c r="AL200">
        <v>2</v>
      </c>
      <c r="AM200">
        <v>2</v>
      </c>
      <c r="AN200">
        <v>2</v>
      </c>
      <c r="AO200">
        <v>2</v>
      </c>
      <c r="AP200">
        <v>2</v>
      </c>
      <c r="AQ200">
        <v>2</v>
      </c>
      <c r="AR200">
        <v>2</v>
      </c>
      <c r="AS200">
        <v>2</v>
      </c>
      <c r="AT200">
        <v>2</v>
      </c>
      <c r="AU200">
        <v>2</v>
      </c>
      <c r="AV200">
        <v>2</v>
      </c>
      <c r="AW200">
        <v>1</v>
      </c>
      <c r="AX200">
        <v>2</v>
      </c>
      <c r="AY200">
        <v>2</v>
      </c>
      <c r="AZ200">
        <v>2</v>
      </c>
      <c r="BA200">
        <v>2</v>
      </c>
      <c r="BB200">
        <v>1</v>
      </c>
    </row>
    <row r="202" spans="1:54" x14ac:dyDescent="0.25">
      <c r="D202" t="s">
        <v>983</v>
      </c>
      <c r="F202">
        <v>92135879.010000005</v>
      </c>
      <c r="G202">
        <v>125377799.01000001</v>
      </c>
      <c r="H202">
        <v>254301786.00999999</v>
      </c>
      <c r="I202">
        <v>11777684.01</v>
      </c>
      <c r="J202">
        <v>2554869526.0100002</v>
      </c>
      <c r="K202">
        <v>841177610.00999999</v>
      </c>
      <c r="L202">
        <v>3711875181.0100002</v>
      </c>
      <c r="M202">
        <v>244237207.08000001</v>
      </c>
      <c r="N202">
        <v>0</v>
      </c>
      <c r="O202">
        <v>161990510.00999999</v>
      </c>
      <c r="P202">
        <v>157145440.00999999</v>
      </c>
      <c r="Q202">
        <v>17938838.010000002</v>
      </c>
      <c r="R202">
        <v>32200851.010000002</v>
      </c>
      <c r="S202">
        <v>24525177.010000002</v>
      </c>
      <c r="T202">
        <v>121892255.01000001</v>
      </c>
      <c r="U202">
        <v>16307815.01</v>
      </c>
      <c r="V202">
        <v>3765048182.8000002</v>
      </c>
      <c r="W202">
        <v>124823208.01000001</v>
      </c>
      <c r="X202">
        <v>16480147.01</v>
      </c>
      <c r="Y202">
        <v>77120503.930000007</v>
      </c>
      <c r="Z202">
        <v>259801652.00999999</v>
      </c>
      <c r="AA202">
        <v>52392454.009999998</v>
      </c>
      <c r="AB202">
        <v>120453106.01000001</v>
      </c>
      <c r="AC202">
        <v>19746374.010000002</v>
      </c>
      <c r="AD202">
        <v>577506948.00999999</v>
      </c>
      <c r="AE202">
        <v>66429939.009999998</v>
      </c>
      <c r="AF202">
        <v>29044666.010000002</v>
      </c>
      <c r="AG202">
        <v>1209578265.01</v>
      </c>
      <c r="AH202">
        <v>1757395081.01</v>
      </c>
      <c r="AI202">
        <v>560946621.00999999</v>
      </c>
      <c r="AJ202">
        <v>7968867520.0100002</v>
      </c>
      <c r="AK202">
        <v>8166660.6100000003</v>
      </c>
      <c r="AL202">
        <v>339028581.00999999</v>
      </c>
      <c r="AM202">
        <v>36457637.009999998</v>
      </c>
      <c r="AN202">
        <v>13954584.300000001</v>
      </c>
      <c r="AO202">
        <v>482132894.00999999</v>
      </c>
      <c r="AP202">
        <v>86986473.010000005</v>
      </c>
      <c r="AQ202">
        <v>147297972.00999999</v>
      </c>
      <c r="AR202">
        <v>39209611.009999998</v>
      </c>
      <c r="AS202">
        <v>38168464.009999998</v>
      </c>
      <c r="AT202">
        <v>49252428.009999998</v>
      </c>
      <c r="AU202">
        <v>6284263.0099999998</v>
      </c>
      <c r="AV202">
        <v>15985204.01</v>
      </c>
      <c r="AW202">
        <v>275946018.00999999</v>
      </c>
      <c r="AX202">
        <v>35431181.009999998</v>
      </c>
      <c r="AY202">
        <v>1460205.01</v>
      </c>
      <c r="AZ202">
        <v>1807111.01</v>
      </c>
      <c r="BA202">
        <v>53302559.009999998</v>
      </c>
      <c r="BB202">
        <v>126040731.01000001</v>
      </c>
    </row>
    <row r="203" spans="1:54" x14ac:dyDescent="0.25">
      <c r="D203" t="s">
        <v>984</v>
      </c>
      <c r="F203" s="603">
        <v>92135879.010000005</v>
      </c>
      <c r="G203" s="603">
        <v>125377799.01000001</v>
      </c>
      <c r="H203" s="603">
        <v>254301786.00999999</v>
      </c>
      <c r="I203" t="s">
        <v>987</v>
      </c>
      <c r="J203" s="603">
        <v>2554869526.0100002</v>
      </c>
      <c r="K203" s="603">
        <v>841177610.00999999</v>
      </c>
      <c r="L203" s="603">
        <v>3711875181.0100002</v>
      </c>
      <c r="M203" s="603">
        <v>244237207.08000001</v>
      </c>
      <c r="N203" t="s">
        <v>987</v>
      </c>
      <c r="O203" s="603">
        <v>161990510.00999999</v>
      </c>
      <c r="P203" s="603">
        <v>157145440.00999999</v>
      </c>
      <c r="Q203" s="603">
        <v>17938838.010000002</v>
      </c>
      <c r="R203" s="603">
        <v>32200851.010000002</v>
      </c>
      <c r="S203" s="603">
        <v>24525177.010000002</v>
      </c>
      <c r="T203" s="603">
        <v>121892255.01000001</v>
      </c>
      <c r="U203" s="603">
        <v>15716148</v>
      </c>
      <c r="V203" s="603">
        <v>3765048182.8000002</v>
      </c>
      <c r="W203" s="603">
        <v>124823208.01000001</v>
      </c>
      <c r="X203" s="603">
        <v>16480147.01</v>
      </c>
      <c r="Y203" s="603">
        <v>77120503.930000007</v>
      </c>
      <c r="Z203" s="603">
        <v>259801652.00999999</v>
      </c>
      <c r="AA203" s="603">
        <v>52392454.009999998</v>
      </c>
      <c r="AB203" s="603">
        <v>120453106.01000001</v>
      </c>
      <c r="AC203" s="603">
        <v>19746374.010000002</v>
      </c>
      <c r="AD203" s="603">
        <v>577506948.00999999</v>
      </c>
      <c r="AE203" s="603">
        <v>66429939.009999998</v>
      </c>
      <c r="AF203" s="603">
        <v>29044666.010000002</v>
      </c>
      <c r="AG203" s="603">
        <v>1209578265.01</v>
      </c>
      <c r="AH203" s="603">
        <v>1757395081.01</v>
      </c>
      <c r="AI203" s="603">
        <v>560946621.00999999</v>
      </c>
      <c r="AJ203" s="603">
        <v>7969089343.0100002</v>
      </c>
      <c r="AK203" s="603">
        <v>8166660.6100000003</v>
      </c>
      <c r="AL203" s="603">
        <v>339028581.00999999</v>
      </c>
      <c r="AM203" s="603">
        <v>36457637.009999998</v>
      </c>
      <c r="AN203" s="603">
        <v>13954584.300000001</v>
      </c>
      <c r="AO203" s="603">
        <v>482132894.00999999</v>
      </c>
      <c r="AP203" s="603">
        <v>86986473.010000005</v>
      </c>
      <c r="AQ203" s="603">
        <v>147297972.00999999</v>
      </c>
      <c r="AR203" s="603">
        <v>39209611.009999998</v>
      </c>
      <c r="AS203" s="603">
        <v>38168464.009999998</v>
      </c>
      <c r="AT203" s="603">
        <v>49252428.009999998</v>
      </c>
      <c r="AU203" s="603">
        <v>6284263.0099999998</v>
      </c>
      <c r="AV203" s="603">
        <v>15985204.01</v>
      </c>
      <c r="AW203" s="603">
        <v>275946018.00999999</v>
      </c>
      <c r="AX203" s="603">
        <v>35431181.009999998</v>
      </c>
      <c r="AY203" s="603">
        <v>1460205.01</v>
      </c>
      <c r="AZ203" s="603">
        <v>1807111.01</v>
      </c>
      <c r="BA203" s="603">
        <v>53302559.009999998</v>
      </c>
      <c r="BB203" s="603">
        <v>126040731.01000001</v>
      </c>
    </row>
    <row r="204" spans="1:54" x14ac:dyDescent="0.25">
      <c r="F204">
        <v>0</v>
      </c>
      <c r="G204">
        <v>0</v>
      </c>
      <c r="H204">
        <v>0</v>
      </c>
      <c r="I204">
        <v>11777684</v>
      </c>
      <c r="J204">
        <v>0</v>
      </c>
      <c r="K204">
        <v>0</v>
      </c>
      <c r="L204">
        <v>0</v>
      </c>
      <c r="M204">
        <v>0</v>
      </c>
      <c r="N204">
        <v>0</v>
      </c>
      <c r="O204">
        <v>0</v>
      </c>
      <c r="P204">
        <v>0</v>
      </c>
      <c r="Q204">
        <v>0</v>
      </c>
      <c r="R204">
        <v>0</v>
      </c>
      <c r="S204">
        <v>0</v>
      </c>
      <c r="T204">
        <v>0</v>
      </c>
      <c r="U204">
        <v>591667</v>
      </c>
      <c r="V204">
        <v>0</v>
      </c>
      <c r="W204">
        <v>0</v>
      </c>
      <c r="X204">
        <v>0</v>
      </c>
      <c r="Y204">
        <v>0</v>
      </c>
      <c r="Z204">
        <v>0</v>
      </c>
      <c r="AA204">
        <v>0</v>
      </c>
      <c r="AB204">
        <v>0</v>
      </c>
      <c r="AC204">
        <v>0</v>
      </c>
      <c r="AD204">
        <v>0</v>
      </c>
      <c r="AE204">
        <v>0</v>
      </c>
      <c r="AF204">
        <v>0</v>
      </c>
      <c r="AG204">
        <v>0</v>
      </c>
      <c r="AH204">
        <v>0</v>
      </c>
      <c r="AI204">
        <v>0</v>
      </c>
      <c r="AJ204">
        <v>-221823</v>
      </c>
      <c r="AK204">
        <v>0</v>
      </c>
      <c r="AL204">
        <v>0</v>
      </c>
      <c r="AM204">
        <v>0</v>
      </c>
      <c r="AN204">
        <v>0</v>
      </c>
      <c r="AO204">
        <v>0</v>
      </c>
      <c r="AP204">
        <v>0</v>
      </c>
      <c r="AQ204">
        <v>0</v>
      </c>
      <c r="AR204">
        <v>0</v>
      </c>
      <c r="AS204">
        <v>0</v>
      </c>
      <c r="AT204">
        <v>0</v>
      </c>
      <c r="AU204">
        <v>0</v>
      </c>
      <c r="AV204">
        <v>0</v>
      </c>
      <c r="AW204">
        <v>0</v>
      </c>
      <c r="AX204">
        <v>0</v>
      </c>
      <c r="AY204">
        <v>0</v>
      </c>
      <c r="AZ204">
        <v>0</v>
      </c>
      <c r="BA204">
        <v>0</v>
      </c>
      <c r="BB204">
        <v>0</v>
      </c>
    </row>
    <row r="210" spans="1:54" s="594" customFormat="1" x14ac:dyDescent="0.25">
      <c r="A210" s="594">
        <v>647</v>
      </c>
      <c r="B210" s="594">
        <v>647</v>
      </c>
      <c r="C210" s="594" t="s">
        <v>989</v>
      </c>
      <c r="F210" s="594">
        <v>0</v>
      </c>
      <c r="G210" s="594">
        <v>0</v>
      </c>
      <c r="H210" s="594">
        <v>0</v>
      </c>
      <c r="I210" s="594">
        <v>0</v>
      </c>
      <c r="J210" s="594">
        <v>0</v>
      </c>
      <c r="K210" s="594">
        <v>0</v>
      </c>
      <c r="L210" s="594">
        <v>0</v>
      </c>
      <c r="M210" s="594">
        <v>0</v>
      </c>
      <c r="N210" s="594">
        <v>0</v>
      </c>
      <c r="O210" s="594">
        <v>0</v>
      </c>
      <c r="P210" s="594">
        <v>0</v>
      </c>
      <c r="Q210" s="594">
        <v>0</v>
      </c>
      <c r="R210" s="594">
        <v>0</v>
      </c>
      <c r="S210" s="594">
        <v>0</v>
      </c>
      <c r="T210" s="594">
        <v>0</v>
      </c>
      <c r="U210" s="594">
        <v>0</v>
      </c>
      <c r="V210" s="594">
        <v>0</v>
      </c>
      <c r="W210" s="594">
        <v>0</v>
      </c>
      <c r="X210" s="594">
        <v>0</v>
      </c>
      <c r="Y210" s="594">
        <v>0</v>
      </c>
      <c r="Z210" s="594">
        <v>0</v>
      </c>
      <c r="AA210" s="594">
        <v>0</v>
      </c>
      <c r="AB210" s="594">
        <v>0</v>
      </c>
      <c r="AC210" s="594">
        <v>0</v>
      </c>
      <c r="AD210" s="594">
        <v>0</v>
      </c>
      <c r="AE210" s="594">
        <v>0</v>
      </c>
      <c r="AF210" s="594">
        <v>0</v>
      </c>
      <c r="AG210" s="594">
        <v>0</v>
      </c>
      <c r="AH210" s="594">
        <v>0</v>
      </c>
      <c r="AI210" s="594">
        <v>0</v>
      </c>
      <c r="AJ210" s="594">
        <v>0</v>
      </c>
      <c r="AK210" s="594">
        <v>0</v>
      </c>
      <c r="AL210" s="594">
        <v>0</v>
      </c>
      <c r="AM210" s="594">
        <v>0</v>
      </c>
      <c r="AN210" s="594">
        <v>0</v>
      </c>
      <c r="AO210" s="594">
        <v>0</v>
      </c>
      <c r="AP210" s="594">
        <v>0</v>
      </c>
      <c r="AQ210" s="594">
        <v>0</v>
      </c>
      <c r="AR210" s="594">
        <v>0</v>
      </c>
      <c r="AS210" s="594">
        <v>0</v>
      </c>
      <c r="AT210" s="594">
        <v>0</v>
      </c>
      <c r="AU210" s="594">
        <v>0</v>
      </c>
      <c r="AV210" s="594">
        <v>0</v>
      </c>
      <c r="AW210" s="594">
        <v>0</v>
      </c>
      <c r="AX210" s="594">
        <v>0</v>
      </c>
      <c r="AY210" s="594">
        <v>0</v>
      </c>
      <c r="AZ210" s="594">
        <v>0</v>
      </c>
      <c r="BA210" s="594">
        <v>0</v>
      </c>
      <c r="BB210" s="594">
        <v>0</v>
      </c>
    </row>
    <row r="211" spans="1:54" s="594" customFormat="1" x14ac:dyDescent="0.25">
      <c r="A211" s="594" t="s">
        <v>990</v>
      </c>
      <c r="C211" s="594" t="s">
        <v>991</v>
      </c>
      <c r="F211" s="689">
        <f>+F113+F142-F3-F4-F5+F210</f>
        <v>0</v>
      </c>
      <c r="G211" s="689">
        <f t="shared" ref="G211:BB211" si="0">+G113+G142-G3-G4-G5+G210</f>
        <v>0</v>
      </c>
      <c r="H211" s="689">
        <f t="shared" si="0"/>
        <v>0</v>
      </c>
      <c r="I211" s="689">
        <f t="shared" si="0"/>
        <v>0</v>
      </c>
      <c r="J211" s="689">
        <f t="shared" si="0"/>
        <v>0</v>
      </c>
      <c r="K211" s="689">
        <f t="shared" si="0"/>
        <v>0</v>
      </c>
      <c r="L211" s="689">
        <f t="shared" si="0"/>
        <v>0</v>
      </c>
      <c r="M211" s="689">
        <f t="shared" si="0"/>
        <v>0</v>
      </c>
      <c r="N211" s="689">
        <f t="shared" si="0"/>
        <v>0</v>
      </c>
      <c r="O211" s="689">
        <f t="shared" si="0"/>
        <v>0</v>
      </c>
      <c r="P211" s="689">
        <f t="shared" si="0"/>
        <v>0</v>
      </c>
      <c r="Q211" s="689">
        <f t="shared" si="0"/>
        <v>0</v>
      </c>
      <c r="R211" s="689">
        <f t="shared" si="0"/>
        <v>0</v>
      </c>
      <c r="S211" s="689">
        <f t="shared" si="0"/>
        <v>0</v>
      </c>
      <c r="T211" s="689">
        <f t="shared" si="0"/>
        <v>0</v>
      </c>
      <c r="U211" s="689">
        <f t="shared" si="0"/>
        <v>0</v>
      </c>
      <c r="V211" s="689">
        <f t="shared" si="0"/>
        <v>0</v>
      </c>
      <c r="W211" s="689">
        <f t="shared" si="0"/>
        <v>0</v>
      </c>
      <c r="X211" s="689">
        <f t="shared" si="0"/>
        <v>0</v>
      </c>
      <c r="Y211" s="689">
        <f t="shared" si="0"/>
        <v>0</v>
      </c>
      <c r="Z211" s="689">
        <f t="shared" si="0"/>
        <v>0</v>
      </c>
      <c r="AA211" s="689">
        <f t="shared" si="0"/>
        <v>0</v>
      </c>
      <c r="AB211" s="689">
        <f t="shared" si="0"/>
        <v>0</v>
      </c>
      <c r="AC211" s="689">
        <f t="shared" si="0"/>
        <v>0</v>
      </c>
      <c r="AD211" s="689">
        <f t="shared" si="0"/>
        <v>0</v>
      </c>
      <c r="AE211" s="689">
        <f t="shared" si="0"/>
        <v>0</v>
      </c>
      <c r="AF211" s="689">
        <f t="shared" si="0"/>
        <v>0</v>
      </c>
      <c r="AG211" s="689">
        <f t="shared" si="0"/>
        <v>0</v>
      </c>
      <c r="AH211" s="689">
        <f t="shared" si="0"/>
        <v>0</v>
      </c>
      <c r="AI211" s="689">
        <f t="shared" si="0"/>
        <v>0</v>
      </c>
      <c r="AJ211" s="689">
        <f t="shared" si="0"/>
        <v>0</v>
      </c>
      <c r="AK211" s="689">
        <f t="shared" si="0"/>
        <v>511629</v>
      </c>
      <c r="AL211" s="689">
        <f t="shared" si="0"/>
        <v>0</v>
      </c>
      <c r="AM211" s="689">
        <f t="shared" si="0"/>
        <v>0</v>
      </c>
      <c r="AN211" s="689">
        <f t="shared" si="0"/>
        <v>0</v>
      </c>
      <c r="AO211" s="689">
        <f t="shared" si="0"/>
        <v>0</v>
      </c>
      <c r="AP211" s="689">
        <f t="shared" si="0"/>
        <v>0</v>
      </c>
      <c r="AQ211" s="689">
        <f t="shared" si="0"/>
        <v>0</v>
      </c>
      <c r="AR211" s="689">
        <f t="shared" si="0"/>
        <v>0</v>
      </c>
      <c r="AS211" s="689">
        <f t="shared" si="0"/>
        <v>0</v>
      </c>
      <c r="AT211" s="689">
        <f t="shared" si="0"/>
        <v>0</v>
      </c>
      <c r="AU211" s="689">
        <f t="shared" si="0"/>
        <v>0</v>
      </c>
      <c r="AV211" s="689">
        <f t="shared" si="0"/>
        <v>0</v>
      </c>
      <c r="AW211" s="689">
        <f t="shared" si="0"/>
        <v>0</v>
      </c>
      <c r="AX211" s="689">
        <f t="shared" si="0"/>
        <v>0</v>
      </c>
      <c r="AY211" s="689">
        <f t="shared" si="0"/>
        <v>0</v>
      </c>
      <c r="AZ211" s="689">
        <f t="shared" si="0"/>
        <v>0</v>
      </c>
      <c r="BA211" s="689">
        <f t="shared" si="0"/>
        <v>0</v>
      </c>
      <c r="BB211" s="689">
        <f t="shared" si="0"/>
        <v>0</v>
      </c>
    </row>
    <row r="212" spans="1:54" s="594" customFormat="1" x14ac:dyDescent="0.25">
      <c r="A212" s="594" t="s">
        <v>992</v>
      </c>
      <c r="C212" s="594" t="s">
        <v>993</v>
      </c>
      <c r="F212" s="689">
        <f>+F139+F11+F116-F140-F115</f>
        <v>0</v>
      </c>
      <c r="G212" s="689">
        <f t="shared" ref="G212:BB212" si="1">+G139+G11+G116-G140-G115</f>
        <v>0</v>
      </c>
      <c r="H212" s="689">
        <f t="shared" si="1"/>
        <v>0</v>
      </c>
      <c r="I212" s="689">
        <f t="shared" si="1"/>
        <v>0</v>
      </c>
      <c r="J212" s="689">
        <f t="shared" si="1"/>
        <v>0</v>
      </c>
      <c r="K212" s="689">
        <f t="shared" si="1"/>
        <v>0</v>
      </c>
      <c r="L212" s="689">
        <f t="shared" si="1"/>
        <v>0</v>
      </c>
      <c r="M212" s="689">
        <f t="shared" si="1"/>
        <v>0</v>
      </c>
      <c r="N212" s="689">
        <f t="shared" si="1"/>
        <v>0</v>
      </c>
      <c r="O212" s="689">
        <f t="shared" si="1"/>
        <v>0</v>
      </c>
      <c r="P212" s="689">
        <f t="shared" si="1"/>
        <v>0</v>
      </c>
      <c r="Q212" s="689">
        <f t="shared" si="1"/>
        <v>0</v>
      </c>
      <c r="R212" s="689">
        <f t="shared" si="1"/>
        <v>0</v>
      </c>
      <c r="S212" s="689">
        <f t="shared" si="1"/>
        <v>0</v>
      </c>
      <c r="T212" s="689">
        <f t="shared" si="1"/>
        <v>0</v>
      </c>
      <c r="U212" s="689">
        <f t="shared" si="1"/>
        <v>0</v>
      </c>
      <c r="V212" s="689">
        <f t="shared" si="1"/>
        <v>0</v>
      </c>
      <c r="W212" s="689">
        <f t="shared" si="1"/>
        <v>0</v>
      </c>
      <c r="X212" s="689">
        <f t="shared" si="1"/>
        <v>0</v>
      </c>
      <c r="Y212" s="689">
        <f t="shared" si="1"/>
        <v>0</v>
      </c>
      <c r="Z212" s="689">
        <f t="shared" si="1"/>
        <v>0</v>
      </c>
      <c r="AA212" s="689">
        <f t="shared" si="1"/>
        <v>0</v>
      </c>
      <c r="AB212" s="689">
        <f t="shared" si="1"/>
        <v>0</v>
      </c>
      <c r="AC212" s="689">
        <f t="shared" si="1"/>
        <v>0</v>
      </c>
      <c r="AD212" s="689">
        <f t="shared" si="1"/>
        <v>0</v>
      </c>
      <c r="AE212" s="689">
        <f t="shared" si="1"/>
        <v>0</v>
      </c>
      <c r="AF212" s="689">
        <f t="shared" si="1"/>
        <v>0</v>
      </c>
      <c r="AG212" s="689">
        <f t="shared" si="1"/>
        <v>0</v>
      </c>
      <c r="AH212" s="689">
        <f t="shared" si="1"/>
        <v>0</v>
      </c>
      <c r="AI212" s="689">
        <f t="shared" si="1"/>
        <v>0</v>
      </c>
      <c r="AJ212" s="689">
        <f t="shared" si="1"/>
        <v>0</v>
      </c>
      <c r="AK212" s="689">
        <f t="shared" si="1"/>
        <v>70742</v>
      </c>
      <c r="AL212" s="689">
        <f t="shared" si="1"/>
        <v>0</v>
      </c>
      <c r="AM212" s="689">
        <f t="shared" si="1"/>
        <v>0</v>
      </c>
      <c r="AN212" s="689">
        <f t="shared" si="1"/>
        <v>0</v>
      </c>
      <c r="AO212" s="689">
        <f t="shared" si="1"/>
        <v>0</v>
      </c>
      <c r="AP212" s="689">
        <f t="shared" si="1"/>
        <v>0</v>
      </c>
      <c r="AQ212" s="689">
        <f t="shared" si="1"/>
        <v>0</v>
      </c>
      <c r="AR212" s="689">
        <f t="shared" si="1"/>
        <v>0</v>
      </c>
      <c r="AS212" s="689">
        <f t="shared" si="1"/>
        <v>0</v>
      </c>
      <c r="AT212" s="689">
        <f t="shared" si="1"/>
        <v>0</v>
      </c>
      <c r="AU212" s="689">
        <f t="shared" si="1"/>
        <v>0</v>
      </c>
      <c r="AV212" s="689">
        <f t="shared" si="1"/>
        <v>0</v>
      </c>
      <c r="AW212" s="689">
        <f t="shared" si="1"/>
        <v>0</v>
      </c>
      <c r="AX212" s="689">
        <f t="shared" si="1"/>
        <v>0</v>
      </c>
      <c r="AY212" s="689">
        <f t="shared" si="1"/>
        <v>0</v>
      </c>
      <c r="AZ212" s="689">
        <f t="shared" si="1"/>
        <v>0</v>
      </c>
      <c r="BA212" s="689">
        <f t="shared" si="1"/>
        <v>0</v>
      </c>
      <c r="BB212" s="689">
        <f t="shared" si="1"/>
        <v>0</v>
      </c>
    </row>
    <row r="213" spans="1:54" s="594" customFormat="1" x14ac:dyDescent="0.25">
      <c r="A213" s="594" t="s">
        <v>994</v>
      </c>
      <c r="C213" s="594" t="s">
        <v>995</v>
      </c>
      <c r="F213" s="690" t="e">
        <f>+F211/F212</f>
        <v>#DIV/0!</v>
      </c>
      <c r="G213" s="690" t="e">
        <f t="shared" ref="G213:BB213" si="2">+G211/G212</f>
        <v>#DIV/0!</v>
      </c>
      <c r="H213" s="690" t="e">
        <f t="shared" si="2"/>
        <v>#DIV/0!</v>
      </c>
      <c r="I213" s="690" t="e">
        <f t="shared" si="2"/>
        <v>#DIV/0!</v>
      </c>
      <c r="J213" s="690" t="e">
        <f t="shared" si="2"/>
        <v>#DIV/0!</v>
      </c>
      <c r="K213" s="690" t="e">
        <f t="shared" si="2"/>
        <v>#DIV/0!</v>
      </c>
      <c r="L213" s="690" t="e">
        <f t="shared" si="2"/>
        <v>#DIV/0!</v>
      </c>
      <c r="M213" s="690" t="e">
        <f t="shared" si="2"/>
        <v>#DIV/0!</v>
      </c>
      <c r="N213" s="690" t="e">
        <f t="shared" si="2"/>
        <v>#DIV/0!</v>
      </c>
      <c r="O213" s="690" t="e">
        <f t="shared" si="2"/>
        <v>#DIV/0!</v>
      </c>
      <c r="P213" s="690" t="e">
        <f t="shared" si="2"/>
        <v>#DIV/0!</v>
      </c>
      <c r="Q213" s="690" t="e">
        <f t="shared" si="2"/>
        <v>#DIV/0!</v>
      </c>
      <c r="R213" s="690" t="e">
        <f t="shared" si="2"/>
        <v>#DIV/0!</v>
      </c>
      <c r="S213" s="690" t="e">
        <f t="shared" si="2"/>
        <v>#DIV/0!</v>
      </c>
      <c r="T213" s="690" t="e">
        <f t="shared" si="2"/>
        <v>#DIV/0!</v>
      </c>
      <c r="U213" s="690" t="e">
        <f t="shared" si="2"/>
        <v>#DIV/0!</v>
      </c>
      <c r="V213" s="690" t="e">
        <f t="shared" si="2"/>
        <v>#DIV/0!</v>
      </c>
      <c r="W213" s="690" t="e">
        <f t="shared" si="2"/>
        <v>#DIV/0!</v>
      </c>
      <c r="X213" s="690" t="e">
        <f t="shared" si="2"/>
        <v>#DIV/0!</v>
      </c>
      <c r="Y213" s="690" t="e">
        <f t="shared" si="2"/>
        <v>#DIV/0!</v>
      </c>
      <c r="Z213" s="690" t="e">
        <f t="shared" si="2"/>
        <v>#DIV/0!</v>
      </c>
      <c r="AA213" s="690" t="e">
        <f t="shared" si="2"/>
        <v>#DIV/0!</v>
      </c>
      <c r="AB213" s="690" t="e">
        <f t="shared" si="2"/>
        <v>#DIV/0!</v>
      </c>
      <c r="AC213" s="690" t="e">
        <f t="shared" si="2"/>
        <v>#DIV/0!</v>
      </c>
      <c r="AD213" s="690" t="e">
        <f t="shared" si="2"/>
        <v>#DIV/0!</v>
      </c>
      <c r="AE213" s="690" t="e">
        <f t="shared" si="2"/>
        <v>#DIV/0!</v>
      </c>
      <c r="AF213" s="690" t="e">
        <f t="shared" si="2"/>
        <v>#DIV/0!</v>
      </c>
      <c r="AG213" s="690" t="e">
        <f t="shared" si="2"/>
        <v>#DIV/0!</v>
      </c>
      <c r="AH213" s="690" t="e">
        <f t="shared" si="2"/>
        <v>#DIV/0!</v>
      </c>
      <c r="AI213" s="690" t="e">
        <f t="shared" si="2"/>
        <v>#DIV/0!</v>
      </c>
      <c r="AJ213" s="690" t="e">
        <f t="shared" si="2"/>
        <v>#DIV/0!</v>
      </c>
      <c r="AK213" s="690">
        <f t="shared" si="2"/>
        <v>7.2323230895366262</v>
      </c>
      <c r="AL213" s="690" t="e">
        <f t="shared" si="2"/>
        <v>#DIV/0!</v>
      </c>
      <c r="AM213" s="690" t="e">
        <f t="shared" si="2"/>
        <v>#DIV/0!</v>
      </c>
      <c r="AN213" s="690" t="e">
        <f t="shared" si="2"/>
        <v>#DIV/0!</v>
      </c>
      <c r="AO213" s="690" t="e">
        <f t="shared" si="2"/>
        <v>#DIV/0!</v>
      </c>
      <c r="AP213" s="690" t="e">
        <f t="shared" si="2"/>
        <v>#DIV/0!</v>
      </c>
      <c r="AQ213" s="690" t="e">
        <f t="shared" si="2"/>
        <v>#DIV/0!</v>
      </c>
      <c r="AR213" s="690" t="e">
        <f t="shared" si="2"/>
        <v>#DIV/0!</v>
      </c>
      <c r="AS213" s="690" t="e">
        <f t="shared" si="2"/>
        <v>#DIV/0!</v>
      </c>
      <c r="AT213" s="690" t="e">
        <f t="shared" si="2"/>
        <v>#DIV/0!</v>
      </c>
      <c r="AU213" s="690" t="e">
        <f t="shared" si="2"/>
        <v>#DIV/0!</v>
      </c>
      <c r="AV213" s="690" t="e">
        <f t="shared" si="2"/>
        <v>#DIV/0!</v>
      </c>
      <c r="AW213" s="690" t="e">
        <f t="shared" si="2"/>
        <v>#DIV/0!</v>
      </c>
      <c r="AX213" s="690" t="e">
        <f t="shared" si="2"/>
        <v>#DIV/0!</v>
      </c>
      <c r="AY213" s="690" t="e">
        <f t="shared" si="2"/>
        <v>#DIV/0!</v>
      </c>
      <c r="AZ213" s="690" t="e">
        <f t="shared" si="2"/>
        <v>#DIV/0!</v>
      </c>
      <c r="BA213" s="690" t="e">
        <f t="shared" si="2"/>
        <v>#DIV/0!</v>
      </c>
      <c r="BB213" s="690" t="e">
        <f t="shared" si="2"/>
        <v>#DIV/0!</v>
      </c>
    </row>
    <row r="214" spans="1:54" s="594" customFormat="1" x14ac:dyDescent="0.25">
      <c r="A214" s="594" t="s">
        <v>996</v>
      </c>
      <c r="C214" s="594" t="s">
        <v>765</v>
      </c>
      <c r="F214" s="689">
        <f>+F60+F32</f>
        <v>374521</v>
      </c>
      <c r="G214" s="689">
        <f t="shared" ref="G214:BB214" si="3">+G60+G32</f>
        <v>508233</v>
      </c>
      <c r="H214" s="689">
        <f t="shared" si="3"/>
        <v>2435699</v>
      </c>
      <c r="I214" s="689">
        <f t="shared" si="3"/>
        <v>758965</v>
      </c>
      <c r="J214" s="689">
        <f t="shared" si="3"/>
        <v>7841626</v>
      </c>
      <c r="K214" s="689">
        <f t="shared" si="3"/>
        <v>2646491</v>
      </c>
      <c r="L214" s="689">
        <f t="shared" si="3"/>
        <v>21955772</v>
      </c>
      <c r="M214" s="689">
        <f t="shared" si="3"/>
        <v>1592100</v>
      </c>
      <c r="N214" s="689">
        <f t="shared" si="3"/>
        <v>0</v>
      </c>
      <c r="O214" s="689">
        <f t="shared" si="3"/>
        <v>931217</v>
      </c>
      <c r="P214" s="689">
        <f t="shared" si="3"/>
        <v>1061054</v>
      </c>
      <c r="Q214" s="689">
        <f t="shared" si="3"/>
        <v>0</v>
      </c>
      <c r="R214" s="689">
        <f t="shared" si="3"/>
        <v>216054</v>
      </c>
      <c r="S214" s="689">
        <f t="shared" si="3"/>
        <v>136892</v>
      </c>
      <c r="T214" s="689">
        <f t="shared" si="3"/>
        <v>105380</v>
      </c>
      <c r="U214" s="689">
        <f t="shared" si="3"/>
        <v>11422</v>
      </c>
      <c r="V214" s="689">
        <f t="shared" si="3"/>
        <v>12346356</v>
      </c>
      <c r="W214" s="689">
        <f t="shared" si="3"/>
        <v>940936</v>
      </c>
      <c r="X214" s="689">
        <f t="shared" si="3"/>
        <v>41882</v>
      </c>
      <c r="Y214" s="689">
        <f t="shared" si="3"/>
        <v>100483</v>
      </c>
      <c r="Z214" s="689">
        <f t="shared" si="3"/>
        <v>1036484</v>
      </c>
      <c r="AA214" s="689">
        <f t="shared" si="3"/>
        <v>237956</v>
      </c>
      <c r="AB214" s="689">
        <f t="shared" si="3"/>
        <v>797365</v>
      </c>
      <c r="AC214" s="689">
        <f t="shared" si="3"/>
        <v>0</v>
      </c>
      <c r="AD214" s="689">
        <f t="shared" si="3"/>
        <v>5166198</v>
      </c>
      <c r="AE214" s="689">
        <f t="shared" si="3"/>
        <v>335606</v>
      </c>
      <c r="AF214" s="689">
        <f t="shared" si="3"/>
        <v>116575</v>
      </c>
      <c r="AG214" s="689">
        <f t="shared" si="3"/>
        <v>5494429</v>
      </c>
      <c r="AH214" s="689">
        <f t="shared" si="3"/>
        <v>6976061</v>
      </c>
      <c r="AI214" s="689">
        <f t="shared" si="3"/>
        <v>2080454</v>
      </c>
      <c r="AJ214" s="689">
        <f t="shared" si="3"/>
        <v>24875674</v>
      </c>
      <c r="AK214" s="689">
        <f t="shared" si="3"/>
        <v>9668</v>
      </c>
      <c r="AL214" s="689">
        <f t="shared" si="3"/>
        <v>827106</v>
      </c>
      <c r="AM214" s="689">
        <f t="shared" si="3"/>
        <v>254363</v>
      </c>
      <c r="AN214" s="689">
        <f t="shared" si="3"/>
        <v>0</v>
      </c>
      <c r="AO214" s="689">
        <f t="shared" si="3"/>
        <v>3303323</v>
      </c>
      <c r="AP214" s="689">
        <f t="shared" si="3"/>
        <v>486567</v>
      </c>
      <c r="AQ214" s="689">
        <f t="shared" si="3"/>
        <v>420719</v>
      </c>
      <c r="AR214" s="689">
        <f t="shared" si="3"/>
        <v>0</v>
      </c>
      <c r="AS214" s="689">
        <f t="shared" si="3"/>
        <v>141707</v>
      </c>
      <c r="AT214" s="689">
        <f t="shared" si="3"/>
        <v>372757</v>
      </c>
      <c r="AU214" s="689">
        <f t="shared" si="3"/>
        <v>0</v>
      </c>
      <c r="AV214" s="689">
        <f t="shared" si="3"/>
        <v>0</v>
      </c>
      <c r="AW214" s="689">
        <f t="shared" si="3"/>
        <v>642472</v>
      </c>
      <c r="AX214" s="689">
        <f t="shared" si="3"/>
        <v>0</v>
      </c>
      <c r="AY214" s="689">
        <f t="shared" si="3"/>
        <v>11638</v>
      </c>
      <c r="AZ214" s="689">
        <f t="shared" si="3"/>
        <v>2625</v>
      </c>
      <c r="BA214" s="689">
        <f t="shared" si="3"/>
        <v>0</v>
      </c>
      <c r="BB214" s="689">
        <f t="shared" si="3"/>
        <v>441043</v>
      </c>
    </row>
    <row r="215" spans="1:54" s="594" customFormat="1" x14ac:dyDescent="0.25">
      <c r="A215" s="594" t="s">
        <v>1005</v>
      </c>
      <c r="C215" s="594" t="s">
        <v>763</v>
      </c>
      <c r="F215" s="689">
        <f>+F40+F38</f>
        <v>0</v>
      </c>
      <c r="G215" s="689">
        <f t="shared" ref="G215:BB215" si="4">+G40+G38</f>
        <v>0</v>
      </c>
      <c r="H215" s="689">
        <f t="shared" si="4"/>
        <v>0</v>
      </c>
      <c r="I215" s="689">
        <f t="shared" si="4"/>
        <v>0</v>
      </c>
      <c r="J215" s="689">
        <f t="shared" si="4"/>
        <v>0</v>
      </c>
      <c r="K215" s="689">
        <f t="shared" si="4"/>
        <v>0</v>
      </c>
      <c r="L215" s="689">
        <f t="shared" si="4"/>
        <v>0</v>
      </c>
      <c r="M215" s="689">
        <f t="shared" si="4"/>
        <v>0</v>
      </c>
      <c r="N215" s="689">
        <f t="shared" si="4"/>
        <v>0</v>
      </c>
      <c r="O215" s="689">
        <f t="shared" si="4"/>
        <v>0</v>
      </c>
      <c r="P215" s="689">
        <f t="shared" si="4"/>
        <v>0</v>
      </c>
      <c r="Q215" s="689">
        <f t="shared" si="4"/>
        <v>0</v>
      </c>
      <c r="R215" s="689">
        <f t="shared" si="4"/>
        <v>0</v>
      </c>
      <c r="S215" s="689">
        <f t="shared" si="4"/>
        <v>0</v>
      </c>
      <c r="T215" s="689">
        <f t="shared" si="4"/>
        <v>0</v>
      </c>
      <c r="U215" s="689">
        <f t="shared" si="4"/>
        <v>0</v>
      </c>
      <c r="V215" s="689">
        <f t="shared" si="4"/>
        <v>3005267</v>
      </c>
      <c r="W215" s="689">
        <f t="shared" si="4"/>
        <v>0</v>
      </c>
      <c r="X215" s="689">
        <f t="shared" si="4"/>
        <v>0</v>
      </c>
      <c r="Y215" s="689">
        <f t="shared" si="4"/>
        <v>0</v>
      </c>
      <c r="Z215" s="689">
        <f t="shared" si="4"/>
        <v>0</v>
      </c>
      <c r="AA215" s="689">
        <f t="shared" si="4"/>
        <v>0</v>
      </c>
      <c r="AB215" s="689">
        <f t="shared" si="4"/>
        <v>0</v>
      </c>
      <c r="AC215" s="689">
        <f t="shared" si="4"/>
        <v>0</v>
      </c>
      <c r="AD215" s="689">
        <f t="shared" si="4"/>
        <v>0</v>
      </c>
      <c r="AE215" s="689">
        <f t="shared" si="4"/>
        <v>0</v>
      </c>
      <c r="AF215" s="689">
        <f t="shared" si="4"/>
        <v>0</v>
      </c>
      <c r="AG215" s="689">
        <f t="shared" si="4"/>
        <v>0</v>
      </c>
      <c r="AH215" s="689">
        <f t="shared" si="4"/>
        <v>0</v>
      </c>
      <c r="AI215" s="689">
        <f t="shared" si="4"/>
        <v>0</v>
      </c>
      <c r="AJ215" s="689">
        <f t="shared" si="4"/>
        <v>6551769</v>
      </c>
      <c r="AK215" s="689">
        <f t="shared" si="4"/>
        <v>0</v>
      </c>
      <c r="AL215" s="689">
        <f t="shared" si="4"/>
        <v>0</v>
      </c>
      <c r="AM215" s="689">
        <f t="shared" si="4"/>
        <v>0</v>
      </c>
      <c r="AN215" s="689">
        <f t="shared" si="4"/>
        <v>0</v>
      </c>
      <c r="AO215" s="689">
        <f t="shared" si="4"/>
        <v>0</v>
      </c>
      <c r="AP215" s="689">
        <f t="shared" si="4"/>
        <v>0</v>
      </c>
      <c r="AQ215" s="689">
        <f t="shared" si="4"/>
        <v>0</v>
      </c>
      <c r="AR215" s="689">
        <f t="shared" si="4"/>
        <v>0</v>
      </c>
      <c r="AS215" s="689">
        <f t="shared" si="4"/>
        <v>0</v>
      </c>
      <c r="AT215" s="689">
        <f t="shared" si="4"/>
        <v>0</v>
      </c>
      <c r="AU215" s="689">
        <f t="shared" si="4"/>
        <v>0</v>
      </c>
      <c r="AV215" s="689">
        <f t="shared" si="4"/>
        <v>0</v>
      </c>
      <c r="AW215" s="689">
        <f t="shared" si="4"/>
        <v>0</v>
      </c>
      <c r="AX215" s="689">
        <f t="shared" si="4"/>
        <v>0</v>
      </c>
      <c r="AY215" s="689">
        <f t="shared" si="4"/>
        <v>0</v>
      </c>
      <c r="AZ215" s="689">
        <f t="shared" si="4"/>
        <v>0</v>
      </c>
      <c r="BA215" s="689">
        <f t="shared" si="4"/>
        <v>0</v>
      </c>
      <c r="BB215" s="689">
        <f t="shared" si="4"/>
        <v>0</v>
      </c>
    </row>
    <row r="216" spans="1:54" s="594" customFormat="1" x14ac:dyDescent="0.25">
      <c r="A216" s="594" t="s">
        <v>997</v>
      </c>
      <c r="C216" s="594" t="s">
        <v>998</v>
      </c>
      <c r="F216" s="689">
        <f>+F14-F117</f>
        <v>1626013</v>
      </c>
      <c r="G216" s="689">
        <f t="shared" ref="G216:BB216" si="5">+G14-G117</f>
        <v>4669653</v>
      </c>
      <c r="H216" s="689">
        <f t="shared" si="5"/>
        <v>10366876</v>
      </c>
      <c r="I216" s="689">
        <f t="shared" si="5"/>
        <v>8815124</v>
      </c>
      <c r="J216" s="689">
        <f t="shared" si="5"/>
        <v>76928190</v>
      </c>
      <c r="K216" s="689">
        <f t="shared" si="5"/>
        <v>17519086</v>
      </c>
      <c r="L216" s="689">
        <f t="shared" si="5"/>
        <v>144143625</v>
      </c>
      <c r="M216" s="689">
        <f t="shared" si="5"/>
        <v>6124524</v>
      </c>
      <c r="N216" s="689">
        <f t="shared" si="5"/>
        <v>0</v>
      </c>
      <c r="O216" s="689">
        <f t="shared" si="5"/>
        <v>2741987</v>
      </c>
      <c r="P216" s="689">
        <f t="shared" si="5"/>
        <v>4070580</v>
      </c>
      <c r="Q216" s="689">
        <f t="shared" si="5"/>
        <v>207767</v>
      </c>
      <c r="R216" s="689">
        <f t="shared" si="5"/>
        <v>1393367</v>
      </c>
      <c r="S216" s="689">
        <f t="shared" si="5"/>
        <v>344953</v>
      </c>
      <c r="T216" s="689">
        <f t="shared" si="5"/>
        <v>6980987</v>
      </c>
      <c r="U216" s="689">
        <f t="shared" si="5"/>
        <v>368710</v>
      </c>
      <c r="V216" s="689">
        <f t="shared" si="5"/>
        <v>18459894</v>
      </c>
      <c r="W216" s="689">
        <f t="shared" si="5"/>
        <v>2930401</v>
      </c>
      <c r="X216" s="689">
        <f t="shared" si="5"/>
        <v>855917</v>
      </c>
      <c r="Y216" s="689">
        <f t="shared" si="5"/>
        <v>2884724</v>
      </c>
      <c r="Z216" s="689">
        <f t="shared" si="5"/>
        <v>3737988</v>
      </c>
      <c r="AA216" s="689">
        <f t="shared" si="5"/>
        <v>1512420</v>
      </c>
      <c r="AB216" s="689">
        <f t="shared" si="5"/>
        <v>2193628</v>
      </c>
      <c r="AC216" s="689">
        <f t="shared" si="5"/>
        <v>1521305</v>
      </c>
      <c r="AD216" s="689">
        <f t="shared" si="5"/>
        <v>9670306</v>
      </c>
      <c r="AE216" s="689">
        <f t="shared" si="5"/>
        <v>1889937</v>
      </c>
      <c r="AF216" s="689">
        <f t="shared" si="5"/>
        <v>755524</v>
      </c>
      <c r="AG216" s="689">
        <f t="shared" si="5"/>
        <v>44760712</v>
      </c>
      <c r="AH216" s="689">
        <f t="shared" si="5"/>
        <v>22990539</v>
      </c>
      <c r="AI216" s="689">
        <f t="shared" si="5"/>
        <v>14475159</v>
      </c>
      <c r="AJ216" s="689">
        <f t="shared" si="5"/>
        <v>56192616</v>
      </c>
      <c r="AK216" s="689">
        <f t="shared" si="5"/>
        <v>356472</v>
      </c>
      <c r="AL216" s="689">
        <f t="shared" si="5"/>
        <v>13088221</v>
      </c>
      <c r="AM216" s="689">
        <f t="shared" si="5"/>
        <v>506494</v>
      </c>
      <c r="AN216" s="689">
        <f t="shared" si="5"/>
        <v>1524492</v>
      </c>
      <c r="AO216" s="689">
        <f t="shared" si="5"/>
        <v>29215850</v>
      </c>
      <c r="AP216" s="689">
        <f t="shared" si="5"/>
        <v>3087129</v>
      </c>
      <c r="AQ216" s="689">
        <f t="shared" si="5"/>
        <v>6093007</v>
      </c>
      <c r="AR216" s="689">
        <f t="shared" si="5"/>
        <v>2045010</v>
      </c>
      <c r="AS216" s="689">
        <f t="shared" si="5"/>
        <v>1314116</v>
      </c>
      <c r="AT216" s="689">
        <f t="shared" si="5"/>
        <v>95631</v>
      </c>
      <c r="AU216" s="689">
        <f t="shared" si="5"/>
        <v>133247</v>
      </c>
      <c r="AV216" s="689">
        <f t="shared" si="5"/>
        <v>192311</v>
      </c>
      <c r="AW216" s="689">
        <f t="shared" si="5"/>
        <v>13821079</v>
      </c>
      <c r="AX216" s="689">
        <f t="shared" si="5"/>
        <v>0</v>
      </c>
      <c r="AY216" s="689">
        <f t="shared" si="5"/>
        <v>40792</v>
      </c>
      <c r="AZ216" s="689">
        <f t="shared" si="5"/>
        <v>29099</v>
      </c>
      <c r="BA216" s="689">
        <f t="shared" si="5"/>
        <v>1212679</v>
      </c>
      <c r="BB216" s="689">
        <f t="shared" si="5"/>
        <v>2141764</v>
      </c>
    </row>
    <row r="217" spans="1:54" s="594" customFormat="1" x14ac:dyDescent="0.25">
      <c r="A217" s="594" t="s">
        <v>999</v>
      </c>
      <c r="C217" s="594" t="s">
        <v>766</v>
      </c>
      <c r="F217" s="691">
        <f>+F26*365/F31</f>
        <v>68.39909166344674</v>
      </c>
      <c r="G217" s="691">
        <f t="shared" ref="G217:BB217" si="6">+G26*365/G31</f>
        <v>42.782762350331922</v>
      </c>
      <c r="H217" s="691">
        <f t="shared" si="6"/>
        <v>51.009712709046774</v>
      </c>
      <c r="I217" s="691">
        <f t="shared" si="6"/>
        <v>113.55125031280089</v>
      </c>
      <c r="J217" s="691">
        <f t="shared" si="6"/>
        <v>61.7876701634545</v>
      </c>
      <c r="K217" s="691">
        <f t="shared" si="6"/>
        <v>32.825748281776093</v>
      </c>
      <c r="L217" s="691">
        <f t="shared" si="6"/>
        <v>76.134477996217555</v>
      </c>
      <c r="M217" s="691">
        <f t="shared" si="6"/>
        <v>41.678102220265338</v>
      </c>
      <c r="N217" s="691" t="e">
        <f t="shared" si="6"/>
        <v>#DIV/0!</v>
      </c>
      <c r="O217" s="691">
        <f t="shared" si="6"/>
        <v>7.7519329001833599</v>
      </c>
      <c r="P217" s="691">
        <f t="shared" si="6"/>
        <v>48.891315504259886</v>
      </c>
      <c r="Q217" s="691">
        <f t="shared" si="6"/>
        <v>122.3082319020067</v>
      </c>
      <c r="R217" s="691">
        <f t="shared" si="6"/>
        <v>34.207848126554197</v>
      </c>
      <c r="S217" s="691">
        <f t="shared" si="6"/>
        <v>48.304474964646104</v>
      </c>
      <c r="T217" s="691">
        <f t="shared" si="6"/>
        <v>49.947480172965427</v>
      </c>
      <c r="U217" s="691">
        <f t="shared" si="6"/>
        <v>96.545496188800939</v>
      </c>
      <c r="V217" s="691">
        <f t="shared" si="6"/>
        <v>40.907569177675221</v>
      </c>
      <c r="W217" s="691">
        <f t="shared" si="6"/>
        <v>61.994698789234718</v>
      </c>
      <c r="X217" s="691">
        <f t="shared" si="6"/>
        <v>36.014364438670832</v>
      </c>
      <c r="Y217" s="691">
        <f t="shared" si="6"/>
        <v>62.258552375985808</v>
      </c>
      <c r="Z217" s="691">
        <f t="shared" si="6"/>
        <v>35.906334718670458</v>
      </c>
      <c r="AA217" s="691">
        <f t="shared" si="6"/>
        <v>39.996015895728362</v>
      </c>
      <c r="AB217" s="691">
        <f t="shared" si="6"/>
        <v>0.21165857241760733</v>
      </c>
      <c r="AC217" s="691">
        <f t="shared" si="6"/>
        <v>38.052588981265089</v>
      </c>
      <c r="AD217" s="691">
        <f t="shared" si="6"/>
        <v>1.1314758626055159</v>
      </c>
      <c r="AE217" s="691">
        <f t="shared" si="6"/>
        <v>57.209288205384851</v>
      </c>
      <c r="AF217" s="691">
        <f t="shared" si="6"/>
        <v>42.235690315577493</v>
      </c>
      <c r="AG217" s="691">
        <f t="shared" si="6"/>
        <v>54.04558331943042</v>
      </c>
      <c r="AH217" s="691">
        <f t="shared" si="6"/>
        <v>51.781925577332913</v>
      </c>
      <c r="AI217" s="691">
        <f t="shared" si="6"/>
        <v>21.779653904795804</v>
      </c>
      <c r="AJ217" s="691">
        <f t="shared" si="6"/>
        <v>83.430080641564274</v>
      </c>
      <c r="AK217" s="691">
        <f t="shared" si="6"/>
        <v>30.432890462105416</v>
      </c>
      <c r="AL217" s="691">
        <f t="shared" si="6"/>
        <v>23.95619074246958</v>
      </c>
      <c r="AM217" s="691">
        <f t="shared" si="6"/>
        <v>46.318924997287716</v>
      </c>
      <c r="AN217" s="691">
        <f t="shared" si="6"/>
        <v>50.176013812342653</v>
      </c>
      <c r="AO217" s="691">
        <f t="shared" si="6"/>
        <v>44.302718537475684</v>
      </c>
      <c r="AP217" s="691">
        <f t="shared" si="6"/>
        <v>34.284477669241831</v>
      </c>
      <c r="AQ217" s="691">
        <f t="shared" si="6"/>
        <v>84.320001597372723</v>
      </c>
      <c r="AR217" s="691">
        <f t="shared" si="6"/>
        <v>39.619883017224673</v>
      </c>
      <c r="AS217" s="691">
        <f t="shared" si="6"/>
        <v>53.99667525210382</v>
      </c>
      <c r="AT217" s="691">
        <f t="shared" si="6"/>
        <v>65.930976567893339</v>
      </c>
      <c r="AU217" s="691">
        <f t="shared" si="6"/>
        <v>15.212142020438664</v>
      </c>
      <c r="AV217" s="691">
        <f t="shared" si="6"/>
        <v>71.609835212865093</v>
      </c>
      <c r="AW217" s="691">
        <f t="shared" si="6"/>
        <v>66.01274334620976</v>
      </c>
      <c r="AX217" s="691" t="e">
        <f t="shared" si="6"/>
        <v>#DIV/0!</v>
      </c>
      <c r="AY217" s="691" t="e">
        <f t="shared" si="6"/>
        <v>#DIV/0!</v>
      </c>
      <c r="AZ217" s="691">
        <f t="shared" si="6"/>
        <v>7.6491686521661162</v>
      </c>
      <c r="BA217" s="691">
        <f t="shared" si="6"/>
        <v>65.324274338487584</v>
      </c>
      <c r="BB217" s="691">
        <f t="shared" si="6"/>
        <v>105.41651181252523</v>
      </c>
    </row>
    <row r="218" spans="1:54" s="594" customFormat="1" x14ac:dyDescent="0.25">
      <c r="A218" s="594" t="s">
        <v>1000</v>
      </c>
      <c r="C218" s="594" t="s">
        <v>767</v>
      </c>
      <c r="F218" s="112" t="e">
        <f>+F34*365/F37</f>
        <v>#DIV/0!</v>
      </c>
      <c r="G218" s="112" t="e">
        <f t="shared" ref="G218:BB218" si="7">+G34*365/G37</f>
        <v>#DIV/0!</v>
      </c>
      <c r="H218" s="112" t="e">
        <f t="shared" si="7"/>
        <v>#DIV/0!</v>
      </c>
      <c r="I218" s="112" t="e">
        <f t="shared" si="7"/>
        <v>#DIV/0!</v>
      </c>
      <c r="J218" s="112" t="e">
        <f t="shared" si="7"/>
        <v>#DIV/0!</v>
      </c>
      <c r="K218" s="112" t="e">
        <f t="shared" si="7"/>
        <v>#DIV/0!</v>
      </c>
      <c r="L218" s="112" t="e">
        <f t="shared" si="7"/>
        <v>#DIV/0!</v>
      </c>
      <c r="M218" s="112" t="e">
        <f t="shared" si="7"/>
        <v>#DIV/0!</v>
      </c>
      <c r="N218" s="112" t="e">
        <f t="shared" si="7"/>
        <v>#DIV/0!</v>
      </c>
      <c r="O218" s="112" t="e">
        <f t="shared" si="7"/>
        <v>#DIV/0!</v>
      </c>
      <c r="P218" s="112" t="e">
        <f t="shared" si="7"/>
        <v>#DIV/0!</v>
      </c>
      <c r="Q218" s="112" t="e">
        <f t="shared" si="7"/>
        <v>#DIV/0!</v>
      </c>
      <c r="R218" s="112" t="e">
        <f t="shared" si="7"/>
        <v>#DIV/0!</v>
      </c>
      <c r="S218" s="112" t="e">
        <f t="shared" si="7"/>
        <v>#DIV/0!</v>
      </c>
      <c r="T218" s="112" t="e">
        <f t="shared" si="7"/>
        <v>#DIV/0!</v>
      </c>
      <c r="U218" s="112" t="e">
        <f t="shared" si="7"/>
        <v>#DIV/0!</v>
      </c>
      <c r="V218" s="112">
        <f t="shared" si="7"/>
        <v>43.21184237913711</v>
      </c>
      <c r="W218" s="112" t="e">
        <f t="shared" si="7"/>
        <v>#DIV/0!</v>
      </c>
      <c r="X218" s="112" t="e">
        <f t="shared" si="7"/>
        <v>#DIV/0!</v>
      </c>
      <c r="Y218" s="112" t="e">
        <f t="shared" si="7"/>
        <v>#DIV/0!</v>
      </c>
      <c r="Z218" s="112" t="e">
        <f t="shared" si="7"/>
        <v>#DIV/0!</v>
      </c>
      <c r="AA218" s="112" t="e">
        <f t="shared" si="7"/>
        <v>#DIV/0!</v>
      </c>
      <c r="AB218" s="112" t="e">
        <f t="shared" si="7"/>
        <v>#DIV/0!</v>
      </c>
      <c r="AC218" s="112" t="e">
        <f t="shared" si="7"/>
        <v>#DIV/0!</v>
      </c>
      <c r="AD218" s="112" t="e">
        <f t="shared" si="7"/>
        <v>#DIV/0!</v>
      </c>
      <c r="AE218" s="112" t="e">
        <f t="shared" si="7"/>
        <v>#DIV/0!</v>
      </c>
      <c r="AF218" s="112" t="e">
        <f t="shared" si="7"/>
        <v>#DIV/0!</v>
      </c>
      <c r="AG218" s="112" t="e">
        <f t="shared" si="7"/>
        <v>#DIV/0!</v>
      </c>
      <c r="AH218" s="112" t="e">
        <f t="shared" si="7"/>
        <v>#DIV/0!</v>
      </c>
      <c r="AI218" s="112" t="e">
        <f t="shared" si="7"/>
        <v>#DIV/0!</v>
      </c>
      <c r="AJ218" s="112">
        <f t="shared" si="7"/>
        <v>58.449110227517124</v>
      </c>
      <c r="AK218" s="112" t="e">
        <f t="shared" si="7"/>
        <v>#DIV/0!</v>
      </c>
      <c r="AL218" s="112" t="e">
        <f t="shared" si="7"/>
        <v>#DIV/0!</v>
      </c>
      <c r="AM218" s="112" t="e">
        <f t="shared" si="7"/>
        <v>#DIV/0!</v>
      </c>
      <c r="AN218" s="112" t="e">
        <f t="shared" si="7"/>
        <v>#DIV/0!</v>
      </c>
      <c r="AO218" s="112" t="e">
        <f t="shared" si="7"/>
        <v>#DIV/0!</v>
      </c>
      <c r="AP218" s="112" t="e">
        <f t="shared" si="7"/>
        <v>#DIV/0!</v>
      </c>
      <c r="AQ218" s="112" t="e">
        <f t="shared" si="7"/>
        <v>#DIV/0!</v>
      </c>
      <c r="AR218" s="112" t="e">
        <f t="shared" si="7"/>
        <v>#DIV/0!</v>
      </c>
      <c r="AS218" s="112" t="e">
        <f t="shared" si="7"/>
        <v>#DIV/0!</v>
      </c>
      <c r="AT218" s="112" t="e">
        <f t="shared" si="7"/>
        <v>#DIV/0!</v>
      </c>
      <c r="AU218" s="112" t="e">
        <f t="shared" si="7"/>
        <v>#DIV/0!</v>
      </c>
      <c r="AV218" s="112" t="e">
        <f t="shared" si="7"/>
        <v>#DIV/0!</v>
      </c>
      <c r="AW218" s="112" t="e">
        <f t="shared" si="7"/>
        <v>#DIV/0!</v>
      </c>
      <c r="AX218" s="112" t="e">
        <f t="shared" si="7"/>
        <v>#DIV/0!</v>
      </c>
      <c r="AY218" s="112" t="e">
        <f t="shared" si="7"/>
        <v>#DIV/0!</v>
      </c>
      <c r="AZ218" s="112" t="e">
        <f t="shared" si="7"/>
        <v>#DIV/0!</v>
      </c>
      <c r="BA218" s="112" t="e">
        <f t="shared" si="7"/>
        <v>#DIV/0!</v>
      </c>
      <c r="BB218" s="112" t="e">
        <f t="shared" si="7"/>
        <v>#DIV/0!</v>
      </c>
    </row>
    <row r="219" spans="1:54" x14ac:dyDescent="0.25">
      <c r="A219" t="s">
        <v>1002</v>
      </c>
      <c r="C219" t="s">
        <v>1003</v>
      </c>
      <c r="F219" s="603">
        <f>+F16-F118</f>
        <v>0</v>
      </c>
      <c r="G219" s="603">
        <f t="shared" ref="G219:BB219" si="8">+G16-G118</f>
        <v>0</v>
      </c>
      <c r="H219" s="603">
        <f t="shared" si="8"/>
        <v>0</v>
      </c>
      <c r="I219" s="603">
        <f t="shared" si="8"/>
        <v>0</v>
      </c>
      <c r="J219" s="603">
        <f t="shared" si="8"/>
        <v>0</v>
      </c>
      <c r="K219" s="603">
        <f t="shared" si="8"/>
        <v>0</v>
      </c>
      <c r="L219" s="603">
        <f t="shared" si="8"/>
        <v>0</v>
      </c>
      <c r="M219" s="603">
        <f t="shared" si="8"/>
        <v>0</v>
      </c>
      <c r="N219" s="603">
        <f t="shared" si="8"/>
        <v>0</v>
      </c>
      <c r="O219" s="603">
        <f t="shared" si="8"/>
        <v>0</v>
      </c>
      <c r="P219" s="603">
        <f t="shared" si="8"/>
        <v>0</v>
      </c>
      <c r="Q219" s="603">
        <f t="shared" si="8"/>
        <v>0</v>
      </c>
      <c r="R219" s="603">
        <f t="shared" si="8"/>
        <v>0</v>
      </c>
      <c r="S219" s="603">
        <f t="shared" si="8"/>
        <v>0</v>
      </c>
      <c r="T219" s="603">
        <f t="shared" si="8"/>
        <v>0</v>
      </c>
      <c r="U219" s="603">
        <f t="shared" si="8"/>
        <v>0</v>
      </c>
      <c r="V219" s="603">
        <f t="shared" si="8"/>
        <v>71377092</v>
      </c>
      <c r="W219" s="603">
        <f t="shared" si="8"/>
        <v>0</v>
      </c>
      <c r="X219" s="603">
        <f t="shared" si="8"/>
        <v>0</v>
      </c>
      <c r="Y219" s="603">
        <f t="shared" si="8"/>
        <v>0</v>
      </c>
      <c r="Z219" s="603">
        <f t="shared" si="8"/>
        <v>0</v>
      </c>
      <c r="AA219" s="603">
        <f t="shared" si="8"/>
        <v>0</v>
      </c>
      <c r="AB219" s="603">
        <f t="shared" si="8"/>
        <v>0</v>
      </c>
      <c r="AC219" s="603">
        <f t="shared" si="8"/>
        <v>0</v>
      </c>
      <c r="AD219" s="603">
        <f t="shared" si="8"/>
        <v>0</v>
      </c>
      <c r="AE219" s="603">
        <f t="shared" si="8"/>
        <v>0</v>
      </c>
      <c r="AF219" s="603">
        <f t="shared" si="8"/>
        <v>0</v>
      </c>
      <c r="AG219" s="603">
        <f t="shared" si="8"/>
        <v>0</v>
      </c>
      <c r="AH219" s="603">
        <f t="shared" si="8"/>
        <v>0</v>
      </c>
      <c r="AI219" s="603">
        <f t="shared" si="8"/>
        <v>0</v>
      </c>
      <c r="AJ219" s="603">
        <f t="shared" si="8"/>
        <v>114730578</v>
      </c>
      <c r="AK219" s="603">
        <f t="shared" si="8"/>
        <v>0</v>
      </c>
      <c r="AL219" s="603">
        <f t="shared" si="8"/>
        <v>0</v>
      </c>
      <c r="AM219" s="603">
        <f t="shared" si="8"/>
        <v>0</v>
      </c>
      <c r="AN219" s="603">
        <f t="shared" si="8"/>
        <v>0</v>
      </c>
      <c r="AO219" s="603">
        <f t="shared" si="8"/>
        <v>0</v>
      </c>
      <c r="AP219" s="603">
        <f t="shared" si="8"/>
        <v>0</v>
      </c>
      <c r="AQ219" s="603">
        <f t="shared" si="8"/>
        <v>0</v>
      </c>
      <c r="AR219" s="603">
        <f t="shared" si="8"/>
        <v>0</v>
      </c>
      <c r="AS219" s="603">
        <f t="shared" si="8"/>
        <v>0</v>
      </c>
      <c r="AT219" s="603">
        <f t="shared" si="8"/>
        <v>0</v>
      </c>
      <c r="AU219" s="603">
        <f t="shared" si="8"/>
        <v>0</v>
      </c>
      <c r="AV219" s="603">
        <f t="shared" si="8"/>
        <v>0</v>
      </c>
      <c r="AW219" s="603">
        <f t="shared" si="8"/>
        <v>0</v>
      </c>
      <c r="AX219" s="603">
        <f t="shared" si="8"/>
        <v>0</v>
      </c>
      <c r="AY219" s="603">
        <f t="shared" si="8"/>
        <v>0</v>
      </c>
      <c r="AZ219" s="603">
        <f t="shared" si="8"/>
        <v>0</v>
      </c>
      <c r="BA219" s="603">
        <f t="shared" si="8"/>
        <v>0</v>
      </c>
      <c r="BB219" s="603">
        <f t="shared" si="8"/>
        <v>0</v>
      </c>
    </row>
  </sheetData>
  <sheetProtection password="CEAA" sheet="1" objects="1" scenario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BTI405"/>
  <sheetViews>
    <sheetView zoomScaleNormal="100" workbookViewId="0">
      <pane ySplit="5" topLeftCell="A6" activePane="bottomLeft" state="frozen"/>
      <selection activeCell="K166" sqref="K166"/>
      <selection pane="bottomLeft" activeCell="D2" sqref="D2"/>
    </sheetView>
  </sheetViews>
  <sheetFormatPr defaultRowHeight="15" x14ac:dyDescent="0.25"/>
  <cols>
    <col min="1" max="1" width="8.5703125" style="23" customWidth="1"/>
    <col min="2" max="2" width="14.42578125" style="20" customWidth="1"/>
    <col min="3" max="3" width="15.42578125" style="20" customWidth="1"/>
    <col min="4" max="4" width="46.28515625" style="1" customWidth="1"/>
    <col min="5" max="5" width="17.140625" style="1" customWidth="1"/>
    <col min="6" max="6" width="21.5703125" style="1" customWidth="1"/>
    <col min="7" max="7" width="28.28515625" style="9" customWidth="1"/>
    <col min="8" max="8" width="17.140625" style="3" customWidth="1"/>
    <col min="9" max="9" width="24" style="1" customWidth="1"/>
    <col min="10" max="10" width="13.5703125" style="387" customWidth="1"/>
    <col min="11" max="11" width="11.7109375" style="387" hidden="1" customWidth="1"/>
    <col min="12" max="12" width="18.140625" style="387" hidden="1" customWidth="1"/>
    <col min="13" max="13" width="9.140625" style="387" hidden="1" customWidth="1"/>
    <col min="14" max="14" width="11.42578125" hidden="1" customWidth="1"/>
    <col min="15" max="15" width="9.140625" style="387" hidden="1" customWidth="1"/>
    <col min="16" max="16" width="9.140625" style="387"/>
    <col min="17" max="17" width="16.140625" style="387" customWidth="1"/>
    <col min="19" max="1881" width="9.140625" style="387"/>
    <col min="1882" max="16384" width="9.140625" style="1"/>
  </cols>
  <sheetData>
    <row r="1" spans="1:1881" ht="29.25" thickBot="1" x14ac:dyDescent="0.5">
      <c r="B1" s="30" t="s">
        <v>731</v>
      </c>
      <c r="C1" s="30"/>
      <c r="E1" s="32" t="s">
        <v>40</v>
      </c>
      <c r="F1" s="17">
        <v>2020</v>
      </c>
      <c r="G1" s="439" t="s">
        <v>149</v>
      </c>
      <c r="H1" s="440"/>
      <c r="I1" s="441"/>
      <c r="J1" s="370" t="s">
        <v>1057</v>
      </c>
      <c r="L1" s="576"/>
      <c r="M1" s="576" t="s">
        <v>74</v>
      </c>
      <c r="N1" s="594"/>
      <c r="O1" s="387">
        <v>1</v>
      </c>
      <c r="X1" s="682"/>
    </row>
    <row r="2" spans="1:1881" ht="44.25" customHeight="1" thickBot="1" x14ac:dyDescent="0.4">
      <c r="B2" s="876" t="s">
        <v>522</v>
      </c>
      <c r="C2" s="877"/>
      <c r="D2" s="240"/>
      <c r="E2" s="874" t="s">
        <v>554</v>
      </c>
      <c r="F2" s="874"/>
      <c r="G2" s="875"/>
      <c r="H2" s="13"/>
      <c r="L2" s="576"/>
      <c r="M2" s="576" t="s">
        <v>75</v>
      </c>
      <c r="N2" s="594">
        <v>50</v>
      </c>
      <c r="O2" s="387">
        <v>2</v>
      </c>
      <c r="X2" s="682"/>
    </row>
    <row r="3" spans="1:1881" ht="19.5" thickBot="1" x14ac:dyDescent="0.35">
      <c r="B3" s="21" t="s">
        <v>0</v>
      </c>
      <c r="C3" s="120"/>
      <c r="D3" s="184" t="e">
        <f>VLOOKUP(D2,'Unit Names(H)'!A1:B67,2,FALSE)</f>
        <v>#N/A</v>
      </c>
      <c r="E3" s="119"/>
      <c r="F3" s="53"/>
      <c r="G3" s="11"/>
      <c r="H3" s="13"/>
      <c r="L3" s="576"/>
      <c r="M3" s="576"/>
      <c r="N3" s="594">
        <v>51</v>
      </c>
      <c r="O3" s="576">
        <v>3</v>
      </c>
      <c r="X3" s="682"/>
    </row>
    <row r="4" spans="1:1881" ht="19.5" thickBot="1" x14ac:dyDescent="0.35">
      <c r="B4" s="29" t="s">
        <v>51</v>
      </c>
      <c r="C4" s="121"/>
      <c r="D4" s="28"/>
      <c r="E4" s="28"/>
      <c r="F4" s="38"/>
      <c r="G4" s="12"/>
      <c r="H4" s="13"/>
      <c r="I4" s="15"/>
      <c r="L4" s="576"/>
      <c r="M4" s="576" t="s">
        <v>596</v>
      </c>
      <c r="N4" s="594">
        <v>52</v>
      </c>
      <c r="O4" s="576">
        <v>4</v>
      </c>
      <c r="X4" s="682"/>
    </row>
    <row r="5" spans="1:1881" ht="37.5" customHeight="1" x14ac:dyDescent="0.35">
      <c r="A5" s="24" t="s">
        <v>721</v>
      </c>
      <c r="B5" s="19" t="s">
        <v>134</v>
      </c>
      <c r="C5" s="19" t="s">
        <v>151</v>
      </c>
      <c r="D5" s="6" t="s">
        <v>1</v>
      </c>
      <c r="E5" s="46">
        <v>2019</v>
      </c>
      <c r="F5" s="116">
        <v>2020</v>
      </c>
      <c r="G5" s="524" t="s">
        <v>12</v>
      </c>
      <c r="H5" s="245" t="s">
        <v>560</v>
      </c>
      <c r="I5" s="246" t="s">
        <v>14</v>
      </c>
      <c r="L5" s="576"/>
      <c r="M5" s="576" t="s">
        <v>908</v>
      </c>
      <c r="N5" s="594"/>
      <c r="X5" s="682"/>
    </row>
    <row r="6" spans="1:1881" ht="22.5" customHeight="1" x14ac:dyDescent="0.25">
      <c r="A6" s="25"/>
      <c r="B6" s="130" t="s">
        <v>150</v>
      </c>
      <c r="C6" s="124"/>
      <c r="D6" s="125"/>
      <c r="E6" s="123"/>
      <c r="F6" s="126"/>
      <c r="G6" s="525"/>
      <c r="H6" s="14"/>
      <c r="L6" s="576"/>
      <c r="M6" s="576" t="s">
        <v>776</v>
      </c>
      <c r="N6" s="594"/>
      <c r="X6" s="682"/>
    </row>
    <row r="7" spans="1:1881" s="4" customFormat="1" ht="57.75" customHeight="1" x14ac:dyDescent="0.25">
      <c r="A7" s="186">
        <v>333</v>
      </c>
      <c r="B7" s="148" t="s">
        <v>90</v>
      </c>
      <c r="C7" s="180" t="s">
        <v>152</v>
      </c>
      <c r="D7" s="163" t="s">
        <v>527</v>
      </c>
      <c r="E7" s="683" t="e">
        <f>HLOOKUP('Unit Data from Audit Worksheet'!$D$2,'2019 Data(H)'!$D$1:$BB$202,62,FALSE)</f>
        <v>#N/A</v>
      </c>
      <c r="F7" s="686"/>
      <c r="G7" s="388">
        <f>IF(F7&lt;0,"Note: Number is normally positive.",)</f>
        <v>0</v>
      </c>
      <c r="H7" s="18"/>
      <c r="I7" s="292"/>
      <c r="J7" s="362"/>
      <c r="K7" s="387"/>
      <c r="L7" s="674" t="s">
        <v>913</v>
      </c>
      <c r="M7" s="576" t="s">
        <v>909</v>
      </c>
      <c r="N7" s="594"/>
      <c r="O7" s="387"/>
      <c r="P7" s="387"/>
      <c r="Q7" s="387"/>
      <c r="R7"/>
      <c r="S7" s="387"/>
      <c r="T7" s="387"/>
      <c r="U7" s="387"/>
      <c r="V7" s="387"/>
      <c r="W7" s="387"/>
      <c r="X7" s="682"/>
      <c r="Y7" s="387"/>
      <c r="Z7" s="387"/>
      <c r="AA7" s="387"/>
      <c r="AB7" s="387"/>
      <c r="AC7" s="387"/>
      <c r="AD7" s="387"/>
      <c r="AE7" s="387"/>
      <c r="AF7" s="387"/>
      <c r="AG7" s="387"/>
      <c r="AH7" s="387"/>
      <c r="AI7" s="387"/>
      <c r="AJ7" s="387"/>
      <c r="AK7" s="387"/>
      <c r="AL7" s="387"/>
      <c r="AM7" s="387"/>
      <c r="AN7" s="387"/>
      <c r="AO7" s="387"/>
      <c r="AP7" s="387"/>
      <c r="AQ7" s="387"/>
      <c r="AR7" s="387"/>
      <c r="AS7" s="387"/>
      <c r="AT7" s="387"/>
      <c r="AU7" s="387"/>
      <c r="AV7" s="387"/>
      <c r="AW7" s="387"/>
      <c r="AX7" s="387"/>
      <c r="AY7" s="387"/>
      <c r="AZ7" s="387"/>
      <c r="BA7" s="387"/>
      <c r="BB7" s="387"/>
      <c r="BC7" s="387"/>
      <c r="BD7" s="387"/>
      <c r="BE7" s="387"/>
      <c r="BF7" s="387"/>
      <c r="BG7" s="387"/>
      <c r="BH7" s="387"/>
      <c r="BI7" s="387"/>
      <c r="BJ7" s="387"/>
      <c r="BK7" s="387"/>
      <c r="BL7" s="387"/>
      <c r="BM7" s="387"/>
      <c r="BN7" s="387"/>
      <c r="BO7" s="387"/>
      <c r="BP7" s="387"/>
      <c r="BQ7" s="387"/>
      <c r="BR7" s="387"/>
      <c r="BS7" s="387"/>
      <c r="BT7" s="387"/>
      <c r="BU7" s="387"/>
      <c r="BV7" s="387"/>
      <c r="BW7" s="387"/>
      <c r="BX7" s="387"/>
      <c r="BY7" s="387"/>
      <c r="BZ7" s="387"/>
      <c r="CA7" s="387"/>
      <c r="CB7" s="387"/>
      <c r="CC7" s="387"/>
      <c r="CD7" s="387"/>
      <c r="CE7" s="387"/>
      <c r="CF7" s="387"/>
      <c r="CG7" s="387"/>
      <c r="CH7" s="387"/>
      <c r="CI7" s="387"/>
      <c r="CJ7" s="387"/>
      <c r="CK7" s="387"/>
      <c r="CL7" s="387"/>
      <c r="CM7" s="387"/>
      <c r="CN7" s="387"/>
      <c r="CO7" s="387"/>
      <c r="CP7" s="387"/>
      <c r="CQ7" s="387"/>
      <c r="CR7" s="387"/>
      <c r="CS7" s="387"/>
      <c r="CT7" s="387"/>
      <c r="CU7" s="387"/>
      <c r="CV7" s="387"/>
      <c r="CW7" s="387"/>
      <c r="CX7" s="387"/>
      <c r="CY7" s="387"/>
      <c r="CZ7" s="387"/>
      <c r="DA7" s="387"/>
      <c r="DB7" s="387"/>
      <c r="DC7" s="387"/>
      <c r="DD7" s="387"/>
      <c r="DE7" s="387"/>
      <c r="DF7" s="387"/>
      <c r="DG7" s="387"/>
      <c r="DH7" s="387"/>
      <c r="DI7" s="387"/>
      <c r="DJ7" s="387"/>
      <c r="DK7" s="387"/>
      <c r="DL7" s="387"/>
      <c r="DM7" s="387"/>
      <c r="DN7" s="387"/>
      <c r="DO7" s="387"/>
      <c r="DP7" s="387"/>
      <c r="DQ7" s="387"/>
      <c r="DR7" s="387"/>
      <c r="DS7" s="387"/>
      <c r="DT7" s="387"/>
      <c r="DU7" s="387"/>
      <c r="DV7" s="387"/>
      <c r="DW7" s="387"/>
      <c r="DX7" s="387"/>
      <c r="DY7" s="387"/>
      <c r="DZ7" s="387"/>
      <c r="EA7" s="387"/>
      <c r="EB7" s="387"/>
      <c r="EC7" s="387"/>
      <c r="ED7" s="387"/>
      <c r="EE7" s="387"/>
      <c r="EF7" s="387"/>
      <c r="EG7" s="387"/>
      <c r="EH7" s="387"/>
      <c r="EI7" s="387"/>
      <c r="EJ7" s="387"/>
      <c r="EK7" s="387"/>
      <c r="EL7" s="387"/>
      <c r="EM7" s="387"/>
      <c r="EN7" s="387"/>
      <c r="EO7" s="387"/>
      <c r="EP7" s="387"/>
      <c r="EQ7" s="387"/>
      <c r="ER7" s="387"/>
      <c r="ES7" s="387"/>
      <c r="ET7" s="387"/>
      <c r="EU7" s="387"/>
      <c r="EV7" s="387"/>
      <c r="EW7" s="387"/>
      <c r="EX7" s="387"/>
      <c r="EY7" s="387"/>
      <c r="EZ7" s="387"/>
      <c r="FA7" s="387"/>
      <c r="FB7" s="387"/>
      <c r="FC7" s="387"/>
      <c r="FD7" s="387"/>
      <c r="FE7" s="387"/>
      <c r="FF7" s="387"/>
      <c r="FG7" s="387"/>
      <c r="FH7" s="387"/>
      <c r="FI7" s="387"/>
      <c r="FJ7" s="387"/>
      <c r="FK7" s="387"/>
      <c r="FL7" s="387"/>
      <c r="FM7" s="387"/>
      <c r="FN7" s="387"/>
      <c r="FO7" s="387"/>
      <c r="FP7" s="387"/>
      <c r="FQ7" s="387"/>
      <c r="FR7" s="387"/>
      <c r="FS7" s="387"/>
      <c r="FT7" s="387"/>
      <c r="FU7" s="387"/>
      <c r="FV7" s="387"/>
      <c r="FW7" s="387"/>
      <c r="FX7" s="387"/>
      <c r="FY7" s="387"/>
      <c r="FZ7" s="387"/>
      <c r="GA7" s="387"/>
      <c r="GB7" s="387"/>
      <c r="GC7" s="387"/>
      <c r="GD7" s="387"/>
      <c r="GE7" s="387"/>
      <c r="GF7" s="387"/>
      <c r="GG7" s="387"/>
      <c r="GH7" s="387"/>
      <c r="GI7" s="387"/>
      <c r="GJ7" s="387"/>
      <c r="GK7" s="387"/>
      <c r="GL7" s="387"/>
      <c r="GM7" s="387"/>
      <c r="GN7" s="387"/>
      <c r="GO7" s="387"/>
      <c r="GP7" s="387"/>
      <c r="GQ7" s="387"/>
      <c r="GR7" s="387"/>
      <c r="GS7" s="387"/>
      <c r="GT7" s="387"/>
      <c r="GU7" s="387"/>
      <c r="GV7" s="387"/>
      <c r="GW7" s="387"/>
      <c r="GX7" s="387"/>
      <c r="GY7" s="387"/>
      <c r="GZ7" s="387"/>
      <c r="HA7" s="387"/>
      <c r="HB7" s="387"/>
      <c r="HC7" s="387"/>
      <c r="HD7" s="387"/>
      <c r="HE7" s="387"/>
      <c r="HF7" s="387"/>
      <c r="HG7" s="387"/>
      <c r="HH7" s="387"/>
      <c r="HI7" s="387"/>
      <c r="HJ7" s="387"/>
      <c r="HK7" s="387"/>
      <c r="HL7" s="387"/>
      <c r="HM7" s="387"/>
      <c r="HN7" s="387"/>
      <c r="HO7" s="387"/>
      <c r="HP7" s="387"/>
      <c r="HQ7" s="387"/>
      <c r="HR7" s="387"/>
      <c r="HS7" s="387"/>
      <c r="HT7" s="387"/>
      <c r="HU7" s="387"/>
      <c r="HV7" s="387"/>
      <c r="HW7" s="387"/>
      <c r="HX7" s="387"/>
      <c r="HY7" s="387"/>
      <c r="HZ7" s="387"/>
      <c r="IA7" s="387"/>
      <c r="IB7" s="387"/>
      <c r="IC7" s="387"/>
      <c r="ID7" s="387"/>
      <c r="IE7" s="387"/>
      <c r="IF7" s="387"/>
      <c r="IG7" s="387"/>
      <c r="IH7" s="387"/>
      <c r="II7" s="387"/>
      <c r="IJ7" s="387"/>
      <c r="IK7" s="387"/>
      <c r="IL7" s="387"/>
      <c r="IM7" s="387"/>
      <c r="IN7" s="387"/>
      <c r="IO7" s="387"/>
      <c r="IP7" s="387"/>
      <c r="IQ7" s="387"/>
      <c r="IR7" s="387"/>
      <c r="IS7" s="387"/>
      <c r="IT7" s="387"/>
      <c r="IU7" s="387"/>
      <c r="IV7" s="387"/>
      <c r="IW7" s="387"/>
      <c r="IX7" s="387"/>
      <c r="IY7" s="387"/>
      <c r="IZ7" s="387"/>
      <c r="JA7" s="387"/>
      <c r="JB7" s="387"/>
      <c r="JC7" s="387"/>
      <c r="JD7" s="387"/>
      <c r="JE7" s="387"/>
      <c r="JF7" s="387"/>
      <c r="JG7" s="387"/>
      <c r="JH7" s="387"/>
      <c r="JI7" s="387"/>
      <c r="JJ7" s="387"/>
      <c r="JK7" s="387"/>
      <c r="JL7" s="387"/>
      <c r="JM7" s="387"/>
      <c r="JN7" s="387"/>
      <c r="JO7" s="387"/>
      <c r="JP7" s="387"/>
      <c r="JQ7" s="387"/>
      <c r="JR7" s="387"/>
      <c r="JS7" s="387"/>
      <c r="JT7" s="387"/>
      <c r="JU7" s="387"/>
      <c r="JV7" s="387"/>
      <c r="JW7" s="387"/>
      <c r="JX7" s="387"/>
      <c r="JY7" s="387"/>
      <c r="JZ7" s="387"/>
      <c r="KA7" s="387"/>
      <c r="KB7" s="387"/>
      <c r="KC7" s="387"/>
      <c r="KD7" s="387"/>
      <c r="KE7" s="387"/>
      <c r="KF7" s="387"/>
      <c r="KG7" s="387"/>
      <c r="KH7" s="387"/>
      <c r="KI7" s="387"/>
      <c r="KJ7" s="387"/>
      <c r="KK7" s="387"/>
      <c r="KL7" s="387"/>
      <c r="KM7" s="387"/>
      <c r="KN7" s="387"/>
      <c r="KO7" s="387"/>
      <c r="KP7" s="387"/>
      <c r="KQ7" s="387"/>
      <c r="KR7" s="387"/>
      <c r="KS7" s="387"/>
      <c r="KT7" s="387"/>
      <c r="KU7" s="387"/>
      <c r="KV7" s="387"/>
      <c r="KW7" s="387"/>
      <c r="KX7" s="387"/>
      <c r="KY7" s="387"/>
      <c r="KZ7" s="387"/>
      <c r="LA7" s="387"/>
      <c r="LB7" s="387"/>
      <c r="LC7" s="387"/>
      <c r="LD7" s="387"/>
      <c r="LE7" s="387"/>
      <c r="LF7" s="387"/>
      <c r="LG7" s="387"/>
      <c r="LH7" s="387"/>
      <c r="LI7" s="387"/>
      <c r="LJ7" s="387"/>
      <c r="LK7" s="387"/>
      <c r="LL7" s="387"/>
      <c r="LM7" s="387"/>
      <c r="LN7" s="387"/>
      <c r="LO7" s="387"/>
      <c r="LP7" s="387"/>
      <c r="LQ7" s="387"/>
      <c r="LR7" s="387"/>
      <c r="LS7" s="387"/>
      <c r="LT7" s="387"/>
      <c r="LU7" s="387"/>
      <c r="LV7" s="387"/>
      <c r="LW7" s="387"/>
      <c r="LX7" s="387"/>
      <c r="LY7" s="387"/>
      <c r="LZ7" s="387"/>
      <c r="MA7" s="387"/>
      <c r="MB7" s="387"/>
      <c r="MC7" s="387"/>
      <c r="MD7" s="387"/>
      <c r="ME7" s="387"/>
      <c r="MF7" s="387"/>
      <c r="MG7" s="387"/>
      <c r="MH7" s="387"/>
      <c r="MI7" s="387"/>
      <c r="MJ7" s="387"/>
      <c r="MK7" s="387"/>
      <c r="ML7" s="387"/>
      <c r="MM7" s="387"/>
      <c r="MN7" s="387"/>
      <c r="MO7" s="387"/>
      <c r="MP7" s="387"/>
      <c r="MQ7" s="387"/>
      <c r="MR7" s="387"/>
      <c r="MS7" s="387"/>
      <c r="MT7" s="387"/>
      <c r="MU7" s="387"/>
      <c r="MV7" s="387"/>
      <c r="MW7" s="387"/>
      <c r="MX7" s="387"/>
      <c r="MY7" s="387"/>
      <c r="MZ7" s="387"/>
      <c r="NA7" s="387"/>
      <c r="NB7" s="387"/>
      <c r="NC7" s="387"/>
      <c r="ND7" s="387"/>
      <c r="NE7" s="387"/>
      <c r="NF7" s="387"/>
      <c r="NG7" s="387"/>
      <c r="NH7" s="387"/>
      <c r="NI7" s="387"/>
      <c r="NJ7" s="387"/>
      <c r="NK7" s="387"/>
      <c r="NL7" s="387"/>
      <c r="NM7" s="387"/>
      <c r="NN7" s="387"/>
      <c r="NO7" s="387"/>
      <c r="NP7" s="387"/>
      <c r="NQ7" s="387"/>
      <c r="NR7" s="387"/>
      <c r="NS7" s="387"/>
      <c r="NT7" s="387"/>
      <c r="NU7" s="387"/>
      <c r="NV7" s="387"/>
      <c r="NW7" s="387"/>
      <c r="NX7" s="387"/>
      <c r="NY7" s="387"/>
      <c r="NZ7" s="387"/>
      <c r="OA7" s="387"/>
      <c r="OB7" s="387"/>
      <c r="OC7" s="387"/>
      <c r="OD7" s="387"/>
      <c r="OE7" s="387"/>
      <c r="OF7" s="387"/>
      <c r="OG7" s="387"/>
      <c r="OH7" s="387"/>
      <c r="OI7" s="387"/>
      <c r="OJ7" s="387"/>
      <c r="OK7" s="387"/>
      <c r="OL7" s="387"/>
      <c r="OM7" s="387"/>
      <c r="ON7" s="387"/>
      <c r="OO7" s="387"/>
      <c r="OP7" s="387"/>
      <c r="OQ7" s="387"/>
      <c r="OR7" s="387"/>
      <c r="OS7" s="387"/>
      <c r="OT7" s="387"/>
      <c r="OU7" s="387"/>
      <c r="OV7" s="387"/>
      <c r="OW7" s="387"/>
      <c r="OX7" s="387"/>
      <c r="OY7" s="387"/>
      <c r="OZ7" s="387"/>
      <c r="PA7" s="387"/>
      <c r="PB7" s="387"/>
      <c r="PC7" s="387"/>
      <c r="PD7" s="387"/>
      <c r="PE7" s="387"/>
      <c r="PF7" s="387"/>
      <c r="PG7" s="387"/>
      <c r="PH7" s="387"/>
      <c r="PI7" s="387"/>
      <c r="PJ7" s="387"/>
      <c r="PK7" s="387"/>
      <c r="PL7" s="387"/>
      <c r="PM7" s="387"/>
      <c r="PN7" s="387"/>
      <c r="PO7" s="387"/>
      <c r="PP7" s="387"/>
      <c r="PQ7" s="387"/>
      <c r="PR7" s="387"/>
      <c r="PS7" s="387"/>
      <c r="PT7" s="387"/>
      <c r="PU7" s="387"/>
      <c r="PV7" s="387"/>
      <c r="PW7" s="387"/>
      <c r="PX7" s="387"/>
      <c r="PY7" s="387"/>
      <c r="PZ7" s="387"/>
      <c r="QA7" s="387"/>
      <c r="QB7" s="387"/>
      <c r="QC7" s="387"/>
      <c r="QD7" s="387"/>
      <c r="QE7" s="387"/>
      <c r="QF7" s="387"/>
      <c r="QG7" s="387"/>
      <c r="QH7" s="387"/>
      <c r="QI7" s="387"/>
      <c r="QJ7" s="387"/>
      <c r="QK7" s="387"/>
      <c r="QL7" s="387"/>
      <c r="QM7" s="387"/>
      <c r="QN7" s="387"/>
      <c r="QO7" s="387"/>
      <c r="QP7" s="387"/>
      <c r="QQ7" s="387"/>
      <c r="QR7" s="387"/>
      <c r="QS7" s="387"/>
      <c r="QT7" s="387"/>
      <c r="QU7" s="387"/>
      <c r="QV7" s="387"/>
      <c r="QW7" s="387"/>
      <c r="QX7" s="387"/>
      <c r="QY7" s="387"/>
      <c r="QZ7" s="387"/>
      <c r="RA7" s="387"/>
      <c r="RB7" s="387"/>
      <c r="RC7" s="387"/>
      <c r="RD7" s="387"/>
      <c r="RE7" s="387"/>
      <c r="RF7" s="387"/>
      <c r="RG7" s="387"/>
      <c r="RH7" s="387"/>
      <c r="RI7" s="387"/>
      <c r="RJ7" s="387"/>
      <c r="RK7" s="387"/>
      <c r="RL7" s="387"/>
      <c r="RM7" s="387"/>
      <c r="RN7" s="387"/>
      <c r="RO7" s="387"/>
      <c r="RP7" s="387"/>
      <c r="RQ7" s="387"/>
      <c r="RR7" s="387"/>
      <c r="RS7" s="387"/>
      <c r="RT7" s="387"/>
      <c r="RU7" s="387"/>
      <c r="RV7" s="387"/>
      <c r="RW7" s="387"/>
      <c r="RX7" s="387"/>
      <c r="RY7" s="387"/>
      <c r="RZ7" s="387"/>
      <c r="SA7" s="387"/>
      <c r="SB7" s="387"/>
      <c r="SC7" s="387"/>
      <c r="SD7" s="387"/>
      <c r="SE7" s="387"/>
      <c r="SF7" s="387"/>
      <c r="SG7" s="387"/>
      <c r="SH7" s="387"/>
      <c r="SI7" s="387"/>
      <c r="SJ7" s="387"/>
      <c r="SK7" s="387"/>
      <c r="SL7" s="387"/>
      <c r="SM7" s="387"/>
      <c r="SN7" s="387"/>
      <c r="SO7" s="387"/>
      <c r="SP7" s="387"/>
      <c r="SQ7" s="387"/>
      <c r="SR7" s="387"/>
      <c r="SS7" s="387"/>
      <c r="ST7" s="387"/>
      <c r="SU7" s="387"/>
      <c r="SV7" s="387"/>
      <c r="SW7" s="387"/>
      <c r="SX7" s="387"/>
      <c r="SY7" s="387"/>
      <c r="SZ7" s="387"/>
      <c r="TA7" s="387"/>
      <c r="TB7" s="387"/>
      <c r="TC7" s="387"/>
      <c r="TD7" s="387"/>
      <c r="TE7" s="387"/>
      <c r="TF7" s="387"/>
      <c r="TG7" s="387"/>
      <c r="TH7" s="387"/>
      <c r="TI7" s="387"/>
      <c r="TJ7" s="387"/>
      <c r="TK7" s="387"/>
      <c r="TL7" s="387"/>
      <c r="TM7" s="387"/>
      <c r="TN7" s="387"/>
      <c r="TO7" s="387"/>
      <c r="TP7" s="387"/>
      <c r="TQ7" s="387"/>
      <c r="TR7" s="387"/>
      <c r="TS7" s="387"/>
      <c r="TT7" s="387"/>
      <c r="TU7" s="387"/>
      <c r="TV7" s="387"/>
      <c r="TW7" s="387"/>
      <c r="TX7" s="387"/>
      <c r="TY7" s="387"/>
      <c r="TZ7" s="387"/>
      <c r="UA7" s="387"/>
      <c r="UB7" s="387"/>
      <c r="UC7" s="387"/>
      <c r="UD7" s="387"/>
      <c r="UE7" s="387"/>
      <c r="UF7" s="387"/>
      <c r="UG7" s="387"/>
      <c r="UH7" s="387"/>
      <c r="UI7" s="387"/>
      <c r="UJ7" s="387"/>
      <c r="UK7" s="387"/>
      <c r="UL7" s="387"/>
      <c r="UM7" s="387"/>
      <c r="UN7" s="387"/>
      <c r="UO7" s="387"/>
      <c r="UP7" s="387"/>
      <c r="UQ7" s="387"/>
      <c r="UR7" s="387"/>
      <c r="US7" s="387"/>
      <c r="UT7" s="387"/>
      <c r="UU7" s="387"/>
      <c r="UV7" s="387"/>
      <c r="UW7" s="387"/>
      <c r="UX7" s="387"/>
      <c r="UY7" s="387"/>
      <c r="UZ7" s="387"/>
      <c r="VA7" s="387"/>
      <c r="VB7" s="387"/>
      <c r="VC7" s="387"/>
      <c r="VD7" s="387"/>
      <c r="VE7" s="387"/>
      <c r="VF7" s="387"/>
      <c r="VG7" s="387"/>
      <c r="VH7" s="387"/>
      <c r="VI7" s="387"/>
      <c r="VJ7" s="387"/>
      <c r="VK7" s="387"/>
      <c r="VL7" s="387"/>
      <c r="VM7" s="387"/>
      <c r="VN7" s="387"/>
      <c r="VO7" s="387"/>
      <c r="VP7" s="387"/>
      <c r="VQ7" s="387"/>
      <c r="VR7" s="387"/>
      <c r="VS7" s="387"/>
      <c r="VT7" s="387"/>
      <c r="VU7" s="387"/>
      <c r="VV7" s="387"/>
      <c r="VW7" s="387"/>
      <c r="VX7" s="387"/>
      <c r="VY7" s="387"/>
      <c r="VZ7" s="387"/>
      <c r="WA7" s="387"/>
      <c r="WB7" s="387"/>
      <c r="WC7" s="387"/>
      <c r="WD7" s="387"/>
      <c r="WE7" s="387"/>
      <c r="WF7" s="387"/>
      <c r="WG7" s="387"/>
      <c r="WH7" s="387"/>
      <c r="WI7" s="387"/>
      <c r="WJ7" s="387"/>
      <c r="WK7" s="387"/>
      <c r="WL7" s="387"/>
      <c r="WM7" s="387"/>
      <c r="WN7" s="387"/>
      <c r="WO7" s="387"/>
      <c r="WP7" s="387"/>
      <c r="WQ7" s="387"/>
      <c r="WR7" s="387"/>
      <c r="WS7" s="387"/>
      <c r="WT7" s="387"/>
      <c r="WU7" s="387"/>
      <c r="WV7" s="387"/>
      <c r="WW7" s="387"/>
      <c r="WX7" s="387"/>
      <c r="WY7" s="387"/>
      <c r="WZ7" s="387"/>
      <c r="XA7" s="387"/>
      <c r="XB7" s="387"/>
      <c r="XC7" s="387"/>
      <c r="XD7" s="387"/>
      <c r="XE7" s="387"/>
      <c r="XF7" s="387"/>
      <c r="XG7" s="387"/>
      <c r="XH7" s="387"/>
      <c r="XI7" s="387"/>
      <c r="XJ7" s="387"/>
      <c r="XK7" s="387"/>
      <c r="XL7" s="387"/>
      <c r="XM7" s="387"/>
      <c r="XN7" s="387"/>
      <c r="XO7" s="387"/>
      <c r="XP7" s="387"/>
      <c r="XQ7" s="387"/>
      <c r="XR7" s="387"/>
      <c r="XS7" s="387"/>
      <c r="XT7" s="387"/>
      <c r="XU7" s="387"/>
      <c r="XV7" s="387"/>
      <c r="XW7" s="387"/>
      <c r="XX7" s="387"/>
      <c r="XY7" s="387"/>
      <c r="XZ7" s="387"/>
      <c r="YA7" s="387"/>
      <c r="YB7" s="387"/>
      <c r="YC7" s="387"/>
      <c r="YD7" s="387"/>
      <c r="YE7" s="387"/>
      <c r="YF7" s="387"/>
      <c r="YG7" s="387"/>
      <c r="YH7" s="387"/>
      <c r="YI7" s="387"/>
      <c r="YJ7" s="387"/>
      <c r="YK7" s="387"/>
      <c r="YL7" s="387"/>
      <c r="YM7" s="387"/>
      <c r="YN7" s="387"/>
      <c r="YO7" s="387"/>
      <c r="YP7" s="387"/>
      <c r="YQ7" s="387"/>
      <c r="YR7" s="387"/>
      <c r="YS7" s="387"/>
      <c r="YT7" s="387"/>
      <c r="YU7" s="387"/>
      <c r="YV7" s="387"/>
      <c r="YW7" s="387"/>
      <c r="YX7" s="387"/>
      <c r="YY7" s="387"/>
      <c r="YZ7" s="387"/>
      <c r="ZA7" s="387"/>
      <c r="ZB7" s="387"/>
      <c r="ZC7" s="387"/>
      <c r="ZD7" s="387"/>
      <c r="ZE7" s="387"/>
      <c r="ZF7" s="387"/>
      <c r="ZG7" s="387"/>
      <c r="ZH7" s="387"/>
      <c r="ZI7" s="387"/>
      <c r="ZJ7" s="387"/>
      <c r="ZK7" s="387"/>
      <c r="ZL7" s="387"/>
      <c r="ZM7" s="387"/>
      <c r="ZN7" s="387"/>
      <c r="ZO7" s="387"/>
      <c r="ZP7" s="387"/>
      <c r="ZQ7" s="387"/>
      <c r="ZR7" s="387"/>
      <c r="ZS7" s="387"/>
      <c r="ZT7" s="387"/>
      <c r="ZU7" s="387"/>
      <c r="ZV7" s="387"/>
      <c r="ZW7" s="387"/>
      <c r="ZX7" s="387"/>
      <c r="ZY7" s="387"/>
      <c r="ZZ7" s="387"/>
      <c r="AAA7" s="387"/>
      <c r="AAB7" s="387"/>
      <c r="AAC7" s="387"/>
      <c r="AAD7" s="387"/>
      <c r="AAE7" s="387"/>
      <c r="AAF7" s="387"/>
      <c r="AAG7" s="387"/>
      <c r="AAH7" s="387"/>
      <c r="AAI7" s="387"/>
      <c r="AAJ7" s="387"/>
      <c r="AAK7" s="387"/>
      <c r="AAL7" s="387"/>
      <c r="AAM7" s="387"/>
      <c r="AAN7" s="387"/>
      <c r="AAO7" s="387"/>
      <c r="AAP7" s="387"/>
      <c r="AAQ7" s="387"/>
      <c r="AAR7" s="387"/>
      <c r="AAS7" s="387"/>
      <c r="AAT7" s="387"/>
      <c r="AAU7" s="387"/>
      <c r="AAV7" s="387"/>
      <c r="AAW7" s="387"/>
      <c r="AAX7" s="387"/>
      <c r="AAY7" s="387"/>
      <c r="AAZ7" s="387"/>
      <c r="ABA7" s="387"/>
      <c r="ABB7" s="387"/>
      <c r="ABC7" s="387"/>
      <c r="ABD7" s="387"/>
      <c r="ABE7" s="387"/>
      <c r="ABF7" s="387"/>
      <c r="ABG7" s="387"/>
      <c r="ABH7" s="387"/>
      <c r="ABI7" s="387"/>
      <c r="ABJ7" s="387"/>
      <c r="ABK7" s="387"/>
      <c r="ABL7" s="387"/>
      <c r="ABM7" s="387"/>
      <c r="ABN7" s="387"/>
      <c r="ABO7" s="387"/>
      <c r="ABP7" s="387"/>
      <c r="ABQ7" s="387"/>
      <c r="ABR7" s="387"/>
      <c r="ABS7" s="387"/>
      <c r="ABT7" s="387"/>
      <c r="ABU7" s="387"/>
      <c r="ABV7" s="387"/>
      <c r="ABW7" s="387"/>
      <c r="ABX7" s="387"/>
      <c r="ABY7" s="387"/>
      <c r="ABZ7" s="387"/>
      <c r="ACA7" s="387"/>
      <c r="ACB7" s="387"/>
      <c r="ACC7" s="387"/>
      <c r="ACD7" s="387"/>
      <c r="ACE7" s="387"/>
      <c r="ACF7" s="387"/>
      <c r="ACG7" s="387"/>
      <c r="ACH7" s="387"/>
      <c r="ACI7" s="387"/>
      <c r="ACJ7" s="387"/>
      <c r="ACK7" s="387"/>
      <c r="ACL7" s="387"/>
      <c r="ACM7" s="387"/>
      <c r="ACN7" s="387"/>
      <c r="ACO7" s="387"/>
      <c r="ACP7" s="387"/>
      <c r="ACQ7" s="387"/>
      <c r="ACR7" s="387"/>
      <c r="ACS7" s="387"/>
      <c r="ACT7" s="387"/>
      <c r="ACU7" s="387"/>
      <c r="ACV7" s="387"/>
      <c r="ACW7" s="387"/>
      <c r="ACX7" s="387"/>
      <c r="ACY7" s="387"/>
      <c r="ACZ7" s="387"/>
      <c r="ADA7" s="387"/>
      <c r="ADB7" s="387"/>
      <c r="ADC7" s="387"/>
      <c r="ADD7" s="387"/>
      <c r="ADE7" s="387"/>
      <c r="ADF7" s="387"/>
      <c r="ADG7" s="387"/>
      <c r="ADH7" s="387"/>
      <c r="ADI7" s="387"/>
      <c r="ADJ7" s="387"/>
      <c r="ADK7" s="387"/>
      <c r="ADL7" s="387"/>
      <c r="ADM7" s="387"/>
      <c r="ADN7" s="387"/>
      <c r="ADO7" s="387"/>
      <c r="ADP7" s="387"/>
      <c r="ADQ7" s="387"/>
      <c r="ADR7" s="387"/>
      <c r="ADS7" s="387"/>
      <c r="ADT7" s="387"/>
      <c r="ADU7" s="387"/>
      <c r="ADV7" s="387"/>
      <c r="ADW7" s="387"/>
      <c r="ADX7" s="387"/>
      <c r="ADY7" s="387"/>
      <c r="ADZ7" s="387"/>
      <c r="AEA7" s="387"/>
      <c r="AEB7" s="387"/>
      <c r="AEC7" s="387"/>
      <c r="AED7" s="387"/>
      <c r="AEE7" s="387"/>
      <c r="AEF7" s="387"/>
      <c r="AEG7" s="387"/>
      <c r="AEH7" s="387"/>
      <c r="AEI7" s="387"/>
      <c r="AEJ7" s="387"/>
      <c r="AEK7" s="387"/>
      <c r="AEL7" s="387"/>
      <c r="AEM7" s="387"/>
      <c r="AEN7" s="387"/>
      <c r="AEO7" s="387"/>
      <c r="AEP7" s="387"/>
      <c r="AEQ7" s="387"/>
      <c r="AER7" s="387"/>
      <c r="AES7" s="387"/>
      <c r="AET7" s="387"/>
      <c r="AEU7" s="387"/>
      <c r="AEV7" s="387"/>
      <c r="AEW7" s="387"/>
      <c r="AEX7" s="387"/>
      <c r="AEY7" s="387"/>
      <c r="AEZ7" s="387"/>
      <c r="AFA7" s="387"/>
      <c r="AFB7" s="387"/>
      <c r="AFC7" s="387"/>
      <c r="AFD7" s="387"/>
      <c r="AFE7" s="387"/>
      <c r="AFF7" s="387"/>
      <c r="AFG7" s="387"/>
      <c r="AFH7" s="387"/>
      <c r="AFI7" s="387"/>
      <c r="AFJ7" s="387"/>
      <c r="AFK7" s="387"/>
      <c r="AFL7" s="387"/>
      <c r="AFM7" s="387"/>
      <c r="AFN7" s="387"/>
      <c r="AFO7" s="387"/>
      <c r="AFP7" s="387"/>
      <c r="AFQ7" s="387"/>
      <c r="AFR7" s="387"/>
      <c r="AFS7" s="387"/>
      <c r="AFT7" s="387"/>
      <c r="AFU7" s="387"/>
      <c r="AFV7" s="387"/>
      <c r="AFW7" s="387"/>
      <c r="AFX7" s="387"/>
      <c r="AFY7" s="387"/>
      <c r="AFZ7" s="387"/>
      <c r="AGA7" s="387"/>
      <c r="AGB7" s="387"/>
      <c r="AGC7" s="387"/>
      <c r="AGD7" s="387"/>
      <c r="AGE7" s="387"/>
      <c r="AGF7" s="387"/>
      <c r="AGG7" s="387"/>
      <c r="AGH7" s="387"/>
      <c r="AGI7" s="387"/>
      <c r="AGJ7" s="387"/>
      <c r="AGK7" s="387"/>
      <c r="AGL7" s="387"/>
      <c r="AGM7" s="387"/>
      <c r="AGN7" s="387"/>
      <c r="AGO7" s="387"/>
      <c r="AGP7" s="387"/>
      <c r="AGQ7" s="387"/>
      <c r="AGR7" s="387"/>
      <c r="AGS7" s="387"/>
      <c r="AGT7" s="387"/>
      <c r="AGU7" s="387"/>
      <c r="AGV7" s="387"/>
      <c r="AGW7" s="387"/>
      <c r="AGX7" s="387"/>
      <c r="AGY7" s="387"/>
      <c r="AGZ7" s="387"/>
      <c r="AHA7" s="387"/>
      <c r="AHB7" s="387"/>
      <c r="AHC7" s="387"/>
      <c r="AHD7" s="387"/>
      <c r="AHE7" s="387"/>
      <c r="AHF7" s="387"/>
      <c r="AHG7" s="387"/>
      <c r="AHH7" s="387"/>
      <c r="AHI7" s="387"/>
      <c r="AHJ7" s="387"/>
      <c r="AHK7" s="387"/>
      <c r="AHL7" s="387"/>
      <c r="AHM7" s="387"/>
      <c r="AHN7" s="387"/>
      <c r="AHO7" s="387"/>
      <c r="AHP7" s="387"/>
      <c r="AHQ7" s="387"/>
      <c r="AHR7" s="387"/>
      <c r="AHS7" s="387"/>
      <c r="AHT7" s="387"/>
      <c r="AHU7" s="387"/>
      <c r="AHV7" s="387"/>
      <c r="AHW7" s="387"/>
      <c r="AHX7" s="387"/>
      <c r="AHY7" s="387"/>
      <c r="AHZ7" s="387"/>
      <c r="AIA7" s="387"/>
      <c r="AIB7" s="387"/>
      <c r="AIC7" s="387"/>
      <c r="AID7" s="387"/>
      <c r="AIE7" s="387"/>
      <c r="AIF7" s="387"/>
      <c r="AIG7" s="387"/>
      <c r="AIH7" s="387"/>
      <c r="AII7" s="387"/>
      <c r="AIJ7" s="387"/>
      <c r="AIK7" s="387"/>
      <c r="AIL7" s="387"/>
      <c r="AIM7" s="387"/>
      <c r="AIN7" s="387"/>
      <c r="AIO7" s="387"/>
      <c r="AIP7" s="387"/>
      <c r="AIQ7" s="387"/>
      <c r="AIR7" s="387"/>
      <c r="AIS7" s="387"/>
      <c r="AIT7" s="387"/>
      <c r="AIU7" s="387"/>
      <c r="AIV7" s="387"/>
      <c r="AIW7" s="387"/>
      <c r="AIX7" s="387"/>
      <c r="AIY7" s="387"/>
      <c r="AIZ7" s="387"/>
      <c r="AJA7" s="387"/>
      <c r="AJB7" s="387"/>
      <c r="AJC7" s="387"/>
      <c r="AJD7" s="387"/>
      <c r="AJE7" s="387"/>
      <c r="AJF7" s="387"/>
      <c r="AJG7" s="387"/>
      <c r="AJH7" s="387"/>
      <c r="AJI7" s="387"/>
      <c r="AJJ7" s="387"/>
      <c r="AJK7" s="387"/>
      <c r="AJL7" s="387"/>
      <c r="AJM7" s="387"/>
      <c r="AJN7" s="387"/>
      <c r="AJO7" s="387"/>
      <c r="AJP7" s="387"/>
      <c r="AJQ7" s="387"/>
      <c r="AJR7" s="387"/>
      <c r="AJS7" s="387"/>
      <c r="AJT7" s="387"/>
      <c r="AJU7" s="387"/>
      <c r="AJV7" s="387"/>
      <c r="AJW7" s="387"/>
      <c r="AJX7" s="387"/>
      <c r="AJY7" s="387"/>
      <c r="AJZ7" s="387"/>
      <c r="AKA7" s="387"/>
      <c r="AKB7" s="387"/>
      <c r="AKC7" s="387"/>
      <c r="AKD7" s="387"/>
      <c r="AKE7" s="387"/>
      <c r="AKF7" s="387"/>
      <c r="AKG7" s="387"/>
      <c r="AKH7" s="387"/>
      <c r="AKI7" s="387"/>
      <c r="AKJ7" s="387"/>
      <c r="AKK7" s="387"/>
      <c r="AKL7" s="387"/>
      <c r="AKM7" s="387"/>
      <c r="AKN7" s="387"/>
      <c r="AKO7" s="387"/>
      <c r="AKP7" s="387"/>
      <c r="AKQ7" s="387"/>
      <c r="AKR7" s="387"/>
      <c r="AKS7" s="387"/>
      <c r="AKT7" s="387"/>
      <c r="AKU7" s="387"/>
      <c r="AKV7" s="387"/>
      <c r="AKW7" s="387"/>
      <c r="AKX7" s="387"/>
      <c r="AKY7" s="387"/>
      <c r="AKZ7" s="387"/>
      <c r="ALA7" s="387"/>
      <c r="ALB7" s="387"/>
      <c r="ALC7" s="387"/>
      <c r="ALD7" s="387"/>
      <c r="ALE7" s="387"/>
      <c r="ALF7" s="387"/>
      <c r="ALG7" s="387"/>
      <c r="ALH7" s="387"/>
      <c r="ALI7" s="387"/>
      <c r="ALJ7" s="387"/>
      <c r="ALK7" s="387"/>
      <c r="ALL7" s="387"/>
      <c r="ALM7" s="387"/>
      <c r="ALN7" s="387"/>
      <c r="ALO7" s="387"/>
      <c r="ALP7" s="387"/>
      <c r="ALQ7" s="387"/>
      <c r="ALR7" s="387"/>
      <c r="ALS7" s="387"/>
      <c r="ALT7" s="387"/>
      <c r="ALU7" s="387"/>
      <c r="ALV7" s="387"/>
      <c r="ALW7" s="387"/>
      <c r="ALX7" s="387"/>
      <c r="ALY7" s="387"/>
      <c r="ALZ7" s="387"/>
      <c r="AMA7" s="387"/>
      <c r="AMB7" s="387"/>
      <c r="AMC7" s="387"/>
      <c r="AMD7" s="387"/>
      <c r="AME7" s="387"/>
      <c r="AMF7" s="387"/>
      <c r="AMG7" s="387"/>
      <c r="AMH7" s="387"/>
      <c r="AMI7" s="387"/>
      <c r="AMJ7" s="387"/>
      <c r="AMK7" s="387"/>
      <c r="AML7" s="387"/>
      <c r="AMM7" s="387"/>
      <c r="AMN7" s="387"/>
      <c r="AMO7" s="387"/>
      <c r="AMP7" s="387"/>
      <c r="AMQ7" s="387"/>
      <c r="AMR7" s="387"/>
      <c r="AMS7" s="387"/>
      <c r="AMT7" s="387"/>
      <c r="AMU7" s="387"/>
      <c r="AMV7" s="387"/>
      <c r="AMW7" s="387"/>
      <c r="AMX7" s="387"/>
      <c r="AMY7" s="387"/>
      <c r="AMZ7" s="387"/>
      <c r="ANA7" s="387"/>
      <c r="ANB7" s="387"/>
      <c r="ANC7" s="387"/>
      <c r="AND7" s="387"/>
      <c r="ANE7" s="387"/>
      <c r="ANF7" s="387"/>
      <c r="ANG7" s="387"/>
      <c r="ANH7" s="387"/>
      <c r="ANI7" s="387"/>
      <c r="ANJ7" s="387"/>
      <c r="ANK7" s="387"/>
      <c r="ANL7" s="387"/>
      <c r="ANM7" s="387"/>
      <c r="ANN7" s="387"/>
      <c r="ANO7" s="387"/>
      <c r="ANP7" s="387"/>
      <c r="ANQ7" s="387"/>
      <c r="ANR7" s="387"/>
      <c r="ANS7" s="387"/>
      <c r="ANT7" s="387"/>
      <c r="ANU7" s="387"/>
      <c r="ANV7" s="387"/>
      <c r="ANW7" s="387"/>
      <c r="ANX7" s="387"/>
      <c r="ANY7" s="387"/>
      <c r="ANZ7" s="387"/>
      <c r="AOA7" s="387"/>
      <c r="AOB7" s="387"/>
      <c r="AOC7" s="387"/>
      <c r="AOD7" s="387"/>
      <c r="AOE7" s="387"/>
      <c r="AOF7" s="387"/>
      <c r="AOG7" s="387"/>
      <c r="AOH7" s="387"/>
      <c r="AOI7" s="387"/>
      <c r="AOJ7" s="387"/>
      <c r="AOK7" s="387"/>
      <c r="AOL7" s="387"/>
      <c r="AOM7" s="387"/>
      <c r="AON7" s="387"/>
      <c r="AOO7" s="387"/>
      <c r="AOP7" s="387"/>
      <c r="AOQ7" s="387"/>
      <c r="AOR7" s="387"/>
      <c r="AOS7" s="387"/>
      <c r="AOT7" s="387"/>
      <c r="AOU7" s="387"/>
      <c r="AOV7" s="387"/>
      <c r="AOW7" s="387"/>
      <c r="AOX7" s="387"/>
      <c r="AOY7" s="387"/>
      <c r="AOZ7" s="387"/>
      <c r="APA7" s="387"/>
      <c r="APB7" s="387"/>
      <c r="APC7" s="387"/>
      <c r="APD7" s="387"/>
      <c r="APE7" s="387"/>
      <c r="APF7" s="387"/>
      <c r="APG7" s="387"/>
      <c r="APH7" s="387"/>
      <c r="API7" s="387"/>
      <c r="APJ7" s="387"/>
      <c r="APK7" s="387"/>
      <c r="APL7" s="387"/>
      <c r="APM7" s="387"/>
      <c r="APN7" s="387"/>
      <c r="APO7" s="387"/>
      <c r="APP7" s="387"/>
      <c r="APQ7" s="387"/>
      <c r="APR7" s="387"/>
      <c r="APS7" s="387"/>
      <c r="APT7" s="387"/>
      <c r="APU7" s="387"/>
      <c r="APV7" s="387"/>
      <c r="APW7" s="387"/>
      <c r="APX7" s="387"/>
      <c r="APY7" s="387"/>
      <c r="APZ7" s="387"/>
      <c r="AQA7" s="387"/>
      <c r="AQB7" s="387"/>
      <c r="AQC7" s="387"/>
      <c r="AQD7" s="387"/>
      <c r="AQE7" s="387"/>
      <c r="AQF7" s="387"/>
      <c r="AQG7" s="387"/>
      <c r="AQH7" s="387"/>
      <c r="AQI7" s="387"/>
      <c r="AQJ7" s="387"/>
      <c r="AQK7" s="387"/>
      <c r="AQL7" s="387"/>
      <c r="AQM7" s="387"/>
      <c r="AQN7" s="387"/>
      <c r="AQO7" s="387"/>
      <c r="AQP7" s="387"/>
      <c r="AQQ7" s="387"/>
      <c r="AQR7" s="387"/>
      <c r="AQS7" s="387"/>
      <c r="AQT7" s="387"/>
      <c r="AQU7" s="387"/>
      <c r="AQV7" s="387"/>
      <c r="AQW7" s="387"/>
      <c r="AQX7" s="387"/>
      <c r="AQY7" s="387"/>
      <c r="AQZ7" s="387"/>
      <c r="ARA7" s="387"/>
      <c r="ARB7" s="387"/>
      <c r="ARC7" s="387"/>
      <c r="ARD7" s="387"/>
      <c r="ARE7" s="387"/>
      <c r="ARF7" s="387"/>
      <c r="ARG7" s="387"/>
      <c r="ARH7" s="387"/>
      <c r="ARI7" s="387"/>
      <c r="ARJ7" s="387"/>
      <c r="ARK7" s="387"/>
      <c r="ARL7" s="387"/>
      <c r="ARM7" s="387"/>
      <c r="ARN7" s="387"/>
      <c r="ARO7" s="387"/>
      <c r="ARP7" s="387"/>
      <c r="ARQ7" s="387"/>
      <c r="ARR7" s="387"/>
      <c r="ARS7" s="387"/>
      <c r="ART7" s="387"/>
      <c r="ARU7" s="387"/>
      <c r="ARV7" s="387"/>
      <c r="ARW7" s="387"/>
      <c r="ARX7" s="387"/>
      <c r="ARY7" s="387"/>
      <c r="ARZ7" s="387"/>
      <c r="ASA7" s="387"/>
      <c r="ASB7" s="387"/>
      <c r="ASC7" s="387"/>
      <c r="ASD7" s="387"/>
      <c r="ASE7" s="387"/>
      <c r="ASF7" s="387"/>
      <c r="ASG7" s="387"/>
      <c r="ASH7" s="387"/>
      <c r="ASI7" s="387"/>
      <c r="ASJ7" s="387"/>
      <c r="ASK7" s="387"/>
      <c r="ASL7" s="387"/>
      <c r="ASM7" s="387"/>
      <c r="ASN7" s="387"/>
      <c r="ASO7" s="387"/>
      <c r="ASP7" s="387"/>
      <c r="ASQ7" s="387"/>
      <c r="ASR7" s="387"/>
      <c r="ASS7" s="387"/>
      <c r="AST7" s="387"/>
      <c r="ASU7" s="387"/>
      <c r="ASV7" s="387"/>
      <c r="ASW7" s="387"/>
      <c r="ASX7" s="387"/>
      <c r="ASY7" s="387"/>
      <c r="ASZ7" s="387"/>
      <c r="ATA7" s="387"/>
      <c r="ATB7" s="387"/>
      <c r="ATC7" s="387"/>
      <c r="ATD7" s="387"/>
      <c r="ATE7" s="387"/>
      <c r="ATF7" s="387"/>
      <c r="ATG7" s="387"/>
      <c r="ATH7" s="387"/>
      <c r="ATI7" s="387"/>
      <c r="ATJ7" s="387"/>
      <c r="ATK7" s="387"/>
      <c r="ATL7" s="387"/>
      <c r="ATM7" s="387"/>
      <c r="ATN7" s="387"/>
      <c r="ATO7" s="387"/>
      <c r="ATP7" s="387"/>
      <c r="ATQ7" s="387"/>
      <c r="ATR7" s="387"/>
      <c r="ATS7" s="387"/>
      <c r="ATT7" s="387"/>
      <c r="ATU7" s="387"/>
      <c r="ATV7" s="387"/>
      <c r="ATW7" s="387"/>
      <c r="ATX7" s="387"/>
      <c r="ATY7" s="387"/>
      <c r="ATZ7" s="387"/>
      <c r="AUA7" s="387"/>
      <c r="AUB7" s="387"/>
      <c r="AUC7" s="387"/>
      <c r="AUD7" s="387"/>
      <c r="AUE7" s="387"/>
      <c r="AUF7" s="387"/>
      <c r="AUG7" s="387"/>
      <c r="AUH7" s="387"/>
      <c r="AUI7" s="387"/>
      <c r="AUJ7" s="387"/>
      <c r="AUK7" s="387"/>
      <c r="AUL7" s="387"/>
      <c r="AUM7" s="387"/>
      <c r="AUN7" s="387"/>
      <c r="AUO7" s="387"/>
      <c r="AUP7" s="387"/>
      <c r="AUQ7" s="387"/>
      <c r="AUR7" s="387"/>
      <c r="AUS7" s="387"/>
      <c r="AUT7" s="387"/>
      <c r="AUU7" s="387"/>
      <c r="AUV7" s="387"/>
      <c r="AUW7" s="387"/>
      <c r="AUX7" s="387"/>
      <c r="AUY7" s="387"/>
      <c r="AUZ7" s="387"/>
      <c r="AVA7" s="387"/>
      <c r="AVB7" s="387"/>
      <c r="AVC7" s="387"/>
      <c r="AVD7" s="387"/>
      <c r="AVE7" s="387"/>
      <c r="AVF7" s="387"/>
      <c r="AVG7" s="387"/>
      <c r="AVH7" s="387"/>
      <c r="AVI7" s="387"/>
      <c r="AVJ7" s="387"/>
      <c r="AVK7" s="387"/>
      <c r="AVL7" s="387"/>
      <c r="AVM7" s="387"/>
      <c r="AVN7" s="387"/>
      <c r="AVO7" s="387"/>
      <c r="AVP7" s="387"/>
      <c r="AVQ7" s="387"/>
      <c r="AVR7" s="387"/>
      <c r="AVS7" s="387"/>
      <c r="AVT7" s="387"/>
      <c r="AVU7" s="387"/>
      <c r="AVV7" s="387"/>
      <c r="AVW7" s="387"/>
      <c r="AVX7" s="387"/>
      <c r="AVY7" s="387"/>
      <c r="AVZ7" s="387"/>
      <c r="AWA7" s="387"/>
      <c r="AWB7" s="387"/>
      <c r="AWC7" s="387"/>
      <c r="AWD7" s="387"/>
      <c r="AWE7" s="387"/>
      <c r="AWF7" s="387"/>
      <c r="AWG7" s="387"/>
      <c r="AWH7" s="387"/>
      <c r="AWI7" s="387"/>
      <c r="AWJ7" s="387"/>
      <c r="AWK7" s="387"/>
      <c r="AWL7" s="387"/>
      <c r="AWM7" s="387"/>
      <c r="AWN7" s="387"/>
      <c r="AWO7" s="387"/>
      <c r="AWP7" s="387"/>
      <c r="AWQ7" s="387"/>
      <c r="AWR7" s="387"/>
      <c r="AWS7" s="387"/>
      <c r="AWT7" s="387"/>
      <c r="AWU7" s="387"/>
      <c r="AWV7" s="387"/>
      <c r="AWW7" s="387"/>
      <c r="AWX7" s="387"/>
      <c r="AWY7" s="387"/>
      <c r="AWZ7" s="387"/>
      <c r="AXA7" s="387"/>
      <c r="AXB7" s="387"/>
      <c r="AXC7" s="387"/>
      <c r="AXD7" s="387"/>
      <c r="AXE7" s="387"/>
      <c r="AXF7" s="387"/>
      <c r="AXG7" s="387"/>
      <c r="AXH7" s="387"/>
      <c r="AXI7" s="387"/>
      <c r="AXJ7" s="387"/>
      <c r="AXK7" s="387"/>
      <c r="AXL7" s="387"/>
      <c r="AXM7" s="387"/>
      <c r="AXN7" s="387"/>
      <c r="AXO7" s="387"/>
      <c r="AXP7" s="387"/>
      <c r="AXQ7" s="387"/>
      <c r="AXR7" s="387"/>
      <c r="AXS7" s="387"/>
      <c r="AXT7" s="387"/>
      <c r="AXU7" s="387"/>
      <c r="AXV7" s="387"/>
      <c r="AXW7" s="387"/>
      <c r="AXX7" s="387"/>
      <c r="AXY7" s="387"/>
      <c r="AXZ7" s="387"/>
      <c r="AYA7" s="387"/>
      <c r="AYB7" s="387"/>
      <c r="AYC7" s="387"/>
      <c r="AYD7" s="387"/>
      <c r="AYE7" s="387"/>
      <c r="AYF7" s="387"/>
      <c r="AYG7" s="387"/>
      <c r="AYH7" s="387"/>
      <c r="AYI7" s="387"/>
      <c r="AYJ7" s="387"/>
      <c r="AYK7" s="387"/>
      <c r="AYL7" s="387"/>
      <c r="AYM7" s="387"/>
      <c r="AYN7" s="387"/>
      <c r="AYO7" s="387"/>
      <c r="AYP7" s="387"/>
      <c r="AYQ7" s="387"/>
      <c r="AYR7" s="387"/>
      <c r="AYS7" s="387"/>
      <c r="AYT7" s="387"/>
      <c r="AYU7" s="387"/>
      <c r="AYV7" s="387"/>
      <c r="AYW7" s="387"/>
      <c r="AYX7" s="387"/>
      <c r="AYY7" s="387"/>
      <c r="AYZ7" s="387"/>
      <c r="AZA7" s="387"/>
      <c r="AZB7" s="387"/>
      <c r="AZC7" s="387"/>
      <c r="AZD7" s="387"/>
      <c r="AZE7" s="387"/>
      <c r="AZF7" s="387"/>
      <c r="AZG7" s="387"/>
      <c r="AZH7" s="387"/>
      <c r="AZI7" s="387"/>
      <c r="AZJ7" s="387"/>
      <c r="AZK7" s="387"/>
      <c r="AZL7" s="387"/>
      <c r="AZM7" s="387"/>
      <c r="AZN7" s="387"/>
      <c r="AZO7" s="387"/>
      <c r="AZP7" s="387"/>
      <c r="AZQ7" s="387"/>
      <c r="AZR7" s="387"/>
      <c r="AZS7" s="387"/>
      <c r="AZT7" s="387"/>
      <c r="AZU7" s="387"/>
      <c r="AZV7" s="387"/>
      <c r="AZW7" s="387"/>
      <c r="AZX7" s="387"/>
      <c r="AZY7" s="387"/>
      <c r="AZZ7" s="387"/>
      <c r="BAA7" s="387"/>
      <c r="BAB7" s="387"/>
      <c r="BAC7" s="387"/>
      <c r="BAD7" s="387"/>
      <c r="BAE7" s="387"/>
      <c r="BAF7" s="387"/>
      <c r="BAG7" s="387"/>
      <c r="BAH7" s="387"/>
      <c r="BAI7" s="387"/>
      <c r="BAJ7" s="387"/>
      <c r="BAK7" s="387"/>
      <c r="BAL7" s="387"/>
      <c r="BAM7" s="387"/>
      <c r="BAN7" s="387"/>
      <c r="BAO7" s="387"/>
      <c r="BAP7" s="387"/>
      <c r="BAQ7" s="387"/>
      <c r="BAR7" s="387"/>
      <c r="BAS7" s="387"/>
      <c r="BAT7" s="387"/>
      <c r="BAU7" s="387"/>
      <c r="BAV7" s="387"/>
      <c r="BAW7" s="387"/>
      <c r="BAX7" s="387"/>
      <c r="BAY7" s="387"/>
      <c r="BAZ7" s="387"/>
      <c r="BBA7" s="387"/>
      <c r="BBB7" s="387"/>
      <c r="BBC7" s="387"/>
      <c r="BBD7" s="387"/>
      <c r="BBE7" s="387"/>
      <c r="BBF7" s="387"/>
      <c r="BBG7" s="387"/>
      <c r="BBH7" s="387"/>
      <c r="BBI7" s="387"/>
      <c r="BBJ7" s="387"/>
      <c r="BBK7" s="387"/>
      <c r="BBL7" s="387"/>
      <c r="BBM7" s="387"/>
      <c r="BBN7" s="387"/>
      <c r="BBO7" s="387"/>
      <c r="BBP7" s="387"/>
      <c r="BBQ7" s="387"/>
      <c r="BBR7" s="387"/>
      <c r="BBS7" s="387"/>
      <c r="BBT7" s="387"/>
      <c r="BBU7" s="387"/>
      <c r="BBV7" s="387"/>
      <c r="BBW7" s="387"/>
      <c r="BBX7" s="387"/>
      <c r="BBY7" s="387"/>
      <c r="BBZ7" s="387"/>
      <c r="BCA7" s="387"/>
      <c r="BCB7" s="387"/>
      <c r="BCC7" s="387"/>
      <c r="BCD7" s="387"/>
      <c r="BCE7" s="387"/>
      <c r="BCF7" s="387"/>
      <c r="BCG7" s="387"/>
      <c r="BCH7" s="387"/>
      <c r="BCI7" s="387"/>
      <c r="BCJ7" s="387"/>
      <c r="BCK7" s="387"/>
      <c r="BCL7" s="387"/>
      <c r="BCM7" s="387"/>
      <c r="BCN7" s="387"/>
      <c r="BCO7" s="387"/>
      <c r="BCP7" s="387"/>
      <c r="BCQ7" s="387"/>
      <c r="BCR7" s="387"/>
      <c r="BCS7" s="387"/>
      <c r="BCT7" s="387"/>
      <c r="BCU7" s="387"/>
      <c r="BCV7" s="387"/>
      <c r="BCW7" s="387"/>
      <c r="BCX7" s="387"/>
      <c r="BCY7" s="387"/>
      <c r="BCZ7" s="387"/>
      <c r="BDA7" s="387"/>
      <c r="BDB7" s="387"/>
      <c r="BDC7" s="387"/>
      <c r="BDD7" s="387"/>
      <c r="BDE7" s="387"/>
      <c r="BDF7" s="387"/>
      <c r="BDG7" s="387"/>
      <c r="BDH7" s="387"/>
      <c r="BDI7" s="387"/>
      <c r="BDJ7" s="387"/>
      <c r="BDK7" s="387"/>
      <c r="BDL7" s="387"/>
      <c r="BDM7" s="387"/>
      <c r="BDN7" s="387"/>
      <c r="BDO7" s="387"/>
      <c r="BDP7" s="387"/>
      <c r="BDQ7" s="387"/>
      <c r="BDR7" s="387"/>
      <c r="BDS7" s="387"/>
      <c r="BDT7" s="387"/>
      <c r="BDU7" s="387"/>
      <c r="BDV7" s="387"/>
      <c r="BDW7" s="387"/>
      <c r="BDX7" s="387"/>
      <c r="BDY7" s="387"/>
      <c r="BDZ7" s="387"/>
      <c r="BEA7" s="387"/>
      <c r="BEB7" s="387"/>
      <c r="BEC7" s="387"/>
      <c r="BED7" s="387"/>
      <c r="BEE7" s="387"/>
      <c r="BEF7" s="387"/>
      <c r="BEG7" s="387"/>
      <c r="BEH7" s="387"/>
      <c r="BEI7" s="387"/>
      <c r="BEJ7" s="387"/>
      <c r="BEK7" s="387"/>
      <c r="BEL7" s="387"/>
      <c r="BEM7" s="387"/>
      <c r="BEN7" s="387"/>
      <c r="BEO7" s="387"/>
      <c r="BEP7" s="387"/>
      <c r="BEQ7" s="387"/>
      <c r="BER7" s="387"/>
      <c r="BES7" s="387"/>
      <c r="BET7" s="387"/>
      <c r="BEU7" s="387"/>
      <c r="BEV7" s="387"/>
      <c r="BEW7" s="387"/>
      <c r="BEX7" s="387"/>
      <c r="BEY7" s="387"/>
      <c r="BEZ7" s="387"/>
      <c r="BFA7" s="387"/>
      <c r="BFB7" s="387"/>
      <c r="BFC7" s="387"/>
      <c r="BFD7" s="387"/>
      <c r="BFE7" s="387"/>
      <c r="BFF7" s="387"/>
      <c r="BFG7" s="387"/>
      <c r="BFH7" s="387"/>
      <c r="BFI7" s="387"/>
      <c r="BFJ7" s="387"/>
      <c r="BFK7" s="387"/>
      <c r="BFL7" s="387"/>
      <c r="BFM7" s="387"/>
      <c r="BFN7" s="387"/>
      <c r="BFO7" s="387"/>
      <c r="BFP7" s="387"/>
      <c r="BFQ7" s="387"/>
      <c r="BFR7" s="387"/>
      <c r="BFS7" s="387"/>
      <c r="BFT7" s="387"/>
      <c r="BFU7" s="387"/>
      <c r="BFV7" s="387"/>
      <c r="BFW7" s="387"/>
      <c r="BFX7" s="387"/>
      <c r="BFY7" s="387"/>
      <c r="BFZ7" s="387"/>
      <c r="BGA7" s="387"/>
      <c r="BGB7" s="387"/>
      <c r="BGC7" s="387"/>
      <c r="BGD7" s="387"/>
      <c r="BGE7" s="387"/>
      <c r="BGF7" s="387"/>
      <c r="BGG7" s="387"/>
      <c r="BGH7" s="387"/>
      <c r="BGI7" s="387"/>
      <c r="BGJ7" s="387"/>
      <c r="BGK7" s="387"/>
      <c r="BGL7" s="387"/>
      <c r="BGM7" s="387"/>
      <c r="BGN7" s="387"/>
      <c r="BGO7" s="387"/>
      <c r="BGP7" s="387"/>
      <c r="BGQ7" s="387"/>
      <c r="BGR7" s="387"/>
      <c r="BGS7" s="387"/>
      <c r="BGT7" s="387"/>
      <c r="BGU7" s="387"/>
      <c r="BGV7" s="387"/>
      <c r="BGW7" s="387"/>
      <c r="BGX7" s="387"/>
      <c r="BGY7" s="387"/>
      <c r="BGZ7" s="387"/>
      <c r="BHA7" s="387"/>
      <c r="BHB7" s="387"/>
      <c r="BHC7" s="387"/>
      <c r="BHD7" s="387"/>
      <c r="BHE7" s="387"/>
      <c r="BHF7" s="387"/>
      <c r="BHG7" s="387"/>
      <c r="BHH7" s="387"/>
      <c r="BHI7" s="387"/>
      <c r="BHJ7" s="387"/>
      <c r="BHK7" s="387"/>
      <c r="BHL7" s="387"/>
      <c r="BHM7" s="387"/>
      <c r="BHN7" s="387"/>
      <c r="BHO7" s="387"/>
      <c r="BHP7" s="387"/>
      <c r="BHQ7" s="387"/>
      <c r="BHR7" s="387"/>
      <c r="BHS7" s="387"/>
      <c r="BHT7" s="387"/>
      <c r="BHU7" s="387"/>
      <c r="BHV7" s="387"/>
      <c r="BHW7" s="387"/>
      <c r="BHX7" s="387"/>
      <c r="BHY7" s="387"/>
      <c r="BHZ7" s="387"/>
      <c r="BIA7" s="387"/>
      <c r="BIB7" s="387"/>
      <c r="BIC7" s="387"/>
      <c r="BID7" s="387"/>
      <c r="BIE7" s="387"/>
      <c r="BIF7" s="387"/>
      <c r="BIG7" s="387"/>
      <c r="BIH7" s="387"/>
      <c r="BII7" s="387"/>
      <c r="BIJ7" s="387"/>
      <c r="BIK7" s="387"/>
      <c r="BIL7" s="387"/>
      <c r="BIM7" s="387"/>
      <c r="BIN7" s="387"/>
      <c r="BIO7" s="387"/>
      <c r="BIP7" s="387"/>
      <c r="BIQ7" s="387"/>
      <c r="BIR7" s="387"/>
      <c r="BIS7" s="387"/>
      <c r="BIT7" s="387"/>
      <c r="BIU7" s="387"/>
      <c r="BIV7" s="387"/>
      <c r="BIW7" s="387"/>
      <c r="BIX7" s="387"/>
      <c r="BIY7" s="387"/>
      <c r="BIZ7" s="387"/>
      <c r="BJA7" s="387"/>
      <c r="BJB7" s="387"/>
      <c r="BJC7" s="387"/>
      <c r="BJD7" s="387"/>
      <c r="BJE7" s="387"/>
      <c r="BJF7" s="387"/>
      <c r="BJG7" s="387"/>
      <c r="BJH7" s="387"/>
      <c r="BJI7" s="387"/>
      <c r="BJJ7" s="387"/>
      <c r="BJK7" s="387"/>
      <c r="BJL7" s="387"/>
      <c r="BJM7" s="387"/>
      <c r="BJN7" s="387"/>
      <c r="BJO7" s="387"/>
      <c r="BJP7" s="387"/>
      <c r="BJQ7" s="387"/>
      <c r="BJR7" s="387"/>
      <c r="BJS7" s="387"/>
      <c r="BJT7" s="387"/>
      <c r="BJU7" s="387"/>
      <c r="BJV7" s="387"/>
      <c r="BJW7" s="387"/>
      <c r="BJX7" s="387"/>
      <c r="BJY7" s="387"/>
      <c r="BJZ7" s="387"/>
      <c r="BKA7" s="387"/>
      <c r="BKB7" s="387"/>
      <c r="BKC7" s="387"/>
      <c r="BKD7" s="387"/>
      <c r="BKE7" s="387"/>
      <c r="BKF7" s="387"/>
      <c r="BKG7" s="387"/>
      <c r="BKH7" s="387"/>
      <c r="BKI7" s="387"/>
      <c r="BKJ7" s="387"/>
      <c r="BKK7" s="387"/>
      <c r="BKL7" s="387"/>
      <c r="BKM7" s="387"/>
      <c r="BKN7" s="387"/>
      <c r="BKO7" s="387"/>
      <c r="BKP7" s="387"/>
      <c r="BKQ7" s="387"/>
      <c r="BKR7" s="387"/>
      <c r="BKS7" s="387"/>
      <c r="BKT7" s="387"/>
      <c r="BKU7" s="387"/>
      <c r="BKV7" s="387"/>
      <c r="BKW7" s="387"/>
      <c r="BKX7" s="387"/>
      <c r="BKY7" s="387"/>
      <c r="BKZ7" s="387"/>
      <c r="BLA7" s="387"/>
      <c r="BLB7" s="387"/>
      <c r="BLC7" s="387"/>
      <c r="BLD7" s="387"/>
      <c r="BLE7" s="387"/>
      <c r="BLF7" s="387"/>
      <c r="BLG7" s="387"/>
      <c r="BLH7" s="387"/>
      <c r="BLI7" s="387"/>
      <c r="BLJ7" s="387"/>
      <c r="BLK7" s="387"/>
      <c r="BLL7" s="387"/>
      <c r="BLM7" s="387"/>
      <c r="BLN7" s="387"/>
      <c r="BLO7" s="387"/>
      <c r="BLP7" s="387"/>
      <c r="BLQ7" s="387"/>
      <c r="BLR7" s="387"/>
      <c r="BLS7" s="387"/>
      <c r="BLT7" s="387"/>
      <c r="BLU7" s="387"/>
      <c r="BLV7" s="387"/>
      <c r="BLW7" s="387"/>
      <c r="BLX7" s="387"/>
      <c r="BLY7" s="387"/>
      <c r="BLZ7" s="387"/>
      <c r="BMA7" s="387"/>
      <c r="BMB7" s="387"/>
      <c r="BMC7" s="387"/>
      <c r="BMD7" s="387"/>
      <c r="BME7" s="387"/>
      <c r="BMF7" s="387"/>
      <c r="BMG7" s="387"/>
      <c r="BMH7" s="387"/>
      <c r="BMI7" s="387"/>
      <c r="BMJ7" s="387"/>
      <c r="BMK7" s="387"/>
      <c r="BML7" s="387"/>
      <c r="BMM7" s="387"/>
      <c r="BMN7" s="387"/>
      <c r="BMO7" s="387"/>
      <c r="BMP7" s="387"/>
      <c r="BMQ7" s="387"/>
      <c r="BMR7" s="387"/>
      <c r="BMS7" s="387"/>
      <c r="BMT7" s="387"/>
      <c r="BMU7" s="387"/>
      <c r="BMV7" s="387"/>
      <c r="BMW7" s="387"/>
      <c r="BMX7" s="387"/>
      <c r="BMY7" s="387"/>
      <c r="BMZ7" s="387"/>
      <c r="BNA7" s="387"/>
      <c r="BNB7" s="387"/>
      <c r="BNC7" s="387"/>
      <c r="BND7" s="387"/>
      <c r="BNE7" s="387"/>
      <c r="BNF7" s="387"/>
      <c r="BNG7" s="387"/>
      <c r="BNH7" s="387"/>
      <c r="BNI7" s="387"/>
      <c r="BNJ7" s="387"/>
      <c r="BNK7" s="387"/>
      <c r="BNL7" s="387"/>
      <c r="BNM7" s="387"/>
      <c r="BNN7" s="387"/>
      <c r="BNO7" s="387"/>
      <c r="BNP7" s="387"/>
      <c r="BNQ7" s="387"/>
      <c r="BNR7" s="387"/>
      <c r="BNS7" s="387"/>
      <c r="BNT7" s="387"/>
      <c r="BNU7" s="387"/>
      <c r="BNV7" s="387"/>
      <c r="BNW7" s="387"/>
      <c r="BNX7" s="387"/>
      <c r="BNY7" s="387"/>
      <c r="BNZ7" s="387"/>
      <c r="BOA7" s="387"/>
      <c r="BOB7" s="387"/>
      <c r="BOC7" s="387"/>
      <c r="BOD7" s="387"/>
      <c r="BOE7" s="387"/>
      <c r="BOF7" s="387"/>
      <c r="BOG7" s="387"/>
      <c r="BOH7" s="387"/>
      <c r="BOI7" s="387"/>
      <c r="BOJ7" s="387"/>
      <c r="BOK7" s="387"/>
      <c r="BOL7" s="387"/>
      <c r="BOM7" s="387"/>
      <c r="BON7" s="387"/>
      <c r="BOO7" s="387"/>
      <c r="BOP7" s="387"/>
      <c r="BOQ7" s="387"/>
      <c r="BOR7" s="387"/>
      <c r="BOS7" s="387"/>
      <c r="BOT7" s="387"/>
      <c r="BOU7" s="387"/>
      <c r="BOV7" s="387"/>
      <c r="BOW7" s="387"/>
      <c r="BOX7" s="387"/>
      <c r="BOY7" s="387"/>
      <c r="BOZ7" s="387"/>
      <c r="BPA7" s="387"/>
      <c r="BPB7" s="387"/>
      <c r="BPC7" s="387"/>
      <c r="BPD7" s="387"/>
      <c r="BPE7" s="387"/>
      <c r="BPF7" s="387"/>
      <c r="BPG7" s="387"/>
      <c r="BPH7" s="387"/>
      <c r="BPI7" s="387"/>
      <c r="BPJ7" s="387"/>
      <c r="BPK7" s="387"/>
      <c r="BPL7" s="387"/>
      <c r="BPM7" s="387"/>
      <c r="BPN7" s="387"/>
      <c r="BPO7" s="387"/>
      <c r="BPP7" s="387"/>
      <c r="BPQ7" s="387"/>
      <c r="BPR7" s="387"/>
      <c r="BPS7" s="387"/>
      <c r="BPT7" s="387"/>
      <c r="BPU7" s="387"/>
      <c r="BPV7" s="387"/>
      <c r="BPW7" s="387"/>
      <c r="BPX7" s="387"/>
      <c r="BPY7" s="387"/>
      <c r="BPZ7" s="387"/>
      <c r="BQA7" s="387"/>
      <c r="BQB7" s="387"/>
      <c r="BQC7" s="387"/>
      <c r="BQD7" s="387"/>
      <c r="BQE7" s="387"/>
      <c r="BQF7" s="387"/>
      <c r="BQG7" s="387"/>
      <c r="BQH7" s="387"/>
      <c r="BQI7" s="387"/>
      <c r="BQJ7" s="387"/>
      <c r="BQK7" s="387"/>
      <c r="BQL7" s="387"/>
      <c r="BQM7" s="387"/>
      <c r="BQN7" s="387"/>
      <c r="BQO7" s="387"/>
      <c r="BQP7" s="387"/>
      <c r="BQQ7" s="387"/>
      <c r="BQR7" s="387"/>
      <c r="BQS7" s="387"/>
      <c r="BQT7" s="387"/>
      <c r="BQU7" s="387"/>
      <c r="BQV7" s="387"/>
      <c r="BQW7" s="387"/>
      <c r="BQX7" s="387"/>
      <c r="BQY7" s="387"/>
      <c r="BQZ7" s="387"/>
      <c r="BRA7" s="387"/>
      <c r="BRB7" s="387"/>
      <c r="BRC7" s="387"/>
      <c r="BRD7" s="387"/>
      <c r="BRE7" s="387"/>
      <c r="BRF7" s="387"/>
      <c r="BRG7" s="387"/>
      <c r="BRH7" s="387"/>
      <c r="BRI7" s="387"/>
      <c r="BRJ7" s="387"/>
      <c r="BRK7" s="387"/>
      <c r="BRL7" s="387"/>
      <c r="BRM7" s="387"/>
      <c r="BRN7" s="387"/>
      <c r="BRO7" s="387"/>
      <c r="BRP7" s="387"/>
      <c r="BRQ7" s="387"/>
      <c r="BRR7" s="387"/>
      <c r="BRS7" s="387"/>
      <c r="BRT7" s="387"/>
      <c r="BRU7" s="387"/>
      <c r="BRV7" s="387"/>
      <c r="BRW7" s="387"/>
      <c r="BRX7" s="387"/>
      <c r="BRY7" s="387"/>
      <c r="BRZ7" s="387"/>
      <c r="BSA7" s="387"/>
      <c r="BSB7" s="387"/>
      <c r="BSC7" s="387"/>
      <c r="BSD7" s="387"/>
      <c r="BSE7" s="387"/>
      <c r="BSF7" s="387"/>
      <c r="BSG7" s="387"/>
      <c r="BSH7" s="387"/>
      <c r="BSI7" s="387"/>
      <c r="BSJ7" s="387"/>
      <c r="BSK7" s="387"/>
      <c r="BSL7" s="387"/>
      <c r="BSM7" s="387"/>
      <c r="BSN7" s="387"/>
      <c r="BSO7" s="387"/>
      <c r="BSP7" s="387"/>
      <c r="BSQ7" s="387"/>
      <c r="BSR7" s="387"/>
      <c r="BSS7" s="387"/>
      <c r="BST7" s="387"/>
      <c r="BSU7" s="387"/>
      <c r="BSV7" s="387"/>
      <c r="BSW7" s="387"/>
      <c r="BSX7" s="387"/>
      <c r="BSY7" s="387"/>
      <c r="BSZ7" s="387"/>
      <c r="BTA7" s="387"/>
      <c r="BTB7" s="387"/>
      <c r="BTC7" s="387"/>
      <c r="BTD7" s="387"/>
      <c r="BTE7" s="387"/>
      <c r="BTF7" s="387"/>
      <c r="BTG7" s="387"/>
      <c r="BTH7" s="387"/>
      <c r="BTI7" s="387"/>
    </row>
    <row r="8" spans="1:1881" s="4" customFormat="1" ht="48" customHeight="1" x14ac:dyDescent="0.25">
      <c r="A8" s="186">
        <v>500</v>
      </c>
      <c r="B8" s="148" t="s">
        <v>78</v>
      </c>
      <c r="C8" s="180" t="s">
        <v>152</v>
      </c>
      <c r="D8" s="163" t="s">
        <v>153</v>
      </c>
      <c r="E8" s="683" t="e">
        <f>HLOOKUP('Unit Data from Audit Worksheet'!$D$2,'2019 Data(H)'!$D$1:$BB$202,108,FALSE)</f>
        <v>#N/A</v>
      </c>
      <c r="F8" s="686"/>
      <c r="G8" s="388">
        <f>IF(F8&lt;0,"Note: Number is normally positive.",)</f>
        <v>0</v>
      </c>
      <c r="H8" s="18"/>
      <c r="I8" s="147"/>
      <c r="J8" s="362"/>
      <c r="K8" s="387"/>
      <c r="L8" s="674" t="s">
        <v>914</v>
      </c>
      <c r="M8" s="576" t="s">
        <v>910</v>
      </c>
      <c r="N8" s="594"/>
      <c r="O8" s="387"/>
      <c r="P8" s="387"/>
      <c r="Q8" s="387"/>
      <c r="R8"/>
      <c r="S8" s="682"/>
      <c r="T8" s="387"/>
      <c r="U8" s="387"/>
      <c r="V8" s="387"/>
      <c r="W8" s="387"/>
      <c r="X8" s="682"/>
      <c r="Y8" s="387"/>
      <c r="Z8" s="387"/>
      <c r="AA8" s="387"/>
      <c r="AB8" s="387"/>
      <c r="AC8" s="387"/>
      <c r="AD8" s="387"/>
      <c r="AE8" s="387"/>
      <c r="AF8" s="387"/>
      <c r="AG8" s="387"/>
      <c r="AH8" s="387"/>
      <c r="AI8" s="387"/>
      <c r="AJ8" s="387"/>
      <c r="AK8" s="387"/>
      <c r="AL8" s="387"/>
      <c r="AM8" s="387"/>
      <c r="AN8" s="387"/>
      <c r="AO8" s="387"/>
      <c r="AP8" s="387"/>
      <c r="AQ8" s="387"/>
      <c r="AR8" s="387"/>
      <c r="AS8" s="387"/>
      <c r="AT8" s="387"/>
      <c r="AU8" s="387"/>
      <c r="AV8" s="387"/>
      <c r="AW8" s="387"/>
      <c r="AX8" s="387"/>
      <c r="AY8" s="387"/>
      <c r="AZ8" s="387"/>
      <c r="BA8" s="387"/>
      <c r="BB8" s="387"/>
      <c r="BC8" s="387"/>
      <c r="BD8" s="387"/>
      <c r="BE8" s="387"/>
      <c r="BF8" s="387"/>
      <c r="BG8" s="387"/>
      <c r="BH8" s="387"/>
      <c r="BI8" s="387"/>
      <c r="BJ8" s="387"/>
      <c r="BK8" s="387"/>
      <c r="BL8" s="387"/>
      <c r="BM8" s="387"/>
      <c r="BN8" s="387"/>
      <c r="BO8" s="387"/>
      <c r="BP8" s="387"/>
      <c r="BQ8" s="387"/>
      <c r="BR8" s="387"/>
      <c r="BS8" s="387"/>
      <c r="BT8" s="387"/>
      <c r="BU8" s="387"/>
      <c r="BV8" s="387"/>
      <c r="BW8" s="387"/>
      <c r="BX8" s="387"/>
      <c r="BY8" s="387"/>
      <c r="BZ8" s="387"/>
      <c r="CA8" s="387"/>
      <c r="CB8" s="387"/>
      <c r="CC8" s="387"/>
      <c r="CD8" s="387"/>
      <c r="CE8" s="387"/>
      <c r="CF8" s="387"/>
      <c r="CG8" s="387"/>
      <c r="CH8" s="387"/>
      <c r="CI8" s="387"/>
      <c r="CJ8" s="387"/>
      <c r="CK8" s="387"/>
      <c r="CL8" s="387"/>
      <c r="CM8" s="387"/>
      <c r="CN8" s="387"/>
      <c r="CO8" s="387"/>
      <c r="CP8" s="387"/>
      <c r="CQ8" s="387"/>
      <c r="CR8" s="387"/>
      <c r="CS8" s="387"/>
      <c r="CT8" s="387"/>
      <c r="CU8" s="387"/>
      <c r="CV8" s="387"/>
      <c r="CW8" s="387"/>
      <c r="CX8" s="387"/>
      <c r="CY8" s="387"/>
      <c r="CZ8" s="387"/>
      <c r="DA8" s="387"/>
      <c r="DB8" s="387"/>
      <c r="DC8" s="387"/>
      <c r="DD8" s="387"/>
      <c r="DE8" s="387"/>
      <c r="DF8" s="387"/>
      <c r="DG8" s="387"/>
      <c r="DH8" s="387"/>
      <c r="DI8" s="387"/>
      <c r="DJ8" s="387"/>
      <c r="DK8" s="387"/>
      <c r="DL8" s="387"/>
      <c r="DM8" s="387"/>
      <c r="DN8" s="387"/>
      <c r="DO8" s="387"/>
      <c r="DP8" s="387"/>
      <c r="DQ8" s="387"/>
      <c r="DR8" s="387"/>
      <c r="DS8" s="387"/>
      <c r="DT8" s="387"/>
      <c r="DU8" s="387"/>
      <c r="DV8" s="387"/>
      <c r="DW8" s="387"/>
      <c r="DX8" s="387"/>
      <c r="DY8" s="387"/>
      <c r="DZ8" s="387"/>
      <c r="EA8" s="387"/>
      <c r="EB8" s="387"/>
      <c r="EC8" s="387"/>
      <c r="ED8" s="387"/>
      <c r="EE8" s="387"/>
      <c r="EF8" s="387"/>
      <c r="EG8" s="387"/>
      <c r="EH8" s="387"/>
      <c r="EI8" s="387"/>
      <c r="EJ8" s="387"/>
      <c r="EK8" s="387"/>
      <c r="EL8" s="387"/>
      <c r="EM8" s="387"/>
      <c r="EN8" s="387"/>
      <c r="EO8" s="387"/>
      <c r="EP8" s="387"/>
      <c r="EQ8" s="387"/>
      <c r="ER8" s="387"/>
      <c r="ES8" s="387"/>
      <c r="ET8" s="387"/>
      <c r="EU8" s="387"/>
      <c r="EV8" s="387"/>
      <c r="EW8" s="387"/>
      <c r="EX8" s="387"/>
      <c r="EY8" s="387"/>
      <c r="EZ8" s="387"/>
      <c r="FA8" s="387"/>
      <c r="FB8" s="387"/>
      <c r="FC8" s="387"/>
      <c r="FD8" s="387"/>
      <c r="FE8" s="387"/>
      <c r="FF8" s="387"/>
      <c r="FG8" s="387"/>
      <c r="FH8" s="387"/>
      <c r="FI8" s="387"/>
      <c r="FJ8" s="387"/>
      <c r="FK8" s="387"/>
      <c r="FL8" s="387"/>
      <c r="FM8" s="387"/>
      <c r="FN8" s="387"/>
      <c r="FO8" s="387"/>
      <c r="FP8" s="387"/>
      <c r="FQ8" s="387"/>
      <c r="FR8" s="387"/>
      <c r="FS8" s="387"/>
      <c r="FT8" s="387"/>
      <c r="FU8" s="387"/>
      <c r="FV8" s="387"/>
      <c r="FW8" s="387"/>
      <c r="FX8" s="387"/>
      <c r="FY8" s="387"/>
      <c r="FZ8" s="387"/>
      <c r="GA8" s="387"/>
      <c r="GB8" s="387"/>
      <c r="GC8" s="387"/>
      <c r="GD8" s="387"/>
      <c r="GE8" s="387"/>
      <c r="GF8" s="387"/>
      <c r="GG8" s="387"/>
      <c r="GH8" s="387"/>
      <c r="GI8" s="387"/>
      <c r="GJ8" s="387"/>
      <c r="GK8" s="387"/>
      <c r="GL8" s="387"/>
      <c r="GM8" s="387"/>
      <c r="GN8" s="387"/>
      <c r="GO8" s="387"/>
      <c r="GP8" s="387"/>
      <c r="GQ8" s="387"/>
      <c r="GR8" s="387"/>
      <c r="GS8" s="387"/>
      <c r="GT8" s="387"/>
      <c r="GU8" s="387"/>
      <c r="GV8" s="387"/>
      <c r="GW8" s="387"/>
      <c r="GX8" s="387"/>
      <c r="GY8" s="387"/>
      <c r="GZ8" s="387"/>
      <c r="HA8" s="387"/>
      <c r="HB8" s="387"/>
      <c r="HC8" s="387"/>
      <c r="HD8" s="387"/>
      <c r="HE8" s="387"/>
      <c r="HF8" s="387"/>
      <c r="HG8" s="387"/>
      <c r="HH8" s="387"/>
      <c r="HI8" s="387"/>
      <c r="HJ8" s="387"/>
      <c r="HK8" s="387"/>
      <c r="HL8" s="387"/>
      <c r="HM8" s="387"/>
      <c r="HN8" s="387"/>
      <c r="HO8" s="387"/>
      <c r="HP8" s="387"/>
      <c r="HQ8" s="387"/>
      <c r="HR8" s="387"/>
      <c r="HS8" s="387"/>
      <c r="HT8" s="387"/>
      <c r="HU8" s="387"/>
      <c r="HV8" s="387"/>
      <c r="HW8" s="387"/>
      <c r="HX8" s="387"/>
      <c r="HY8" s="387"/>
      <c r="HZ8" s="387"/>
      <c r="IA8" s="387"/>
      <c r="IB8" s="387"/>
      <c r="IC8" s="387"/>
      <c r="ID8" s="387"/>
      <c r="IE8" s="387"/>
      <c r="IF8" s="387"/>
      <c r="IG8" s="387"/>
      <c r="IH8" s="387"/>
      <c r="II8" s="387"/>
      <c r="IJ8" s="387"/>
      <c r="IK8" s="387"/>
      <c r="IL8" s="387"/>
      <c r="IM8" s="387"/>
      <c r="IN8" s="387"/>
      <c r="IO8" s="387"/>
      <c r="IP8" s="387"/>
      <c r="IQ8" s="387"/>
      <c r="IR8" s="387"/>
      <c r="IS8" s="387"/>
      <c r="IT8" s="387"/>
      <c r="IU8" s="387"/>
      <c r="IV8" s="387"/>
      <c r="IW8" s="387"/>
      <c r="IX8" s="387"/>
      <c r="IY8" s="387"/>
      <c r="IZ8" s="387"/>
      <c r="JA8" s="387"/>
      <c r="JB8" s="387"/>
      <c r="JC8" s="387"/>
      <c r="JD8" s="387"/>
      <c r="JE8" s="387"/>
      <c r="JF8" s="387"/>
      <c r="JG8" s="387"/>
      <c r="JH8" s="387"/>
      <c r="JI8" s="387"/>
      <c r="JJ8" s="387"/>
      <c r="JK8" s="387"/>
      <c r="JL8" s="387"/>
      <c r="JM8" s="387"/>
      <c r="JN8" s="387"/>
      <c r="JO8" s="387"/>
      <c r="JP8" s="387"/>
      <c r="JQ8" s="387"/>
      <c r="JR8" s="387"/>
      <c r="JS8" s="387"/>
      <c r="JT8" s="387"/>
      <c r="JU8" s="387"/>
      <c r="JV8" s="387"/>
      <c r="JW8" s="387"/>
      <c r="JX8" s="387"/>
      <c r="JY8" s="387"/>
      <c r="JZ8" s="387"/>
      <c r="KA8" s="387"/>
      <c r="KB8" s="387"/>
      <c r="KC8" s="387"/>
      <c r="KD8" s="387"/>
      <c r="KE8" s="387"/>
      <c r="KF8" s="387"/>
      <c r="KG8" s="387"/>
      <c r="KH8" s="387"/>
      <c r="KI8" s="387"/>
      <c r="KJ8" s="387"/>
      <c r="KK8" s="387"/>
      <c r="KL8" s="387"/>
      <c r="KM8" s="387"/>
      <c r="KN8" s="387"/>
      <c r="KO8" s="387"/>
      <c r="KP8" s="387"/>
      <c r="KQ8" s="387"/>
      <c r="KR8" s="387"/>
      <c r="KS8" s="387"/>
      <c r="KT8" s="387"/>
      <c r="KU8" s="387"/>
      <c r="KV8" s="387"/>
      <c r="KW8" s="387"/>
      <c r="KX8" s="387"/>
      <c r="KY8" s="387"/>
      <c r="KZ8" s="387"/>
      <c r="LA8" s="387"/>
      <c r="LB8" s="387"/>
      <c r="LC8" s="387"/>
      <c r="LD8" s="387"/>
      <c r="LE8" s="387"/>
      <c r="LF8" s="387"/>
      <c r="LG8" s="387"/>
      <c r="LH8" s="387"/>
      <c r="LI8" s="387"/>
      <c r="LJ8" s="387"/>
      <c r="LK8" s="387"/>
      <c r="LL8" s="387"/>
      <c r="LM8" s="387"/>
      <c r="LN8" s="387"/>
      <c r="LO8" s="387"/>
      <c r="LP8" s="387"/>
      <c r="LQ8" s="387"/>
      <c r="LR8" s="387"/>
      <c r="LS8" s="387"/>
      <c r="LT8" s="387"/>
      <c r="LU8" s="387"/>
      <c r="LV8" s="387"/>
      <c r="LW8" s="387"/>
      <c r="LX8" s="387"/>
      <c r="LY8" s="387"/>
      <c r="LZ8" s="387"/>
      <c r="MA8" s="387"/>
      <c r="MB8" s="387"/>
      <c r="MC8" s="387"/>
      <c r="MD8" s="387"/>
      <c r="ME8" s="387"/>
      <c r="MF8" s="387"/>
      <c r="MG8" s="387"/>
      <c r="MH8" s="387"/>
      <c r="MI8" s="387"/>
      <c r="MJ8" s="387"/>
      <c r="MK8" s="387"/>
      <c r="ML8" s="387"/>
      <c r="MM8" s="387"/>
      <c r="MN8" s="387"/>
      <c r="MO8" s="387"/>
      <c r="MP8" s="387"/>
      <c r="MQ8" s="387"/>
      <c r="MR8" s="387"/>
      <c r="MS8" s="387"/>
      <c r="MT8" s="387"/>
      <c r="MU8" s="387"/>
      <c r="MV8" s="387"/>
      <c r="MW8" s="387"/>
      <c r="MX8" s="387"/>
      <c r="MY8" s="387"/>
      <c r="MZ8" s="387"/>
      <c r="NA8" s="387"/>
      <c r="NB8" s="387"/>
      <c r="NC8" s="387"/>
      <c r="ND8" s="387"/>
      <c r="NE8" s="387"/>
      <c r="NF8" s="387"/>
      <c r="NG8" s="387"/>
      <c r="NH8" s="387"/>
      <c r="NI8" s="387"/>
      <c r="NJ8" s="387"/>
      <c r="NK8" s="387"/>
      <c r="NL8" s="387"/>
      <c r="NM8" s="387"/>
      <c r="NN8" s="387"/>
      <c r="NO8" s="387"/>
      <c r="NP8" s="387"/>
      <c r="NQ8" s="387"/>
      <c r="NR8" s="387"/>
      <c r="NS8" s="387"/>
      <c r="NT8" s="387"/>
      <c r="NU8" s="387"/>
      <c r="NV8" s="387"/>
      <c r="NW8" s="387"/>
      <c r="NX8" s="387"/>
      <c r="NY8" s="387"/>
      <c r="NZ8" s="387"/>
      <c r="OA8" s="387"/>
      <c r="OB8" s="387"/>
      <c r="OC8" s="387"/>
      <c r="OD8" s="387"/>
      <c r="OE8" s="387"/>
      <c r="OF8" s="387"/>
      <c r="OG8" s="387"/>
      <c r="OH8" s="387"/>
      <c r="OI8" s="387"/>
      <c r="OJ8" s="387"/>
      <c r="OK8" s="387"/>
      <c r="OL8" s="387"/>
      <c r="OM8" s="387"/>
      <c r="ON8" s="387"/>
      <c r="OO8" s="387"/>
      <c r="OP8" s="387"/>
      <c r="OQ8" s="387"/>
      <c r="OR8" s="387"/>
      <c r="OS8" s="387"/>
      <c r="OT8" s="387"/>
      <c r="OU8" s="387"/>
      <c r="OV8" s="387"/>
      <c r="OW8" s="387"/>
      <c r="OX8" s="387"/>
      <c r="OY8" s="387"/>
      <c r="OZ8" s="387"/>
      <c r="PA8" s="387"/>
      <c r="PB8" s="387"/>
      <c r="PC8" s="387"/>
      <c r="PD8" s="387"/>
      <c r="PE8" s="387"/>
      <c r="PF8" s="387"/>
      <c r="PG8" s="387"/>
      <c r="PH8" s="387"/>
      <c r="PI8" s="387"/>
      <c r="PJ8" s="387"/>
      <c r="PK8" s="387"/>
      <c r="PL8" s="387"/>
      <c r="PM8" s="387"/>
      <c r="PN8" s="387"/>
      <c r="PO8" s="387"/>
      <c r="PP8" s="387"/>
      <c r="PQ8" s="387"/>
      <c r="PR8" s="387"/>
      <c r="PS8" s="387"/>
      <c r="PT8" s="387"/>
      <c r="PU8" s="387"/>
      <c r="PV8" s="387"/>
      <c r="PW8" s="387"/>
      <c r="PX8" s="387"/>
      <c r="PY8" s="387"/>
      <c r="PZ8" s="387"/>
      <c r="QA8" s="387"/>
      <c r="QB8" s="387"/>
      <c r="QC8" s="387"/>
      <c r="QD8" s="387"/>
      <c r="QE8" s="387"/>
      <c r="QF8" s="387"/>
      <c r="QG8" s="387"/>
      <c r="QH8" s="387"/>
      <c r="QI8" s="387"/>
      <c r="QJ8" s="387"/>
      <c r="QK8" s="387"/>
      <c r="QL8" s="387"/>
      <c r="QM8" s="387"/>
      <c r="QN8" s="387"/>
      <c r="QO8" s="387"/>
      <c r="QP8" s="387"/>
      <c r="QQ8" s="387"/>
      <c r="QR8" s="387"/>
      <c r="QS8" s="387"/>
      <c r="QT8" s="387"/>
      <c r="QU8" s="387"/>
      <c r="QV8" s="387"/>
      <c r="QW8" s="387"/>
      <c r="QX8" s="387"/>
      <c r="QY8" s="387"/>
      <c r="QZ8" s="387"/>
      <c r="RA8" s="387"/>
      <c r="RB8" s="387"/>
      <c r="RC8" s="387"/>
      <c r="RD8" s="387"/>
      <c r="RE8" s="387"/>
      <c r="RF8" s="387"/>
      <c r="RG8" s="387"/>
      <c r="RH8" s="387"/>
      <c r="RI8" s="387"/>
      <c r="RJ8" s="387"/>
      <c r="RK8" s="387"/>
      <c r="RL8" s="387"/>
      <c r="RM8" s="387"/>
      <c r="RN8" s="387"/>
      <c r="RO8" s="387"/>
      <c r="RP8" s="387"/>
      <c r="RQ8" s="387"/>
      <c r="RR8" s="387"/>
      <c r="RS8" s="387"/>
      <c r="RT8" s="387"/>
      <c r="RU8" s="387"/>
      <c r="RV8" s="387"/>
      <c r="RW8" s="387"/>
      <c r="RX8" s="387"/>
      <c r="RY8" s="387"/>
      <c r="RZ8" s="387"/>
      <c r="SA8" s="387"/>
      <c r="SB8" s="387"/>
      <c r="SC8" s="387"/>
      <c r="SD8" s="387"/>
      <c r="SE8" s="387"/>
      <c r="SF8" s="387"/>
      <c r="SG8" s="387"/>
      <c r="SH8" s="387"/>
      <c r="SI8" s="387"/>
      <c r="SJ8" s="387"/>
      <c r="SK8" s="387"/>
      <c r="SL8" s="387"/>
      <c r="SM8" s="387"/>
      <c r="SN8" s="387"/>
      <c r="SO8" s="387"/>
      <c r="SP8" s="387"/>
      <c r="SQ8" s="387"/>
      <c r="SR8" s="387"/>
      <c r="SS8" s="387"/>
      <c r="ST8" s="387"/>
      <c r="SU8" s="387"/>
      <c r="SV8" s="387"/>
      <c r="SW8" s="387"/>
      <c r="SX8" s="387"/>
      <c r="SY8" s="387"/>
      <c r="SZ8" s="387"/>
      <c r="TA8" s="387"/>
      <c r="TB8" s="387"/>
      <c r="TC8" s="387"/>
      <c r="TD8" s="387"/>
      <c r="TE8" s="387"/>
      <c r="TF8" s="387"/>
      <c r="TG8" s="387"/>
      <c r="TH8" s="387"/>
      <c r="TI8" s="387"/>
      <c r="TJ8" s="387"/>
      <c r="TK8" s="387"/>
      <c r="TL8" s="387"/>
      <c r="TM8" s="387"/>
      <c r="TN8" s="387"/>
      <c r="TO8" s="387"/>
      <c r="TP8" s="387"/>
      <c r="TQ8" s="387"/>
      <c r="TR8" s="387"/>
      <c r="TS8" s="387"/>
      <c r="TT8" s="387"/>
      <c r="TU8" s="387"/>
      <c r="TV8" s="387"/>
      <c r="TW8" s="387"/>
      <c r="TX8" s="387"/>
      <c r="TY8" s="387"/>
      <c r="TZ8" s="387"/>
      <c r="UA8" s="387"/>
      <c r="UB8" s="387"/>
      <c r="UC8" s="387"/>
      <c r="UD8" s="387"/>
      <c r="UE8" s="387"/>
      <c r="UF8" s="387"/>
      <c r="UG8" s="387"/>
      <c r="UH8" s="387"/>
      <c r="UI8" s="387"/>
      <c r="UJ8" s="387"/>
      <c r="UK8" s="387"/>
      <c r="UL8" s="387"/>
      <c r="UM8" s="387"/>
      <c r="UN8" s="387"/>
      <c r="UO8" s="387"/>
      <c r="UP8" s="387"/>
      <c r="UQ8" s="387"/>
      <c r="UR8" s="387"/>
      <c r="US8" s="387"/>
      <c r="UT8" s="387"/>
      <c r="UU8" s="387"/>
      <c r="UV8" s="387"/>
      <c r="UW8" s="387"/>
      <c r="UX8" s="387"/>
      <c r="UY8" s="387"/>
      <c r="UZ8" s="387"/>
      <c r="VA8" s="387"/>
      <c r="VB8" s="387"/>
      <c r="VC8" s="387"/>
      <c r="VD8" s="387"/>
      <c r="VE8" s="387"/>
      <c r="VF8" s="387"/>
      <c r="VG8" s="387"/>
      <c r="VH8" s="387"/>
      <c r="VI8" s="387"/>
      <c r="VJ8" s="387"/>
      <c r="VK8" s="387"/>
      <c r="VL8" s="387"/>
      <c r="VM8" s="387"/>
      <c r="VN8" s="387"/>
      <c r="VO8" s="387"/>
      <c r="VP8" s="387"/>
      <c r="VQ8" s="387"/>
      <c r="VR8" s="387"/>
      <c r="VS8" s="387"/>
      <c r="VT8" s="387"/>
      <c r="VU8" s="387"/>
      <c r="VV8" s="387"/>
      <c r="VW8" s="387"/>
      <c r="VX8" s="387"/>
      <c r="VY8" s="387"/>
      <c r="VZ8" s="387"/>
      <c r="WA8" s="387"/>
      <c r="WB8" s="387"/>
      <c r="WC8" s="387"/>
      <c r="WD8" s="387"/>
      <c r="WE8" s="387"/>
      <c r="WF8" s="387"/>
      <c r="WG8" s="387"/>
      <c r="WH8" s="387"/>
      <c r="WI8" s="387"/>
      <c r="WJ8" s="387"/>
      <c r="WK8" s="387"/>
      <c r="WL8" s="387"/>
      <c r="WM8" s="387"/>
      <c r="WN8" s="387"/>
      <c r="WO8" s="387"/>
      <c r="WP8" s="387"/>
      <c r="WQ8" s="387"/>
      <c r="WR8" s="387"/>
      <c r="WS8" s="387"/>
      <c r="WT8" s="387"/>
      <c r="WU8" s="387"/>
      <c r="WV8" s="387"/>
      <c r="WW8" s="387"/>
      <c r="WX8" s="387"/>
      <c r="WY8" s="387"/>
      <c r="WZ8" s="387"/>
      <c r="XA8" s="387"/>
      <c r="XB8" s="387"/>
      <c r="XC8" s="387"/>
      <c r="XD8" s="387"/>
      <c r="XE8" s="387"/>
      <c r="XF8" s="387"/>
      <c r="XG8" s="387"/>
      <c r="XH8" s="387"/>
      <c r="XI8" s="387"/>
      <c r="XJ8" s="387"/>
      <c r="XK8" s="387"/>
      <c r="XL8" s="387"/>
      <c r="XM8" s="387"/>
      <c r="XN8" s="387"/>
      <c r="XO8" s="387"/>
      <c r="XP8" s="387"/>
      <c r="XQ8" s="387"/>
      <c r="XR8" s="387"/>
      <c r="XS8" s="387"/>
      <c r="XT8" s="387"/>
      <c r="XU8" s="387"/>
      <c r="XV8" s="387"/>
      <c r="XW8" s="387"/>
      <c r="XX8" s="387"/>
      <c r="XY8" s="387"/>
      <c r="XZ8" s="387"/>
      <c r="YA8" s="387"/>
      <c r="YB8" s="387"/>
      <c r="YC8" s="387"/>
      <c r="YD8" s="387"/>
      <c r="YE8" s="387"/>
      <c r="YF8" s="387"/>
      <c r="YG8" s="387"/>
      <c r="YH8" s="387"/>
      <c r="YI8" s="387"/>
      <c r="YJ8" s="387"/>
      <c r="YK8" s="387"/>
      <c r="YL8" s="387"/>
      <c r="YM8" s="387"/>
      <c r="YN8" s="387"/>
      <c r="YO8" s="387"/>
      <c r="YP8" s="387"/>
      <c r="YQ8" s="387"/>
      <c r="YR8" s="387"/>
      <c r="YS8" s="387"/>
      <c r="YT8" s="387"/>
      <c r="YU8" s="387"/>
      <c r="YV8" s="387"/>
      <c r="YW8" s="387"/>
      <c r="YX8" s="387"/>
      <c r="YY8" s="387"/>
      <c r="YZ8" s="387"/>
      <c r="ZA8" s="387"/>
      <c r="ZB8" s="387"/>
      <c r="ZC8" s="387"/>
      <c r="ZD8" s="387"/>
      <c r="ZE8" s="387"/>
      <c r="ZF8" s="387"/>
      <c r="ZG8" s="387"/>
      <c r="ZH8" s="387"/>
      <c r="ZI8" s="387"/>
      <c r="ZJ8" s="387"/>
      <c r="ZK8" s="387"/>
      <c r="ZL8" s="387"/>
      <c r="ZM8" s="387"/>
      <c r="ZN8" s="387"/>
      <c r="ZO8" s="387"/>
      <c r="ZP8" s="387"/>
      <c r="ZQ8" s="387"/>
      <c r="ZR8" s="387"/>
      <c r="ZS8" s="387"/>
      <c r="ZT8" s="387"/>
      <c r="ZU8" s="387"/>
      <c r="ZV8" s="387"/>
      <c r="ZW8" s="387"/>
      <c r="ZX8" s="387"/>
      <c r="ZY8" s="387"/>
      <c r="ZZ8" s="387"/>
      <c r="AAA8" s="387"/>
      <c r="AAB8" s="387"/>
      <c r="AAC8" s="387"/>
      <c r="AAD8" s="387"/>
      <c r="AAE8" s="387"/>
      <c r="AAF8" s="387"/>
      <c r="AAG8" s="387"/>
      <c r="AAH8" s="387"/>
      <c r="AAI8" s="387"/>
      <c r="AAJ8" s="387"/>
      <c r="AAK8" s="387"/>
      <c r="AAL8" s="387"/>
      <c r="AAM8" s="387"/>
      <c r="AAN8" s="387"/>
      <c r="AAO8" s="387"/>
      <c r="AAP8" s="387"/>
      <c r="AAQ8" s="387"/>
      <c r="AAR8" s="387"/>
      <c r="AAS8" s="387"/>
      <c r="AAT8" s="387"/>
      <c r="AAU8" s="387"/>
      <c r="AAV8" s="387"/>
      <c r="AAW8" s="387"/>
      <c r="AAX8" s="387"/>
      <c r="AAY8" s="387"/>
      <c r="AAZ8" s="387"/>
      <c r="ABA8" s="387"/>
      <c r="ABB8" s="387"/>
      <c r="ABC8" s="387"/>
      <c r="ABD8" s="387"/>
      <c r="ABE8" s="387"/>
      <c r="ABF8" s="387"/>
      <c r="ABG8" s="387"/>
      <c r="ABH8" s="387"/>
      <c r="ABI8" s="387"/>
      <c r="ABJ8" s="387"/>
      <c r="ABK8" s="387"/>
      <c r="ABL8" s="387"/>
      <c r="ABM8" s="387"/>
      <c r="ABN8" s="387"/>
      <c r="ABO8" s="387"/>
      <c r="ABP8" s="387"/>
      <c r="ABQ8" s="387"/>
      <c r="ABR8" s="387"/>
      <c r="ABS8" s="387"/>
      <c r="ABT8" s="387"/>
      <c r="ABU8" s="387"/>
      <c r="ABV8" s="387"/>
      <c r="ABW8" s="387"/>
      <c r="ABX8" s="387"/>
      <c r="ABY8" s="387"/>
      <c r="ABZ8" s="387"/>
      <c r="ACA8" s="387"/>
      <c r="ACB8" s="387"/>
      <c r="ACC8" s="387"/>
      <c r="ACD8" s="387"/>
      <c r="ACE8" s="387"/>
      <c r="ACF8" s="387"/>
      <c r="ACG8" s="387"/>
      <c r="ACH8" s="387"/>
      <c r="ACI8" s="387"/>
      <c r="ACJ8" s="387"/>
      <c r="ACK8" s="387"/>
      <c r="ACL8" s="387"/>
      <c r="ACM8" s="387"/>
      <c r="ACN8" s="387"/>
      <c r="ACO8" s="387"/>
      <c r="ACP8" s="387"/>
      <c r="ACQ8" s="387"/>
      <c r="ACR8" s="387"/>
      <c r="ACS8" s="387"/>
      <c r="ACT8" s="387"/>
      <c r="ACU8" s="387"/>
      <c r="ACV8" s="387"/>
      <c r="ACW8" s="387"/>
      <c r="ACX8" s="387"/>
      <c r="ACY8" s="387"/>
      <c r="ACZ8" s="387"/>
      <c r="ADA8" s="387"/>
      <c r="ADB8" s="387"/>
      <c r="ADC8" s="387"/>
      <c r="ADD8" s="387"/>
      <c r="ADE8" s="387"/>
      <c r="ADF8" s="387"/>
      <c r="ADG8" s="387"/>
      <c r="ADH8" s="387"/>
      <c r="ADI8" s="387"/>
      <c r="ADJ8" s="387"/>
      <c r="ADK8" s="387"/>
      <c r="ADL8" s="387"/>
      <c r="ADM8" s="387"/>
      <c r="ADN8" s="387"/>
      <c r="ADO8" s="387"/>
      <c r="ADP8" s="387"/>
      <c r="ADQ8" s="387"/>
      <c r="ADR8" s="387"/>
      <c r="ADS8" s="387"/>
      <c r="ADT8" s="387"/>
      <c r="ADU8" s="387"/>
      <c r="ADV8" s="387"/>
      <c r="ADW8" s="387"/>
      <c r="ADX8" s="387"/>
      <c r="ADY8" s="387"/>
      <c r="ADZ8" s="387"/>
      <c r="AEA8" s="387"/>
      <c r="AEB8" s="387"/>
      <c r="AEC8" s="387"/>
      <c r="AED8" s="387"/>
      <c r="AEE8" s="387"/>
      <c r="AEF8" s="387"/>
      <c r="AEG8" s="387"/>
      <c r="AEH8" s="387"/>
      <c r="AEI8" s="387"/>
      <c r="AEJ8" s="387"/>
      <c r="AEK8" s="387"/>
      <c r="AEL8" s="387"/>
      <c r="AEM8" s="387"/>
      <c r="AEN8" s="387"/>
      <c r="AEO8" s="387"/>
      <c r="AEP8" s="387"/>
      <c r="AEQ8" s="387"/>
      <c r="AER8" s="387"/>
      <c r="AES8" s="387"/>
      <c r="AET8" s="387"/>
      <c r="AEU8" s="387"/>
      <c r="AEV8" s="387"/>
      <c r="AEW8" s="387"/>
      <c r="AEX8" s="387"/>
      <c r="AEY8" s="387"/>
      <c r="AEZ8" s="387"/>
      <c r="AFA8" s="387"/>
      <c r="AFB8" s="387"/>
      <c r="AFC8" s="387"/>
      <c r="AFD8" s="387"/>
      <c r="AFE8" s="387"/>
      <c r="AFF8" s="387"/>
      <c r="AFG8" s="387"/>
      <c r="AFH8" s="387"/>
      <c r="AFI8" s="387"/>
      <c r="AFJ8" s="387"/>
      <c r="AFK8" s="387"/>
      <c r="AFL8" s="387"/>
      <c r="AFM8" s="387"/>
      <c r="AFN8" s="387"/>
      <c r="AFO8" s="387"/>
      <c r="AFP8" s="387"/>
      <c r="AFQ8" s="387"/>
      <c r="AFR8" s="387"/>
      <c r="AFS8" s="387"/>
      <c r="AFT8" s="387"/>
      <c r="AFU8" s="387"/>
      <c r="AFV8" s="387"/>
      <c r="AFW8" s="387"/>
      <c r="AFX8" s="387"/>
      <c r="AFY8" s="387"/>
      <c r="AFZ8" s="387"/>
      <c r="AGA8" s="387"/>
      <c r="AGB8" s="387"/>
      <c r="AGC8" s="387"/>
      <c r="AGD8" s="387"/>
      <c r="AGE8" s="387"/>
      <c r="AGF8" s="387"/>
      <c r="AGG8" s="387"/>
      <c r="AGH8" s="387"/>
      <c r="AGI8" s="387"/>
      <c r="AGJ8" s="387"/>
      <c r="AGK8" s="387"/>
      <c r="AGL8" s="387"/>
      <c r="AGM8" s="387"/>
      <c r="AGN8" s="387"/>
      <c r="AGO8" s="387"/>
      <c r="AGP8" s="387"/>
      <c r="AGQ8" s="387"/>
      <c r="AGR8" s="387"/>
      <c r="AGS8" s="387"/>
      <c r="AGT8" s="387"/>
      <c r="AGU8" s="387"/>
      <c r="AGV8" s="387"/>
      <c r="AGW8" s="387"/>
      <c r="AGX8" s="387"/>
      <c r="AGY8" s="387"/>
      <c r="AGZ8" s="387"/>
      <c r="AHA8" s="387"/>
      <c r="AHB8" s="387"/>
      <c r="AHC8" s="387"/>
      <c r="AHD8" s="387"/>
      <c r="AHE8" s="387"/>
      <c r="AHF8" s="387"/>
      <c r="AHG8" s="387"/>
      <c r="AHH8" s="387"/>
      <c r="AHI8" s="387"/>
      <c r="AHJ8" s="387"/>
      <c r="AHK8" s="387"/>
      <c r="AHL8" s="387"/>
      <c r="AHM8" s="387"/>
      <c r="AHN8" s="387"/>
      <c r="AHO8" s="387"/>
      <c r="AHP8" s="387"/>
      <c r="AHQ8" s="387"/>
      <c r="AHR8" s="387"/>
      <c r="AHS8" s="387"/>
      <c r="AHT8" s="387"/>
      <c r="AHU8" s="387"/>
      <c r="AHV8" s="387"/>
      <c r="AHW8" s="387"/>
      <c r="AHX8" s="387"/>
      <c r="AHY8" s="387"/>
      <c r="AHZ8" s="387"/>
      <c r="AIA8" s="387"/>
      <c r="AIB8" s="387"/>
      <c r="AIC8" s="387"/>
      <c r="AID8" s="387"/>
      <c r="AIE8" s="387"/>
      <c r="AIF8" s="387"/>
      <c r="AIG8" s="387"/>
      <c r="AIH8" s="387"/>
      <c r="AII8" s="387"/>
      <c r="AIJ8" s="387"/>
      <c r="AIK8" s="387"/>
      <c r="AIL8" s="387"/>
      <c r="AIM8" s="387"/>
      <c r="AIN8" s="387"/>
      <c r="AIO8" s="387"/>
      <c r="AIP8" s="387"/>
      <c r="AIQ8" s="387"/>
      <c r="AIR8" s="387"/>
      <c r="AIS8" s="387"/>
      <c r="AIT8" s="387"/>
      <c r="AIU8" s="387"/>
      <c r="AIV8" s="387"/>
      <c r="AIW8" s="387"/>
      <c r="AIX8" s="387"/>
      <c r="AIY8" s="387"/>
      <c r="AIZ8" s="387"/>
      <c r="AJA8" s="387"/>
      <c r="AJB8" s="387"/>
      <c r="AJC8" s="387"/>
      <c r="AJD8" s="387"/>
      <c r="AJE8" s="387"/>
      <c r="AJF8" s="387"/>
      <c r="AJG8" s="387"/>
      <c r="AJH8" s="387"/>
      <c r="AJI8" s="387"/>
      <c r="AJJ8" s="387"/>
      <c r="AJK8" s="387"/>
      <c r="AJL8" s="387"/>
      <c r="AJM8" s="387"/>
      <c r="AJN8" s="387"/>
      <c r="AJO8" s="387"/>
      <c r="AJP8" s="387"/>
      <c r="AJQ8" s="387"/>
      <c r="AJR8" s="387"/>
      <c r="AJS8" s="387"/>
      <c r="AJT8" s="387"/>
      <c r="AJU8" s="387"/>
      <c r="AJV8" s="387"/>
      <c r="AJW8" s="387"/>
      <c r="AJX8" s="387"/>
      <c r="AJY8" s="387"/>
      <c r="AJZ8" s="387"/>
      <c r="AKA8" s="387"/>
      <c r="AKB8" s="387"/>
      <c r="AKC8" s="387"/>
      <c r="AKD8" s="387"/>
      <c r="AKE8" s="387"/>
      <c r="AKF8" s="387"/>
      <c r="AKG8" s="387"/>
      <c r="AKH8" s="387"/>
      <c r="AKI8" s="387"/>
      <c r="AKJ8" s="387"/>
      <c r="AKK8" s="387"/>
      <c r="AKL8" s="387"/>
      <c r="AKM8" s="387"/>
      <c r="AKN8" s="387"/>
      <c r="AKO8" s="387"/>
      <c r="AKP8" s="387"/>
      <c r="AKQ8" s="387"/>
      <c r="AKR8" s="387"/>
      <c r="AKS8" s="387"/>
      <c r="AKT8" s="387"/>
      <c r="AKU8" s="387"/>
      <c r="AKV8" s="387"/>
      <c r="AKW8" s="387"/>
      <c r="AKX8" s="387"/>
      <c r="AKY8" s="387"/>
      <c r="AKZ8" s="387"/>
      <c r="ALA8" s="387"/>
      <c r="ALB8" s="387"/>
      <c r="ALC8" s="387"/>
      <c r="ALD8" s="387"/>
      <c r="ALE8" s="387"/>
      <c r="ALF8" s="387"/>
      <c r="ALG8" s="387"/>
      <c r="ALH8" s="387"/>
      <c r="ALI8" s="387"/>
      <c r="ALJ8" s="387"/>
      <c r="ALK8" s="387"/>
      <c r="ALL8" s="387"/>
      <c r="ALM8" s="387"/>
      <c r="ALN8" s="387"/>
      <c r="ALO8" s="387"/>
      <c r="ALP8" s="387"/>
      <c r="ALQ8" s="387"/>
      <c r="ALR8" s="387"/>
      <c r="ALS8" s="387"/>
      <c r="ALT8" s="387"/>
      <c r="ALU8" s="387"/>
      <c r="ALV8" s="387"/>
      <c r="ALW8" s="387"/>
      <c r="ALX8" s="387"/>
      <c r="ALY8" s="387"/>
      <c r="ALZ8" s="387"/>
      <c r="AMA8" s="387"/>
      <c r="AMB8" s="387"/>
      <c r="AMC8" s="387"/>
      <c r="AMD8" s="387"/>
      <c r="AME8" s="387"/>
      <c r="AMF8" s="387"/>
      <c r="AMG8" s="387"/>
      <c r="AMH8" s="387"/>
      <c r="AMI8" s="387"/>
      <c r="AMJ8" s="387"/>
      <c r="AMK8" s="387"/>
      <c r="AML8" s="387"/>
      <c r="AMM8" s="387"/>
      <c r="AMN8" s="387"/>
      <c r="AMO8" s="387"/>
      <c r="AMP8" s="387"/>
      <c r="AMQ8" s="387"/>
      <c r="AMR8" s="387"/>
      <c r="AMS8" s="387"/>
      <c r="AMT8" s="387"/>
      <c r="AMU8" s="387"/>
      <c r="AMV8" s="387"/>
      <c r="AMW8" s="387"/>
      <c r="AMX8" s="387"/>
      <c r="AMY8" s="387"/>
      <c r="AMZ8" s="387"/>
      <c r="ANA8" s="387"/>
      <c r="ANB8" s="387"/>
      <c r="ANC8" s="387"/>
      <c r="AND8" s="387"/>
      <c r="ANE8" s="387"/>
      <c r="ANF8" s="387"/>
      <c r="ANG8" s="387"/>
      <c r="ANH8" s="387"/>
      <c r="ANI8" s="387"/>
      <c r="ANJ8" s="387"/>
      <c r="ANK8" s="387"/>
      <c r="ANL8" s="387"/>
      <c r="ANM8" s="387"/>
      <c r="ANN8" s="387"/>
      <c r="ANO8" s="387"/>
      <c r="ANP8" s="387"/>
      <c r="ANQ8" s="387"/>
      <c r="ANR8" s="387"/>
      <c r="ANS8" s="387"/>
      <c r="ANT8" s="387"/>
      <c r="ANU8" s="387"/>
      <c r="ANV8" s="387"/>
      <c r="ANW8" s="387"/>
      <c r="ANX8" s="387"/>
      <c r="ANY8" s="387"/>
      <c r="ANZ8" s="387"/>
      <c r="AOA8" s="387"/>
      <c r="AOB8" s="387"/>
      <c r="AOC8" s="387"/>
      <c r="AOD8" s="387"/>
      <c r="AOE8" s="387"/>
      <c r="AOF8" s="387"/>
      <c r="AOG8" s="387"/>
      <c r="AOH8" s="387"/>
      <c r="AOI8" s="387"/>
      <c r="AOJ8" s="387"/>
      <c r="AOK8" s="387"/>
      <c r="AOL8" s="387"/>
      <c r="AOM8" s="387"/>
      <c r="AON8" s="387"/>
      <c r="AOO8" s="387"/>
      <c r="AOP8" s="387"/>
      <c r="AOQ8" s="387"/>
      <c r="AOR8" s="387"/>
      <c r="AOS8" s="387"/>
      <c r="AOT8" s="387"/>
      <c r="AOU8" s="387"/>
      <c r="AOV8" s="387"/>
      <c r="AOW8" s="387"/>
      <c r="AOX8" s="387"/>
      <c r="AOY8" s="387"/>
      <c r="AOZ8" s="387"/>
      <c r="APA8" s="387"/>
      <c r="APB8" s="387"/>
      <c r="APC8" s="387"/>
      <c r="APD8" s="387"/>
      <c r="APE8" s="387"/>
      <c r="APF8" s="387"/>
      <c r="APG8" s="387"/>
      <c r="APH8" s="387"/>
      <c r="API8" s="387"/>
      <c r="APJ8" s="387"/>
      <c r="APK8" s="387"/>
      <c r="APL8" s="387"/>
      <c r="APM8" s="387"/>
      <c r="APN8" s="387"/>
      <c r="APO8" s="387"/>
      <c r="APP8" s="387"/>
      <c r="APQ8" s="387"/>
      <c r="APR8" s="387"/>
      <c r="APS8" s="387"/>
      <c r="APT8" s="387"/>
      <c r="APU8" s="387"/>
      <c r="APV8" s="387"/>
      <c r="APW8" s="387"/>
      <c r="APX8" s="387"/>
      <c r="APY8" s="387"/>
      <c r="APZ8" s="387"/>
      <c r="AQA8" s="387"/>
      <c r="AQB8" s="387"/>
      <c r="AQC8" s="387"/>
      <c r="AQD8" s="387"/>
      <c r="AQE8" s="387"/>
      <c r="AQF8" s="387"/>
      <c r="AQG8" s="387"/>
      <c r="AQH8" s="387"/>
      <c r="AQI8" s="387"/>
      <c r="AQJ8" s="387"/>
      <c r="AQK8" s="387"/>
      <c r="AQL8" s="387"/>
      <c r="AQM8" s="387"/>
      <c r="AQN8" s="387"/>
      <c r="AQO8" s="387"/>
      <c r="AQP8" s="387"/>
      <c r="AQQ8" s="387"/>
      <c r="AQR8" s="387"/>
      <c r="AQS8" s="387"/>
      <c r="AQT8" s="387"/>
      <c r="AQU8" s="387"/>
      <c r="AQV8" s="387"/>
      <c r="AQW8" s="387"/>
      <c r="AQX8" s="387"/>
      <c r="AQY8" s="387"/>
      <c r="AQZ8" s="387"/>
      <c r="ARA8" s="387"/>
      <c r="ARB8" s="387"/>
      <c r="ARC8" s="387"/>
      <c r="ARD8" s="387"/>
      <c r="ARE8" s="387"/>
      <c r="ARF8" s="387"/>
      <c r="ARG8" s="387"/>
      <c r="ARH8" s="387"/>
      <c r="ARI8" s="387"/>
      <c r="ARJ8" s="387"/>
      <c r="ARK8" s="387"/>
      <c r="ARL8" s="387"/>
      <c r="ARM8" s="387"/>
      <c r="ARN8" s="387"/>
      <c r="ARO8" s="387"/>
      <c r="ARP8" s="387"/>
      <c r="ARQ8" s="387"/>
      <c r="ARR8" s="387"/>
      <c r="ARS8" s="387"/>
      <c r="ART8" s="387"/>
      <c r="ARU8" s="387"/>
      <c r="ARV8" s="387"/>
      <c r="ARW8" s="387"/>
      <c r="ARX8" s="387"/>
      <c r="ARY8" s="387"/>
      <c r="ARZ8" s="387"/>
      <c r="ASA8" s="387"/>
      <c r="ASB8" s="387"/>
      <c r="ASC8" s="387"/>
      <c r="ASD8" s="387"/>
      <c r="ASE8" s="387"/>
      <c r="ASF8" s="387"/>
      <c r="ASG8" s="387"/>
      <c r="ASH8" s="387"/>
      <c r="ASI8" s="387"/>
      <c r="ASJ8" s="387"/>
      <c r="ASK8" s="387"/>
      <c r="ASL8" s="387"/>
      <c r="ASM8" s="387"/>
      <c r="ASN8" s="387"/>
      <c r="ASO8" s="387"/>
      <c r="ASP8" s="387"/>
      <c r="ASQ8" s="387"/>
      <c r="ASR8" s="387"/>
      <c r="ASS8" s="387"/>
      <c r="AST8" s="387"/>
      <c r="ASU8" s="387"/>
      <c r="ASV8" s="387"/>
      <c r="ASW8" s="387"/>
      <c r="ASX8" s="387"/>
      <c r="ASY8" s="387"/>
      <c r="ASZ8" s="387"/>
      <c r="ATA8" s="387"/>
      <c r="ATB8" s="387"/>
      <c r="ATC8" s="387"/>
      <c r="ATD8" s="387"/>
      <c r="ATE8" s="387"/>
      <c r="ATF8" s="387"/>
      <c r="ATG8" s="387"/>
      <c r="ATH8" s="387"/>
      <c r="ATI8" s="387"/>
      <c r="ATJ8" s="387"/>
      <c r="ATK8" s="387"/>
      <c r="ATL8" s="387"/>
      <c r="ATM8" s="387"/>
      <c r="ATN8" s="387"/>
      <c r="ATO8" s="387"/>
      <c r="ATP8" s="387"/>
      <c r="ATQ8" s="387"/>
      <c r="ATR8" s="387"/>
      <c r="ATS8" s="387"/>
      <c r="ATT8" s="387"/>
      <c r="ATU8" s="387"/>
      <c r="ATV8" s="387"/>
      <c r="ATW8" s="387"/>
      <c r="ATX8" s="387"/>
      <c r="ATY8" s="387"/>
      <c r="ATZ8" s="387"/>
      <c r="AUA8" s="387"/>
      <c r="AUB8" s="387"/>
      <c r="AUC8" s="387"/>
      <c r="AUD8" s="387"/>
      <c r="AUE8" s="387"/>
      <c r="AUF8" s="387"/>
      <c r="AUG8" s="387"/>
      <c r="AUH8" s="387"/>
      <c r="AUI8" s="387"/>
      <c r="AUJ8" s="387"/>
      <c r="AUK8" s="387"/>
      <c r="AUL8" s="387"/>
      <c r="AUM8" s="387"/>
      <c r="AUN8" s="387"/>
      <c r="AUO8" s="387"/>
      <c r="AUP8" s="387"/>
      <c r="AUQ8" s="387"/>
      <c r="AUR8" s="387"/>
      <c r="AUS8" s="387"/>
      <c r="AUT8" s="387"/>
      <c r="AUU8" s="387"/>
      <c r="AUV8" s="387"/>
      <c r="AUW8" s="387"/>
      <c r="AUX8" s="387"/>
      <c r="AUY8" s="387"/>
      <c r="AUZ8" s="387"/>
      <c r="AVA8" s="387"/>
      <c r="AVB8" s="387"/>
      <c r="AVC8" s="387"/>
      <c r="AVD8" s="387"/>
      <c r="AVE8" s="387"/>
      <c r="AVF8" s="387"/>
      <c r="AVG8" s="387"/>
      <c r="AVH8" s="387"/>
      <c r="AVI8" s="387"/>
      <c r="AVJ8" s="387"/>
      <c r="AVK8" s="387"/>
      <c r="AVL8" s="387"/>
      <c r="AVM8" s="387"/>
      <c r="AVN8" s="387"/>
      <c r="AVO8" s="387"/>
      <c r="AVP8" s="387"/>
      <c r="AVQ8" s="387"/>
      <c r="AVR8" s="387"/>
      <c r="AVS8" s="387"/>
      <c r="AVT8" s="387"/>
      <c r="AVU8" s="387"/>
      <c r="AVV8" s="387"/>
      <c r="AVW8" s="387"/>
      <c r="AVX8" s="387"/>
      <c r="AVY8" s="387"/>
      <c r="AVZ8" s="387"/>
      <c r="AWA8" s="387"/>
      <c r="AWB8" s="387"/>
      <c r="AWC8" s="387"/>
      <c r="AWD8" s="387"/>
      <c r="AWE8" s="387"/>
      <c r="AWF8" s="387"/>
      <c r="AWG8" s="387"/>
      <c r="AWH8" s="387"/>
      <c r="AWI8" s="387"/>
      <c r="AWJ8" s="387"/>
      <c r="AWK8" s="387"/>
      <c r="AWL8" s="387"/>
      <c r="AWM8" s="387"/>
      <c r="AWN8" s="387"/>
      <c r="AWO8" s="387"/>
      <c r="AWP8" s="387"/>
      <c r="AWQ8" s="387"/>
      <c r="AWR8" s="387"/>
      <c r="AWS8" s="387"/>
      <c r="AWT8" s="387"/>
      <c r="AWU8" s="387"/>
      <c r="AWV8" s="387"/>
      <c r="AWW8" s="387"/>
      <c r="AWX8" s="387"/>
      <c r="AWY8" s="387"/>
      <c r="AWZ8" s="387"/>
      <c r="AXA8" s="387"/>
      <c r="AXB8" s="387"/>
      <c r="AXC8" s="387"/>
      <c r="AXD8" s="387"/>
      <c r="AXE8" s="387"/>
      <c r="AXF8" s="387"/>
      <c r="AXG8" s="387"/>
      <c r="AXH8" s="387"/>
      <c r="AXI8" s="387"/>
      <c r="AXJ8" s="387"/>
      <c r="AXK8" s="387"/>
      <c r="AXL8" s="387"/>
      <c r="AXM8" s="387"/>
      <c r="AXN8" s="387"/>
      <c r="AXO8" s="387"/>
      <c r="AXP8" s="387"/>
      <c r="AXQ8" s="387"/>
      <c r="AXR8" s="387"/>
      <c r="AXS8" s="387"/>
      <c r="AXT8" s="387"/>
      <c r="AXU8" s="387"/>
      <c r="AXV8" s="387"/>
      <c r="AXW8" s="387"/>
      <c r="AXX8" s="387"/>
      <c r="AXY8" s="387"/>
      <c r="AXZ8" s="387"/>
      <c r="AYA8" s="387"/>
      <c r="AYB8" s="387"/>
      <c r="AYC8" s="387"/>
      <c r="AYD8" s="387"/>
      <c r="AYE8" s="387"/>
      <c r="AYF8" s="387"/>
      <c r="AYG8" s="387"/>
      <c r="AYH8" s="387"/>
      <c r="AYI8" s="387"/>
      <c r="AYJ8" s="387"/>
      <c r="AYK8" s="387"/>
      <c r="AYL8" s="387"/>
      <c r="AYM8" s="387"/>
      <c r="AYN8" s="387"/>
      <c r="AYO8" s="387"/>
      <c r="AYP8" s="387"/>
      <c r="AYQ8" s="387"/>
      <c r="AYR8" s="387"/>
      <c r="AYS8" s="387"/>
      <c r="AYT8" s="387"/>
      <c r="AYU8" s="387"/>
      <c r="AYV8" s="387"/>
      <c r="AYW8" s="387"/>
      <c r="AYX8" s="387"/>
      <c r="AYY8" s="387"/>
      <c r="AYZ8" s="387"/>
      <c r="AZA8" s="387"/>
      <c r="AZB8" s="387"/>
      <c r="AZC8" s="387"/>
      <c r="AZD8" s="387"/>
      <c r="AZE8" s="387"/>
      <c r="AZF8" s="387"/>
      <c r="AZG8" s="387"/>
      <c r="AZH8" s="387"/>
      <c r="AZI8" s="387"/>
      <c r="AZJ8" s="387"/>
      <c r="AZK8" s="387"/>
      <c r="AZL8" s="387"/>
      <c r="AZM8" s="387"/>
      <c r="AZN8" s="387"/>
      <c r="AZO8" s="387"/>
      <c r="AZP8" s="387"/>
      <c r="AZQ8" s="387"/>
      <c r="AZR8" s="387"/>
      <c r="AZS8" s="387"/>
      <c r="AZT8" s="387"/>
      <c r="AZU8" s="387"/>
      <c r="AZV8" s="387"/>
      <c r="AZW8" s="387"/>
      <c r="AZX8" s="387"/>
      <c r="AZY8" s="387"/>
      <c r="AZZ8" s="387"/>
      <c r="BAA8" s="387"/>
      <c r="BAB8" s="387"/>
      <c r="BAC8" s="387"/>
      <c r="BAD8" s="387"/>
      <c r="BAE8" s="387"/>
      <c r="BAF8" s="387"/>
      <c r="BAG8" s="387"/>
      <c r="BAH8" s="387"/>
      <c r="BAI8" s="387"/>
      <c r="BAJ8" s="387"/>
      <c r="BAK8" s="387"/>
      <c r="BAL8" s="387"/>
      <c r="BAM8" s="387"/>
      <c r="BAN8" s="387"/>
      <c r="BAO8" s="387"/>
      <c r="BAP8" s="387"/>
      <c r="BAQ8" s="387"/>
      <c r="BAR8" s="387"/>
      <c r="BAS8" s="387"/>
      <c r="BAT8" s="387"/>
      <c r="BAU8" s="387"/>
      <c r="BAV8" s="387"/>
      <c r="BAW8" s="387"/>
      <c r="BAX8" s="387"/>
      <c r="BAY8" s="387"/>
      <c r="BAZ8" s="387"/>
      <c r="BBA8" s="387"/>
      <c r="BBB8" s="387"/>
      <c r="BBC8" s="387"/>
      <c r="BBD8" s="387"/>
      <c r="BBE8" s="387"/>
      <c r="BBF8" s="387"/>
      <c r="BBG8" s="387"/>
      <c r="BBH8" s="387"/>
      <c r="BBI8" s="387"/>
      <c r="BBJ8" s="387"/>
      <c r="BBK8" s="387"/>
      <c r="BBL8" s="387"/>
      <c r="BBM8" s="387"/>
      <c r="BBN8" s="387"/>
      <c r="BBO8" s="387"/>
      <c r="BBP8" s="387"/>
      <c r="BBQ8" s="387"/>
      <c r="BBR8" s="387"/>
      <c r="BBS8" s="387"/>
      <c r="BBT8" s="387"/>
      <c r="BBU8" s="387"/>
      <c r="BBV8" s="387"/>
      <c r="BBW8" s="387"/>
      <c r="BBX8" s="387"/>
      <c r="BBY8" s="387"/>
      <c r="BBZ8" s="387"/>
      <c r="BCA8" s="387"/>
      <c r="BCB8" s="387"/>
      <c r="BCC8" s="387"/>
      <c r="BCD8" s="387"/>
      <c r="BCE8" s="387"/>
      <c r="BCF8" s="387"/>
      <c r="BCG8" s="387"/>
      <c r="BCH8" s="387"/>
      <c r="BCI8" s="387"/>
      <c r="BCJ8" s="387"/>
      <c r="BCK8" s="387"/>
      <c r="BCL8" s="387"/>
      <c r="BCM8" s="387"/>
      <c r="BCN8" s="387"/>
      <c r="BCO8" s="387"/>
      <c r="BCP8" s="387"/>
      <c r="BCQ8" s="387"/>
      <c r="BCR8" s="387"/>
      <c r="BCS8" s="387"/>
      <c r="BCT8" s="387"/>
      <c r="BCU8" s="387"/>
      <c r="BCV8" s="387"/>
      <c r="BCW8" s="387"/>
      <c r="BCX8" s="387"/>
      <c r="BCY8" s="387"/>
      <c r="BCZ8" s="387"/>
      <c r="BDA8" s="387"/>
      <c r="BDB8" s="387"/>
      <c r="BDC8" s="387"/>
      <c r="BDD8" s="387"/>
      <c r="BDE8" s="387"/>
      <c r="BDF8" s="387"/>
      <c r="BDG8" s="387"/>
      <c r="BDH8" s="387"/>
      <c r="BDI8" s="387"/>
      <c r="BDJ8" s="387"/>
      <c r="BDK8" s="387"/>
      <c r="BDL8" s="387"/>
      <c r="BDM8" s="387"/>
      <c r="BDN8" s="387"/>
      <c r="BDO8" s="387"/>
      <c r="BDP8" s="387"/>
      <c r="BDQ8" s="387"/>
      <c r="BDR8" s="387"/>
      <c r="BDS8" s="387"/>
      <c r="BDT8" s="387"/>
      <c r="BDU8" s="387"/>
      <c r="BDV8" s="387"/>
      <c r="BDW8" s="387"/>
      <c r="BDX8" s="387"/>
      <c r="BDY8" s="387"/>
      <c r="BDZ8" s="387"/>
      <c r="BEA8" s="387"/>
      <c r="BEB8" s="387"/>
      <c r="BEC8" s="387"/>
      <c r="BED8" s="387"/>
      <c r="BEE8" s="387"/>
      <c r="BEF8" s="387"/>
      <c r="BEG8" s="387"/>
      <c r="BEH8" s="387"/>
      <c r="BEI8" s="387"/>
      <c r="BEJ8" s="387"/>
      <c r="BEK8" s="387"/>
      <c r="BEL8" s="387"/>
      <c r="BEM8" s="387"/>
      <c r="BEN8" s="387"/>
      <c r="BEO8" s="387"/>
      <c r="BEP8" s="387"/>
      <c r="BEQ8" s="387"/>
      <c r="BER8" s="387"/>
      <c r="BES8" s="387"/>
      <c r="BET8" s="387"/>
      <c r="BEU8" s="387"/>
      <c r="BEV8" s="387"/>
      <c r="BEW8" s="387"/>
      <c r="BEX8" s="387"/>
      <c r="BEY8" s="387"/>
      <c r="BEZ8" s="387"/>
      <c r="BFA8" s="387"/>
      <c r="BFB8" s="387"/>
      <c r="BFC8" s="387"/>
      <c r="BFD8" s="387"/>
      <c r="BFE8" s="387"/>
      <c r="BFF8" s="387"/>
      <c r="BFG8" s="387"/>
      <c r="BFH8" s="387"/>
      <c r="BFI8" s="387"/>
      <c r="BFJ8" s="387"/>
      <c r="BFK8" s="387"/>
      <c r="BFL8" s="387"/>
      <c r="BFM8" s="387"/>
      <c r="BFN8" s="387"/>
      <c r="BFO8" s="387"/>
      <c r="BFP8" s="387"/>
      <c r="BFQ8" s="387"/>
      <c r="BFR8" s="387"/>
      <c r="BFS8" s="387"/>
      <c r="BFT8" s="387"/>
      <c r="BFU8" s="387"/>
      <c r="BFV8" s="387"/>
      <c r="BFW8" s="387"/>
      <c r="BFX8" s="387"/>
      <c r="BFY8" s="387"/>
      <c r="BFZ8" s="387"/>
      <c r="BGA8" s="387"/>
      <c r="BGB8" s="387"/>
      <c r="BGC8" s="387"/>
      <c r="BGD8" s="387"/>
      <c r="BGE8" s="387"/>
      <c r="BGF8" s="387"/>
      <c r="BGG8" s="387"/>
      <c r="BGH8" s="387"/>
      <c r="BGI8" s="387"/>
      <c r="BGJ8" s="387"/>
      <c r="BGK8" s="387"/>
      <c r="BGL8" s="387"/>
      <c r="BGM8" s="387"/>
      <c r="BGN8" s="387"/>
      <c r="BGO8" s="387"/>
      <c r="BGP8" s="387"/>
      <c r="BGQ8" s="387"/>
      <c r="BGR8" s="387"/>
      <c r="BGS8" s="387"/>
      <c r="BGT8" s="387"/>
      <c r="BGU8" s="387"/>
      <c r="BGV8" s="387"/>
      <c r="BGW8" s="387"/>
      <c r="BGX8" s="387"/>
      <c r="BGY8" s="387"/>
      <c r="BGZ8" s="387"/>
      <c r="BHA8" s="387"/>
      <c r="BHB8" s="387"/>
      <c r="BHC8" s="387"/>
      <c r="BHD8" s="387"/>
      <c r="BHE8" s="387"/>
      <c r="BHF8" s="387"/>
      <c r="BHG8" s="387"/>
      <c r="BHH8" s="387"/>
      <c r="BHI8" s="387"/>
      <c r="BHJ8" s="387"/>
      <c r="BHK8" s="387"/>
      <c r="BHL8" s="387"/>
      <c r="BHM8" s="387"/>
      <c r="BHN8" s="387"/>
      <c r="BHO8" s="387"/>
      <c r="BHP8" s="387"/>
      <c r="BHQ8" s="387"/>
      <c r="BHR8" s="387"/>
      <c r="BHS8" s="387"/>
      <c r="BHT8" s="387"/>
      <c r="BHU8" s="387"/>
      <c r="BHV8" s="387"/>
      <c r="BHW8" s="387"/>
      <c r="BHX8" s="387"/>
      <c r="BHY8" s="387"/>
      <c r="BHZ8" s="387"/>
      <c r="BIA8" s="387"/>
      <c r="BIB8" s="387"/>
      <c r="BIC8" s="387"/>
      <c r="BID8" s="387"/>
      <c r="BIE8" s="387"/>
      <c r="BIF8" s="387"/>
      <c r="BIG8" s="387"/>
      <c r="BIH8" s="387"/>
      <c r="BII8" s="387"/>
      <c r="BIJ8" s="387"/>
      <c r="BIK8" s="387"/>
      <c r="BIL8" s="387"/>
      <c r="BIM8" s="387"/>
      <c r="BIN8" s="387"/>
      <c r="BIO8" s="387"/>
      <c r="BIP8" s="387"/>
      <c r="BIQ8" s="387"/>
      <c r="BIR8" s="387"/>
      <c r="BIS8" s="387"/>
      <c r="BIT8" s="387"/>
      <c r="BIU8" s="387"/>
      <c r="BIV8" s="387"/>
      <c r="BIW8" s="387"/>
      <c r="BIX8" s="387"/>
      <c r="BIY8" s="387"/>
      <c r="BIZ8" s="387"/>
      <c r="BJA8" s="387"/>
      <c r="BJB8" s="387"/>
      <c r="BJC8" s="387"/>
      <c r="BJD8" s="387"/>
      <c r="BJE8" s="387"/>
      <c r="BJF8" s="387"/>
      <c r="BJG8" s="387"/>
      <c r="BJH8" s="387"/>
      <c r="BJI8" s="387"/>
      <c r="BJJ8" s="387"/>
      <c r="BJK8" s="387"/>
      <c r="BJL8" s="387"/>
      <c r="BJM8" s="387"/>
      <c r="BJN8" s="387"/>
      <c r="BJO8" s="387"/>
      <c r="BJP8" s="387"/>
      <c r="BJQ8" s="387"/>
      <c r="BJR8" s="387"/>
      <c r="BJS8" s="387"/>
      <c r="BJT8" s="387"/>
      <c r="BJU8" s="387"/>
      <c r="BJV8" s="387"/>
      <c r="BJW8" s="387"/>
      <c r="BJX8" s="387"/>
      <c r="BJY8" s="387"/>
      <c r="BJZ8" s="387"/>
      <c r="BKA8" s="387"/>
      <c r="BKB8" s="387"/>
      <c r="BKC8" s="387"/>
      <c r="BKD8" s="387"/>
      <c r="BKE8" s="387"/>
      <c r="BKF8" s="387"/>
      <c r="BKG8" s="387"/>
      <c r="BKH8" s="387"/>
      <c r="BKI8" s="387"/>
      <c r="BKJ8" s="387"/>
      <c r="BKK8" s="387"/>
      <c r="BKL8" s="387"/>
      <c r="BKM8" s="387"/>
      <c r="BKN8" s="387"/>
      <c r="BKO8" s="387"/>
      <c r="BKP8" s="387"/>
      <c r="BKQ8" s="387"/>
      <c r="BKR8" s="387"/>
      <c r="BKS8" s="387"/>
      <c r="BKT8" s="387"/>
      <c r="BKU8" s="387"/>
      <c r="BKV8" s="387"/>
      <c r="BKW8" s="387"/>
      <c r="BKX8" s="387"/>
      <c r="BKY8" s="387"/>
      <c r="BKZ8" s="387"/>
      <c r="BLA8" s="387"/>
      <c r="BLB8" s="387"/>
      <c r="BLC8" s="387"/>
      <c r="BLD8" s="387"/>
      <c r="BLE8" s="387"/>
      <c r="BLF8" s="387"/>
      <c r="BLG8" s="387"/>
      <c r="BLH8" s="387"/>
      <c r="BLI8" s="387"/>
      <c r="BLJ8" s="387"/>
      <c r="BLK8" s="387"/>
      <c r="BLL8" s="387"/>
      <c r="BLM8" s="387"/>
      <c r="BLN8" s="387"/>
      <c r="BLO8" s="387"/>
      <c r="BLP8" s="387"/>
      <c r="BLQ8" s="387"/>
      <c r="BLR8" s="387"/>
      <c r="BLS8" s="387"/>
      <c r="BLT8" s="387"/>
      <c r="BLU8" s="387"/>
      <c r="BLV8" s="387"/>
      <c r="BLW8" s="387"/>
      <c r="BLX8" s="387"/>
      <c r="BLY8" s="387"/>
      <c r="BLZ8" s="387"/>
      <c r="BMA8" s="387"/>
      <c r="BMB8" s="387"/>
      <c r="BMC8" s="387"/>
      <c r="BMD8" s="387"/>
      <c r="BME8" s="387"/>
      <c r="BMF8" s="387"/>
      <c r="BMG8" s="387"/>
      <c r="BMH8" s="387"/>
      <c r="BMI8" s="387"/>
      <c r="BMJ8" s="387"/>
      <c r="BMK8" s="387"/>
      <c r="BML8" s="387"/>
      <c r="BMM8" s="387"/>
      <c r="BMN8" s="387"/>
      <c r="BMO8" s="387"/>
      <c r="BMP8" s="387"/>
      <c r="BMQ8" s="387"/>
      <c r="BMR8" s="387"/>
      <c r="BMS8" s="387"/>
      <c r="BMT8" s="387"/>
      <c r="BMU8" s="387"/>
      <c r="BMV8" s="387"/>
      <c r="BMW8" s="387"/>
      <c r="BMX8" s="387"/>
      <c r="BMY8" s="387"/>
      <c r="BMZ8" s="387"/>
      <c r="BNA8" s="387"/>
      <c r="BNB8" s="387"/>
      <c r="BNC8" s="387"/>
      <c r="BND8" s="387"/>
      <c r="BNE8" s="387"/>
      <c r="BNF8" s="387"/>
      <c r="BNG8" s="387"/>
      <c r="BNH8" s="387"/>
      <c r="BNI8" s="387"/>
      <c r="BNJ8" s="387"/>
      <c r="BNK8" s="387"/>
      <c r="BNL8" s="387"/>
      <c r="BNM8" s="387"/>
      <c r="BNN8" s="387"/>
      <c r="BNO8" s="387"/>
      <c r="BNP8" s="387"/>
      <c r="BNQ8" s="387"/>
      <c r="BNR8" s="387"/>
      <c r="BNS8" s="387"/>
      <c r="BNT8" s="387"/>
      <c r="BNU8" s="387"/>
      <c r="BNV8" s="387"/>
      <c r="BNW8" s="387"/>
      <c r="BNX8" s="387"/>
      <c r="BNY8" s="387"/>
      <c r="BNZ8" s="387"/>
      <c r="BOA8" s="387"/>
      <c r="BOB8" s="387"/>
      <c r="BOC8" s="387"/>
      <c r="BOD8" s="387"/>
      <c r="BOE8" s="387"/>
      <c r="BOF8" s="387"/>
      <c r="BOG8" s="387"/>
      <c r="BOH8" s="387"/>
      <c r="BOI8" s="387"/>
      <c r="BOJ8" s="387"/>
      <c r="BOK8" s="387"/>
      <c r="BOL8" s="387"/>
      <c r="BOM8" s="387"/>
      <c r="BON8" s="387"/>
      <c r="BOO8" s="387"/>
      <c r="BOP8" s="387"/>
      <c r="BOQ8" s="387"/>
      <c r="BOR8" s="387"/>
      <c r="BOS8" s="387"/>
      <c r="BOT8" s="387"/>
      <c r="BOU8" s="387"/>
      <c r="BOV8" s="387"/>
      <c r="BOW8" s="387"/>
      <c r="BOX8" s="387"/>
      <c r="BOY8" s="387"/>
      <c r="BOZ8" s="387"/>
      <c r="BPA8" s="387"/>
      <c r="BPB8" s="387"/>
      <c r="BPC8" s="387"/>
      <c r="BPD8" s="387"/>
      <c r="BPE8" s="387"/>
      <c r="BPF8" s="387"/>
      <c r="BPG8" s="387"/>
      <c r="BPH8" s="387"/>
      <c r="BPI8" s="387"/>
      <c r="BPJ8" s="387"/>
      <c r="BPK8" s="387"/>
      <c r="BPL8" s="387"/>
      <c r="BPM8" s="387"/>
      <c r="BPN8" s="387"/>
      <c r="BPO8" s="387"/>
      <c r="BPP8" s="387"/>
      <c r="BPQ8" s="387"/>
      <c r="BPR8" s="387"/>
      <c r="BPS8" s="387"/>
      <c r="BPT8" s="387"/>
      <c r="BPU8" s="387"/>
      <c r="BPV8" s="387"/>
      <c r="BPW8" s="387"/>
      <c r="BPX8" s="387"/>
      <c r="BPY8" s="387"/>
      <c r="BPZ8" s="387"/>
      <c r="BQA8" s="387"/>
      <c r="BQB8" s="387"/>
      <c r="BQC8" s="387"/>
      <c r="BQD8" s="387"/>
      <c r="BQE8" s="387"/>
      <c r="BQF8" s="387"/>
      <c r="BQG8" s="387"/>
      <c r="BQH8" s="387"/>
      <c r="BQI8" s="387"/>
      <c r="BQJ8" s="387"/>
      <c r="BQK8" s="387"/>
      <c r="BQL8" s="387"/>
      <c r="BQM8" s="387"/>
      <c r="BQN8" s="387"/>
      <c r="BQO8" s="387"/>
      <c r="BQP8" s="387"/>
      <c r="BQQ8" s="387"/>
      <c r="BQR8" s="387"/>
      <c r="BQS8" s="387"/>
      <c r="BQT8" s="387"/>
      <c r="BQU8" s="387"/>
      <c r="BQV8" s="387"/>
      <c r="BQW8" s="387"/>
      <c r="BQX8" s="387"/>
      <c r="BQY8" s="387"/>
      <c r="BQZ8" s="387"/>
      <c r="BRA8" s="387"/>
      <c r="BRB8" s="387"/>
      <c r="BRC8" s="387"/>
      <c r="BRD8" s="387"/>
      <c r="BRE8" s="387"/>
      <c r="BRF8" s="387"/>
      <c r="BRG8" s="387"/>
      <c r="BRH8" s="387"/>
      <c r="BRI8" s="387"/>
      <c r="BRJ8" s="387"/>
      <c r="BRK8" s="387"/>
      <c r="BRL8" s="387"/>
      <c r="BRM8" s="387"/>
      <c r="BRN8" s="387"/>
      <c r="BRO8" s="387"/>
      <c r="BRP8" s="387"/>
      <c r="BRQ8" s="387"/>
      <c r="BRR8" s="387"/>
      <c r="BRS8" s="387"/>
      <c r="BRT8" s="387"/>
      <c r="BRU8" s="387"/>
      <c r="BRV8" s="387"/>
      <c r="BRW8" s="387"/>
      <c r="BRX8" s="387"/>
      <c r="BRY8" s="387"/>
      <c r="BRZ8" s="387"/>
      <c r="BSA8" s="387"/>
      <c r="BSB8" s="387"/>
      <c r="BSC8" s="387"/>
      <c r="BSD8" s="387"/>
      <c r="BSE8" s="387"/>
      <c r="BSF8" s="387"/>
      <c r="BSG8" s="387"/>
      <c r="BSH8" s="387"/>
      <c r="BSI8" s="387"/>
      <c r="BSJ8" s="387"/>
      <c r="BSK8" s="387"/>
      <c r="BSL8" s="387"/>
      <c r="BSM8" s="387"/>
      <c r="BSN8" s="387"/>
      <c r="BSO8" s="387"/>
      <c r="BSP8" s="387"/>
      <c r="BSQ8" s="387"/>
      <c r="BSR8" s="387"/>
      <c r="BSS8" s="387"/>
      <c r="BST8" s="387"/>
      <c r="BSU8" s="387"/>
      <c r="BSV8" s="387"/>
      <c r="BSW8" s="387"/>
      <c r="BSX8" s="387"/>
      <c r="BSY8" s="387"/>
      <c r="BSZ8" s="387"/>
      <c r="BTA8" s="387"/>
      <c r="BTB8" s="387"/>
      <c r="BTC8" s="387"/>
      <c r="BTD8" s="387"/>
      <c r="BTE8" s="387"/>
      <c r="BTF8" s="387"/>
      <c r="BTG8" s="387"/>
      <c r="BTH8" s="387"/>
      <c r="BTI8" s="387"/>
    </row>
    <row r="9" spans="1:1881" ht="40.5" x14ac:dyDescent="0.25">
      <c r="A9" s="186">
        <v>385</v>
      </c>
      <c r="B9" s="62" t="s">
        <v>83</v>
      </c>
      <c r="C9" s="180" t="s">
        <v>152</v>
      </c>
      <c r="D9" s="172" t="s">
        <v>154</v>
      </c>
      <c r="E9" s="683" t="e">
        <f>HLOOKUP('Unit Data from Audit Worksheet'!$D$2,'2019 Data(H)'!$D$1:$BB$202,102,FALSE)</f>
        <v>#N/A</v>
      </c>
      <c r="F9" s="686"/>
      <c r="G9" s="388">
        <f>IF((F7+F8)&gt;F9,"Error: Please review cells Account numbers (333+500)&gt;385",)</f>
        <v>0</v>
      </c>
      <c r="H9" s="14"/>
      <c r="I9" s="293"/>
      <c r="J9" s="362"/>
      <c r="L9" s="674" t="s">
        <v>915</v>
      </c>
      <c r="M9" s="576"/>
      <c r="N9" s="594"/>
      <c r="S9" s="682"/>
      <c r="X9" s="682"/>
    </row>
    <row r="10" spans="1:1881" s="4" customFormat="1" ht="81.75" customHeight="1" x14ac:dyDescent="0.25">
      <c r="A10" s="186">
        <v>575</v>
      </c>
      <c r="B10" s="148" t="s">
        <v>93</v>
      </c>
      <c r="C10" s="180" t="s">
        <v>152</v>
      </c>
      <c r="D10" s="300" t="s">
        <v>629</v>
      </c>
      <c r="E10" s="683" t="e">
        <f>HLOOKUP('Unit Data from Audit Worksheet'!$D$2,'2019 Data(H)'!$D$1:$BB$202,159,FALSE)</f>
        <v>#N/A</v>
      </c>
      <c r="F10" s="686"/>
      <c r="G10" s="388">
        <f>IF(F10&lt;0,"Note: Number is normally positive.",)</f>
        <v>0</v>
      </c>
      <c r="H10" s="189"/>
      <c r="I10" s="294"/>
      <c r="J10" s="387"/>
      <c r="K10" s="387"/>
      <c r="L10" s="674" t="s">
        <v>916</v>
      </c>
      <c r="M10" s="576"/>
      <c r="N10" s="594"/>
      <c r="O10" s="387"/>
      <c r="P10" s="387"/>
      <c r="Q10" s="387"/>
      <c r="R10"/>
      <c r="S10" s="682"/>
      <c r="T10" s="387"/>
      <c r="U10" s="387"/>
      <c r="V10" s="387"/>
      <c r="W10" s="387"/>
      <c r="X10" s="682"/>
      <c r="Y10" s="387"/>
      <c r="Z10" s="387"/>
      <c r="AA10" s="387"/>
      <c r="AB10" s="387"/>
      <c r="AC10" s="387"/>
      <c r="AD10" s="387"/>
      <c r="AE10" s="387"/>
      <c r="AF10" s="387"/>
      <c r="AG10" s="387"/>
      <c r="AH10" s="387"/>
      <c r="AI10" s="387"/>
      <c r="AJ10" s="387"/>
      <c r="AK10" s="387"/>
      <c r="AL10" s="387"/>
      <c r="AM10" s="387"/>
      <c r="AN10" s="387"/>
      <c r="AO10" s="387"/>
      <c r="AP10" s="387"/>
      <c r="AQ10" s="387"/>
      <c r="AR10" s="387"/>
      <c r="AS10" s="387"/>
      <c r="AT10" s="387"/>
      <c r="AU10" s="387"/>
      <c r="AV10" s="387"/>
      <c r="AW10" s="387"/>
      <c r="AX10" s="387"/>
      <c r="AY10" s="387"/>
      <c r="AZ10" s="387"/>
      <c r="BA10" s="387"/>
      <c r="BB10" s="387"/>
      <c r="BC10" s="387"/>
      <c r="BD10" s="387"/>
      <c r="BE10" s="387"/>
      <c r="BF10" s="387"/>
      <c r="BG10" s="387"/>
      <c r="BH10" s="387"/>
      <c r="BI10" s="387"/>
      <c r="BJ10" s="387"/>
      <c r="BK10" s="387"/>
      <c r="BL10" s="387"/>
      <c r="BM10" s="387"/>
      <c r="BN10" s="387"/>
      <c r="BO10" s="387"/>
      <c r="BP10" s="387"/>
      <c r="BQ10" s="387"/>
      <c r="BR10" s="387"/>
      <c r="BS10" s="387"/>
      <c r="BT10" s="387"/>
      <c r="BU10" s="387"/>
      <c r="BV10" s="387"/>
      <c r="BW10" s="387"/>
      <c r="BX10" s="387"/>
      <c r="BY10" s="387"/>
      <c r="BZ10" s="387"/>
      <c r="CA10" s="387"/>
      <c r="CB10" s="387"/>
      <c r="CC10" s="387"/>
      <c r="CD10" s="387"/>
      <c r="CE10" s="387"/>
      <c r="CF10" s="387"/>
      <c r="CG10" s="387"/>
      <c r="CH10" s="387"/>
      <c r="CI10" s="387"/>
      <c r="CJ10" s="387"/>
      <c r="CK10" s="387"/>
      <c r="CL10" s="387"/>
      <c r="CM10" s="387"/>
      <c r="CN10" s="387"/>
      <c r="CO10" s="387"/>
      <c r="CP10" s="387"/>
      <c r="CQ10" s="387"/>
      <c r="CR10" s="387"/>
      <c r="CS10" s="387"/>
      <c r="CT10" s="387"/>
      <c r="CU10" s="387"/>
      <c r="CV10" s="387"/>
      <c r="CW10" s="387"/>
      <c r="CX10" s="387"/>
      <c r="CY10" s="387"/>
      <c r="CZ10" s="387"/>
      <c r="DA10" s="387"/>
      <c r="DB10" s="387"/>
      <c r="DC10" s="387"/>
      <c r="DD10" s="387"/>
      <c r="DE10" s="387"/>
      <c r="DF10" s="387"/>
      <c r="DG10" s="387"/>
      <c r="DH10" s="387"/>
      <c r="DI10" s="387"/>
      <c r="DJ10" s="387"/>
      <c r="DK10" s="387"/>
      <c r="DL10" s="387"/>
      <c r="DM10" s="387"/>
      <c r="DN10" s="387"/>
      <c r="DO10" s="387"/>
      <c r="DP10" s="387"/>
      <c r="DQ10" s="387"/>
      <c r="DR10" s="387"/>
      <c r="DS10" s="387"/>
      <c r="DT10" s="387"/>
      <c r="DU10" s="387"/>
      <c r="DV10" s="387"/>
      <c r="DW10" s="387"/>
      <c r="DX10" s="387"/>
      <c r="DY10" s="387"/>
      <c r="DZ10" s="387"/>
      <c r="EA10" s="387"/>
      <c r="EB10" s="387"/>
      <c r="EC10" s="387"/>
      <c r="ED10" s="387"/>
      <c r="EE10" s="387"/>
      <c r="EF10" s="387"/>
      <c r="EG10" s="387"/>
      <c r="EH10" s="387"/>
      <c r="EI10" s="387"/>
      <c r="EJ10" s="387"/>
      <c r="EK10" s="387"/>
      <c r="EL10" s="387"/>
      <c r="EM10" s="387"/>
      <c r="EN10" s="387"/>
      <c r="EO10" s="387"/>
      <c r="EP10" s="387"/>
      <c r="EQ10" s="387"/>
      <c r="ER10" s="387"/>
      <c r="ES10" s="387"/>
      <c r="ET10" s="387"/>
      <c r="EU10" s="387"/>
      <c r="EV10" s="387"/>
      <c r="EW10" s="387"/>
      <c r="EX10" s="387"/>
      <c r="EY10" s="387"/>
      <c r="EZ10" s="387"/>
      <c r="FA10" s="387"/>
      <c r="FB10" s="387"/>
      <c r="FC10" s="387"/>
      <c r="FD10" s="387"/>
      <c r="FE10" s="387"/>
      <c r="FF10" s="387"/>
      <c r="FG10" s="387"/>
      <c r="FH10" s="387"/>
      <c r="FI10" s="387"/>
      <c r="FJ10" s="387"/>
      <c r="FK10" s="387"/>
      <c r="FL10" s="387"/>
      <c r="FM10" s="387"/>
      <c r="FN10" s="387"/>
      <c r="FO10" s="387"/>
      <c r="FP10" s="387"/>
      <c r="FQ10" s="387"/>
      <c r="FR10" s="387"/>
      <c r="FS10" s="387"/>
      <c r="FT10" s="387"/>
      <c r="FU10" s="387"/>
      <c r="FV10" s="387"/>
      <c r="FW10" s="387"/>
      <c r="FX10" s="387"/>
      <c r="FY10" s="387"/>
      <c r="FZ10" s="387"/>
      <c r="GA10" s="387"/>
      <c r="GB10" s="387"/>
      <c r="GC10" s="387"/>
      <c r="GD10" s="387"/>
      <c r="GE10" s="387"/>
      <c r="GF10" s="387"/>
      <c r="GG10" s="387"/>
      <c r="GH10" s="387"/>
      <c r="GI10" s="387"/>
      <c r="GJ10" s="387"/>
      <c r="GK10" s="387"/>
      <c r="GL10" s="387"/>
      <c r="GM10" s="387"/>
      <c r="GN10" s="387"/>
      <c r="GO10" s="387"/>
      <c r="GP10" s="387"/>
      <c r="GQ10" s="387"/>
      <c r="GR10" s="387"/>
      <c r="GS10" s="387"/>
      <c r="GT10" s="387"/>
      <c r="GU10" s="387"/>
      <c r="GV10" s="387"/>
      <c r="GW10" s="387"/>
      <c r="GX10" s="387"/>
      <c r="GY10" s="387"/>
      <c r="GZ10" s="387"/>
      <c r="HA10" s="387"/>
      <c r="HB10" s="387"/>
      <c r="HC10" s="387"/>
      <c r="HD10" s="387"/>
      <c r="HE10" s="387"/>
      <c r="HF10" s="387"/>
      <c r="HG10" s="387"/>
      <c r="HH10" s="387"/>
      <c r="HI10" s="387"/>
      <c r="HJ10" s="387"/>
      <c r="HK10" s="387"/>
      <c r="HL10" s="387"/>
      <c r="HM10" s="387"/>
      <c r="HN10" s="387"/>
      <c r="HO10" s="387"/>
      <c r="HP10" s="387"/>
      <c r="HQ10" s="387"/>
      <c r="HR10" s="387"/>
      <c r="HS10" s="387"/>
      <c r="HT10" s="387"/>
      <c r="HU10" s="387"/>
      <c r="HV10" s="387"/>
      <c r="HW10" s="387"/>
      <c r="HX10" s="387"/>
      <c r="HY10" s="387"/>
      <c r="HZ10" s="387"/>
      <c r="IA10" s="387"/>
      <c r="IB10" s="387"/>
      <c r="IC10" s="387"/>
      <c r="ID10" s="387"/>
      <c r="IE10" s="387"/>
      <c r="IF10" s="387"/>
      <c r="IG10" s="387"/>
      <c r="IH10" s="387"/>
      <c r="II10" s="387"/>
      <c r="IJ10" s="387"/>
      <c r="IK10" s="387"/>
      <c r="IL10" s="387"/>
      <c r="IM10" s="387"/>
      <c r="IN10" s="387"/>
      <c r="IO10" s="387"/>
      <c r="IP10" s="387"/>
      <c r="IQ10" s="387"/>
      <c r="IR10" s="387"/>
      <c r="IS10" s="387"/>
      <c r="IT10" s="387"/>
      <c r="IU10" s="387"/>
      <c r="IV10" s="387"/>
      <c r="IW10" s="387"/>
      <c r="IX10" s="387"/>
      <c r="IY10" s="387"/>
      <c r="IZ10" s="387"/>
      <c r="JA10" s="387"/>
      <c r="JB10" s="387"/>
      <c r="JC10" s="387"/>
      <c r="JD10" s="387"/>
      <c r="JE10" s="387"/>
      <c r="JF10" s="387"/>
      <c r="JG10" s="387"/>
      <c r="JH10" s="387"/>
      <c r="JI10" s="387"/>
      <c r="JJ10" s="387"/>
      <c r="JK10" s="387"/>
      <c r="JL10" s="387"/>
      <c r="JM10" s="387"/>
      <c r="JN10" s="387"/>
      <c r="JO10" s="387"/>
      <c r="JP10" s="387"/>
      <c r="JQ10" s="387"/>
      <c r="JR10" s="387"/>
      <c r="JS10" s="387"/>
      <c r="JT10" s="387"/>
      <c r="JU10" s="387"/>
      <c r="JV10" s="387"/>
      <c r="JW10" s="387"/>
      <c r="JX10" s="387"/>
      <c r="JY10" s="387"/>
      <c r="JZ10" s="387"/>
      <c r="KA10" s="387"/>
      <c r="KB10" s="387"/>
      <c r="KC10" s="387"/>
      <c r="KD10" s="387"/>
      <c r="KE10" s="387"/>
      <c r="KF10" s="387"/>
      <c r="KG10" s="387"/>
      <c r="KH10" s="387"/>
      <c r="KI10" s="387"/>
      <c r="KJ10" s="387"/>
      <c r="KK10" s="387"/>
      <c r="KL10" s="387"/>
      <c r="KM10" s="387"/>
      <c r="KN10" s="387"/>
      <c r="KO10" s="387"/>
      <c r="KP10" s="387"/>
      <c r="KQ10" s="387"/>
      <c r="KR10" s="387"/>
      <c r="KS10" s="387"/>
      <c r="KT10" s="387"/>
      <c r="KU10" s="387"/>
      <c r="KV10" s="387"/>
      <c r="KW10" s="387"/>
      <c r="KX10" s="387"/>
      <c r="KY10" s="387"/>
      <c r="KZ10" s="387"/>
      <c r="LA10" s="387"/>
      <c r="LB10" s="387"/>
      <c r="LC10" s="387"/>
      <c r="LD10" s="387"/>
      <c r="LE10" s="387"/>
      <c r="LF10" s="387"/>
      <c r="LG10" s="387"/>
      <c r="LH10" s="387"/>
      <c r="LI10" s="387"/>
      <c r="LJ10" s="387"/>
      <c r="LK10" s="387"/>
      <c r="LL10" s="387"/>
      <c r="LM10" s="387"/>
      <c r="LN10" s="387"/>
      <c r="LO10" s="387"/>
      <c r="LP10" s="387"/>
      <c r="LQ10" s="387"/>
      <c r="LR10" s="387"/>
      <c r="LS10" s="387"/>
      <c r="LT10" s="387"/>
      <c r="LU10" s="387"/>
      <c r="LV10" s="387"/>
      <c r="LW10" s="387"/>
      <c r="LX10" s="387"/>
      <c r="LY10" s="387"/>
      <c r="LZ10" s="387"/>
      <c r="MA10" s="387"/>
      <c r="MB10" s="387"/>
      <c r="MC10" s="387"/>
      <c r="MD10" s="387"/>
      <c r="ME10" s="387"/>
      <c r="MF10" s="387"/>
      <c r="MG10" s="387"/>
      <c r="MH10" s="387"/>
      <c r="MI10" s="387"/>
      <c r="MJ10" s="387"/>
      <c r="MK10" s="387"/>
      <c r="ML10" s="387"/>
      <c r="MM10" s="387"/>
      <c r="MN10" s="387"/>
      <c r="MO10" s="387"/>
      <c r="MP10" s="387"/>
      <c r="MQ10" s="387"/>
      <c r="MR10" s="387"/>
      <c r="MS10" s="387"/>
      <c r="MT10" s="387"/>
      <c r="MU10" s="387"/>
      <c r="MV10" s="387"/>
      <c r="MW10" s="387"/>
      <c r="MX10" s="387"/>
      <c r="MY10" s="387"/>
      <c r="MZ10" s="387"/>
      <c r="NA10" s="387"/>
      <c r="NB10" s="387"/>
      <c r="NC10" s="387"/>
      <c r="ND10" s="387"/>
      <c r="NE10" s="387"/>
      <c r="NF10" s="387"/>
      <c r="NG10" s="387"/>
      <c r="NH10" s="387"/>
      <c r="NI10" s="387"/>
      <c r="NJ10" s="387"/>
      <c r="NK10" s="387"/>
      <c r="NL10" s="387"/>
      <c r="NM10" s="387"/>
      <c r="NN10" s="387"/>
      <c r="NO10" s="387"/>
      <c r="NP10" s="387"/>
      <c r="NQ10" s="387"/>
      <c r="NR10" s="387"/>
      <c r="NS10" s="387"/>
      <c r="NT10" s="387"/>
      <c r="NU10" s="387"/>
      <c r="NV10" s="387"/>
      <c r="NW10" s="387"/>
      <c r="NX10" s="387"/>
      <c r="NY10" s="387"/>
      <c r="NZ10" s="387"/>
      <c r="OA10" s="387"/>
      <c r="OB10" s="387"/>
      <c r="OC10" s="387"/>
      <c r="OD10" s="387"/>
      <c r="OE10" s="387"/>
      <c r="OF10" s="387"/>
      <c r="OG10" s="387"/>
      <c r="OH10" s="387"/>
      <c r="OI10" s="387"/>
      <c r="OJ10" s="387"/>
      <c r="OK10" s="387"/>
      <c r="OL10" s="387"/>
      <c r="OM10" s="387"/>
      <c r="ON10" s="387"/>
      <c r="OO10" s="387"/>
      <c r="OP10" s="387"/>
      <c r="OQ10" s="387"/>
      <c r="OR10" s="387"/>
      <c r="OS10" s="387"/>
      <c r="OT10" s="387"/>
      <c r="OU10" s="387"/>
      <c r="OV10" s="387"/>
      <c r="OW10" s="387"/>
      <c r="OX10" s="387"/>
      <c r="OY10" s="387"/>
      <c r="OZ10" s="387"/>
      <c r="PA10" s="387"/>
      <c r="PB10" s="387"/>
      <c r="PC10" s="387"/>
      <c r="PD10" s="387"/>
      <c r="PE10" s="387"/>
      <c r="PF10" s="387"/>
      <c r="PG10" s="387"/>
      <c r="PH10" s="387"/>
      <c r="PI10" s="387"/>
      <c r="PJ10" s="387"/>
      <c r="PK10" s="387"/>
      <c r="PL10" s="387"/>
      <c r="PM10" s="387"/>
      <c r="PN10" s="387"/>
      <c r="PO10" s="387"/>
      <c r="PP10" s="387"/>
      <c r="PQ10" s="387"/>
      <c r="PR10" s="387"/>
      <c r="PS10" s="387"/>
      <c r="PT10" s="387"/>
      <c r="PU10" s="387"/>
      <c r="PV10" s="387"/>
      <c r="PW10" s="387"/>
      <c r="PX10" s="387"/>
      <c r="PY10" s="387"/>
      <c r="PZ10" s="387"/>
      <c r="QA10" s="387"/>
      <c r="QB10" s="387"/>
      <c r="QC10" s="387"/>
      <c r="QD10" s="387"/>
      <c r="QE10" s="387"/>
      <c r="QF10" s="387"/>
      <c r="QG10" s="387"/>
      <c r="QH10" s="387"/>
      <c r="QI10" s="387"/>
      <c r="QJ10" s="387"/>
      <c r="QK10" s="387"/>
      <c r="QL10" s="387"/>
      <c r="QM10" s="387"/>
      <c r="QN10" s="387"/>
      <c r="QO10" s="387"/>
      <c r="QP10" s="387"/>
      <c r="QQ10" s="387"/>
      <c r="QR10" s="387"/>
      <c r="QS10" s="387"/>
      <c r="QT10" s="387"/>
      <c r="QU10" s="387"/>
      <c r="QV10" s="387"/>
      <c r="QW10" s="387"/>
      <c r="QX10" s="387"/>
      <c r="QY10" s="387"/>
      <c r="QZ10" s="387"/>
      <c r="RA10" s="387"/>
      <c r="RB10" s="387"/>
      <c r="RC10" s="387"/>
      <c r="RD10" s="387"/>
      <c r="RE10" s="387"/>
      <c r="RF10" s="387"/>
      <c r="RG10" s="387"/>
      <c r="RH10" s="387"/>
      <c r="RI10" s="387"/>
      <c r="RJ10" s="387"/>
      <c r="RK10" s="387"/>
      <c r="RL10" s="387"/>
      <c r="RM10" s="387"/>
      <c r="RN10" s="387"/>
      <c r="RO10" s="387"/>
      <c r="RP10" s="387"/>
      <c r="RQ10" s="387"/>
      <c r="RR10" s="387"/>
      <c r="RS10" s="387"/>
      <c r="RT10" s="387"/>
      <c r="RU10" s="387"/>
      <c r="RV10" s="387"/>
      <c r="RW10" s="387"/>
      <c r="RX10" s="387"/>
      <c r="RY10" s="387"/>
      <c r="RZ10" s="387"/>
      <c r="SA10" s="387"/>
      <c r="SB10" s="387"/>
      <c r="SC10" s="387"/>
      <c r="SD10" s="387"/>
      <c r="SE10" s="387"/>
      <c r="SF10" s="387"/>
      <c r="SG10" s="387"/>
      <c r="SH10" s="387"/>
      <c r="SI10" s="387"/>
      <c r="SJ10" s="387"/>
      <c r="SK10" s="387"/>
      <c r="SL10" s="387"/>
      <c r="SM10" s="387"/>
      <c r="SN10" s="387"/>
      <c r="SO10" s="387"/>
      <c r="SP10" s="387"/>
      <c r="SQ10" s="387"/>
      <c r="SR10" s="387"/>
      <c r="SS10" s="387"/>
      <c r="ST10" s="387"/>
      <c r="SU10" s="387"/>
      <c r="SV10" s="387"/>
      <c r="SW10" s="387"/>
      <c r="SX10" s="387"/>
      <c r="SY10" s="387"/>
      <c r="SZ10" s="387"/>
      <c r="TA10" s="387"/>
      <c r="TB10" s="387"/>
      <c r="TC10" s="387"/>
      <c r="TD10" s="387"/>
      <c r="TE10" s="387"/>
      <c r="TF10" s="387"/>
      <c r="TG10" s="387"/>
      <c r="TH10" s="387"/>
      <c r="TI10" s="387"/>
      <c r="TJ10" s="387"/>
      <c r="TK10" s="387"/>
      <c r="TL10" s="387"/>
      <c r="TM10" s="387"/>
      <c r="TN10" s="387"/>
      <c r="TO10" s="387"/>
      <c r="TP10" s="387"/>
      <c r="TQ10" s="387"/>
      <c r="TR10" s="387"/>
      <c r="TS10" s="387"/>
      <c r="TT10" s="387"/>
      <c r="TU10" s="387"/>
      <c r="TV10" s="387"/>
      <c r="TW10" s="387"/>
      <c r="TX10" s="387"/>
      <c r="TY10" s="387"/>
      <c r="TZ10" s="387"/>
      <c r="UA10" s="387"/>
      <c r="UB10" s="387"/>
      <c r="UC10" s="387"/>
      <c r="UD10" s="387"/>
      <c r="UE10" s="387"/>
      <c r="UF10" s="387"/>
      <c r="UG10" s="387"/>
      <c r="UH10" s="387"/>
      <c r="UI10" s="387"/>
      <c r="UJ10" s="387"/>
      <c r="UK10" s="387"/>
      <c r="UL10" s="387"/>
      <c r="UM10" s="387"/>
      <c r="UN10" s="387"/>
      <c r="UO10" s="387"/>
      <c r="UP10" s="387"/>
      <c r="UQ10" s="387"/>
      <c r="UR10" s="387"/>
      <c r="US10" s="387"/>
      <c r="UT10" s="387"/>
      <c r="UU10" s="387"/>
      <c r="UV10" s="387"/>
      <c r="UW10" s="387"/>
      <c r="UX10" s="387"/>
      <c r="UY10" s="387"/>
      <c r="UZ10" s="387"/>
      <c r="VA10" s="387"/>
      <c r="VB10" s="387"/>
      <c r="VC10" s="387"/>
      <c r="VD10" s="387"/>
      <c r="VE10" s="387"/>
      <c r="VF10" s="387"/>
      <c r="VG10" s="387"/>
      <c r="VH10" s="387"/>
      <c r="VI10" s="387"/>
      <c r="VJ10" s="387"/>
      <c r="VK10" s="387"/>
      <c r="VL10" s="387"/>
      <c r="VM10" s="387"/>
      <c r="VN10" s="387"/>
      <c r="VO10" s="387"/>
      <c r="VP10" s="387"/>
      <c r="VQ10" s="387"/>
      <c r="VR10" s="387"/>
      <c r="VS10" s="387"/>
      <c r="VT10" s="387"/>
      <c r="VU10" s="387"/>
      <c r="VV10" s="387"/>
      <c r="VW10" s="387"/>
      <c r="VX10" s="387"/>
      <c r="VY10" s="387"/>
      <c r="VZ10" s="387"/>
      <c r="WA10" s="387"/>
      <c r="WB10" s="387"/>
      <c r="WC10" s="387"/>
      <c r="WD10" s="387"/>
      <c r="WE10" s="387"/>
      <c r="WF10" s="387"/>
      <c r="WG10" s="387"/>
      <c r="WH10" s="387"/>
      <c r="WI10" s="387"/>
      <c r="WJ10" s="387"/>
      <c r="WK10" s="387"/>
      <c r="WL10" s="387"/>
      <c r="WM10" s="387"/>
      <c r="WN10" s="387"/>
      <c r="WO10" s="387"/>
      <c r="WP10" s="387"/>
      <c r="WQ10" s="387"/>
      <c r="WR10" s="387"/>
      <c r="WS10" s="387"/>
      <c r="WT10" s="387"/>
      <c r="WU10" s="387"/>
      <c r="WV10" s="387"/>
      <c r="WW10" s="387"/>
      <c r="WX10" s="387"/>
      <c r="WY10" s="387"/>
      <c r="WZ10" s="387"/>
      <c r="XA10" s="387"/>
      <c r="XB10" s="387"/>
      <c r="XC10" s="387"/>
      <c r="XD10" s="387"/>
      <c r="XE10" s="387"/>
      <c r="XF10" s="387"/>
      <c r="XG10" s="387"/>
      <c r="XH10" s="387"/>
      <c r="XI10" s="387"/>
      <c r="XJ10" s="387"/>
      <c r="XK10" s="387"/>
      <c r="XL10" s="387"/>
      <c r="XM10" s="387"/>
      <c r="XN10" s="387"/>
      <c r="XO10" s="387"/>
      <c r="XP10" s="387"/>
      <c r="XQ10" s="387"/>
      <c r="XR10" s="387"/>
      <c r="XS10" s="387"/>
      <c r="XT10" s="387"/>
      <c r="XU10" s="387"/>
      <c r="XV10" s="387"/>
      <c r="XW10" s="387"/>
      <c r="XX10" s="387"/>
      <c r="XY10" s="387"/>
      <c r="XZ10" s="387"/>
      <c r="YA10" s="387"/>
      <c r="YB10" s="387"/>
      <c r="YC10" s="387"/>
      <c r="YD10" s="387"/>
      <c r="YE10" s="387"/>
      <c r="YF10" s="387"/>
      <c r="YG10" s="387"/>
      <c r="YH10" s="387"/>
      <c r="YI10" s="387"/>
      <c r="YJ10" s="387"/>
      <c r="YK10" s="387"/>
      <c r="YL10" s="387"/>
      <c r="YM10" s="387"/>
      <c r="YN10" s="387"/>
      <c r="YO10" s="387"/>
      <c r="YP10" s="387"/>
      <c r="YQ10" s="387"/>
      <c r="YR10" s="387"/>
      <c r="YS10" s="387"/>
      <c r="YT10" s="387"/>
      <c r="YU10" s="387"/>
      <c r="YV10" s="387"/>
      <c r="YW10" s="387"/>
      <c r="YX10" s="387"/>
      <c r="YY10" s="387"/>
      <c r="YZ10" s="387"/>
      <c r="ZA10" s="387"/>
      <c r="ZB10" s="387"/>
      <c r="ZC10" s="387"/>
      <c r="ZD10" s="387"/>
      <c r="ZE10" s="387"/>
      <c r="ZF10" s="387"/>
      <c r="ZG10" s="387"/>
      <c r="ZH10" s="387"/>
      <c r="ZI10" s="387"/>
      <c r="ZJ10" s="387"/>
      <c r="ZK10" s="387"/>
      <c r="ZL10" s="387"/>
      <c r="ZM10" s="387"/>
      <c r="ZN10" s="387"/>
      <c r="ZO10" s="387"/>
      <c r="ZP10" s="387"/>
      <c r="ZQ10" s="387"/>
      <c r="ZR10" s="387"/>
      <c r="ZS10" s="387"/>
      <c r="ZT10" s="387"/>
      <c r="ZU10" s="387"/>
      <c r="ZV10" s="387"/>
      <c r="ZW10" s="387"/>
      <c r="ZX10" s="387"/>
      <c r="ZY10" s="387"/>
      <c r="ZZ10" s="387"/>
      <c r="AAA10" s="387"/>
      <c r="AAB10" s="387"/>
      <c r="AAC10" s="387"/>
      <c r="AAD10" s="387"/>
      <c r="AAE10" s="387"/>
      <c r="AAF10" s="387"/>
      <c r="AAG10" s="387"/>
      <c r="AAH10" s="387"/>
      <c r="AAI10" s="387"/>
      <c r="AAJ10" s="387"/>
      <c r="AAK10" s="387"/>
      <c r="AAL10" s="387"/>
      <c r="AAM10" s="387"/>
      <c r="AAN10" s="387"/>
      <c r="AAO10" s="387"/>
      <c r="AAP10" s="387"/>
      <c r="AAQ10" s="387"/>
      <c r="AAR10" s="387"/>
      <c r="AAS10" s="387"/>
      <c r="AAT10" s="387"/>
      <c r="AAU10" s="387"/>
      <c r="AAV10" s="387"/>
      <c r="AAW10" s="387"/>
      <c r="AAX10" s="387"/>
      <c r="AAY10" s="387"/>
      <c r="AAZ10" s="387"/>
      <c r="ABA10" s="387"/>
      <c r="ABB10" s="387"/>
      <c r="ABC10" s="387"/>
      <c r="ABD10" s="387"/>
      <c r="ABE10" s="387"/>
      <c r="ABF10" s="387"/>
      <c r="ABG10" s="387"/>
      <c r="ABH10" s="387"/>
      <c r="ABI10" s="387"/>
      <c r="ABJ10" s="387"/>
      <c r="ABK10" s="387"/>
      <c r="ABL10" s="387"/>
      <c r="ABM10" s="387"/>
      <c r="ABN10" s="387"/>
      <c r="ABO10" s="387"/>
      <c r="ABP10" s="387"/>
      <c r="ABQ10" s="387"/>
      <c r="ABR10" s="387"/>
      <c r="ABS10" s="387"/>
      <c r="ABT10" s="387"/>
      <c r="ABU10" s="387"/>
      <c r="ABV10" s="387"/>
      <c r="ABW10" s="387"/>
      <c r="ABX10" s="387"/>
      <c r="ABY10" s="387"/>
      <c r="ABZ10" s="387"/>
      <c r="ACA10" s="387"/>
      <c r="ACB10" s="387"/>
      <c r="ACC10" s="387"/>
      <c r="ACD10" s="387"/>
      <c r="ACE10" s="387"/>
      <c r="ACF10" s="387"/>
      <c r="ACG10" s="387"/>
      <c r="ACH10" s="387"/>
      <c r="ACI10" s="387"/>
      <c r="ACJ10" s="387"/>
      <c r="ACK10" s="387"/>
      <c r="ACL10" s="387"/>
      <c r="ACM10" s="387"/>
      <c r="ACN10" s="387"/>
      <c r="ACO10" s="387"/>
      <c r="ACP10" s="387"/>
      <c r="ACQ10" s="387"/>
      <c r="ACR10" s="387"/>
      <c r="ACS10" s="387"/>
      <c r="ACT10" s="387"/>
      <c r="ACU10" s="387"/>
      <c r="ACV10" s="387"/>
      <c r="ACW10" s="387"/>
      <c r="ACX10" s="387"/>
      <c r="ACY10" s="387"/>
      <c r="ACZ10" s="387"/>
      <c r="ADA10" s="387"/>
      <c r="ADB10" s="387"/>
      <c r="ADC10" s="387"/>
      <c r="ADD10" s="387"/>
      <c r="ADE10" s="387"/>
      <c r="ADF10" s="387"/>
      <c r="ADG10" s="387"/>
      <c r="ADH10" s="387"/>
      <c r="ADI10" s="387"/>
      <c r="ADJ10" s="387"/>
      <c r="ADK10" s="387"/>
      <c r="ADL10" s="387"/>
      <c r="ADM10" s="387"/>
      <c r="ADN10" s="387"/>
      <c r="ADO10" s="387"/>
      <c r="ADP10" s="387"/>
      <c r="ADQ10" s="387"/>
      <c r="ADR10" s="387"/>
      <c r="ADS10" s="387"/>
      <c r="ADT10" s="387"/>
      <c r="ADU10" s="387"/>
      <c r="ADV10" s="387"/>
      <c r="ADW10" s="387"/>
      <c r="ADX10" s="387"/>
      <c r="ADY10" s="387"/>
      <c r="ADZ10" s="387"/>
      <c r="AEA10" s="387"/>
      <c r="AEB10" s="387"/>
      <c r="AEC10" s="387"/>
      <c r="AED10" s="387"/>
      <c r="AEE10" s="387"/>
      <c r="AEF10" s="387"/>
      <c r="AEG10" s="387"/>
      <c r="AEH10" s="387"/>
      <c r="AEI10" s="387"/>
      <c r="AEJ10" s="387"/>
      <c r="AEK10" s="387"/>
      <c r="AEL10" s="387"/>
      <c r="AEM10" s="387"/>
      <c r="AEN10" s="387"/>
      <c r="AEO10" s="387"/>
      <c r="AEP10" s="387"/>
      <c r="AEQ10" s="387"/>
      <c r="AER10" s="387"/>
      <c r="AES10" s="387"/>
      <c r="AET10" s="387"/>
      <c r="AEU10" s="387"/>
      <c r="AEV10" s="387"/>
      <c r="AEW10" s="387"/>
      <c r="AEX10" s="387"/>
      <c r="AEY10" s="387"/>
      <c r="AEZ10" s="387"/>
      <c r="AFA10" s="387"/>
      <c r="AFB10" s="387"/>
      <c r="AFC10" s="387"/>
      <c r="AFD10" s="387"/>
      <c r="AFE10" s="387"/>
      <c r="AFF10" s="387"/>
      <c r="AFG10" s="387"/>
      <c r="AFH10" s="387"/>
      <c r="AFI10" s="387"/>
      <c r="AFJ10" s="387"/>
      <c r="AFK10" s="387"/>
      <c r="AFL10" s="387"/>
      <c r="AFM10" s="387"/>
      <c r="AFN10" s="387"/>
      <c r="AFO10" s="387"/>
      <c r="AFP10" s="387"/>
      <c r="AFQ10" s="387"/>
      <c r="AFR10" s="387"/>
      <c r="AFS10" s="387"/>
      <c r="AFT10" s="387"/>
      <c r="AFU10" s="387"/>
      <c r="AFV10" s="387"/>
      <c r="AFW10" s="387"/>
      <c r="AFX10" s="387"/>
      <c r="AFY10" s="387"/>
      <c r="AFZ10" s="387"/>
      <c r="AGA10" s="387"/>
      <c r="AGB10" s="387"/>
      <c r="AGC10" s="387"/>
      <c r="AGD10" s="387"/>
      <c r="AGE10" s="387"/>
      <c r="AGF10" s="387"/>
      <c r="AGG10" s="387"/>
      <c r="AGH10" s="387"/>
      <c r="AGI10" s="387"/>
      <c r="AGJ10" s="387"/>
      <c r="AGK10" s="387"/>
      <c r="AGL10" s="387"/>
      <c r="AGM10" s="387"/>
      <c r="AGN10" s="387"/>
      <c r="AGO10" s="387"/>
      <c r="AGP10" s="387"/>
      <c r="AGQ10" s="387"/>
      <c r="AGR10" s="387"/>
      <c r="AGS10" s="387"/>
      <c r="AGT10" s="387"/>
      <c r="AGU10" s="387"/>
      <c r="AGV10" s="387"/>
      <c r="AGW10" s="387"/>
      <c r="AGX10" s="387"/>
      <c r="AGY10" s="387"/>
      <c r="AGZ10" s="387"/>
      <c r="AHA10" s="387"/>
      <c r="AHB10" s="387"/>
      <c r="AHC10" s="387"/>
      <c r="AHD10" s="387"/>
      <c r="AHE10" s="387"/>
      <c r="AHF10" s="387"/>
      <c r="AHG10" s="387"/>
      <c r="AHH10" s="387"/>
      <c r="AHI10" s="387"/>
      <c r="AHJ10" s="387"/>
      <c r="AHK10" s="387"/>
      <c r="AHL10" s="387"/>
      <c r="AHM10" s="387"/>
      <c r="AHN10" s="387"/>
      <c r="AHO10" s="387"/>
      <c r="AHP10" s="387"/>
      <c r="AHQ10" s="387"/>
      <c r="AHR10" s="387"/>
      <c r="AHS10" s="387"/>
      <c r="AHT10" s="387"/>
      <c r="AHU10" s="387"/>
      <c r="AHV10" s="387"/>
      <c r="AHW10" s="387"/>
      <c r="AHX10" s="387"/>
      <c r="AHY10" s="387"/>
      <c r="AHZ10" s="387"/>
      <c r="AIA10" s="387"/>
      <c r="AIB10" s="387"/>
      <c r="AIC10" s="387"/>
      <c r="AID10" s="387"/>
      <c r="AIE10" s="387"/>
      <c r="AIF10" s="387"/>
      <c r="AIG10" s="387"/>
      <c r="AIH10" s="387"/>
      <c r="AII10" s="387"/>
      <c r="AIJ10" s="387"/>
      <c r="AIK10" s="387"/>
      <c r="AIL10" s="387"/>
      <c r="AIM10" s="387"/>
      <c r="AIN10" s="387"/>
      <c r="AIO10" s="387"/>
      <c r="AIP10" s="387"/>
      <c r="AIQ10" s="387"/>
      <c r="AIR10" s="387"/>
      <c r="AIS10" s="387"/>
      <c r="AIT10" s="387"/>
      <c r="AIU10" s="387"/>
      <c r="AIV10" s="387"/>
      <c r="AIW10" s="387"/>
      <c r="AIX10" s="387"/>
      <c r="AIY10" s="387"/>
      <c r="AIZ10" s="387"/>
      <c r="AJA10" s="387"/>
      <c r="AJB10" s="387"/>
      <c r="AJC10" s="387"/>
      <c r="AJD10" s="387"/>
      <c r="AJE10" s="387"/>
      <c r="AJF10" s="387"/>
      <c r="AJG10" s="387"/>
      <c r="AJH10" s="387"/>
      <c r="AJI10" s="387"/>
      <c r="AJJ10" s="387"/>
      <c r="AJK10" s="387"/>
      <c r="AJL10" s="387"/>
      <c r="AJM10" s="387"/>
      <c r="AJN10" s="387"/>
      <c r="AJO10" s="387"/>
      <c r="AJP10" s="387"/>
      <c r="AJQ10" s="387"/>
      <c r="AJR10" s="387"/>
      <c r="AJS10" s="387"/>
      <c r="AJT10" s="387"/>
      <c r="AJU10" s="387"/>
      <c r="AJV10" s="387"/>
      <c r="AJW10" s="387"/>
      <c r="AJX10" s="387"/>
      <c r="AJY10" s="387"/>
      <c r="AJZ10" s="387"/>
      <c r="AKA10" s="387"/>
      <c r="AKB10" s="387"/>
      <c r="AKC10" s="387"/>
      <c r="AKD10" s="387"/>
      <c r="AKE10" s="387"/>
      <c r="AKF10" s="387"/>
      <c r="AKG10" s="387"/>
      <c r="AKH10" s="387"/>
      <c r="AKI10" s="387"/>
      <c r="AKJ10" s="387"/>
      <c r="AKK10" s="387"/>
      <c r="AKL10" s="387"/>
      <c r="AKM10" s="387"/>
      <c r="AKN10" s="387"/>
      <c r="AKO10" s="387"/>
      <c r="AKP10" s="387"/>
      <c r="AKQ10" s="387"/>
      <c r="AKR10" s="387"/>
      <c r="AKS10" s="387"/>
      <c r="AKT10" s="387"/>
      <c r="AKU10" s="387"/>
      <c r="AKV10" s="387"/>
      <c r="AKW10" s="387"/>
      <c r="AKX10" s="387"/>
      <c r="AKY10" s="387"/>
      <c r="AKZ10" s="387"/>
      <c r="ALA10" s="387"/>
      <c r="ALB10" s="387"/>
      <c r="ALC10" s="387"/>
      <c r="ALD10" s="387"/>
      <c r="ALE10" s="387"/>
      <c r="ALF10" s="387"/>
      <c r="ALG10" s="387"/>
      <c r="ALH10" s="387"/>
      <c r="ALI10" s="387"/>
      <c r="ALJ10" s="387"/>
      <c r="ALK10" s="387"/>
      <c r="ALL10" s="387"/>
      <c r="ALM10" s="387"/>
      <c r="ALN10" s="387"/>
      <c r="ALO10" s="387"/>
      <c r="ALP10" s="387"/>
      <c r="ALQ10" s="387"/>
      <c r="ALR10" s="387"/>
      <c r="ALS10" s="387"/>
      <c r="ALT10" s="387"/>
      <c r="ALU10" s="387"/>
      <c r="ALV10" s="387"/>
      <c r="ALW10" s="387"/>
      <c r="ALX10" s="387"/>
      <c r="ALY10" s="387"/>
      <c r="ALZ10" s="387"/>
      <c r="AMA10" s="387"/>
      <c r="AMB10" s="387"/>
      <c r="AMC10" s="387"/>
      <c r="AMD10" s="387"/>
      <c r="AME10" s="387"/>
      <c r="AMF10" s="387"/>
      <c r="AMG10" s="387"/>
      <c r="AMH10" s="387"/>
      <c r="AMI10" s="387"/>
      <c r="AMJ10" s="387"/>
      <c r="AMK10" s="387"/>
      <c r="AML10" s="387"/>
      <c r="AMM10" s="387"/>
      <c r="AMN10" s="387"/>
      <c r="AMO10" s="387"/>
      <c r="AMP10" s="387"/>
      <c r="AMQ10" s="387"/>
      <c r="AMR10" s="387"/>
      <c r="AMS10" s="387"/>
      <c r="AMT10" s="387"/>
      <c r="AMU10" s="387"/>
      <c r="AMV10" s="387"/>
      <c r="AMW10" s="387"/>
      <c r="AMX10" s="387"/>
      <c r="AMY10" s="387"/>
      <c r="AMZ10" s="387"/>
      <c r="ANA10" s="387"/>
      <c r="ANB10" s="387"/>
      <c r="ANC10" s="387"/>
      <c r="AND10" s="387"/>
      <c r="ANE10" s="387"/>
      <c r="ANF10" s="387"/>
      <c r="ANG10" s="387"/>
      <c r="ANH10" s="387"/>
      <c r="ANI10" s="387"/>
      <c r="ANJ10" s="387"/>
      <c r="ANK10" s="387"/>
      <c r="ANL10" s="387"/>
      <c r="ANM10" s="387"/>
      <c r="ANN10" s="387"/>
      <c r="ANO10" s="387"/>
      <c r="ANP10" s="387"/>
      <c r="ANQ10" s="387"/>
      <c r="ANR10" s="387"/>
      <c r="ANS10" s="387"/>
      <c r="ANT10" s="387"/>
      <c r="ANU10" s="387"/>
      <c r="ANV10" s="387"/>
      <c r="ANW10" s="387"/>
      <c r="ANX10" s="387"/>
      <c r="ANY10" s="387"/>
      <c r="ANZ10" s="387"/>
      <c r="AOA10" s="387"/>
      <c r="AOB10" s="387"/>
      <c r="AOC10" s="387"/>
      <c r="AOD10" s="387"/>
      <c r="AOE10" s="387"/>
      <c r="AOF10" s="387"/>
      <c r="AOG10" s="387"/>
      <c r="AOH10" s="387"/>
      <c r="AOI10" s="387"/>
      <c r="AOJ10" s="387"/>
      <c r="AOK10" s="387"/>
      <c r="AOL10" s="387"/>
      <c r="AOM10" s="387"/>
      <c r="AON10" s="387"/>
      <c r="AOO10" s="387"/>
      <c r="AOP10" s="387"/>
      <c r="AOQ10" s="387"/>
      <c r="AOR10" s="387"/>
      <c r="AOS10" s="387"/>
      <c r="AOT10" s="387"/>
      <c r="AOU10" s="387"/>
      <c r="AOV10" s="387"/>
      <c r="AOW10" s="387"/>
      <c r="AOX10" s="387"/>
      <c r="AOY10" s="387"/>
      <c r="AOZ10" s="387"/>
      <c r="APA10" s="387"/>
      <c r="APB10" s="387"/>
      <c r="APC10" s="387"/>
      <c r="APD10" s="387"/>
      <c r="APE10" s="387"/>
      <c r="APF10" s="387"/>
      <c r="APG10" s="387"/>
      <c r="APH10" s="387"/>
      <c r="API10" s="387"/>
      <c r="APJ10" s="387"/>
      <c r="APK10" s="387"/>
      <c r="APL10" s="387"/>
      <c r="APM10" s="387"/>
      <c r="APN10" s="387"/>
      <c r="APO10" s="387"/>
      <c r="APP10" s="387"/>
      <c r="APQ10" s="387"/>
      <c r="APR10" s="387"/>
      <c r="APS10" s="387"/>
      <c r="APT10" s="387"/>
      <c r="APU10" s="387"/>
      <c r="APV10" s="387"/>
      <c r="APW10" s="387"/>
      <c r="APX10" s="387"/>
      <c r="APY10" s="387"/>
      <c r="APZ10" s="387"/>
      <c r="AQA10" s="387"/>
      <c r="AQB10" s="387"/>
      <c r="AQC10" s="387"/>
      <c r="AQD10" s="387"/>
      <c r="AQE10" s="387"/>
      <c r="AQF10" s="387"/>
      <c r="AQG10" s="387"/>
      <c r="AQH10" s="387"/>
      <c r="AQI10" s="387"/>
      <c r="AQJ10" s="387"/>
      <c r="AQK10" s="387"/>
      <c r="AQL10" s="387"/>
      <c r="AQM10" s="387"/>
      <c r="AQN10" s="387"/>
      <c r="AQO10" s="387"/>
      <c r="AQP10" s="387"/>
      <c r="AQQ10" s="387"/>
      <c r="AQR10" s="387"/>
      <c r="AQS10" s="387"/>
      <c r="AQT10" s="387"/>
      <c r="AQU10" s="387"/>
      <c r="AQV10" s="387"/>
      <c r="AQW10" s="387"/>
      <c r="AQX10" s="387"/>
      <c r="AQY10" s="387"/>
      <c r="AQZ10" s="387"/>
      <c r="ARA10" s="387"/>
      <c r="ARB10" s="387"/>
      <c r="ARC10" s="387"/>
      <c r="ARD10" s="387"/>
      <c r="ARE10" s="387"/>
      <c r="ARF10" s="387"/>
      <c r="ARG10" s="387"/>
      <c r="ARH10" s="387"/>
      <c r="ARI10" s="387"/>
      <c r="ARJ10" s="387"/>
      <c r="ARK10" s="387"/>
      <c r="ARL10" s="387"/>
      <c r="ARM10" s="387"/>
      <c r="ARN10" s="387"/>
      <c r="ARO10" s="387"/>
      <c r="ARP10" s="387"/>
      <c r="ARQ10" s="387"/>
      <c r="ARR10" s="387"/>
      <c r="ARS10" s="387"/>
      <c r="ART10" s="387"/>
      <c r="ARU10" s="387"/>
      <c r="ARV10" s="387"/>
      <c r="ARW10" s="387"/>
      <c r="ARX10" s="387"/>
      <c r="ARY10" s="387"/>
      <c r="ARZ10" s="387"/>
      <c r="ASA10" s="387"/>
      <c r="ASB10" s="387"/>
      <c r="ASC10" s="387"/>
      <c r="ASD10" s="387"/>
      <c r="ASE10" s="387"/>
      <c r="ASF10" s="387"/>
      <c r="ASG10" s="387"/>
      <c r="ASH10" s="387"/>
      <c r="ASI10" s="387"/>
      <c r="ASJ10" s="387"/>
      <c r="ASK10" s="387"/>
      <c r="ASL10" s="387"/>
      <c r="ASM10" s="387"/>
      <c r="ASN10" s="387"/>
      <c r="ASO10" s="387"/>
      <c r="ASP10" s="387"/>
      <c r="ASQ10" s="387"/>
      <c r="ASR10" s="387"/>
      <c r="ASS10" s="387"/>
      <c r="AST10" s="387"/>
      <c r="ASU10" s="387"/>
      <c r="ASV10" s="387"/>
      <c r="ASW10" s="387"/>
      <c r="ASX10" s="387"/>
      <c r="ASY10" s="387"/>
      <c r="ASZ10" s="387"/>
      <c r="ATA10" s="387"/>
      <c r="ATB10" s="387"/>
      <c r="ATC10" s="387"/>
      <c r="ATD10" s="387"/>
      <c r="ATE10" s="387"/>
      <c r="ATF10" s="387"/>
      <c r="ATG10" s="387"/>
      <c r="ATH10" s="387"/>
      <c r="ATI10" s="387"/>
      <c r="ATJ10" s="387"/>
      <c r="ATK10" s="387"/>
      <c r="ATL10" s="387"/>
      <c r="ATM10" s="387"/>
      <c r="ATN10" s="387"/>
      <c r="ATO10" s="387"/>
      <c r="ATP10" s="387"/>
      <c r="ATQ10" s="387"/>
      <c r="ATR10" s="387"/>
      <c r="ATS10" s="387"/>
      <c r="ATT10" s="387"/>
      <c r="ATU10" s="387"/>
      <c r="ATV10" s="387"/>
      <c r="ATW10" s="387"/>
      <c r="ATX10" s="387"/>
      <c r="ATY10" s="387"/>
      <c r="ATZ10" s="387"/>
      <c r="AUA10" s="387"/>
      <c r="AUB10" s="387"/>
      <c r="AUC10" s="387"/>
      <c r="AUD10" s="387"/>
      <c r="AUE10" s="387"/>
      <c r="AUF10" s="387"/>
      <c r="AUG10" s="387"/>
      <c r="AUH10" s="387"/>
      <c r="AUI10" s="387"/>
      <c r="AUJ10" s="387"/>
      <c r="AUK10" s="387"/>
      <c r="AUL10" s="387"/>
      <c r="AUM10" s="387"/>
      <c r="AUN10" s="387"/>
      <c r="AUO10" s="387"/>
      <c r="AUP10" s="387"/>
      <c r="AUQ10" s="387"/>
      <c r="AUR10" s="387"/>
      <c r="AUS10" s="387"/>
      <c r="AUT10" s="387"/>
      <c r="AUU10" s="387"/>
      <c r="AUV10" s="387"/>
      <c r="AUW10" s="387"/>
      <c r="AUX10" s="387"/>
      <c r="AUY10" s="387"/>
      <c r="AUZ10" s="387"/>
      <c r="AVA10" s="387"/>
      <c r="AVB10" s="387"/>
      <c r="AVC10" s="387"/>
      <c r="AVD10" s="387"/>
      <c r="AVE10" s="387"/>
      <c r="AVF10" s="387"/>
      <c r="AVG10" s="387"/>
      <c r="AVH10" s="387"/>
      <c r="AVI10" s="387"/>
      <c r="AVJ10" s="387"/>
      <c r="AVK10" s="387"/>
      <c r="AVL10" s="387"/>
      <c r="AVM10" s="387"/>
      <c r="AVN10" s="387"/>
      <c r="AVO10" s="387"/>
      <c r="AVP10" s="387"/>
      <c r="AVQ10" s="387"/>
      <c r="AVR10" s="387"/>
      <c r="AVS10" s="387"/>
      <c r="AVT10" s="387"/>
      <c r="AVU10" s="387"/>
      <c r="AVV10" s="387"/>
      <c r="AVW10" s="387"/>
      <c r="AVX10" s="387"/>
      <c r="AVY10" s="387"/>
      <c r="AVZ10" s="387"/>
      <c r="AWA10" s="387"/>
      <c r="AWB10" s="387"/>
      <c r="AWC10" s="387"/>
      <c r="AWD10" s="387"/>
      <c r="AWE10" s="387"/>
      <c r="AWF10" s="387"/>
      <c r="AWG10" s="387"/>
      <c r="AWH10" s="387"/>
      <c r="AWI10" s="387"/>
      <c r="AWJ10" s="387"/>
      <c r="AWK10" s="387"/>
      <c r="AWL10" s="387"/>
      <c r="AWM10" s="387"/>
      <c r="AWN10" s="387"/>
      <c r="AWO10" s="387"/>
      <c r="AWP10" s="387"/>
      <c r="AWQ10" s="387"/>
      <c r="AWR10" s="387"/>
      <c r="AWS10" s="387"/>
      <c r="AWT10" s="387"/>
      <c r="AWU10" s="387"/>
      <c r="AWV10" s="387"/>
      <c r="AWW10" s="387"/>
      <c r="AWX10" s="387"/>
      <c r="AWY10" s="387"/>
      <c r="AWZ10" s="387"/>
      <c r="AXA10" s="387"/>
      <c r="AXB10" s="387"/>
      <c r="AXC10" s="387"/>
      <c r="AXD10" s="387"/>
      <c r="AXE10" s="387"/>
      <c r="AXF10" s="387"/>
      <c r="AXG10" s="387"/>
      <c r="AXH10" s="387"/>
      <c r="AXI10" s="387"/>
      <c r="AXJ10" s="387"/>
      <c r="AXK10" s="387"/>
      <c r="AXL10" s="387"/>
      <c r="AXM10" s="387"/>
      <c r="AXN10" s="387"/>
      <c r="AXO10" s="387"/>
      <c r="AXP10" s="387"/>
      <c r="AXQ10" s="387"/>
      <c r="AXR10" s="387"/>
      <c r="AXS10" s="387"/>
      <c r="AXT10" s="387"/>
      <c r="AXU10" s="387"/>
      <c r="AXV10" s="387"/>
      <c r="AXW10" s="387"/>
      <c r="AXX10" s="387"/>
      <c r="AXY10" s="387"/>
      <c r="AXZ10" s="387"/>
      <c r="AYA10" s="387"/>
      <c r="AYB10" s="387"/>
      <c r="AYC10" s="387"/>
      <c r="AYD10" s="387"/>
      <c r="AYE10" s="387"/>
      <c r="AYF10" s="387"/>
      <c r="AYG10" s="387"/>
      <c r="AYH10" s="387"/>
      <c r="AYI10" s="387"/>
      <c r="AYJ10" s="387"/>
      <c r="AYK10" s="387"/>
      <c r="AYL10" s="387"/>
      <c r="AYM10" s="387"/>
      <c r="AYN10" s="387"/>
      <c r="AYO10" s="387"/>
      <c r="AYP10" s="387"/>
      <c r="AYQ10" s="387"/>
      <c r="AYR10" s="387"/>
      <c r="AYS10" s="387"/>
      <c r="AYT10" s="387"/>
      <c r="AYU10" s="387"/>
      <c r="AYV10" s="387"/>
      <c r="AYW10" s="387"/>
      <c r="AYX10" s="387"/>
      <c r="AYY10" s="387"/>
      <c r="AYZ10" s="387"/>
      <c r="AZA10" s="387"/>
      <c r="AZB10" s="387"/>
      <c r="AZC10" s="387"/>
      <c r="AZD10" s="387"/>
      <c r="AZE10" s="387"/>
      <c r="AZF10" s="387"/>
      <c r="AZG10" s="387"/>
      <c r="AZH10" s="387"/>
      <c r="AZI10" s="387"/>
      <c r="AZJ10" s="387"/>
      <c r="AZK10" s="387"/>
      <c r="AZL10" s="387"/>
      <c r="AZM10" s="387"/>
      <c r="AZN10" s="387"/>
      <c r="AZO10" s="387"/>
      <c r="AZP10" s="387"/>
      <c r="AZQ10" s="387"/>
      <c r="AZR10" s="387"/>
      <c r="AZS10" s="387"/>
      <c r="AZT10" s="387"/>
      <c r="AZU10" s="387"/>
      <c r="AZV10" s="387"/>
      <c r="AZW10" s="387"/>
      <c r="AZX10" s="387"/>
      <c r="AZY10" s="387"/>
      <c r="AZZ10" s="387"/>
      <c r="BAA10" s="387"/>
      <c r="BAB10" s="387"/>
      <c r="BAC10" s="387"/>
      <c r="BAD10" s="387"/>
      <c r="BAE10" s="387"/>
      <c r="BAF10" s="387"/>
      <c r="BAG10" s="387"/>
      <c r="BAH10" s="387"/>
      <c r="BAI10" s="387"/>
      <c r="BAJ10" s="387"/>
      <c r="BAK10" s="387"/>
      <c r="BAL10" s="387"/>
      <c r="BAM10" s="387"/>
      <c r="BAN10" s="387"/>
      <c r="BAO10" s="387"/>
      <c r="BAP10" s="387"/>
      <c r="BAQ10" s="387"/>
      <c r="BAR10" s="387"/>
      <c r="BAS10" s="387"/>
      <c r="BAT10" s="387"/>
      <c r="BAU10" s="387"/>
      <c r="BAV10" s="387"/>
      <c r="BAW10" s="387"/>
      <c r="BAX10" s="387"/>
      <c r="BAY10" s="387"/>
      <c r="BAZ10" s="387"/>
      <c r="BBA10" s="387"/>
      <c r="BBB10" s="387"/>
      <c r="BBC10" s="387"/>
      <c r="BBD10" s="387"/>
      <c r="BBE10" s="387"/>
      <c r="BBF10" s="387"/>
      <c r="BBG10" s="387"/>
      <c r="BBH10" s="387"/>
      <c r="BBI10" s="387"/>
      <c r="BBJ10" s="387"/>
      <c r="BBK10" s="387"/>
      <c r="BBL10" s="387"/>
      <c r="BBM10" s="387"/>
      <c r="BBN10" s="387"/>
      <c r="BBO10" s="387"/>
      <c r="BBP10" s="387"/>
      <c r="BBQ10" s="387"/>
      <c r="BBR10" s="387"/>
      <c r="BBS10" s="387"/>
      <c r="BBT10" s="387"/>
      <c r="BBU10" s="387"/>
      <c r="BBV10" s="387"/>
      <c r="BBW10" s="387"/>
      <c r="BBX10" s="387"/>
      <c r="BBY10" s="387"/>
      <c r="BBZ10" s="387"/>
      <c r="BCA10" s="387"/>
      <c r="BCB10" s="387"/>
      <c r="BCC10" s="387"/>
      <c r="BCD10" s="387"/>
      <c r="BCE10" s="387"/>
      <c r="BCF10" s="387"/>
      <c r="BCG10" s="387"/>
      <c r="BCH10" s="387"/>
      <c r="BCI10" s="387"/>
      <c r="BCJ10" s="387"/>
      <c r="BCK10" s="387"/>
      <c r="BCL10" s="387"/>
      <c r="BCM10" s="387"/>
      <c r="BCN10" s="387"/>
      <c r="BCO10" s="387"/>
      <c r="BCP10" s="387"/>
      <c r="BCQ10" s="387"/>
      <c r="BCR10" s="387"/>
      <c r="BCS10" s="387"/>
      <c r="BCT10" s="387"/>
      <c r="BCU10" s="387"/>
      <c r="BCV10" s="387"/>
      <c r="BCW10" s="387"/>
      <c r="BCX10" s="387"/>
      <c r="BCY10" s="387"/>
      <c r="BCZ10" s="387"/>
      <c r="BDA10" s="387"/>
      <c r="BDB10" s="387"/>
      <c r="BDC10" s="387"/>
      <c r="BDD10" s="387"/>
      <c r="BDE10" s="387"/>
      <c r="BDF10" s="387"/>
      <c r="BDG10" s="387"/>
      <c r="BDH10" s="387"/>
      <c r="BDI10" s="387"/>
      <c r="BDJ10" s="387"/>
      <c r="BDK10" s="387"/>
      <c r="BDL10" s="387"/>
      <c r="BDM10" s="387"/>
      <c r="BDN10" s="387"/>
      <c r="BDO10" s="387"/>
      <c r="BDP10" s="387"/>
      <c r="BDQ10" s="387"/>
      <c r="BDR10" s="387"/>
      <c r="BDS10" s="387"/>
      <c r="BDT10" s="387"/>
      <c r="BDU10" s="387"/>
      <c r="BDV10" s="387"/>
      <c r="BDW10" s="387"/>
      <c r="BDX10" s="387"/>
      <c r="BDY10" s="387"/>
      <c r="BDZ10" s="387"/>
      <c r="BEA10" s="387"/>
      <c r="BEB10" s="387"/>
      <c r="BEC10" s="387"/>
      <c r="BED10" s="387"/>
      <c r="BEE10" s="387"/>
      <c r="BEF10" s="387"/>
      <c r="BEG10" s="387"/>
      <c r="BEH10" s="387"/>
      <c r="BEI10" s="387"/>
      <c r="BEJ10" s="387"/>
      <c r="BEK10" s="387"/>
      <c r="BEL10" s="387"/>
      <c r="BEM10" s="387"/>
      <c r="BEN10" s="387"/>
      <c r="BEO10" s="387"/>
      <c r="BEP10" s="387"/>
      <c r="BEQ10" s="387"/>
      <c r="BER10" s="387"/>
      <c r="BES10" s="387"/>
      <c r="BET10" s="387"/>
      <c r="BEU10" s="387"/>
      <c r="BEV10" s="387"/>
      <c r="BEW10" s="387"/>
      <c r="BEX10" s="387"/>
      <c r="BEY10" s="387"/>
      <c r="BEZ10" s="387"/>
      <c r="BFA10" s="387"/>
      <c r="BFB10" s="387"/>
      <c r="BFC10" s="387"/>
      <c r="BFD10" s="387"/>
      <c r="BFE10" s="387"/>
      <c r="BFF10" s="387"/>
      <c r="BFG10" s="387"/>
      <c r="BFH10" s="387"/>
      <c r="BFI10" s="387"/>
      <c r="BFJ10" s="387"/>
      <c r="BFK10" s="387"/>
      <c r="BFL10" s="387"/>
      <c r="BFM10" s="387"/>
      <c r="BFN10" s="387"/>
      <c r="BFO10" s="387"/>
      <c r="BFP10" s="387"/>
      <c r="BFQ10" s="387"/>
      <c r="BFR10" s="387"/>
      <c r="BFS10" s="387"/>
      <c r="BFT10" s="387"/>
      <c r="BFU10" s="387"/>
      <c r="BFV10" s="387"/>
      <c r="BFW10" s="387"/>
      <c r="BFX10" s="387"/>
      <c r="BFY10" s="387"/>
      <c r="BFZ10" s="387"/>
      <c r="BGA10" s="387"/>
      <c r="BGB10" s="387"/>
      <c r="BGC10" s="387"/>
      <c r="BGD10" s="387"/>
      <c r="BGE10" s="387"/>
      <c r="BGF10" s="387"/>
      <c r="BGG10" s="387"/>
      <c r="BGH10" s="387"/>
      <c r="BGI10" s="387"/>
      <c r="BGJ10" s="387"/>
      <c r="BGK10" s="387"/>
      <c r="BGL10" s="387"/>
      <c r="BGM10" s="387"/>
      <c r="BGN10" s="387"/>
      <c r="BGO10" s="387"/>
      <c r="BGP10" s="387"/>
      <c r="BGQ10" s="387"/>
      <c r="BGR10" s="387"/>
      <c r="BGS10" s="387"/>
      <c r="BGT10" s="387"/>
      <c r="BGU10" s="387"/>
      <c r="BGV10" s="387"/>
      <c r="BGW10" s="387"/>
      <c r="BGX10" s="387"/>
      <c r="BGY10" s="387"/>
      <c r="BGZ10" s="387"/>
      <c r="BHA10" s="387"/>
      <c r="BHB10" s="387"/>
      <c r="BHC10" s="387"/>
      <c r="BHD10" s="387"/>
      <c r="BHE10" s="387"/>
      <c r="BHF10" s="387"/>
      <c r="BHG10" s="387"/>
      <c r="BHH10" s="387"/>
      <c r="BHI10" s="387"/>
      <c r="BHJ10" s="387"/>
      <c r="BHK10" s="387"/>
      <c r="BHL10" s="387"/>
      <c r="BHM10" s="387"/>
      <c r="BHN10" s="387"/>
      <c r="BHO10" s="387"/>
      <c r="BHP10" s="387"/>
      <c r="BHQ10" s="387"/>
      <c r="BHR10" s="387"/>
      <c r="BHS10" s="387"/>
      <c r="BHT10" s="387"/>
      <c r="BHU10" s="387"/>
      <c r="BHV10" s="387"/>
      <c r="BHW10" s="387"/>
      <c r="BHX10" s="387"/>
      <c r="BHY10" s="387"/>
      <c r="BHZ10" s="387"/>
      <c r="BIA10" s="387"/>
      <c r="BIB10" s="387"/>
      <c r="BIC10" s="387"/>
      <c r="BID10" s="387"/>
      <c r="BIE10" s="387"/>
      <c r="BIF10" s="387"/>
      <c r="BIG10" s="387"/>
      <c r="BIH10" s="387"/>
      <c r="BII10" s="387"/>
      <c r="BIJ10" s="387"/>
      <c r="BIK10" s="387"/>
      <c r="BIL10" s="387"/>
      <c r="BIM10" s="387"/>
      <c r="BIN10" s="387"/>
      <c r="BIO10" s="387"/>
      <c r="BIP10" s="387"/>
      <c r="BIQ10" s="387"/>
      <c r="BIR10" s="387"/>
      <c r="BIS10" s="387"/>
      <c r="BIT10" s="387"/>
      <c r="BIU10" s="387"/>
      <c r="BIV10" s="387"/>
      <c r="BIW10" s="387"/>
      <c r="BIX10" s="387"/>
      <c r="BIY10" s="387"/>
      <c r="BIZ10" s="387"/>
      <c r="BJA10" s="387"/>
      <c r="BJB10" s="387"/>
      <c r="BJC10" s="387"/>
      <c r="BJD10" s="387"/>
      <c r="BJE10" s="387"/>
      <c r="BJF10" s="387"/>
      <c r="BJG10" s="387"/>
      <c r="BJH10" s="387"/>
      <c r="BJI10" s="387"/>
      <c r="BJJ10" s="387"/>
      <c r="BJK10" s="387"/>
      <c r="BJL10" s="387"/>
      <c r="BJM10" s="387"/>
      <c r="BJN10" s="387"/>
      <c r="BJO10" s="387"/>
      <c r="BJP10" s="387"/>
      <c r="BJQ10" s="387"/>
      <c r="BJR10" s="387"/>
      <c r="BJS10" s="387"/>
      <c r="BJT10" s="387"/>
      <c r="BJU10" s="387"/>
      <c r="BJV10" s="387"/>
      <c r="BJW10" s="387"/>
      <c r="BJX10" s="387"/>
      <c r="BJY10" s="387"/>
      <c r="BJZ10" s="387"/>
      <c r="BKA10" s="387"/>
      <c r="BKB10" s="387"/>
      <c r="BKC10" s="387"/>
      <c r="BKD10" s="387"/>
      <c r="BKE10" s="387"/>
      <c r="BKF10" s="387"/>
      <c r="BKG10" s="387"/>
      <c r="BKH10" s="387"/>
      <c r="BKI10" s="387"/>
      <c r="BKJ10" s="387"/>
      <c r="BKK10" s="387"/>
      <c r="BKL10" s="387"/>
      <c r="BKM10" s="387"/>
      <c r="BKN10" s="387"/>
      <c r="BKO10" s="387"/>
      <c r="BKP10" s="387"/>
      <c r="BKQ10" s="387"/>
      <c r="BKR10" s="387"/>
      <c r="BKS10" s="387"/>
      <c r="BKT10" s="387"/>
      <c r="BKU10" s="387"/>
      <c r="BKV10" s="387"/>
      <c r="BKW10" s="387"/>
      <c r="BKX10" s="387"/>
      <c r="BKY10" s="387"/>
      <c r="BKZ10" s="387"/>
      <c r="BLA10" s="387"/>
      <c r="BLB10" s="387"/>
      <c r="BLC10" s="387"/>
      <c r="BLD10" s="387"/>
      <c r="BLE10" s="387"/>
      <c r="BLF10" s="387"/>
      <c r="BLG10" s="387"/>
      <c r="BLH10" s="387"/>
      <c r="BLI10" s="387"/>
      <c r="BLJ10" s="387"/>
      <c r="BLK10" s="387"/>
      <c r="BLL10" s="387"/>
      <c r="BLM10" s="387"/>
      <c r="BLN10" s="387"/>
      <c r="BLO10" s="387"/>
      <c r="BLP10" s="387"/>
      <c r="BLQ10" s="387"/>
      <c r="BLR10" s="387"/>
      <c r="BLS10" s="387"/>
      <c r="BLT10" s="387"/>
      <c r="BLU10" s="387"/>
      <c r="BLV10" s="387"/>
      <c r="BLW10" s="387"/>
      <c r="BLX10" s="387"/>
      <c r="BLY10" s="387"/>
      <c r="BLZ10" s="387"/>
      <c r="BMA10" s="387"/>
      <c r="BMB10" s="387"/>
      <c r="BMC10" s="387"/>
      <c r="BMD10" s="387"/>
      <c r="BME10" s="387"/>
      <c r="BMF10" s="387"/>
      <c r="BMG10" s="387"/>
      <c r="BMH10" s="387"/>
      <c r="BMI10" s="387"/>
      <c r="BMJ10" s="387"/>
      <c r="BMK10" s="387"/>
      <c r="BML10" s="387"/>
      <c r="BMM10" s="387"/>
      <c r="BMN10" s="387"/>
      <c r="BMO10" s="387"/>
      <c r="BMP10" s="387"/>
      <c r="BMQ10" s="387"/>
      <c r="BMR10" s="387"/>
      <c r="BMS10" s="387"/>
      <c r="BMT10" s="387"/>
      <c r="BMU10" s="387"/>
      <c r="BMV10" s="387"/>
      <c r="BMW10" s="387"/>
      <c r="BMX10" s="387"/>
      <c r="BMY10" s="387"/>
      <c r="BMZ10" s="387"/>
      <c r="BNA10" s="387"/>
      <c r="BNB10" s="387"/>
      <c r="BNC10" s="387"/>
      <c r="BND10" s="387"/>
      <c r="BNE10" s="387"/>
      <c r="BNF10" s="387"/>
      <c r="BNG10" s="387"/>
      <c r="BNH10" s="387"/>
      <c r="BNI10" s="387"/>
      <c r="BNJ10" s="387"/>
      <c r="BNK10" s="387"/>
      <c r="BNL10" s="387"/>
      <c r="BNM10" s="387"/>
      <c r="BNN10" s="387"/>
      <c r="BNO10" s="387"/>
      <c r="BNP10" s="387"/>
      <c r="BNQ10" s="387"/>
      <c r="BNR10" s="387"/>
      <c r="BNS10" s="387"/>
      <c r="BNT10" s="387"/>
      <c r="BNU10" s="387"/>
      <c r="BNV10" s="387"/>
      <c r="BNW10" s="387"/>
      <c r="BNX10" s="387"/>
      <c r="BNY10" s="387"/>
      <c r="BNZ10" s="387"/>
      <c r="BOA10" s="387"/>
      <c r="BOB10" s="387"/>
      <c r="BOC10" s="387"/>
      <c r="BOD10" s="387"/>
      <c r="BOE10" s="387"/>
      <c r="BOF10" s="387"/>
      <c r="BOG10" s="387"/>
      <c r="BOH10" s="387"/>
      <c r="BOI10" s="387"/>
      <c r="BOJ10" s="387"/>
      <c r="BOK10" s="387"/>
      <c r="BOL10" s="387"/>
      <c r="BOM10" s="387"/>
      <c r="BON10" s="387"/>
      <c r="BOO10" s="387"/>
      <c r="BOP10" s="387"/>
      <c r="BOQ10" s="387"/>
      <c r="BOR10" s="387"/>
      <c r="BOS10" s="387"/>
      <c r="BOT10" s="387"/>
      <c r="BOU10" s="387"/>
      <c r="BOV10" s="387"/>
      <c r="BOW10" s="387"/>
      <c r="BOX10" s="387"/>
      <c r="BOY10" s="387"/>
      <c r="BOZ10" s="387"/>
      <c r="BPA10" s="387"/>
      <c r="BPB10" s="387"/>
      <c r="BPC10" s="387"/>
      <c r="BPD10" s="387"/>
      <c r="BPE10" s="387"/>
      <c r="BPF10" s="387"/>
      <c r="BPG10" s="387"/>
      <c r="BPH10" s="387"/>
      <c r="BPI10" s="387"/>
      <c r="BPJ10" s="387"/>
      <c r="BPK10" s="387"/>
      <c r="BPL10" s="387"/>
      <c r="BPM10" s="387"/>
      <c r="BPN10" s="387"/>
      <c r="BPO10" s="387"/>
      <c r="BPP10" s="387"/>
      <c r="BPQ10" s="387"/>
      <c r="BPR10" s="387"/>
      <c r="BPS10" s="387"/>
      <c r="BPT10" s="387"/>
      <c r="BPU10" s="387"/>
      <c r="BPV10" s="387"/>
      <c r="BPW10" s="387"/>
      <c r="BPX10" s="387"/>
      <c r="BPY10" s="387"/>
      <c r="BPZ10" s="387"/>
      <c r="BQA10" s="387"/>
      <c r="BQB10" s="387"/>
      <c r="BQC10" s="387"/>
      <c r="BQD10" s="387"/>
      <c r="BQE10" s="387"/>
      <c r="BQF10" s="387"/>
      <c r="BQG10" s="387"/>
      <c r="BQH10" s="387"/>
      <c r="BQI10" s="387"/>
      <c r="BQJ10" s="387"/>
      <c r="BQK10" s="387"/>
      <c r="BQL10" s="387"/>
      <c r="BQM10" s="387"/>
      <c r="BQN10" s="387"/>
      <c r="BQO10" s="387"/>
      <c r="BQP10" s="387"/>
      <c r="BQQ10" s="387"/>
      <c r="BQR10" s="387"/>
      <c r="BQS10" s="387"/>
      <c r="BQT10" s="387"/>
      <c r="BQU10" s="387"/>
      <c r="BQV10" s="387"/>
      <c r="BQW10" s="387"/>
      <c r="BQX10" s="387"/>
      <c r="BQY10" s="387"/>
      <c r="BQZ10" s="387"/>
      <c r="BRA10" s="387"/>
      <c r="BRB10" s="387"/>
      <c r="BRC10" s="387"/>
      <c r="BRD10" s="387"/>
      <c r="BRE10" s="387"/>
      <c r="BRF10" s="387"/>
      <c r="BRG10" s="387"/>
      <c r="BRH10" s="387"/>
      <c r="BRI10" s="387"/>
      <c r="BRJ10" s="387"/>
      <c r="BRK10" s="387"/>
      <c r="BRL10" s="387"/>
      <c r="BRM10" s="387"/>
      <c r="BRN10" s="387"/>
      <c r="BRO10" s="387"/>
      <c r="BRP10" s="387"/>
      <c r="BRQ10" s="387"/>
      <c r="BRR10" s="387"/>
      <c r="BRS10" s="387"/>
      <c r="BRT10" s="387"/>
      <c r="BRU10" s="387"/>
      <c r="BRV10" s="387"/>
      <c r="BRW10" s="387"/>
      <c r="BRX10" s="387"/>
      <c r="BRY10" s="387"/>
      <c r="BRZ10" s="387"/>
      <c r="BSA10" s="387"/>
      <c r="BSB10" s="387"/>
      <c r="BSC10" s="387"/>
      <c r="BSD10" s="387"/>
      <c r="BSE10" s="387"/>
      <c r="BSF10" s="387"/>
      <c r="BSG10" s="387"/>
      <c r="BSH10" s="387"/>
      <c r="BSI10" s="387"/>
      <c r="BSJ10" s="387"/>
      <c r="BSK10" s="387"/>
      <c r="BSL10" s="387"/>
      <c r="BSM10" s="387"/>
      <c r="BSN10" s="387"/>
      <c r="BSO10" s="387"/>
      <c r="BSP10" s="387"/>
      <c r="BSQ10" s="387"/>
      <c r="BSR10" s="387"/>
      <c r="BSS10" s="387"/>
      <c r="BST10" s="387"/>
      <c r="BSU10" s="387"/>
      <c r="BSV10" s="387"/>
      <c r="BSW10" s="387"/>
      <c r="BSX10" s="387"/>
      <c r="BSY10" s="387"/>
      <c r="BSZ10" s="387"/>
      <c r="BTA10" s="387"/>
      <c r="BTB10" s="387"/>
      <c r="BTC10" s="387"/>
      <c r="BTD10" s="387"/>
      <c r="BTE10" s="387"/>
      <c r="BTF10" s="387"/>
      <c r="BTG10" s="387"/>
      <c r="BTH10" s="387"/>
      <c r="BTI10" s="387"/>
    </row>
    <row r="11" spans="1:1881" s="4" customFormat="1" ht="88.5" customHeight="1" x14ac:dyDescent="0.25">
      <c r="A11" s="186">
        <v>576</v>
      </c>
      <c r="B11" s="148" t="s">
        <v>93</v>
      </c>
      <c r="C11" s="180" t="s">
        <v>152</v>
      </c>
      <c r="D11" s="300" t="s">
        <v>633</v>
      </c>
      <c r="E11" s="683" t="e">
        <f>HLOOKUP('Unit Data from Audit Worksheet'!$D$2,'2019 Data(H)'!$D$1:$BB$202,160,FALSE)</f>
        <v>#N/A</v>
      </c>
      <c r="F11" s="686"/>
      <c r="G11" s="388">
        <f>IF(F11&lt;0,"Error: Enter as positive.",)</f>
        <v>0</v>
      </c>
      <c r="H11" s="189"/>
      <c r="I11" s="294"/>
      <c r="J11" s="362"/>
      <c r="K11" s="387"/>
      <c r="L11" s="674" t="s">
        <v>917</v>
      </c>
      <c r="M11" s="576"/>
      <c r="N11" s="594"/>
      <c r="O11" s="387"/>
      <c r="P11" s="387"/>
      <c r="Q11" s="387"/>
      <c r="R11"/>
      <c r="S11" s="682"/>
      <c r="T11" s="387"/>
      <c r="U11" s="387"/>
      <c r="V11" s="387"/>
      <c r="W11" s="387"/>
      <c r="X11" s="682"/>
      <c r="Y11" s="387"/>
      <c r="Z11" s="387"/>
      <c r="AA11" s="387"/>
      <c r="AB11" s="387"/>
      <c r="AC11" s="387"/>
      <c r="AD11" s="387"/>
      <c r="AE11" s="387"/>
      <c r="AF11" s="387"/>
      <c r="AG11" s="387"/>
      <c r="AH11" s="387"/>
      <c r="AI11" s="387"/>
      <c r="AJ11" s="387"/>
      <c r="AK11" s="387"/>
      <c r="AL11" s="387"/>
      <c r="AM11" s="387"/>
      <c r="AN11" s="387"/>
      <c r="AO11" s="387"/>
      <c r="AP11" s="387"/>
      <c r="AQ11" s="387"/>
      <c r="AR11" s="387"/>
      <c r="AS11" s="387"/>
      <c r="AT11" s="387"/>
      <c r="AU11" s="387"/>
      <c r="AV11" s="387"/>
      <c r="AW11" s="387"/>
      <c r="AX11" s="387"/>
      <c r="AY11" s="387"/>
      <c r="AZ11" s="387"/>
      <c r="BA11" s="387"/>
      <c r="BB11" s="387"/>
      <c r="BC11" s="387"/>
      <c r="BD11" s="387"/>
      <c r="BE11" s="387"/>
      <c r="BF11" s="387"/>
      <c r="BG11" s="387"/>
      <c r="BH11" s="387"/>
      <c r="BI11" s="387"/>
      <c r="BJ11" s="387"/>
      <c r="BK11" s="387"/>
      <c r="BL11" s="387"/>
      <c r="BM11" s="387"/>
      <c r="BN11" s="387"/>
      <c r="BO11" s="387"/>
      <c r="BP11" s="387"/>
      <c r="BQ11" s="387"/>
      <c r="BR11" s="387"/>
      <c r="BS11" s="387"/>
      <c r="BT11" s="387"/>
      <c r="BU11" s="387"/>
      <c r="BV11" s="387"/>
      <c r="BW11" s="387"/>
      <c r="BX11" s="387"/>
      <c r="BY11" s="387"/>
      <c r="BZ11" s="387"/>
      <c r="CA11" s="387"/>
      <c r="CB11" s="387"/>
      <c r="CC11" s="387"/>
      <c r="CD11" s="387"/>
      <c r="CE11" s="387"/>
      <c r="CF11" s="387"/>
      <c r="CG11" s="387"/>
      <c r="CH11" s="387"/>
      <c r="CI11" s="387"/>
      <c r="CJ11" s="387"/>
      <c r="CK11" s="387"/>
      <c r="CL11" s="387"/>
      <c r="CM11" s="387"/>
      <c r="CN11" s="387"/>
      <c r="CO11" s="387"/>
      <c r="CP11" s="387"/>
      <c r="CQ11" s="387"/>
      <c r="CR11" s="387"/>
      <c r="CS11" s="387"/>
      <c r="CT11" s="387"/>
      <c r="CU11" s="387"/>
      <c r="CV11" s="387"/>
      <c r="CW11" s="387"/>
      <c r="CX11" s="387"/>
      <c r="CY11" s="387"/>
      <c r="CZ11" s="387"/>
      <c r="DA11" s="387"/>
      <c r="DB11" s="387"/>
      <c r="DC11" s="387"/>
      <c r="DD11" s="387"/>
      <c r="DE11" s="387"/>
      <c r="DF11" s="387"/>
      <c r="DG11" s="387"/>
      <c r="DH11" s="387"/>
      <c r="DI11" s="387"/>
      <c r="DJ11" s="387"/>
      <c r="DK11" s="387"/>
      <c r="DL11" s="387"/>
      <c r="DM11" s="387"/>
      <c r="DN11" s="387"/>
      <c r="DO11" s="387"/>
      <c r="DP11" s="387"/>
      <c r="DQ11" s="387"/>
      <c r="DR11" s="387"/>
      <c r="DS11" s="387"/>
      <c r="DT11" s="387"/>
      <c r="DU11" s="387"/>
      <c r="DV11" s="387"/>
      <c r="DW11" s="387"/>
      <c r="DX11" s="387"/>
      <c r="DY11" s="387"/>
      <c r="DZ11" s="387"/>
      <c r="EA11" s="387"/>
      <c r="EB11" s="387"/>
      <c r="EC11" s="387"/>
      <c r="ED11" s="387"/>
      <c r="EE11" s="387"/>
      <c r="EF11" s="387"/>
      <c r="EG11" s="387"/>
      <c r="EH11" s="387"/>
      <c r="EI11" s="387"/>
      <c r="EJ11" s="387"/>
      <c r="EK11" s="387"/>
      <c r="EL11" s="387"/>
      <c r="EM11" s="387"/>
      <c r="EN11" s="387"/>
      <c r="EO11" s="387"/>
      <c r="EP11" s="387"/>
      <c r="EQ11" s="387"/>
      <c r="ER11" s="387"/>
      <c r="ES11" s="387"/>
      <c r="ET11" s="387"/>
      <c r="EU11" s="387"/>
      <c r="EV11" s="387"/>
      <c r="EW11" s="387"/>
      <c r="EX11" s="387"/>
      <c r="EY11" s="387"/>
      <c r="EZ11" s="387"/>
      <c r="FA11" s="387"/>
      <c r="FB11" s="387"/>
      <c r="FC11" s="387"/>
      <c r="FD11" s="387"/>
      <c r="FE11" s="387"/>
      <c r="FF11" s="387"/>
      <c r="FG11" s="387"/>
      <c r="FH11" s="387"/>
      <c r="FI11" s="387"/>
      <c r="FJ11" s="387"/>
      <c r="FK11" s="387"/>
      <c r="FL11" s="387"/>
      <c r="FM11" s="387"/>
      <c r="FN11" s="387"/>
      <c r="FO11" s="387"/>
      <c r="FP11" s="387"/>
      <c r="FQ11" s="387"/>
      <c r="FR11" s="387"/>
      <c r="FS11" s="387"/>
      <c r="FT11" s="387"/>
      <c r="FU11" s="387"/>
      <c r="FV11" s="387"/>
      <c r="FW11" s="387"/>
      <c r="FX11" s="387"/>
      <c r="FY11" s="387"/>
      <c r="FZ11" s="387"/>
      <c r="GA11" s="387"/>
      <c r="GB11" s="387"/>
      <c r="GC11" s="387"/>
      <c r="GD11" s="387"/>
      <c r="GE11" s="387"/>
      <c r="GF11" s="387"/>
      <c r="GG11" s="387"/>
      <c r="GH11" s="387"/>
      <c r="GI11" s="387"/>
      <c r="GJ11" s="387"/>
      <c r="GK11" s="387"/>
      <c r="GL11" s="387"/>
      <c r="GM11" s="387"/>
      <c r="GN11" s="387"/>
      <c r="GO11" s="387"/>
      <c r="GP11" s="387"/>
      <c r="GQ11" s="387"/>
      <c r="GR11" s="387"/>
      <c r="GS11" s="387"/>
      <c r="GT11" s="387"/>
      <c r="GU11" s="387"/>
      <c r="GV11" s="387"/>
      <c r="GW11" s="387"/>
      <c r="GX11" s="387"/>
      <c r="GY11" s="387"/>
      <c r="GZ11" s="387"/>
      <c r="HA11" s="387"/>
      <c r="HB11" s="387"/>
      <c r="HC11" s="387"/>
      <c r="HD11" s="387"/>
      <c r="HE11" s="387"/>
      <c r="HF11" s="387"/>
      <c r="HG11" s="387"/>
      <c r="HH11" s="387"/>
      <c r="HI11" s="387"/>
      <c r="HJ11" s="387"/>
      <c r="HK11" s="387"/>
      <c r="HL11" s="387"/>
      <c r="HM11" s="387"/>
      <c r="HN11" s="387"/>
      <c r="HO11" s="387"/>
      <c r="HP11" s="387"/>
      <c r="HQ11" s="387"/>
      <c r="HR11" s="387"/>
      <c r="HS11" s="387"/>
      <c r="HT11" s="387"/>
      <c r="HU11" s="387"/>
      <c r="HV11" s="387"/>
      <c r="HW11" s="387"/>
      <c r="HX11" s="387"/>
      <c r="HY11" s="387"/>
      <c r="HZ11" s="387"/>
      <c r="IA11" s="387"/>
      <c r="IB11" s="387"/>
      <c r="IC11" s="387"/>
      <c r="ID11" s="387"/>
      <c r="IE11" s="387"/>
      <c r="IF11" s="387"/>
      <c r="IG11" s="387"/>
      <c r="IH11" s="387"/>
      <c r="II11" s="387"/>
      <c r="IJ11" s="387"/>
      <c r="IK11" s="387"/>
      <c r="IL11" s="387"/>
      <c r="IM11" s="387"/>
      <c r="IN11" s="387"/>
      <c r="IO11" s="387"/>
      <c r="IP11" s="387"/>
      <c r="IQ11" s="387"/>
      <c r="IR11" s="387"/>
      <c r="IS11" s="387"/>
      <c r="IT11" s="387"/>
      <c r="IU11" s="387"/>
      <c r="IV11" s="387"/>
      <c r="IW11" s="387"/>
      <c r="IX11" s="387"/>
      <c r="IY11" s="387"/>
      <c r="IZ11" s="387"/>
      <c r="JA11" s="387"/>
      <c r="JB11" s="387"/>
      <c r="JC11" s="387"/>
      <c r="JD11" s="387"/>
      <c r="JE11" s="387"/>
      <c r="JF11" s="387"/>
      <c r="JG11" s="387"/>
      <c r="JH11" s="387"/>
      <c r="JI11" s="387"/>
      <c r="JJ11" s="387"/>
      <c r="JK11" s="387"/>
      <c r="JL11" s="387"/>
      <c r="JM11" s="387"/>
      <c r="JN11" s="387"/>
      <c r="JO11" s="387"/>
      <c r="JP11" s="387"/>
      <c r="JQ11" s="387"/>
      <c r="JR11" s="387"/>
      <c r="JS11" s="387"/>
      <c r="JT11" s="387"/>
      <c r="JU11" s="387"/>
      <c r="JV11" s="387"/>
      <c r="JW11" s="387"/>
      <c r="JX11" s="387"/>
      <c r="JY11" s="387"/>
      <c r="JZ11" s="387"/>
      <c r="KA11" s="387"/>
      <c r="KB11" s="387"/>
      <c r="KC11" s="387"/>
      <c r="KD11" s="387"/>
      <c r="KE11" s="387"/>
      <c r="KF11" s="387"/>
      <c r="KG11" s="387"/>
      <c r="KH11" s="387"/>
      <c r="KI11" s="387"/>
      <c r="KJ11" s="387"/>
      <c r="KK11" s="387"/>
      <c r="KL11" s="387"/>
      <c r="KM11" s="387"/>
      <c r="KN11" s="387"/>
      <c r="KO11" s="387"/>
      <c r="KP11" s="387"/>
      <c r="KQ11" s="387"/>
      <c r="KR11" s="387"/>
      <c r="KS11" s="387"/>
      <c r="KT11" s="387"/>
      <c r="KU11" s="387"/>
      <c r="KV11" s="387"/>
      <c r="KW11" s="387"/>
      <c r="KX11" s="387"/>
      <c r="KY11" s="387"/>
      <c r="KZ11" s="387"/>
      <c r="LA11" s="387"/>
      <c r="LB11" s="387"/>
      <c r="LC11" s="387"/>
      <c r="LD11" s="387"/>
      <c r="LE11" s="387"/>
      <c r="LF11" s="387"/>
      <c r="LG11" s="387"/>
      <c r="LH11" s="387"/>
      <c r="LI11" s="387"/>
      <c r="LJ11" s="387"/>
      <c r="LK11" s="387"/>
      <c r="LL11" s="387"/>
      <c r="LM11" s="387"/>
      <c r="LN11" s="387"/>
      <c r="LO11" s="387"/>
      <c r="LP11" s="387"/>
      <c r="LQ11" s="387"/>
      <c r="LR11" s="387"/>
      <c r="LS11" s="387"/>
      <c r="LT11" s="387"/>
      <c r="LU11" s="387"/>
      <c r="LV11" s="387"/>
      <c r="LW11" s="387"/>
      <c r="LX11" s="387"/>
      <c r="LY11" s="387"/>
      <c r="LZ11" s="387"/>
      <c r="MA11" s="387"/>
      <c r="MB11" s="387"/>
      <c r="MC11" s="387"/>
      <c r="MD11" s="387"/>
      <c r="ME11" s="387"/>
      <c r="MF11" s="387"/>
      <c r="MG11" s="387"/>
      <c r="MH11" s="387"/>
      <c r="MI11" s="387"/>
      <c r="MJ11" s="387"/>
      <c r="MK11" s="387"/>
      <c r="ML11" s="387"/>
      <c r="MM11" s="387"/>
      <c r="MN11" s="387"/>
      <c r="MO11" s="387"/>
      <c r="MP11" s="387"/>
      <c r="MQ11" s="387"/>
      <c r="MR11" s="387"/>
      <c r="MS11" s="387"/>
      <c r="MT11" s="387"/>
      <c r="MU11" s="387"/>
      <c r="MV11" s="387"/>
      <c r="MW11" s="387"/>
      <c r="MX11" s="387"/>
      <c r="MY11" s="387"/>
      <c r="MZ11" s="387"/>
      <c r="NA11" s="387"/>
      <c r="NB11" s="387"/>
      <c r="NC11" s="387"/>
      <c r="ND11" s="387"/>
      <c r="NE11" s="387"/>
      <c r="NF11" s="387"/>
      <c r="NG11" s="387"/>
      <c r="NH11" s="387"/>
      <c r="NI11" s="387"/>
      <c r="NJ11" s="387"/>
      <c r="NK11" s="387"/>
      <c r="NL11" s="387"/>
      <c r="NM11" s="387"/>
      <c r="NN11" s="387"/>
      <c r="NO11" s="387"/>
      <c r="NP11" s="387"/>
      <c r="NQ11" s="387"/>
      <c r="NR11" s="387"/>
      <c r="NS11" s="387"/>
      <c r="NT11" s="387"/>
      <c r="NU11" s="387"/>
      <c r="NV11" s="387"/>
      <c r="NW11" s="387"/>
      <c r="NX11" s="387"/>
      <c r="NY11" s="387"/>
      <c r="NZ11" s="387"/>
      <c r="OA11" s="387"/>
      <c r="OB11" s="387"/>
      <c r="OC11" s="387"/>
      <c r="OD11" s="387"/>
      <c r="OE11" s="387"/>
      <c r="OF11" s="387"/>
      <c r="OG11" s="387"/>
      <c r="OH11" s="387"/>
      <c r="OI11" s="387"/>
      <c r="OJ11" s="387"/>
      <c r="OK11" s="387"/>
      <c r="OL11" s="387"/>
      <c r="OM11" s="387"/>
      <c r="ON11" s="387"/>
      <c r="OO11" s="387"/>
      <c r="OP11" s="387"/>
      <c r="OQ11" s="387"/>
      <c r="OR11" s="387"/>
      <c r="OS11" s="387"/>
      <c r="OT11" s="387"/>
      <c r="OU11" s="387"/>
      <c r="OV11" s="387"/>
      <c r="OW11" s="387"/>
      <c r="OX11" s="387"/>
      <c r="OY11" s="387"/>
      <c r="OZ11" s="387"/>
      <c r="PA11" s="387"/>
      <c r="PB11" s="387"/>
      <c r="PC11" s="387"/>
      <c r="PD11" s="387"/>
      <c r="PE11" s="387"/>
      <c r="PF11" s="387"/>
      <c r="PG11" s="387"/>
      <c r="PH11" s="387"/>
      <c r="PI11" s="387"/>
      <c r="PJ11" s="387"/>
      <c r="PK11" s="387"/>
      <c r="PL11" s="387"/>
      <c r="PM11" s="387"/>
      <c r="PN11" s="387"/>
      <c r="PO11" s="387"/>
      <c r="PP11" s="387"/>
      <c r="PQ11" s="387"/>
      <c r="PR11" s="387"/>
      <c r="PS11" s="387"/>
      <c r="PT11" s="387"/>
      <c r="PU11" s="387"/>
      <c r="PV11" s="387"/>
      <c r="PW11" s="387"/>
      <c r="PX11" s="387"/>
      <c r="PY11" s="387"/>
      <c r="PZ11" s="387"/>
      <c r="QA11" s="387"/>
      <c r="QB11" s="387"/>
      <c r="QC11" s="387"/>
      <c r="QD11" s="387"/>
      <c r="QE11" s="387"/>
      <c r="QF11" s="387"/>
      <c r="QG11" s="387"/>
      <c r="QH11" s="387"/>
      <c r="QI11" s="387"/>
      <c r="QJ11" s="387"/>
      <c r="QK11" s="387"/>
      <c r="QL11" s="387"/>
      <c r="QM11" s="387"/>
      <c r="QN11" s="387"/>
      <c r="QO11" s="387"/>
      <c r="QP11" s="387"/>
      <c r="QQ11" s="387"/>
      <c r="QR11" s="387"/>
      <c r="QS11" s="387"/>
      <c r="QT11" s="387"/>
      <c r="QU11" s="387"/>
      <c r="QV11" s="387"/>
      <c r="QW11" s="387"/>
      <c r="QX11" s="387"/>
      <c r="QY11" s="387"/>
      <c r="QZ11" s="387"/>
      <c r="RA11" s="387"/>
      <c r="RB11" s="387"/>
      <c r="RC11" s="387"/>
      <c r="RD11" s="387"/>
      <c r="RE11" s="387"/>
      <c r="RF11" s="387"/>
      <c r="RG11" s="387"/>
      <c r="RH11" s="387"/>
      <c r="RI11" s="387"/>
      <c r="RJ11" s="387"/>
      <c r="RK11" s="387"/>
      <c r="RL11" s="387"/>
      <c r="RM11" s="387"/>
      <c r="RN11" s="387"/>
      <c r="RO11" s="387"/>
      <c r="RP11" s="387"/>
      <c r="RQ11" s="387"/>
      <c r="RR11" s="387"/>
      <c r="RS11" s="387"/>
      <c r="RT11" s="387"/>
      <c r="RU11" s="387"/>
      <c r="RV11" s="387"/>
      <c r="RW11" s="387"/>
      <c r="RX11" s="387"/>
      <c r="RY11" s="387"/>
      <c r="RZ11" s="387"/>
      <c r="SA11" s="387"/>
      <c r="SB11" s="387"/>
      <c r="SC11" s="387"/>
      <c r="SD11" s="387"/>
      <c r="SE11" s="387"/>
      <c r="SF11" s="387"/>
      <c r="SG11" s="387"/>
      <c r="SH11" s="387"/>
      <c r="SI11" s="387"/>
      <c r="SJ11" s="387"/>
      <c r="SK11" s="387"/>
      <c r="SL11" s="387"/>
      <c r="SM11" s="387"/>
      <c r="SN11" s="387"/>
      <c r="SO11" s="387"/>
      <c r="SP11" s="387"/>
      <c r="SQ11" s="387"/>
      <c r="SR11" s="387"/>
      <c r="SS11" s="387"/>
      <c r="ST11" s="387"/>
      <c r="SU11" s="387"/>
      <c r="SV11" s="387"/>
      <c r="SW11" s="387"/>
      <c r="SX11" s="387"/>
      <c r="SY11" s="387"/>
      <c r="SZ11" s="387"/>
      <c r="TA11" s="387"/>
      <c r="TB11" s="387"/>
      <c r="TC11" s="387"/>
      <c r="TD11" s="387"/>
      <c r="TE11" s="387"/>
      <c r="TF11" s="387"/>
      <c r="TG11" s="387"/>
      <c r="TH11" s="387"/>
      <c r="TI11" s="387"/>
      <c r="TJ11" s="387"/>
      <c r="TK11" s="387"/>
      <c r="TL11" s="387"/>
      <c r="TM11" s="387"/>
      <c r="TN11" s="387"/>
      <c r="TO11" s="387"/>
      <c r="TP11" s="387"/>
      <c r="TQ11" s="387"/>
      <c r="TR11" s="387"/>
      <c r="TS11" s="387"/>
      <c r="TT11" s="387"/>
      <c r="TU11" s="387"/>
      <c r="TV11" s="387"/>
      <c r="TW11" s="387"/>
      <c r="TX11" s="387"/>
      <c r="TY11" s="387"/>
      <c r="TZ11" s="387"/>
      <c r="UA11" s="387"/>
      <c r="UB11" s="387"/>
      <c r="UC11" s="387"/>
      <c r="UD11" s="387"/>
      <c r="UE11" s="387"/>
      <c r="UF11" s="387"/>
      <c r="UG11" s="387"/>
      <c r="UH11" s="387"/>
      <c r="UI11" s="387"/>
      <c r="UJ11" s="387"/>
      <c r="UK11" s="387"/>
      <c r="UL11" s="387"/>
      <c r="UM11" s="387"/>
      <c r="UN11" s="387"/>
      <c r="UO11" s="387"/>
      <c r="UP11" s="387"/>
      <c r="UQ11" s="387"/>
      <c r="UR11" s="387"/>
      <c r="US11" s="387"/>
      <c r="UT11" s="387"/>
      <c r="UU11" s="387"/>
      <c r="UV11" s="387"/>
      <c r="UW11" s="387"/>
      <c r="UX11" s="387"/>
      <c r="UY11" s="387"/>
      <c r="UZ11" s="387"/>
      <c r="VA11" s="387"/>
      <c r="VB11" s="387"/>
      <c r="VC11" s="387"/>
      <c r="VD11" s="387"/>
      <c r="VE11" s="387"/>
      <c r="VF11" s="387"/>
      <c r="VG11" s="387"/>
      <c r="VH11" s="387"/>
      <c r="VI11" s="387"/>
      <c r="VJ11" s="387"/>
      <c r="VK11" s="387"/>
      <c r="VL11" s="387"/>
      <c r="VM11" s="387"/>
      <c r="VN11" s="387"/>
      <c r="VO11" s="387"/>
      <c r="VP11" s="387"/>
      <c r="VQ11" s="387"/>
      <c r="VR11" s="387"/>
      <c r="VS11" s="387"/>
      <c r="VT11" s="387"/>
      <c r="VU11" s="387"/>
      <c r="VV11" s="387"/>
      <c r="VW11" s="387"/>
      <c r="VX11" s="387"/>
      <c r="VY11" s="387"/>
      <c r="VZ11" s="387"/>
      <c r="WA11" s="387"/>
      <c r="WB11" s="387"/>
      <c r="WC11" s="387"/>
      <c r="WD11" s="387"/>
      <c r="WE11" s="387"/>
      <c r="WF11" s="387"/>
      <c r="WG11" s="387"/>
      <c r="WH11" s="387"/>
      <c r="WI11" s="387"/>
      <c r="WJ11" s="387"/>
      <c r="WK11" s="387"/>
      <c r="WL11" s="387"/>
      <c r="WM11" s="387"/>
      <c r="WN11" s="387"/>
      <c r="WO11" s="387"/>
      <c r="WP11" s="387"/>
      <c r="WQ11" s="387"/>
      <c r="WR11" s="387"/>
      <c r="WS11" s="387"/>
      <c r="WT11" s="387"/>
      <c r="WU11" s="387"/>
      <c r="WV11" s="387"/>
      <c r="WW11" s="387"/>
      <c r="WX11" s="387"/>
      <c r="WY11" s="387"/>
      <c r="WZ11" s="387"/>
      <c r="XA11" s="387"/>
      <c r="XB11" s="387"/>
      <c r="XC11" s="387"/>
      <c r="XD11" s="387"/>
      <c r="XE11" s="387"/>
      <c r="XF11" s="387"/>
      <c r="XG11" s="387"/>
      <c r="XH11" s="387"/>
      <c r="XI11" s="387"/>
      <c r="XJ11" s="387"/>
      <c r="XK11" s="387"/>
      <c r="XL11" s="387"/>
      <c r="XM11" s="387"/>
      <c r="XN11" s="387"/>
      <c r="XO11" s="387"/>
      <c r="XP11" s="387"/>
      <c r="XQ11" s="387"/>
      <c r="XR11" s="387"/>
      <c r="XS11" s="387"/>
      <c r="XT11" s="387"/>
      <c r="XU11" s="387"/>
      <c r="XV11" s="387"/>
      <c r="XW11" s="387"/>
      <c r="XX11" s="387"/>
      <c r="XY11" s="387"/>
      <c r="XZ11" s="387"/>
      <c r="YA11" s="387"/>
      <c r="YB11" s="387"/>
      <c r="YC11" s="387"/>
      <c r="YD11" s="387"/>
      <c r="YE11" s="387"/>
      <c r="YF11" s="387"/>
      <c r="YG11" s="387"/>
      <c r="YH11" s="387"/>
      <c r="YI11" s="387"/>
      <c r="YJ11" s="387"/>
      <c r="YK11" s="387"/>
      <c r="YL11" s="387"/>
      <c r="YM11" s="387"/>
      <c r="YN11" s="387"/>
      <c r="YO11" s="387"/>
      <c r="YP11" s="387"/>
      <c r="YQ11" s="387"/>
      <c r="YR11" s="387"/>
      <c r="YS11" s="387"/>
      <c r="YT11" s="387"/>
      <c r="YU11" s="387"/>
      <c r="YV11" s="387"/>
      <c r="YW11" s="387"/>
      <c r="YX11" s="387"/>
      <c r="YY11" s="387"/>
      <c r="YZ11" s="387"/>
      <c r="ZA11" s="387"/>
      <c r="ZB11" s="387"/>
      <c r="ZC11" s="387"/>
      <c r="ZD11" s="387"/>
      <c r="ZE11" s="387"/>
      <c r="ZF11" s="387"/>
      <c r="ZG11" s="387"/>
      <c r="ZH11" s="387"/>
      <c r="ZI11" s="387"/>
      <c r="ZJ11" s="387"/>
      <c r="ZK11" s="387"/>
      <c r="ZL11" s="387"/>
      <c r="ZM11" s="387"/>
      <c r="ZN11" s="387"/>
      <c r="ZO11" s="387"/>
      <c r="ZP11" s="387"/>
      <c r="ZQ11" s="387"/>
      <c r="ZR11" s="387"/>
      <c r="ZS11" s="387"/>
      <c r="ZT11" s="387"/>
      <c r="ZU11" s="387"/>
      <c r="ZV11" s="387"/>
      <c r="ZW11" s="387"/>
      <c r="ZX11" s="387"/>
      <c r="ZY11" s="387"/>
      <c r="ZZ11" s="387"/>
      <c r="AAA11" s="387"/>
      <c r="AAB11" s="387"/>
      <c r="AAC11" s="387"/>
      <c r="AAD11" s="387"/>
      <c r="AAE11" s="387"/>
      <c r="AAF11" s="387"/>
      <c r="AAG11" s="387"/>
      <c r="AAH11" s="387"/>
      <c r="AAI11" s="387"/>
      <c r="AAJ11" s="387"/>
      <c r="AAK11" s="387"/>
      <c r="AAL11" s="387"/>
      <c r="AAM11" s="387"/>
      <c r="AAN11" s="387"/>
      <c r="AAO11" s="387"/>
      <c r="AAP11" s="387"/>
      <c r="AAQ11" s="387"/>
      <c r="AAR11" s="387"/>
      <c r="AAS11" s="387"/>
      <c r="AAT11" s="387"/>
      <c r="AAU11" s="387"/>
      <c r="AAV11" s="387"/>
      <c r="AAW11" s="387"/>
      <c r="AAX11" s="387"/>
      <c r="AAY11" s="387"/>
      <c r="AAZ11" s="387"/>
      <c r="ABA11" s="387"/>
      <c r="ABB11" s="387"/>
      <c r="ABC11" s="387"/>
      <c r="ABD11" s="387"/>
      <c r="ABE11" s="387"/>
      <c r="ABF11" s="387"/>
      <c r="ABG11" s="387"/>
      <c r="ABH11" s="387"/>
      <c r="ABI11" s="387"/>
      <c r="ABJ11" s="387"/>
      <c r="ABK11" s="387"/>
      <c r="ABL11" s="387"/>
      <c r="ABM11" s="387"/>
      <c r="ABN11" s="387"/>
      <c r="ABO11" s="387"/>
      <c r="ABP11" s="387"/>
      <c r="ABQ11" s="387"/>
      <c r="ABR11" s="387"/>
      <c r="ABS11" s="387"/>
      <c r="ABT11" s="387"/>
      <c r="ABU11" s="387"/>
      <c r="ABV11" s="387"/>
      <c r="ABW11" s="387"/>
      <c r="ABX11" s="387"/>
      <c r="ABY11" s="387"/>
      <c r="ABZ11" s="387"/>
      <c r="ACA11" s="387"/>
      <c r="ACB11" s="387"/>
      <c r="ACC11" s="387"/>
      <c r="ACD11" s="387"/>
      <c r="ACE11" s="387"/>
      <c r="ACF11" s="387"/>
      <c r="ACG11" s="387"/>
      <c r="ACH11" s="387"/>
      <c r="ACI11" s="387"/>
      <c r="ACJ11" s="387"/>
      <c r="ACK11" s="387"/>
      <c r="ACL11" s="387"/>
      <c r="ACM11" s="387"/>
      <c r="ACN11" s="387"/>
      <c r="ACO11" s="387"/>
      <c r="ACP11" s="387"/>
      <c r="ACQ11" s="387"/>
      <c r="ACR11" s="387"/>
      <c r="ACS11" s="387"/>
      <c r="ACT11" s="387"/>
      <c r="ACU11" s="387"/>
      <c r="ACV11" s="387"/>
      <c r="ACW11" s="387"/>
      <c r="ACX11" s="387"/>
      <c r="ACY11" s="387"/>
      <c r="ACZ11" s="387"/>
      <c r="ADA11" s="387"/>
      <c r="ADB11" s="387"/>
      <c r="ADC11" s="387"/>
      <c r="ADD11" s="387"/>
      <c r="ADE11" s="387"/>
      <c r="ADF11" s="387"/>
      <c r="ADG11" s="387"/>
      <c r="ADH11" s="387"/>
      <c r="ADI11" s="387"/>
      <c r="ADJ11" s="387"/>
      <c r="ADK11" s="387"/>
      <c r="ADL11" s="387"/>
      <c r="ADM11" s="387"/>
      <c r="ADN11" s="387"/>
      <c r="ADO11" s="387"/>
      <c r="ADP11" s="387"/>
      <c r="ADQ11" s="387"/>
      <c r="ADR11" s="387"/>
      <c r="ADS11" s="387"/>
      <c r="ADT11" s="387"/>
      <c r="ADU11" s="387"/>
      <c r="ADV11" s="387"/>
      <c r="ADW11" s="387"/>
      <c r="ADX11" s="387"/>
      <c r="ADY11" s="387"/>
      <c r="ADZ11" s="387"/>
      <c r="AEA11" s="387"/>
      <c r="AEB11" s="387"/>
      <c r="AEC11" s="387"/>
      <c r="AED11" s="387"/>
      <c r="AEE11" s="387"/>
      <c r="AEF11" s="387"/>
      <c r="AEG11" s="387"/>
      <c r="AEH11" s="387"/>
      <c r="AEI11" s="387"/>
      <c r="AEJ11" s="387"/>
      <c r="AEK11" s="387"/>
      <c r="AEL11" s="387"/>
      <c r="AEM11" s="387"/>
      <c r="AEN11" s="387"/>
      <c r="AEO11" s="387"/>
      <c r="AEP11" s="387"/>
      <c r="AEQ11" s="387"/>
      <c r="AER11" s="387"/>
      <c r="AES11" s="387"/>
      <c r="AET11" s="387"/>
      <c r="AEU11" s="387"/>
      <c r="AEV11" s="387"/>
      <c r="AEW11" s="387"/>
      <c r="AEX11" s="387"/>
      <c r="AEY11" s="387"/>
      <c r="AEZ11" s="387"/>
      <c r="AFA11" s="387"/>
      <c r="AFB11" s="387"/>
      <c r="AFC11" s="387"/>
      <c r="AFD11" s="387"/>
      <c r="AFE11" s="387"/>
      <c r="AFF11" s="387"/>
      <c r="AFG11" s="387"/>
      <c r="AFH11" s="387"/>
      <c r="AFI11" s="387"/>
      <c r="AFJ11" s="387"/>
      <c r="AFK11" s="387"/>
      <c r="AFL11" s="387"/>
      <c r="AFM11" s="387"/>
      <c r="AFN11" s="387"/>
      <c r="AFO11" s="387"/>
      <c r="AFP11" s="387"/>
      <c r="AFQ11" s="387"/>
      <c r="AFR11" s="387"/>
      <c r="AFS11" s="387"/>
      <c r="AFT11" s="387"/>
      <c r="AFU11" s="387"/>
      <c r="AFV11" s="387"/>
      <c r="AFW11" s="387"/>
      <c r="AFX11" s="387"/>
      <c r="AFY11" s="387"/>
      <c r="AFZ11" s="387"/>
      <c r="AGA11" s="387"/>
      <c r="AGB11" s="387"/>
      <c r="AGC11" s="387"/>
      <c r="AGD11" s="387"/>
      <c r="AGE11" s="387"/>
      <c r="AGF11" s="387"/>
      <c r="AGG11" s="387"/>
      <c r="AGH11" s="387"/>
      <c r="AGI11" s="387"/>
      <c r="AGJ11" s="387"/>
      <c r="AGK11" s="387"/>
      <c r="AGL11" s="387"/>
      <c r="AGM11" s="387"/>
      <c r="AGN11" s="387"/>
      <c r="AGO11" s="387"/>
      <c r="AGP11" s="387"/>
      <c r="AGQ11" s="387"/>
      <c r="AGR11" s="387"/>
      <c r="AGS11" s="387"/>
      <c r="AGT11" s="387"/>
      <c r="AGU11" s="387"/>
      <c r="AGV11" s="387"/>
      <c r="AGW11" s="387"/>
      <c r="AGX11" s="387"/>
      <c r="AGY11" s="387"/>
      <c r="AGZ11" s="387"/>
      <c r="AHA11" s="387"/>
      <c r="AHB11" s="387"/>
      <c r="AHC11" s="387"/>
      <c r="AHD11" s="387"/>
      <c r="AHE11" s="387"/>
      <c r="AHF11" s="387"/>
      <c r="AHG11" s="387"/>
      <c r="AHH11" s="387"/>
      <c r="AHI11" s="387"/>
      <c r="AHJ11" s="387"/>
      <c r="AHK11" s="387"/>
      <c r="AHL11" s="387"/>
      <c r="AHM11" s="387"/>
      <c r="AHN11" s="387"/>
      <c r="AHO11" s="387"/>
      <c r="AHP11" s="387"/>
      <c r="AHQ11" s="387"/>
      <c r="AHR11" s="387"/>
      <c r="AHS11" s="387"/>
      <c r="AHT11" s="387"/>
      <c r="AHU11" s="387"/>
      <c r="AHV11" s="387"/>
      <c r="AHW11" s="387"/>
      <c r="AHX11" s="387"/>
      <c r="AHY11" s="387"/>
      <c r="AHZ11" s="387"/>
      <c r="AIA11" s="387"/>
      <c r="AIB11" s="387"/>
      <c r="AIC11" s="387"/>
      <c r="AID11" s="387"/>
      <c r="AIE11" s="387"/>
      <c r="AIF11" s="387"/>
      <c r="AIG11" s="387"/>
      <c r="AIH11" s="387"/>
      <c r="AII11" s="387"/>
      <c r="AIJ11" s="387"/>
      <c r="AIK11" s="387"/>
      <c r="AIL11" s="387"/>
      <c r="AIM11" s="387"/>
      <c r="AIN11" s="387"/>
      <c r="AIO11" s="387"/>
      <c r="AIP11" s="387"/>
      <c r="AIQ11" s="387"/>
      <c r="AIR11" s="387"/>
      <c r="AIS11" s="387"/>
      <c r="AIT11" s="387"/>
      <c r="AIU11" s="387"/>
      <c r="AIV11" s="387"/>
      <c r="AIW11" s="387"/>
      <c r="AIX11" s="387"/>
      <c r="AIY11" s="387"/>
      <c r="AIZ11" s="387"/>
      <c r="AJA11" s="387"/>
      <c r="AJB11" s="387"/>
      <c r="AJC11" s="387"/>
      <c r="AJD11" s="387"/>
      <c r="AJE11" s="387"/>
      <c r="AJF11" s="387"/>
      <c r="AJG11" s="387"/>
      <c r="AJH11" s="387"/>
      <c r="AJI11" s="387"/>
      <c r="AJJ11" s="387"/>
      <c r="AJK11" s="387"/>
      <c r="AJL11" s="387"/>
      <c r="AJM11" s="387"/>
      <c r="AJN11" s="387"/>
      <c r="AJO11" s="387"/>
      <c r="AJP11" s="387"/>
      <c r="AJQ11" s="387"/>
      <c r="AJR11" s="387"/>
      <c r="AJS11" s="387"/>
      <c r="AJT11" s="387"/>
      <c r="AJU11" s="387"/>
      <c r="AJV11" s="387"/>
      <c r="AJW11" s="387"/>
      <c r="AJX11" s="387"/>
      <c r="AJY11" s="387"/>
      <c r="AJZ11" s="387"/>
      <c r="AKA11" s="387"/>
      <c r="AKB11" s="387"/>
      <c r="AKC11" s="387"/>
      <c r="AKD11" s="387"/>
      <c r="AKE11" s="387"/>
      <c r="AKF11" s="387"/>
      <c r="AKG11" s="387"/>
      <c r="AKH11" s="387"/>
      <c r="AKI11" s="387"/>
      <c r="AKJ11" s="387"/>
      <c r="AKK11" s="387"/>
      <c r="AKL11" s="387"/>
      <c r="AKM11" s="387"/>
      <c r="AKN11" s="387"/>
      <c r="AKO11" s="387"/>
      <c r="AKP11" s="387"/>
      <c r="AKQ11" s="387"/>
      <c r="AKR11" s="387"/>
      <c r="AKS11" s="387"/>
      <c r="AKT11" s="387"/>
      <c r="AKU11" s="387"/>
      <c r="AKV11" s="387"/>
      <c r="AKW11" s="387"/>
      <c r="AKX11" s="387"/>
      <c r="AKY11" s="387"/>
      <c r="AKZ11" s="387"/>
      <c r="ALA11" s="387"/>
      <c r="ALB11" s="387"/>
      <c r="ALC11" s="387"/>
      <c r="ALD11" s="387"/>
      <c r="ALE11" s="387"/>
      <c r="ALF11" s="387"/>
      <c r="ALG11" s="387"/>
      <c r="ALH11" s="387"/>
      <c r="ALI11" s="387"/>
      <c r="ALJ11" s="387"/>
      <c r="ALK11" s="387"/>
      <c r="ALL11" s="387"/>
      <c r="ALM11" s="387"/>
      <c r="ALN11" s="387"/>
      <c r="ALO11" s="387"/>
      <c r="ALP11" s="387"/>
      <c r="ALQ11" s="387"/>
      <c r="ALR11" s="387"/>
      <c r="ALS11" s="387"/>
      <c r="ALT11" s="387"/>
      <c r="ALU11" s="387"/>
      <c r="ALV11" s="387"/>
      <c r="ALW11" s="387"/>
      <c r="ALX11" s="387"/>
      <c r="ALY11" s="387"/>
      <c r="ALZ11" s="387"/>
      <c r="AMA11" s="387"/>
      <c r="AMB11" s="387"/>
      <c r="AMC11" s="387"/>
      <c r="AMD11" s="387"/>
      <c r="AME11" s="387"/>
      <c r="AMF11" s="387"/>
      <c r="AMG11" s="387"/>
      <c r="AMH11" s="387"/>
      <c r="AMI11" s="387"/>
      <c r="AMJ11" s="387"/>
      <c r="AMK11" s="387"/>
      <c r="AML11" s="387"/>
      <c r="AMM11" s="387"/>
      <c r="AMN11" s="387"/>
      <c r="AMO11" s="387"/>
      <c r="AMP11" s="387"/>
      <c r="AMQ11" s="387"/>
      <c r="AMR11" s="387"/>
      <c r="AMS11" s="387"/>
      <c r="AMT11" s="387"/>
      <c r="AMU11" s="387"/>
      <c r="AMV11" s="387"/>
      <c r="AMW11" s="387"/>
      <c r="AMX11" s="387"/>
      <c r="AMY11" s="387"/>
      <c r="AMZ11" s="387"/>
      <c r="ANA11" s="387"/>
      <c r="ANB11" s="387"/>
      <c r="ANC11" s="387"/>
      <c r="AND11" s="387"/>
      <c r="ANE11" s="387"/>
      <c r="ANF11" s="387"/>
      <c r="ANG11" s="387"/>
      <c r="ANH11" s="387"/>
      <c r="ANI11" s="387"/>
      <c r="ANJ11" s="387"/>
      <c r="ANK11" s="387"/>
      <c r="ANL11" s="387"/>
      <c r="ANM11" s="387"/>
      <c r="ANN11" s="387"/>
      <c r="ANO11" s="387"/>
      <c r="ANP11" s="387"/>
      <c r="ANQ11" s="387"/>
      <c r="ANR11" s="387"/>
      <c r="ANS11" s="387"/>
      <c r="ANT11" s="387"/>
      <c r="ANU11" s="387"/>
      <c r="ANV11" s="387"/>
      <c r="ANW11" s="387"/>
      <c r="ANX11" s="387"/>
      <c r="ANY11" s="387"/>
      <c r="ANZ11" s="387"/>
      <c r="AOA11" s="387"/>
      <c r="AOB11" s="387"/>
      <c r="AOC11" s="387"/>
      <c r="AOD11" s="387"/>
      <c r="AOE11" s="387"/>
      <c r="AOF11" s="387"/>
      <c r="AOG11" s="387"/>
      <c r="AOH11" s="387"/>
      <c r="AOI11" s="387"/>
      <c r="AOJ11" s="387"/>
      <c r="AOK11" s="387"/>
      <c r="AOL11" s="387"/>
      <c r="AOM11" s="387"/>
      <c r="AON11" s="387"/>
      <c r="AOO11" s="387"/>
      <c r="AOP11" s="387"/>
      <c r="AOQ11" s="387"/>
      <c r="AOR11" s="387"/>
      <c r="AOS11" s="387"/>
      <c r="AOT11" s="387"/>
      <c r="AOU11" s="387"/>
      <c r="AOV11" s="387"/>
      <c r="AOW11" s="387"/>
      <c r="AOX11" s="387"/>
      <c r="AOY11" s="387"/>
      <c r="AOZ11" s="387"/>
      <c r="APA11" s="387"/>
      <c r="APB11" s="387"/>
      <c r="APC11" s="387"/>
      <c r="APD11" s="387"/>
      <c r="APE11" s="387"/>
      <c r="APF11" s="387"/>
      <c r="APG11" s="387"/>
      <c r="APH11" s="387"/>
      <c r="API11" s="387"/>
      <c r="APJ11" s="387"/>
      <c r="APK11" s="387"/>
      <c r="APL11" s="387"/>
      <c r="APM11" s="387"/>
      <c r="APN11" s="387"/>
      <c r="APO11" s="387"/>
      <c r="APP11" s="387"/>
      <c r="APQ11" s="387"/>
      <c r="APR11" s="387"/>
      <c r="APS11" s="387"/>
      <c r="APT11" s="387"/>
      <c r="APU11" s="387"/>
      <c r="APV11" s="387"/>
      <c r="APW11" s="387"/>
      <c r="APX11" s="387"/>
      <c r="APY11" s="387"/>
      <c r="APZ11" s="387"/>
      <c r="AQA11" s="387"/>
      <c r="AQB11" s="387"/>
      <c r="AQC11" s="387"/>
      <c r="AQD11" s="387"/>
      <c r="AQE11" s="387"/>
      <c r="AQF11" s="387"/>
      <c r="AQG11" s="387"/>
      <c r="AQH11" s="387"/>
      <c r="AQI11" s="387"/>
      <c r="AQJ11" s="387"/>
      <c r="AQK11" s="387"/>
      <c r="AQL11" s="387"/>
      <c r="AQM11" s="387"/>
      <c r="AQN11" s="387"/>
      <c r="AQO11" s="387"/>
      <c r="AQP11" s="387"/>
      <c r="AQQ11" s="387"/>
      <c r="AQR11" s="387"/>
      <c r="AQS11" s="387"/>
      <c r="AQT11" s="387"/>
      <c r="AQU11" s="387"/>
      <c r="AQV11" s="387"/>
      <c r="AQW11" s="387"/>
      <c r="AQX11" s="387"/>
      <c r="AQY11" s="387"/>
      <c r="AQZ11" s="387"/>
      <c r="ARA11" s="387"/>
      <c r="ARB11" s="387"/>
      <c r="ARC11" s="387"/>
      <c r="ARD11" s="387"/>
      <c r="ARE11" s="387"/>
      <c r="ARF11" s="387"/>
      <c r="ARG11" s="387"/>
      <c r="ARH11" s="387"/>
      <c r="ARI11" s="387"/>
      <c r="ARJ11" s="387"/>
      <c r="ARK11" s="387"/>
      <c r="ARL11" s="387"/>
      <c r="ARM11" s="387"/>
      <c r="ARN11" s="387"/>
      <c r="ARO11" s="387"/>
      <c r="ARP11" s="387"/>
      <c r="ARQ11" s="387"/>
      <c r="ARR11" s="387"/>
      <c r="ARS11" s="387"/>
      <c r="ART11" s="387"/>
      <c r="ARU11" s="387"/>
      <c r="ARV11" s="387"/>
      <c r="ARW11" s="387"/>
      <c r="ARX11" s="387"/>
      <c r="ARY11" s="387"/>
      <c r="ARZ11" s="387"/>
      <c r="ASA11" s="387"/>
      <c r="ASB11" s="387"/>
      <c r="ASC11" s="387"/>
      <c r="ASD11" s="387"/>
      <c r="ASE11" s="387"/>
      <c r="ASF11" s="387"/>
      <c r="ASG11" s="387"/>
      <c r="ASH11" s="387"/>
      <c r="ASI11" s="387"/>
      <c r="ASJ11" s="387"/>
      <c r="ASK11" s="387"/>
      <c r="ASL11" s="387"/>
      <c r="ASM11" s="387"/>
      <c r="ASN11" s="387"/>
      <c r="ASO11" s="387"/>
      <c r="ASP11" s="387"/>
      <c r="ASQ11" s="387"/>
      <c r="ASR11" s="387"/>
      <c r="ASS11" s="387"/>
      <c r="AST11" s="387"/>
      <c r="ASU11" s="387"/>
      <c r="ASV11" s="387"/>
      <c r="ASW11" s="387"/>
      <c r="ASX11" s="387"/>
      <c r="ASY11" s="387"/>
      <c r="ASZ11" s="387"/>
      <c r="ATA11" s="387"/>
      <c r="ATB11" s="387"/>
      <c r="ATC11" s="387"/>
      <c r="ATD11" s="387"/>
      <c r="ATE11" s="387"/>
      <c r="ATF11" s="387"/>
      <c r="ATG11" s="387"/>
      <c r="ATH11" s="387"/>
      <c r="ATI11" s="387"/>
      <c r="ATJ11" s="387"/>
      <c r="ATK11" s="387"/>
      <c r="ATL11" s="387"/>
      <c r="ATM11" s="387"/>
      <c r="ATN11" s="387"/>
      <c r="ATO11" s="387"/>
      <c r="ATP11" s="387"/>
      <c r="ATQ11" s="387"/>
      <c r="ATR11" s="387"/>
      <c r="ATS11" s="387"/>
      <c r="ATT11" s="387"/>
      <c r="ATU11" s="387"/>
      <c r="ATV11" s="387"/>
      <c r="ATW11" s="387"/>
      <c r="ATX11" s="387"/>
      <c r="ATY11" s="387"/>
      <c r="ATZ11" s="387"/>
      <c r="AUA11" s="387"/>
      <c r="AUB11" s="387"/>
      <c r="AUC11" s="387"/>
      <c r="AUD11" s="387"/>
      <c r="AUE11" s="387"/>
      <c r="AUF11" s="387"/>
      <c r="AUG11" s="387"/>
      <c r="AUH11" s="387"/>
      <c r="AUI11" s="387"/>
      <c r="AUJ11" s="387"/>
      <c r="AUK11" s="387"/>
      <c r="AUL11" s="387"/>
      <c r="AUM11" s="387"/>
      <c r="AUN11" s="387"/>
      <c r="AUO11" s="387"/>
      <c r="AUP11" s="387"/>
      <c r="AUQ11" s="387"/>
      <c r="AUR11" s="387"/>
      <c r="AUS11" s="387"/>
      <c r="AUT11" s="387"/>
      <c r="AUU11" s="387"/>
      <c r="AUV11" s="387"/>
      <c r="AUW11" s="387"/>
      <c r="AUX11" s="387"/>
      <c r="AUY11" s="387"/>
      <c r="AUZ11" s="387"/>
      <c r="AVA11" s="387"/>
      <c r="AVB11" s="387"/>
      <c r="AVC11" s="387"/>
      <c r="AVD11" s="387"/>
      <c r="AVE11" s="387"/>
      <c r="AVF11" s="387"/>
      <c r="AVG11" s="387"/>
      <c r="AVH11" s="387"/>
      <c r="AVI11" s="387"/>
      <c r="AVJ11" s="387"/>
      <c r="AVK11" s="387"/>
      <c r="AVL11" s="387"/>
      <c r="AVM11" s="387"/>
      <c r="AVN11" s="387"/>
      <c r="AVO11" s="387"/>
      <c r="AVP11" s="387"/>
      <c r="AVQ11" s="387"/>
      <c r="AVR11" s="387"/>
      <c r="AVS11" s="387"/>
      <c r="AVT11" s="387"/>
      <c r="AVU11" s="387"/>
      <c r="AVV11" s="387"/>
      <c r="AVW11" s="387"/>
      <c r="AVX11" s="387"/>
      <c r="AVY11" s="387"/>
      <c r="AVZ11" s="387"/>
      <c r="AWA11" s="387"/>
      <c r="AWB11" s="387"/>
      <c r="AWC11" s="387"/>
      <c r="AWD11" s="387"/>
      <c r="AWE11" s="387"/>
      <c r="AWF11" s="387"/>
      <c r="AWG11" s="387"/>
      <c r="AWH11" s="387"/>
      <c r="AWI11" s="387"/>
      <c r="AWJ11" s="387"/>
      <c r="AWK11" s="387"/>
      <c r="AWL11" s="387"/>
      <c r="AWM11" s="387"/>
      <c r="AWN11" s="387"/>
      <c r="AWO11" s="387"/>
      <c r="AWP11" s="387"/>
      <c r="AWQ11" s="387"/>
      <c r="AWR11" s="387"/>
      <c r="AWS11" s="387"/>
      <c r="AWT11" s="387"/>
      <c r="AWU11" s="387"/>
      <c r="AWV11" s="387"/>
      <c r="AWW11" s="387"/>
      <c r="AWX11" s="387"/>
      <c r="AWY11" s="387"/>
      <c r="AWZ11" s="387"/>
      <c r="AXA11" s="387"/>
      <c r="AXB11" s="387"/>
      <c r="AXC11" s="387"/>
      <c r="AXD11" s="387"/>
      <c r="AXE11" s="387"/>
      <c r="AXF11" s="387"/>
      <c r="AXG11" s="387"/>
      <c r="AXH11" s="387"/>
      <c r="AXI11" s="387"/>
      <c r="AXJ11" s="387"/>
      <c r="AXK11" s="387"/>
      <c r="AXL11" s="387"/>
      <c r="AXM11" s="387"/>
      <c r="AXN11" s="387"/>
      <c r="AXO11" s="387"/>
      <c r="AXP11" s="387"/>
      <c r="AXQ11" s="387"/>
      <c r="AXR11" s="387"/>
      <c r="AXS11" s="387"/>
      <c r="AXT11" s="387"/>
      <c r="AXU11" s="387"/>
      <c r="AXV11" s="387"/>
      <c r="AXW11" s="387"/>
      <c r="AXX11" s="387"/>
      <c r="AXY11" s="387"/>
      <c r="AXZ11" s="387"/>
      <c r="AYA11" s="387"/>
      <c r="AYB11" s="387"/>
      <c r="AYC11" s="387"/>
      <c r="AYD11" s="387"/>
      <c r="AYE11" s="387"/>
      <c r="AYF11" s="387"/>
      <c r="AYG11" s="387"/>
      <c r="AYH11" s="387"/>
      <c r="AYI11" s="387"/>
      <c r="AYJ11" s="387"/>
      <c r="AYK11" s="387"/>
      <c r="AYL11" s="387"/>
      <c r="AYM11" s="387"/>
      <c r="AYN11" s="387"/>
      <c r="AYO11" s="387"/>
      <c r="AYP11" s="387"/>
      <c r="AYQ11" s="387"/>
      <c r="AYR11" s="387"/>
      <c r="AYS11" s="387"/>
      <c r="AYT11" s="387"/>
      <c r="AYU11" s="387"/>
      <c r="AYV11" s="387"/>
      <c r="AYW11" s="387"/>
      <c r="AYX11" s="387"/>
      <c r="AYY11" s="387"/>
      <c r="AYZ11" s="387"/>
      <c r="AZA11" s="387"/>
      <c r="AZB11" s="387"/>
      <c r="AZC11" s="387"/>
      <c r="AZD11" s="387"/>
      <c r="AZE11" s="387"/>
      <c r="AZF11" s="387"/>
      <c r="AZG11" s="387"/>
      <c r="AZH11" s="387"/>
      <c r="AZI11" s="387"/>
      <c r="AZJ11" s="387"/>
      <c r="AZK11" s="387"/>
      <c r="AZL11" s="387"/>
      <c r="AZM11" s="387"/>
      <c r="AZN11" s="387"/>
      <c r="AZO11" s="387"/>
      <c r="AZP11" s="387"/>
      <c r="AZQ11" s="387"/>
      <c r="AZR11" s="387"/>
      <c r="AZS11" s="387"/>
      <c r="AZT11" s="387"/>
      <c r="AZU11" s="387"/>
      <c r="AZV11" s="387"/>
      <c r="AZW11" s="387"/>
      <c r="AZX11" s="387"/>
      <c r="AZY11" s="387"/>
      <c r="AZZ11" s="387"/>
      <c r="BAA11" s="387"/>
      <c r="BAB11" s="387"/>
      <c r="BAC11" s="387"/>
      <c r="BAD11" s="387"/>
      <c r="BAE11" s="387"/>
      <c r="BAF11" s="387"/>
      <c r="BAG11" s="387"/>
      <c r="BAH11" s="387"/>
      <c r="BAI11" s="387"/>
      <c r="BAJ11" s="387"/>
      <c r="BAK11" s="387"/>
      <c r="BAL11" s="387"/>
      <c r="BAM11" s="387"/>
      <c r="BAN11" s="387"/>
      <c r="BAO11" s="387"/>
      <c r="BAP11" s="387"/>
      <c r="BAQ11" s="387"/>
      <c r="BAR11" s="387"/>
      <c r="BAS11" s="387"/>
      <c r="BAT11" s="387"/>
      <c r="BAU11" s="387"/>
      <c r="BAV11" s="387"/>
      <c r="BAW11" s="387"/>
      <c r="BAX11" s="387"/>
      <c r="BAY11" s="387"/>
      <c r="BAZ11" s="387"/>
      <c r="BBA11" s="387"/>
      <c r="BBB11" s="387"/>
      <c r="BBC11" s="387"/>
      <c r="BBD11" s="387"/>
      <c r="BBE11" s="387"/>
      <c r="BBF11" s="387"/>
      <c r="BBG11" s="387"/>
      <c r="BBH11" s="387"/>
      <c r="BBI11" s="387"/>
      <c r="BBJ11" s="387"/>
      <c r="BBK11" s="387"/>
      <c r="BBL11" s="387"/>
      <c r="BBM11" s="387"/>
      <c r="BBN11" s="387"/>
      <c r="BBO11" s="387"/>
      <c r="BBP11" s="387"/>
      <c r="BBQ11" s="387"/>
      <c r="BBR11" s="387"/>
      <c r="BBS11" s="387"/>
      <c r="BBT11" s="387"/>
      <c r="BBU11" s="387"/>
      <c r="BBV11" s="387"/>
      <c r="BBW11" s="387"/>
      <c r="BBX11" s="387"/>
      <c r="BBY11" s="387"/>
      <c r="BBZ11" s="387"/>
      <c r="BCA11" s="387"/>
      <c r="BCB11" s="387"/>
      <c r="BCC11" s="387"/>
      <c r="BCD11" s="387"/>
      <c r="BCE11" s="387"/>
      <c r="BCF11" s="387"/>
      <c r="BCG11" s="387"/>
      <c r="BCH11" s="387"/>
      <c r="BCI11" s="387"/>
      <c r="BCJ11" s="387"/>
      <c r="BCK11" s="387"/>
      <c r="BCL11" s="387"/>
      <c r="BCM11" s="387"/>
      <c r="BCN11" s="387"/>
      <c r="BCO11" s="387"/>
      <c r="BCP11" s="387"/>
      <c r="BCQ11" s="387"/>
      <c r="BCR11" s="387"/>
      <c r="BCS11" s="387"/>
      <c r="BCT11" s="387"/>
      <c r="BCU11" s="387"/>
      <c r="BCV11" s="387"/>
      <c r="BCW11" s="387"/>
      <c r="BCX11" s="387"/>
      <c r="BCY11" s="387"/>
      <c r="BCZ11" s="387"/>
      <c r="BDA11" s="387"/>
      <c r="BDB11" s="387"/>
      <c r="BDC11" s="387"/>
      <c r="BDD11" s="387"/>
      <c r="BDE11" s="387"/>
      <c r="BDF11" s="387"/>
      <c r="BDG11" s="387"/>
      <c r="BDH11" s="387"/>
      <c r="BDI11" s="387"/>
      <c r="BDJ11" s="387"/>
      <c r="BDK11" s="387"/>
      <c r="BDL11" s="387"/>
      <c r="BDM11" s="387"/>
      <c r="BDN11" s="387"/>
      <c r="BDO11" s="387"/>
      <c r="BDP11" s="387"/>
      <c r="BDQ11" s="387"/>
      <c r="BDR11" s="387"/>
      <c r="BDS11" s="387"/>
      <c r="BDT11" s="387"/>
      <c r="BDU11" s="387"/>
      <c r="BDV11" s="387"/>
      <c r="BDW11" s="387"/>
      <c r="BDX11" s="387"/>
      <c r="BDY11" s="387"/>
      <c r="BDZ11" s="387"/>
      <c r="BEA11" s="387"/>
      <c r="BEB11" s="387"/>
      <c r="BEC11" s="387"/>
      <c r="BED11" s="387"/>
      <c r="BEE11" s="387"/>
      <c r="BEF11" s="387"/>
      <c r="BEG11" s="387"/>
      <c r="BEH11" s="387"/>
      <c r="BEI11" s="387"/>
      <c r="BEJ11" s="387"/>
      <c r="BEK11" s="387"/>
      <c r="BEL11" s="387"/>
      <c r="BEM11" s="387"/>
      <c r="BEN11" s="387"/>
      <c r="BEO11" s="387"/>
      <c r="BEP11" s="387"/>
      <c r="BEQ11" s="387"/>
      <c r="BER11" s="387"/>
      <c r="BES11" s="387"/>
      <c r="BET11" s="387"/>
      <c r="BEU11" s="387"/>
      <c r="BEV11" s="387"/>
      <c r="BEW11" s="387"/>
      <c r="BEX11" s="387"/>
      <c r="BEY11" s="387"/>
      <c r="BEZ11" s="387"/>
      <c r="BFA11" s="387"/>
      <c r="BFB11" s="387"/>
      <c r="BFC11" s="387"/>
      <c r="BFD11" s="387"/>
      <c r="BFE11" s="387"/>
      <c r="BFF11" s="387"/>
      <c r="BFG11" s="387"/>
      <c r="BFH11" s="387"/>
      <c r="BFI11" s="387"/>
      <c r="BFJ11" s="387"/>
      <c r="BFK11" s="387"/>
      <c r="BFL11" s="387"/>
      <c r="BFM11" s="387"/>
      <c r="BFN11" s="387"/>
      <c r="BFO11" s="387"/>
      <c r="BFP11" s="387"/>
      <c r="BFQ11" s="387"/>
      <c r="BFR11" s="387"/>
      <c r="BFS11" s="387"/>
      <c r="BFT11" s="387"/>
      <c r="BFU11" s="387"/>
      <c r="BFV11" s="387"/>
      <c r="BFW11" s="387"/>
      <c r="BFX11" s="387"/>
      <c r="BFY11" s="387"/>
      <c r="BFZ11" s="387"/>
      <c r="BGA11" s="387"/>
      <c r="BGB11" s="387"/>
      <c r="BGC11" s="387"/>
      <c r="BGD11" s="387"/>
      <c r="BGE11" s="387"/>
      <c r="BGF11" s="387"/>
      <c r="BGG11" s="387"/>
      <c r="BGH11" s="387"/>
      <c r="BGI11" s="387"/>
      <c r="BGJ11" s="387"/>
      <c r="BGK11" s="387"/>
      <c r="BGL11" s="387"/>
      <c r="BGM11" s="387"/>
      <c r="BGN11" s="387"/>
      <c r="BGO11" s="387"/>
      <c r="BGP11" s="387"/>
      <c r="BGQ11" s="387"/>
      <c r="BGR11" s="387"/>
      <c r="BGS11" s="387"/>
      <c r="BGT11" s="387"/>
      <c r="BGU11" s="387"/>
      <c r="BGV11" s="387"/>
      <c r="BGW11" s="387"/>
      <c r="BGX11" s="387"/>
      <c r="BGY11" s="387"/>
      <c r="BGZ11" s="387"/>
      <c r="BHA11" s="387"/>
      <c r="BHB11" s="387"/>
      <c r="BHC11" s="387"/>
      <c r="BHD11" s="387"/>
      <c r="BHE11" s="387"/>
      <c r="BHF11" s="387"/>
      <c r="BHG11" s="387"/>
      <c r="BHH11" s="387"/>
      <c r="BHI11" s="387"/>
      <c r="BHJ11" s="387"/>
      <c r="BHK11" s="387"/>
      <c r="BHL11" s="387"/>
      <c r="BHM11" s="387"/>
      <c r="BHN11" s="387"/>
      <c r="BHO11" s="387"/>
      <c r="BHP11" s="387"/>
      <c r="BHQ11" s="387"/>
      <c r="BHR11" s="387"/>
      <c r="BHS11" s="387"/>
      <c r="BHT11" s="387"/>
      <c r="BHU11" s="387"/>
      <c r="BHV11" s="387"/>
      <c r="BHW11" s="387"/>
      <c r="BHX11" s="387"/>
      <c r="BHY11" s="387"/>
      <c r="BHZ11" s="387"/>
      <c r="BIA11" s="387"/>
      <c r="BIB11" s="387"/>
      <c r="BIC11" s="387"/>
      <c r="BID11" s="387"/>
      <c r="BIE11" s="387"/>
      <c r="BIF11" s="387"/>
      <c r="BIG11" s="387"/>
      <c r="BIH11" s="387"/>
      <c r="BII11" s="387"/>
      <c r="BIJ11" s="387"/>
      <c r="BIK11" s="387"/>
      <c r="BIL11" s="387"/>
      <c r="BIM11" s="387"/>
      <c r="BIN11" s="387"/>
      <c r="BIO11" s="387"/>
      <c r="BIP11" s="387"/>
      <c r="BIQ11" s="387"/>
      <c r="BIR11" s="387"/>
      <c r="BIS11" s="387"/>
      <c r="BIT11" s="387"/>
      <c r="BIU11" s="387"/>
      <c r="BIV11" s="387"/>
      <c r="BIW11" s="387"/>
      <c r="BIX11" s="387"/>
      <c r="BIY11" s="387"/>
      <c r="BIZ11" s="387"/>
      <c r="BJA11" s="387"/>
      <c r="BJB11" s="387"/>
      <c r="BJC11" s="387"/>
      <c r="BJD11" s="387"/>
      <c r="BJE11" s="387"/>
      <c r="BJF11" s="387"/>
      <c r="BJG11" s="387"/>
      <c r="BJH11" s="387"/>
      <c r="BJI11" s="387"/>
      <c r="BJJ11" s="387"/>
      <c r="BJK11" s="387"/>
      <c r="BJL11" s="387"/>
      <c r="BJM11" s="387"/>
      <c r="BJN11" s="387"/>
      <c r="BJO11" s="387"/>
      <c r="BJP11" s="387"/>
      <c r="BJQ11" s="387"/>
      <c r="BJR11" s="387"/>
      <c r="BJS11" s="387"/>
      <c r="BJT11" s="387"/>
      <c r="BJU11" s="387"/>
      <c r="BJV11" s="387"/>
      <c r="BJW11" s="387"/>
      <c r="BJX11" s="387"/>
      <c r="BJY11" s="387"/>
      <c r="BJZ11" s="387"/>
      <c r="BKA11" s="387"/>
      <c r="BKB11" s="387"/>
      <c r="BKC11" s="387"/>
      <c r="BKD11" s="387"/>
      <c r="BKE11" s="387"/>
      <c r="BKF11" s="387"/>
      <c r="BKG11" s="387"/>
      <c r="BKH11" s="387"/>
      <c r="BKI11" s="387"/>
      <c r="BKJ11" s="387"/>
      <c r="BKK11" s="387"/>
      <c r="BKL11" s="387"/>
      <c r="BKM11" s="387"/>
      <c r="BKN11" s="387"/>
      <c r="BKO11" s="387"/>
      <c r="BKP11" s="387"/>
      <c r="BKQ11" s="387"/>
      <c r="BKR11" s="387"/>
      <c r="BKS11" s="387"/>
      <c r="BKT11" s="387"/>
      <c r="BKU11" s="387"/>
      <c r="BKV11" s="387"/>
      <c r="BKW11" s="387"/>
      <c r="BKX11" s="387"/>
      <c r="BKY11" s="387"/>
      <c r="BKZ11" s="387"/>
      <c r="BLA11" s="387"/>
      <c r="BLB11" s="387"/>
      <c r="BLC11" s="387"/>
      <c r="BLD11" s="387"/>
      <c r="BLE11" s="387"/>
      <c r="BLF11" s="387"/>
      <c r="BLG11" s="387"/>
      <c r="BLH11" s="387"/>
      <c r="BLI11" s="387"/>
      <c r="BLJ11" s="387"/>
      <c r="BLK11" s="387"/>
      <c r="BLL11" s="387"/>
      <c r="BLM11" s="387"/>
      <c r="BLN11" s="387"/>
      <c r="BLO11" s="387"/>
      <c r="BLP11" s="387"/>
      <c r="BLQ11" s="387"/>
      <c r="BLR11" s="387"/>
      <c r="BLS11" s="387"/>
      <c r="BLT11" s="387"/>
      <c r="BLU11" s="387"/>
      <c r="BLV11" s="387"/>
      <c r="BLW11" s="387"/>
      <c r="BLX11" s="387"/>
      <c r="BLY11" s="387"/>
      <c r="BLZ11" s="387"/>
      <c r="BMA11" s="387"/>
      <c r="BMB11" s="387"/>
      <c r="BMC11" s="387"/>
      <c r="BMD11" s="387"/>
      <c r="BME11" s="387"/>
      <c r="BMF11" s="387"/>
      <c r="BMG11" s="387"/>
      <c r="BMH11" s="387"/>
      <c r="BMI11" s="387"/>
      <c r="BMJ11" s="387"/>
      <c r="BMK11" s="387"/>
      <c r="BML11" s="387"/>
      <c r="BMM11" s="387"/>
      <c r="BMN11" s="387"/>
      <c r="BMO11" s="387"/>
      <c r="BMP11" s="387"/>
      <c r="BMQ11" s="387"/>
      <c r="BMR11" s="387"/>
      <c r="BMS11" s="387"/>
      <c r="BMT11" s="387"/>
      <c r="BMU11" s="387"/>
      <c r="BMV11" s="387"/>
      <c r="BMW11" s="387"/>
      <c r="BMX11" s="387"/>
      <c r="BMY11" s="387"/>
      <c r="BMZ11" s="387"/>
      <c r="BNA11" s="387"/>
      <c r="BNB11" s="387"/>
      <c r="BNC11" s="387"/>
      <c r="BND11" s="387"/>
      <c r="BNE11" s="387"/>
      <c r="BNF11" s="387"/>
      <c r="BNG11" s="387"/>
      <c r="BNH11" s="387"/>
      <c r="BNI11" s="387"/>
      <c r="BNJ11" s="387"/>
      <c r="BNK11" s="387"/>
      <c r="BNL11" s="387"/>
      <c r="BNM11" s="387"/>
      <c r="BNN11" s="387"/>
      <c r="BNO11" s="387"/>
      <c r="BNP11" s="387"/>
      <c r="BNQ11" s="387"/>
      <c r="BNR11" s="387"/>
      <c r="BNS11" s="387"/>
      <c r="BNT11" s="387"/>
      <c r="BNU11" s="387"/>
      <c r="BNV11" s="387"/>
      <c r="BNW11" s="387"/>
      <c r="BNX11" s="387"/>
      <c r="BNY11" s="387"/>
      <c r="BNZ11" s="387"/>
      <c r="BOA11" s="387"/>
      <c r="BOB11" s="387"/>
      <c r="BOC11" s="387"/>
      <c r="BOD11" s="387"/>
      <c r="BOE11" s="387"/>
      <c r="BOF11" s="387"/>
      <c r="BOG11" s="387"/>
      <c r="BOH11" s="387"/>
      <c r="BOI11" s="387"/>
      <c r="BOJ11" s="387"/>
      <c r="BOK11" s="387"/>
      <c r="BOL11" s="387"/>
      <c r="BOM11" s="387"/>
      <c r="BON11" s="387"/>
      <c r="BOO11" s="387"/>
      <c r="BOP11" s="387"/>
      <c r="BOQ11" s="387"/>
      <c r="BOR11" s="387"/>
      <c r="BOS11" s="387"/>
      <c r="BOT11" s="387"/>
      <c r="BOU11" s="387"/>
      <c r="BOV11" s="387"/>
      <c r="BOW11" s="387"/>
      <c r="BOX11" s="387"/>
      <c r="BOY11" s="387"/>
      <c r="BOZ11" s="387"/>
      <c r="BPA11" s="387"/>
      <c r="BPB11" s="387"/>
      <c r="BPC11" s="387"/>
      <c r="BPD11" s="387"/>
      <c r="BPE11" s="387"/>
      <c r="BPF11" s="387"/>
      <c r="BPG11" s="387"/>
      <c r="BPH11" s="387"/>
      <c r="BPI11" s="387"/>
      <c r="BPJ11" s="387"/>
      <c r="BPK11" s="387"/>
      <c r="BPL11" s="387"/>
      <c r="BPM11" s="387"/>
      <c r="BPN11" s="387"/>
      <c r="BPO11" s="387"/>
      <c r="BPP11" s="387"/>
      <c r="BPQ11" s="387"/>
      <c r="BPR11" s="387"/>
      <c r="BPS11" s="387"/>
      <c r="BPT11" s="387"/>
      <c r="BPU11" s="387"/>
      <c r="BPV11" s="387"/>
      <c r="BPW11" s="387"/>
      <c r="BPX11" s="387"/>
      <c r="BPY11" s="387"/>
      <c r="BPZ11" s="387"/>
      <c r="BQA11" s="387"/>
      <c r="BQB11" s="387"/>
      <c r="BQC11" s="387"/>
      <c r="BQD11" s="387"/>
      <c r="BQE11" s="387"/>
      <c r="BQF11" s="387"/>
      <c r="BQG11" s="387"/>
      <c r="BQH11" s="387"/>
      <c r="BQI11" s="387"/>
      <c r="BQJ11" s="387"/>
      <c r="BQK11" s="387"/>
      <c r="BQL11" s="387"/>
      <c r="BQM11" s="387"/>
      <c r="BQN11" s="387"/>
      <c r="BQO11" s="387"/>
      <c r="BQP11" s="387"/>
      <c r="BQQ11" s="387"/>
      <c r="BQR11" s="387"/>
      <c r="BQS11" s="387"/>
      <c r="BQT11" s="387"/>
      <c r="BQU11" s="387"/>
      <c r="BQV11" s="387"/>
      <c r="BQW11" s="387"/>
      <c r="BQX11" s="387"/>
      <c r="BQY11" s="387"/>
      <c r="BQZ11" s="387"/>
      <c r="BRA11" s="387"/>
      <c r="BRB11" s="387"/>
      <c r="BRC11" s="387"/>
      <c r="BRD11" s="387"/>
      <c r="BRE11" s="387"/>
      <c r="BRF11" s="387"/>
      <c r="BRG11" s="387"/>
      <c r="BRH11" s="387"/>
      <c r="BRI11" s="387"/>
      <c r="BRJ11" s="387"/>
      <c r="BRK11" s="387"/>
      <c r="BRL11" s="387"/>
      <c r="BRM11" s="387"/>
      <c r="BRN11" s="387"/>
      <c r="BRO11" s="387"/>
      <c r="BRP11" s="387"/>
      <c r="BRQ11" s="387"/>
      <c r="BRR11" s="387"/>
      <c r="BRS11" s="387"/>
      <c r="BRT11" s="387"/>
      <c r="BRU11" s="387"/>
      <c r="BRV11" s="387"/>
      <c r="BRW11" s="387"/>
      <c r="BRX11" s="387"/>
      <c r="BRY11" s="387"/>
      <c r="BRZ11" s="387"/>
      <c r="BSA11" s="387"/>
      <c r="BSB11" s="387"/>
      <c r="BSC11" s="387"/>
      <c r="BSD11" s="387"/>
      <c r="BSE11" s="387"/>
      <c r="BSF11" s="387"/>
      <c r="BSG11" s="387"/>
      <c r="BSH11" s="387"/>
      <c r="BSI11" s="387"/>
      <c r="BSJ11" s="387"/>
      <c r="BSK11" s="387"/>
      <c r="BSL11" s="387"/>
      <c r="BSM11" s="387"/>
      <c r="BSN11" s="387"/>
      <c r="BSO11" s="387"/>
      <c r="BSP11" s="387"/>
      <c r="BSQ11" s="387"/>
      <c r="BSR11" s="387"/>
      <c r="BSS11" s="387"/>
      <c r="BST11" s="387"/>
      <c r="BSU11" s="387"/>
      <c r="BSV11" s="387"/>
      <c r="BSW11" s="387"/>
      <c r="BSX11" s="387"/>
      <c r="BSY11" s="387"/>
      <c r="BSZ11" s="387"/>
      <c r="BTA11" s="387"/>
      <c r="BTB11" s="387"/>
      <c r="BTC11" s="387"/>
      <c r="BTD11" s="387"/>
      <c r="BTE11" s="387"/>
      <c r="BTF11" s="387"/>
      <c r="BTG11" s="387"/>
      <c r="BTH11" s="387"/>
      <c r="BTI11" s="387"/>
    </row>
    <row r="12" spans="1:1881" ht="102" customHeight="1" x14ac:dyDescent="0.25">
      <c r="A12" s="442">
        <v>626</v>
      </c>
      <c r="B12" s="443" t="s">
        <v>1017</v>
      </c>
      <c r="C12" s="444" t="s">
        <v>152</v>
      </c>
      <c r="D12" s="445" t="s">
        <v>854</v>
      </c>
      <c r="E12" s="446" t="s">
        <v>676</v>
      </c>
      <c r="F12" s="686"/>
      <c r="G12" s="450">
        <f>IF(F12&lt;0,"Error: Enter as positive.",)</f>
        <v>0</v>
      </c>
      <c r="H12" s="432"/>
      <c r="I12" s="433"/>
      <c r="J12" s="362"/>
      <c r="L12" s="674" t="s">
        <v>918</v>
      </c>
      <c r="M12" s="576"/>
      <c r="N12" s="594"/>
      <c r="S12" s="682"/>
      <c r="X12" s="682"/>
    </row>
    <row r="13" spans="1:1881" s="372" customFormat="1" ht="122.25" customHeight="1" x14ac:dyDescent="0.25">
      <c r="A13" s="447">
        <v>627</v>
      </c>
      <c r="B13" s="448" t="s">
        <v>674</v>
      </c>
      <c r="C13" s="444" t="s">
        <v>152</v>
      </c>
      <c r="D13" s="445" t="s">
        <v>898</v>
      </c>
      <c r="E13" s="446" t="s">
        <v>676</v>
      </c>
      <c r="F13" s="686"/>
      <c r="G13" s="450">
        <f>IF(F13&gt;F12,"Please review account numbers 627 &gt;626",)</f>
        <v>0</v>
      </c>
      <c r="H13" s="432"/>
      <c r="I13" s="433"/>
      <c r="J13" s="362"/>
      <c r="K13" s="387"/>
      <c r="L13" s="674" t="s">
        <v>919</v>
      </c>
      <c r="M13" s="576"/>
      <c r="N13" s="594"/>
      <c r="O13" s="387"/>
      <c r="P13" s="387"/>
      <c r="Q13" s="387"/>
      <c r="R13"/>
      <c r="S13" s="682"/>
      <c r="T13" s="387"/>
      <c r="U13" s="387"/>
      <c r="V13" s="387"/>
      <c r="W13" s="387"/>
      <c r="X13" s="682"/>
      <c r="Y13" s="387"/>
      <c r="Z13" s="387"/>
      <c r="AA13" s="387"/>
      <c r="AB13" s="387"/>
      <c r="AC13" s="387"/>
      <c r="AD13" s="387"/>
      <c r="AE13" s="387"/>
      <c r="AF13" s="387"/>
      <c r="AG13" s="387"/>
      <c r="AH13" s="387"/>
      <c r="AI13" s="387"/>
      <c r="AJ13" s="387"/>
      <c r="AK13" s="387"/>
      <c r="AL13" s="387"/>
      <c r="AM13" s="387"/>
      <c r="AN13" s="387"/>
      <c r="AO13" s="387"/>
      <c r="AP13" s="387"/>
      <c r="AQ13" s="387"/>
      <c r="AR13" s="387"/>
      <c r="AS13" s="387"/>
      <c r="AT13" s="387"/>
      <c r="AU13" s="387"/>
      <c r="AV13" s="387"/>
      <c r="AW13" s="387"/>
      <c r="AX13" s="387"/>
      <c r="AY13" s="387"/>
      <c r="AZ13" s="387"/>
      <c r="BA13" s="387"/>
      <c r="BB13" s="387"/>
      <c r="BC13" s="387"/>
      <c r="BD13" s="387"/>
      <c r="BE13" s="387"/>
      <c r="BF13" s="387"/>
      <c r="BG13" s="387"/>
      <c r="BH13" s="387"/>
      <c r="BI13" s="387"/>
      <c r="BJ13" s="387"/>
      <c r="BK13" s="387"/>
      <c r="BL13" s="387"/>
      <c r="BM13" s="387"/>
      <c r="BN13" s="387"/>
      <c r="BO13" s="387"/>
      <c r="BP13" s="387"/>
      <c r="BQ13" s="387"/>
      <c r="BR13" s="387"/>
      <c r="BS13" s="387"/>
      <c r="BT13" s="387"/>
      <c r="BU13" s="387"/>
      <c r="BV13" s="387"/>
      <c r="BW13" s="387"/>
      <c r="BX13" s="387"/>
      <c r="BY13" s="387"/>
      <c r="BZ13" s="387"/>
      <c r="CA13" s="387"/>
      <c r="CB13" s="387"/>
      <c r="CC13" s="387"/>
      <c r="CD13" s="387"/>
      <c r="CE13" s="387"/>
      <c r="CF13" s="387"/>
      <c r="CG13" s="387"/>
      <c r="CH13" s="387"/>
      <c r="CI13" s="387"/>
      <c r="CJ13" s="387"/>
      <c r="CK13" s="387"/>
      <c r="CL13" s="387"/>
      <c r="CM13" s="387"/>
      <c r="CN13" s="387"/>
      <c r="CO13" s="387"/>
      <c r="CP13" s="387"/>
      <c r="CQ13" s="387"/>
      <c r="CR13" s="387"/>
      <c r="CS13" s="387"/>
      <c r="CT13" s="387"/>
      <c r="CU13" s="387"/>
      <c r="CV13" s="387"/>
      <c r="CW13" s="387"/>
      <c r="CX13" s="387"/>
      <c r="CY13" s="387"/>
      <c r="CZ13" s="387"/>
      <c r="DA13" s="387"/>
      <c r="DB13" s="387"/>
      <c r="DC13" s="387"/>
      <c r="DD13" s="387"/>
      <c r="DE13" s="387"/>
      <c r="DF13" s="387"/>
      <c r="DG13" s="387"/>
      <c r="DH13" s="387"/>
      <c r="DI13" s="387"/>
      <c r="DJ13" s="387"/>
      <c r="DK13" s="387"/>
      <c r="DL13" s="387"/>
      <c r="DM13" s="387"/>
      <c r="DN13" s="387"/>
      <c r="DO13" s="387"/>
      <c r="DP13" s="387"/>
      <c r="DQ13" s="387"/>
      <c r="DR13" s="387"/>
      <c r="DS13" s="387"/>
      <c r="DT13" s="387"/>
      <c r="DU13" s="387"/>
      <c r="DV13" s="387"/>
      <c r="DW13" s="387"/>
      <c r="DX13" s="387"/>
      <c r="DY13" s="387"/>
      <c r="DZ13" s="387"/>
      <c r="EA13" s="387"/>
      <c r="EB13" s="387"/>
      <c r="EC13" s="387"/>
      <c r="ED13" s="387"/>
      <c r="EE13" s="387"/>
      <c r="EF13" s="387"/>
      <c r="EG13" s="387"/>
      <c r="EH13" s="387"/>
      <c r="EI13" s="387"/>
      <c r="EJ13" s="387"/>
      <c r="EK13" s="387"/>
      <c r="EL13" s="387"/>
      <c r="EM13" s="387"/>
      <c r="EN13" s="387"/>
      <c r="EO13" s="387"/>
      <c r="EP13" s="387"/>
      <c r="EQ13" s="387"/>
      <c r="ER13" s="387"/>
      <c r="ES13" s="387"/>
      <c r="ET13" s="387"/>
      <c r="EU13" s="387"/>
      <c r="EV13" s="387"/>
      <c r="EW13" s="387"/>
      <c r="EX13" s="387"/>
      <c r="EY13" s="387"/>
      <c r="EZ13" s="387"/>
      <c r="FA13" s="387"/>
      <c r="FB13" s="387"/>
      <c r="FC13" s="387"/>
      <c r="FD13" s="387"/>
      <c r="FE13" s="387"/>
      <c r="FF13" s="387"/>
      <c r="FG13" s="387"/>
      <c r="FH13" s="387"/>
      <c r="FI13" s="387"/>
      <c r="FJ13" s="387"/>
      <c r="FK13" s="387"/>
      <c r="FL13" s="387"/>
      <c r="FM13" s="387"/>
      <c r="FN13" s="387"/>
      <c r="FO13" s="387"/>
      <c r="FP13" s="387"/>
      <c r="FQ13" s="387"/>
      <c r="FR13" s="387"/>
      <c r="FS13" s="387"/>
      <c r="FT13" s="387"/>
      <c r="FU13" s="387"/>
      <c r="FV13" s="387"/>
      <c r="FW13" s="387"/>
      <c r="FX13" s="387"/>
      <c r="FY13" s="387"/>
      <c r="FZ13" s="387"/>
      <c r="GA13" s="387"/>
      <c r="GB13" s="387"/>
      <c r="GC13" s="387"/>
      <c r="GD13" s="387"/>
      <c r="GE13" s="387"/>
      <c r="GF13" s="387"/>
      <c r="GG13" s="387"/>
      <c r="GH13" s="387"/>
      <c r="GI13" s="387"/>
      <c r="GJ13" s="387"/>
      <c r="GK13" s="387"/>
      <c r="GL13" s="387"/>
      <c r="GM13" s="387"/>
      <c r="GN13" s="387"/>
      <c r="GO13" s="387"/>
      <c r="GP13" s="387"/>
      <c r="GQ13" s="387"/>
      <c r="GR13" s="387"/>
      <c r="GS13" s="387"/>
      <c r="GT13" s="387"/>
      <c r="GU13" s="387"/>
      <c r="GV13" s="387"/>
      <c r="GW13" s="387"/>
      <c r="GX13" s="387"/>
      <c r="GY13" s="387"/>
      <c r="GZ13" s="387"/>
      <c r="HA13" s="387"/>
      <c r="HB13" s="387"/>
      <c r="HC13" s="387"/>
      <c r="HD13" s="387"/>
      <c r="HE13" s="387"/>
      <c r="HF13" s="387"/>
      <c r="HG13" s="387"/>
      <c r="HH13" s="387"/>
      <c r="HI13" s="387"/>
      <c r="HJ13" s="387"/>
      <c r="HK13" s="387"/>
      <c r="HL13" s="387"/>
      <c r="HM13" s="387"/>
      <c r="HN13" s="387"/>
      <c r="HO13" s="387"/>
      <c r="HP13" s="387"/>
      <c r="HQ13" s="387"/>
      <c r="HR13" s="387"/>
      <c r="HS13" s="387"/>
      <c r="HT13" s="387"/>
      <c r="HU13" s="387"/>
      <c r="HV13" s="387"/>
      <c r="HW13" s="387"/>
      <c r="HX13" s="387"/>
      <c r="HY13" s="387"/>
      <c r="HZ13" s="387"/>
      <c r="IA13" s="387"/>
      <c r="IB13" s="387"/>
      <c r="IC13" s="387"/>
      <c r="ID13" s="387"/>
      <c r="IE13" s="387"/>
      <c r="IF13" s="387"/>
      <c r="IG13" s="387"/>
      <c r="IH13" s="387"/>
      <c r="II13" s="387"/>
      <c r="IJ13" s="387"/>
      <c r="IK13" s="387"/>
      <c r="IL13" s="387"/>
      <c r="IM13" s="387"/>
      <c r="IN13" s="387"/>
      <c r="IO13" s="387"/>
      <c r="IP13" s="387"/>
      <c r="IQ13" s="387"/>
      <c r="IR13" s="387"/>
      <c r="IS13" s="387"/>
      <c r="IT13" s="387"/>
      <c r="IU13" s="387"/>
      <c r="IV13" s="387"/>
      <c r="IW13" s="387"/>
      <c r="IX13" s="387"/>
      <c r="IY13" s="387"/>
      <c r="IZ13" s="387"/>
      <c r="JA13" s="387"/>
      <c r="JB13" s="387"/>
      <c r="JC13" s="387"/>
      <c r="JD13" s="387"/>
      <c r="JE13" s="387"/>
      <c r="JF13" s="387"/>
      <c r="JG13" s="387"/>
      <c r="JH13" s="387"/>
      <c r="JI13" s="387"/>
      <c r="JJ13" s="387"/>
      <c r="JK13" s="387"/>
      <c r="JL13" s="387"/>
      <c r="JM13" s="387"/>
      <c r="JN13" s="387"/>
      <c r="JO13" s="387"/>
      <c r="JP13" s="387"/>
      <c r="JQ13" s="387"/>
      <c r="JR13" s="387"/>
      <c r="JS13" s="387"/>
      <c r="JT13" s="387"/>
      <c r="JU13" s="387"/>
      <c r="JV13" s="387"/>
      <c r="JW13" s="387"/>
      <c r="JX13" s="387"/>
      <c r="JY13" s="387"/>
      <c r="JZ13" s="387"/>
      <c r="KA13" s="387"/>
      <c r="KB13" s="387"/>
      <c r="KC13" s="387"/>
      <c r="KD13" s="387"/>
      <c r="KE13" s="387"/>
      <c r="KF13" s="387"/>
      <c r="KG13" s="387"/>
      <c r="KH13" s="387"/>
      <c r="KI13" s="387"/>
      <c r="KJ13" s="387"/>
      <c r="KK13" s="387"/>
      <c r="KL13" s="387"/>
      <c r="KM13" s="387"/>
      <c r="KN13" s="387"/>
      <c r="KO13" s="387"/>
      <c r="KP13" s="387"/>
      <c r="KQ13" s="387"/>
      <c r="KR13" s="387"/>
      <c r="KS13" s="387"/>
      <c r="KT13" s="387"/>
      <c r="KU13" s="387"/>
      <c r="KV13" s="387"/>
      <c r="KW13" s="387"/>
      <c r="KX13" s="387"/>
      <c r="KY13" s="387"/>
      <c r="KZ13" s="387"/>
      <c r="LA13" s="387"/>
      <c r="LB13" s="387"/>
      <c r="LC13" s="387"/>
      <c r="LD13" s="387"/>
      <c r="LE13" s="387"/>
      <c r="LF13" s="387"/>
      <c r="LG13" s="387"/>
      <c r="LH13" s="387"/>
      <c r="LI13" s="387"/>
      <c r="LJ13" s="387"/>
      <c r="LK13" s="387"/>
      <c r="LL13" s="387"/>
      <c r="LM13" s="387"/>
      <c r="LN13" s="387"/>
      <c r="LO13" s="387"/>
      <c r="LP13" s="387"/>
      <c r="LQ13" s="387"/>
      <c r="LR13" s="387"/>
      <c r="LS13" s="387"/>
      <c r="LT13" s="387"/>
      <c r="LU13" s="387"/>
      <c r="LV13" s="387"/>
      <c r="LW13" s="387"/>
      <c r="LX13" s="387"/>
      <c r="LY13" s="387"/>
      <c r="LZ13" s="387"/>
      <c r="MA13" s="387"/>
      <c r="MB13" s="387"/>
      <c r="MC13" s="387"/>
      <c r="MD13" s="387"/>
      <c r="ME13" s="387"/>
      <c r="MF13" s="387"/>
      <c r="MG13" s="387"/>
      <c r="MH13" s="387"/>
      <c r="MI13" s="387"/>
      <c r="MJ13" s="387"/>
      <c r="MK13" s="387"/>
      <c r="ML13" s="387"/>
      <c r="MM13" s="387"/>
      <c r="MN13" s="387"/>
      <c r="MO13" s="387"/>
      <c r="MP13" s="387"/>
      <c r="MQ13" s="387"/>
      <c r="MR13" s="387"/>
      <c r="MS13" s="387"/>
      <c r="MT13" s="387"/>
      <c r="MU13" s="387"/>
      <c r="MV13" s="387"/>
      <c r="MW13" s="387"/>
      <c r="MX13" s="387"/>
      <c r="MY13" s="387"/>
      <c r="MZ13" s="387"/>
      <c r="NA13" s="387"/>
      <c r="NB13" s="387"/>
      <c r="NC13" s="387"/>
      <c r="ND13" s="387"/>
      <c r="NE13" s="387"/>
      <c r="NF13" s="387"/>
      <c r="NG13" s="387"/>
      <c r="NH13" s="387"/>
      <c r="NI13" s="387"/>
      <c r="NJ13" s="387"/>
      <c r="NK13" s="387"/>
      <c r="NL13" s="387"/>
      <c r="NM13" s="387"/>
      <c r="NN13" s="387"/>
      <c r="NO13" s="387"/>
      <c r="NP13" s="387"/>
      <c r="NQ13" s="387"/>
      <c r="NR13" s="387"/>
      <c r="NS13" s="387"/>
      <c r="NT13" s="387"/>
      <c r="NU13" s="387"/>
      <c r="NV13" s="387"/>
      <c r="NW13" s="387"/>
      <c r="NX13" s="387"/>
      <c r="NY13" s="387"/>
      <c r="NZ13" s="387"/>
      <c r="OA13" s="387"/>
      <c r="OB13" s="387"/>
      <c r="OC13" s="387"/>
      <c r="OD13" s="387"/>
      <c r="OE13" s="387"/>
      <c r="OF13" s="387"/>
      <c r="OG13" s="387"/>
      <c r="OH13" s="387"/>
      <c r="OI13" s="387"/>
      <c r="OJ13" s="387"/>
      <c r="OK13" s="387"/>
      <c r="OL13" s="387"/>
      <c r="OM13" s="387"/>
      <c r="ON13" s="387"/>
      <c r="OO13" s="387"/>
      <c r="OP13" s="387"/>
      <c r="OQ13" s="387"/>
      <c r="OR13" s="387"/>
      <c r="OS13" s="387"/>
      <c r="OT13" s="387"/>
      <c r="OU13" s="387"/>
      <c r="OV13" s="387"/>
      <c r="OW13" s="387"/>
      <c r="OX13" s="387"/>
      <c r="OY13" s="387"/>
      <c r="OZ13" s="387"/>
      <c r="PA13" s="387"/>
      <c r="PB13" s="387"/>
      <c r="PC13" s="387"/>
      <c r="PD13" s="387"/>
      <c r="PE13" s="387"/>
      <c r="PF13" s="387"/>
      <c r="PG13" s="387"/>
      <c r="PH13" s="387"/>
      <c r="PI13" s="387"/>
      <c r="PJ13" s="387"/>
      <c r="PK13" s="387"/>
      <c r="PL13" s="387"/>
      <c r="PM13" s="387"/>
      <c r="PN13" s="387"/>
      <c r="PO13" s="387"/>
      <c r="PP13" s="387"/>
      <c r="PQ13" s="387"/>
      <c r="PR13" s="387"/>
      <c r="PS13" s="387"/>
      <c r="PT13" s="387"/>
      <c r="PU13" s="387"/>
      <c r="PV13" s="387"/>
      <c r="PW13" s="387"/>
      <c r="PX13" s="387"/>
      <c r="PY13" s="387"/>
      <c r="PZ13" s="387"/>
      <c r="QA13" s="387"/>
      <c r="QB13" s="387"/>
      <c r="QC13" s="387"/>
      <c r="QD13" s="387"/>
      <c r="QE13" s="387"/>
      <c r="QF13" s="387"/>
      <c r="QG13" s="387"/>
      <c r="QH13" s="387"/>
      <c r="QI13" s="387"/>
      <c r="QJ13" s="387"/>
      <c r="QK13" s="387"/>
      <c r="QL13" s="387"/>
      <c r="QM13" s="387"/>
      <c r="QN13" s="387"/>
      <c r="QO13" s="387"/>
      <c r="QP13" s="387"/>
      <c r="QQ13" s="387"/>
      <c r="QR13" s="387"/>
      <c r="QS13" s="387"/>
      <c r="QT13" s="387"/>
      <c r="QU13" s="387"/>
      <c r="QV13" s="387"/>
      <c r="QW13" s="387"/>
      <c r="QX13" s="387"/>
      <c r="QY13" s="387"/>
      <c r="QZ13" s="387"/>
      <c r="RA13" s="387"/>
      <c r="RB13" s="387"/>
      <c r="RC13" s="387"/>
      <c r="RD13" s="387"/>
      <c r="RE13" s="387"/>
      <c r="RF13" s="387"/>
      <c r="RG13" s="387"/>
      <c r="RH13" s="387"/>
      <c r="RI13" s="387"/>
      <c r="RJ13" s="387"/>
      <c r="RK13" s="387"/>
      <c r="RL13" s="387"/>
      <c r="RM13" s="387"/>
      <c r="RN13" s="387"/>
      <c r="RO13" s="387"/>
      <c r="RP13" s="387"/>
      <c r="RQ13" s="387"/>
      <c r="RR13" s="387"/>
      <c r="RS13" s="387"/>
      <c r="RT13" s="387"/>
      <c r="RU13" s="387"/>
      <c r="RV13" s="387"/>
      <c r="RW13" s="387"/>
      <c r="RX13" s="387"/>
      <c r="RY13" s="387"/>
      <c r="RZ13" s="387"/>
      <c r="SA13" s="387"/>
      <c r="SB13" s="387"/>
      <c r="SC13" s="387"/>
      <c r="SD13" s="387"/>
      <c r="SE13" s="387"/>
      <c r="SF13" s="387"/>
      <c r="SG13" s="387"/>
      <c r="SH13" s="387"/>
      <c r="SI13" s="387"/>
      <c r="SJ13" s="387"/>
      <c r="SK13" s="387"/>
      <c r="SL13" s="387"/>
      <c r="SM13" s="387"/>
      <c r="SN13" s="387"/>
      <c r="SO13" s="387"/>
      <c r="SP13" s="387"/>
      <c r="SQ13" s="387"/>
      <c r="SR13" s="387"/>
      <c r="SS13" s="387"/>
      <c r="ST13" s="387"/>
      <c r="SU13" s="387"/>
      <c r="SV13" s="387"/>
      <c r="SW13" s="387"/>
      <c r="SX13" s="387"/>
      <c r="SY13" s="387"/>
      <c r="SZ13" s="387"/>
      <c r="TA13" s="387"/>
      <c r="TB13" s="387"/>
      <c r="TC13" s="387"/>
      <c r="TD13" s="387"/>
      <c r="TE13" s="387"/>
      <c r="TF13" s="387"/>
      <c r="TG13" s="387"/>
      <c r="TH13" s="387"/>
      <c r="TI13" s="387"/>
      <c r="TJ13" s="387"/>
      <c r="TK13" s="387"/>
      <c r="TL13" s="387"/>
      <c r="TM13" s="387"/>
      <c r="TN13" s="387"/>
      <c r="TO13" s="387"/>
      <c r="TP13" s="387"/>
      <c r="TQ13" s="387"/>
      <c r="TR13" s="387"/>
      <c r="TS13" s="387"/>
      <c r="TT13" s="387"/>
      <c r="TU13" s="387"/>
      <c r="TV13" s="387"/>
      <c r="TW13" s="387"/>
      <c r="TX13" s="387"/>
      <c r="TY13" s="387"/>
      <c r="TZ13" s="387"/>
      <c r="UA13" s="387"/>
      <c r="UB13" s="387"/>
      <c r="UC13" s="387"/>
      <c r="UD13" s="387"/>
      <c r="UE13" s="387"/>
      <c r="UF13" s="387"/>
      <c r="UG13" s="387"/>
      <c r="UH13" s="387"/>
      <c r="UI13" s="387"/>
      <c r="UJ13" s="387"/>
      <c r="UK13" s="387"/>
      <c r="UL13" s="387"/>
      <c r="UM13" s="387"/>
      <c r="UN13" s="387"/>
      <c r="UO13" s="387"/>
      <c r="UP13" s="387"/>
      <c r="UQ13" s="387"/>
      <c r="UR13" s="387"/>
      <c r="US13" s="387"/>
      <c r="UT13" s="387"/>
      <c r="UU13" s="387"/>
      <c r="UV13" s="387"/>
      <c r="UW13" s="387"/>
      <c r="UX13" s="387"/>
      <c r="UY13" s="387"/>
      <c r="UZ13" s="387"/>
      <c r="VA13" s="387"/>
      <c r="VB13" s="387"/>
      <c r="VC13" s="387"/>
      <c r="VD13" s="387"/>
      <c r="VE13" s="387"/>
      <c r="VF13" s="387"/>
      <c r="VG13" s="387"/>
      <c r="VH13" s="387"/>
      <c r="VI13" s="387"/>
      <c r="VJ13" s="387"/>
      <c r="VK13" s="387"/>
      <c r="VL13" s="387"/>
      <c r="VM13" s="387"/>
      <c r="VN13" s="387"/>
      <c r="VO13" s="387"/>
      <c r="VP13" s="387"/>
      <c r="VQ13" s="387"/>
      <c r="VR13" s="387"/>
      <c r="VS13" s="387"/>
      <c r="VT13" s="387"/>
      <c r="VU13" s="387"/>
      <c r="VV13" s="387"/>
      <c r="VW13" s="387"/>
      <c r="VX13" s="387"/>
      <c r="VY13" s="387"/>
      <c r="VZ13" s="387"/>
      <c r="WA13" s="387"/>
      <c r="WB13" s="387"/>
      <c r="WC13" s="387"/>
      <c r="WD13" s="387"/>
      <c r="WE13" s="387"/>
      <c r="WF13" s="387"/>
      <c r="WG13" s="387"/>
      <c r="WH13" s="387"/>
      <c r="WI13" s="387"/>
      <c r="WJ13" s="387"/>
      <c r="WK13" s="387"/>
      <c r="WL13" s="387"/>
      <c r="WM13" s="387"/>
      <c r="WN13" s="387"/>
      <c r="WO13" s="387"/>
      <c r="WP13" s="387"/>
      <c r="WQ13" s="387"/>
      <c r="WR13" s="387"/>
      <c r="WS13" s="387"/>
      <c r="WT13" s="387"/>
      <c r="WU13" s="387"/>
      <c r="WV13" s="387"/>
      <c r="WW13" s="387"/>
      <c r="WX13" s="387"/>
      <c r="WY13" s="387"/>
      <c r="WZ13" s="387"/>
      <c r="XA13" s="387"/>
      <c r="XB13" s="387"/>
      <c r="XC13" s="387"/>
      <c r="XD13" s="387"/>
      <c r="XE13" s="387"/>
      <c r="XF13" s="387"/>
      <c r="XG13" s="387"/>
      <c r="XH13" s="387"/>
      <c r="XI13" s="387"/>
      <c r="XJ13" s="387"/>
      <c r="XK13" s="387"/>
      <c r="XL13" s="387"/>
      <c r="XM13" s="387"/>
      <c r="XN13" s="387"/>
      <c r="XO13" s="387"/>
      <c r="XP13" s="387"/>
      <c r="XQ13" s="387"/>
      <c r="XR13" s="387"/>
      <c r="XS13" s="387"/>
      <c r="XT13" s="387"/>
      <c r="XU13" s="387"/>
      <c r="XV13" s="387"/>
      <c r="XW13" s="387"/>
      <c r="XX13" s="387"/>
      <c r="XY13" s="387"/>
      <c r="XZ13" s="387"/>
      <c r="YA13" s="387"/>
      <c r="YB13" s="387"/>
      <c r="YC13" s="387"/>
      <c r="YD13" s="387"/>
      <c r="YE13" s="387"/>
      <c r="YF13" s="387"/>
      <c r="YG13" s="387"/>
      <c r="YH13" s="387"/>
      <c r="YI13" s="387"/>
      <c r="YJ13" s="387"/>
      <c r="YK13" s="387"/>
      <c r="YL13" s="387"/>
      <c r="YM13" s="387"/>
      <c r="YN13" s="387"/>
      <c r="YO13" s="387"/>
      <c r="YP13" s="387"/>
      <c r="YQ13" s="387"/>
      <c r="YR13" s="387"/>
      <c r="YS13" s="387"/>
      <c r="YT13" s="387"/>
      <c r="YU13" s="387"/>
      <c r="YV13" s="387"/>
      <c r="YW13" s="387"/>
      <c r="YX13" s="387"/>
      <c r="YY13" s="387"/>
      <c r="YZ13" s="387"/>
      <c r="ZA13" s="387"/>
      <c r="ZB13" s="387"/>
      <c r="ZC13" s="387"/>
      <c r="ZD13" s="387"/>
      <c r="ZE13" s="387"/>
      <c r="ZF13" s="387"/>
      <c r="ZG13" s="387"/>
      <c r="ZH13" s="387"/>
      <c r="ZI13" s="387"/>
      <c r="ZJ13" s="387"/>
      <c r="ZK13" s="387"/>
      <c r="ZL13" s="387"/>
      <c r="ZM13" s="387"/>
      <c r="ZN13" s="387"/>
      <c r="ZO13" s="387"/>
      <c r="ZP13" s="387"/>
      <c r="ZQ13" s="387"/>
      <c r="ZR13" s="387"/>
      <c r="ZS13" s="387"/>
      <c r="ZT13" s="387"/>
      <c r="ZU13" s="387"/>
      <c r="ZV13" s="387"/>
      <c r="ZW13" s="387"/>
      <c r="ZX13" s="387"/>
      <c r="ZY13" s="387"/>
      <c r="ZZ13" s="387"/>
      <c r="AAA13" s="387"/>
      <c r="AAB13" s="387"/>
      <c r="AAC13" s="387"/>
      <c r="AAD13" s="387"/>
      <c r="AAE13" s="387"/>
      <c r="AAF13" s="387"/>
      <c r="AAG13" s="387"/>
      <c r="AAH13" s="387"/>
      <c r="AAI13" s="387"/>
      <c r="AAJ13" s="387"/>
      <c r="AAK13" s="387"/>
      <c r="AAL13" s="387"/>
      <c r="AAM13" s="387"/>
      <c r="AAN13" s="387"/>
      <c r="AAO13" s="387"/>
      <c r="AAP13" s="387"/>
      <c r="AAQ13" s="387"/>
      <c r="AAR13" s="387"/>
      <c r="AAS13" s="387"/>
      <c r="AAT13" s="387"/>
      <c r="AAU13" s="387"/>
      <c r="AAV13" s="387"/>
      <c r="AAW13" s="387"/>
      <c r="AAX13" s="387"/>
      <c r="AAY13" s="387"/>
      <c r="AAZ13" s="387"/>
      <c r="ABA13" s="387"/>
      <c r="ABB13" s="387"/>
      <c r="ABC13" s="387"/>
      <c r="ABD13" s="387"/>
      <c r="ABE13" s="387"/>
      <c r="ABF13" s="387"/>
      <c r="ABG13" s="387"/>
      <c r="ABH13" s="387"/>
      <c r="ABI13" s="387"/>
      <c r="ABJ13" s="387"/>
      <c r="ABK13" s="387"/>
      <c r="ABL13" s="387"/>
      <c r="ABM13" s="387"/>
      <c r="ABN13" s="387"/>
      <c r="ABO13" s="387"/>
      <c r="ABP13" s="387"/>
      <c r="ABQ13" s="387"/>
      <c r="ABR13" s="387"/>
      <c r="ABS13" s="387"/>
      <c r="ABT13" s="387"/>
      <c r="ABU13" s="387"/>
      <c r="ABV13" s="387"/>
      <c r="ABW13" s="387"/>
      <c r="ABX13" s="387"/>
      <c r="ABY13" s="387"/>
      <c r="ABZ13" s="387"/>
      <c r="ACA13" s="387"/>
      <c r="ACB13" s="387"/>
      <c r="ACC13" s="387"/>
      <c r="ACD13" s="387"/>
      <c r="ACE13" s="387"/>
      <c r="ACF13" s="387"/>
      <c r="ACG13" s="387"/>
      <c r="ACH13" s="387"/>
      <c r="ACI13" s="387"/>
      <c r="ACJ13" s="387"/>
      <c r="ACK13" s="387"/>
      <c r="ACL13" s="387"/>
      <c r="ACM13" s="387"/>
      <c r="ACN13" s="387"/>
      <c r="ACO13" s="387"/>
      <c r="ACP13" s="387"/>
      <c r="ACQ13" s="387"/>
      <c r="ACR13" s="387"/>
      <c r="ACS13" s="387"/>
      <c r="ACT13" s="387"/>
      <c r="ACU13" s="387"/>
      <c r="ACV13" s="387"/>
      <c r="ACW13" s="387"/>
      <c r="ACX13" s="387"/>
      <c r="ACY13" s="387"/>
      <c r="ACZ13" s="387"/>
      <c r="ADA13" s="387"/>
      <c r="ADB13" s="387"/>
      <c r="ADC13" s="387"/>
      <c r="ADD13" s="387"/>
      <c r="ADE13" s="387"/>
      <c r="ADF13" s="387"/>
      <c r="ADG13" s="387"/>
      <c r="ADH13" s="387"/>
      <c r="ADI13" s="387"/>
      <c r="ADJ13" s="387"/>
      <c r="ADK13" s="387"/>
      <c r="ADL13" s="387"/>
      <c r="ADM13" s="387"/>
      <c r="ADN13" s="387"/>
      <c r="ADO13" s="387"/>
      <c r="ADP13" s="387"/>
      <c r="ADQ13" s="387"/>
      <c r="ADR13" s="387"/>
      <c r="ADS13" s="387"/>
      <c r="ADT13" s="387"/>
      <c r="ADU13" s="387"/>
      <c r="ADV13" s="387"/>
      <c r="ADW13" s="387"/>
      <c r="ADX13" s="387"/>
      <c r="ADY13" s="387"/>
      <c r="ADZ13" s="387"/>
      <c r="AEA13" s="387"/>
      <c r="AEB13" s="387"/>
      <c r="AEC13" s="387"/>
      <c r="AED13" s="387"/>
      <c r="AEE13" s="387"/>
      <c r="AEF13" s="387"/>
      <c r="AEG13" s="387"/>
      <c r="AEH13" s="387"/>
      <c r="AEI13" s="387"/>
      <c r="AEJ13" s="387"/>
      <c r="AEK13" s="387"/>
      <c r="AEL13" s="387"/>
      <c r="AEM13" s="387"/>
      <c r="AEN13" s="387"/>
      <c r="AEO13" s="387"/>
      <c r="AEP13" s="387"/>
      <c r="AEQ13" s="387"/>
      <c r="AER13" s="387"/>
      <c r="AES13" s="387"/>
      <c r="AET13" s="387"/>
      <c r="AEU13" s="387"/>
      <c r="AEV13" s="387"/>
      <c r="AEW13" s="387"/>
      <c r="AEX13" s="387"/>
      <c r="AEY13" s="387"/>
      <c r="AEZ13" s="387"/>
      <c r="AFA13" s="387"/>
      <c r="AFB13" s="387"/>
      <c r="AFC13" s="387"/>
      <c r="AFD13" s="387"/>
      <c r="AFE13" s="387"/>
      <c r="AFF13" s="387"/>
      <c r="AFG13" s="387"/>
      <c r="AFH13" s="387"/>
      <c r="AFI13" s="387"/>
      <c r="AFJ13" s="387"/>
      <c r="AFK13" s="387"/>
      <c r="AFL13" s="387"/>
      <c r="AFM13" s="387"/>
      <c r="AFN13" s="387"/>
      <c r="AFO13" s="387"/>
      <c r="AFP13" s="387"/>
      <c r="AFQ13" s="387"/>
      <c r="AFR13" s="387"/>
      <c r="AFS13" s="387"/>
      <c r="AFT13" s="387"/>
      <c r="AFU13" s="387"/>
      <c r="AFV13" s="387"/>
      <c r="AFW13" s="387"/>
      <c r="AFX13" s="387"/>
      <c r="AFY13" s="387"/>
      <c r="AFZ13" s="387"/>
      <c r="AGA13" s="387"/>
      <c r="AGB13" s="387"/>
      <c r="AGC13" s="387"/>
      <c r="AGD13" s="387"/>
      <c r="AGE13" s="387"/>
      <c r="AGF13" s="387"/>
      <c r="AGG13" s="387"/>
      <c r="AGH13" s="387"/>
      <c r="AGI13" s="387"/>
      <c r="AGJ13" s="387"/>
      <c r="AGK13" s="387"/>
      <c r="AGL13" s="387"/>
      <c r="AGM13" s="387"/>
      <c r="AGN13" s="387"/>
      <c r="AGO13" s="387"/>
      <c r="AGP13" s="387"/>
      <c r="AGQ13" s="387"/>
      <c r="AGR13" s="387"/>
      <c r="AGS13" s="387"/>
      <c r="AGT13" s="387"/>
      <c r="AGU13" s="387"/>
      <c r="AGV13" s="387"/>
      <c r="AGW13" s="387"/>
      <c r="AGX13" s="387"/>
      <c r="AGY13" s="387"/>
      <c r="AGZ13" s="387"/>
      <c r="AHA13" s="387"/>
      <c r="AHB13" s="387"/>
      <c r="AHC13" s="387"/>
      <c r="AHD13" s="387"/>
      <c r="AHE13" s="387"/>
      <c r="AHF13" s="387"/>
      <c r="AHG13" s="387"/>
      <c r="AHH13" s="387"/>
      <c r="AHI13" s="387"/>
      <c r="AHJ13" s="387"/>
      <c r="AHK13" s="387"/>
      <c r="AHL13" s="387"/>
      <c r="AHM13" s="387"/>
      <c r="AHN13" s="387"/>
      <c r="AHO13" s="387"/>
      <c r="AHP13" s="387"/>
      <c r="AHQ13" s="387"/>
      <c r="AHR13" s="387"/>
      <c r="AHS13" s="387"/>
      <c r="AHT13" s="387"/>
      <c r="AHU13" s="387"/>
      <c r="AHV13" s="387"/>
      <c r="AHW13" s="387"/>
      <c r="AHX13" s="387"/>
      <c r="AHY13" s="387"/>
      <c r="AHZ13" s="387"/>
      <c r="AIA13" s="387"/>
      <c r="AIB13" s="387"/>
      <c r="AIC13" s="387"/>
      <c r="AID13" s="387"/>
      <c r="AIE13" s="387"/>
      <c r="AIF13" s="387"/>
      <c r="AIG13" s="387"/>
      <c r="AIH13" s="387"/>
      <c r="AII13" s="387"/>
      <c r="AIJ13" s="387"/>
      <c r="AIK13" s="387"/>
      <c r="AIL13" s="387"/>
      <c r="AIM13" s="387"/>
      <c r="AIN13" s="387"/>
      <c r="AIO13" s="387"/>
      <c r="AIP13" s="387"/>
      <c r="AIQ13" s="387"/>
      <c r="AIR13" s="387"/>
      <c r="AIS13" s="387"/>
      <c r="AIT13" s="387"/>
      <c r="AIU13" s="387"/>
      <c r="AIV13" s="387"/>
      <c r="AIW13" s="387"/>
      <c r="AIX13" s="387"/>
      <c r="AIY13" s="387"/>
      <c r="AIZ13" s="387"/>
      <c r="AJA13" s="387"/>
      <c r="AJB13" s="387"/>
      <c r="AJC13" s="387"/>
      <c r="AJD13" s="387"/>
      <c r="AJE13" s="387"/>
      <c r="AJF13" s="387"/>
      <c r="AJG13" s="387"/>
      <c r="AJH13" s="387"/>
      <c r="AJI13" s="387"/>
      <c r="AJJ13" s="387"/>
      <c r="AJK13" s="387"/>
      <c r="AJL13" s="387"/>
      <c r="AJM13" s="387"/>
      <c r="AJN13" s="387"/>
      <c r="AJO13" s="387"/>
      <c r="AJP13" s="387"/>
      <c r="AJQ13" s="387"/>
      <c r="AJR13" s="387"/>
      <c r="AJS13" s="387"/>
      <c r="AJT13" s="387"/>
      <c r="AJU13" s="387"/>
      <c r="AJV13" s="387"/>
      <c r="AJW13" s="387"/>
      <c r="AJX13" s="387"/>
      <c r="AJY13" s="387"/>
      <c r="AJZ13" s="387"/>
      <c r="AKA13" s="387"/>
      <c r="AKB13" s="387"/>
      <c r="AKC13" s="387"/>
      <c r="AKD13" s="387"/>
      <c r="AKE13" s="387"/>
      <c r="AKF13" s="387"/>
      <c r="AKG13" s="387"/>
      <c r="AKH13" s="387"/>
      <c r="AKI13" s="387"/>
      <c r="AKJ13" s="387"/>
      <c r="AKK13" s="387"/>
      <c r="AKL13" s="387"/>
      <c r="AKM13" s="387"/>
      <c r="AKN13" s="387"/>
      <c r="AKO13" s="387"/>
      <c r="AKP13" s="387"/>
      <c r="AKQ13" s="387"/>
      <c r="AKR13" s="387"/>
      <c r="AKS13" s="387"/>
      <c r="AKT13" s="387"/>
      <c r="AKU13" s="387"/>
      <c r="AKV13" s="387"/>
      <c r="AKW13" s="387"/>
      <c r="AKX13" s="387"/>
      <c r="AKY13" s="387"/>
      <c r="AKZ13" s="387"/>
      <c r="ALA13" s="387"/>
      <c r="ALB13" s="387"/>
      <c r="ALC13" s="387"/>
      <c r="ALD13" s="387"/>
      <c r="ALE13" s="387"/>
      <c r="ALF13" s="387"/>
      <c r="ALG13" s="387"/>
      <c r="ALH13" s="387"/>
      <c r="ALI13" s="387"/>
      <c r="ALJ13" s="387"/>
      <c r="ALK13" s="387"/>
      <c r="ALL13" s="387"/>
      <c r="ALM13" s="387"/>
      <c r="ALN13" s="387"/>
      <c r="ALO13" s="387"/>
      <c r="ALP13" s="387"/>
      <c r="ALQ13" s="387"/>
      <c r="ALR13" s="387"/>
      <c r="ALS13" s="387"/>
      <c r="ALT13" s="387"/>
      <c r="ALU13" s="387"/>
      <c r="ALV13" s="387"/>
      <c r="ALW13" s="387"/>
      <c r="ALX13" s="387"/>
      <c r="ALY13" s="387"/>
      <c r="ALZ13" s="387"/>
      <c r="AMA13" s="387"/>
      <c r="AMB13" s="387"/>
      <c r="AMC13" s="387"/>
      <c r="AMD13" s="387"/>
      <c r="AME13" s="387"/>
      <c r="AMF13" s="387"/>
      <c r="AMG13" s="387"/>
      <c r="AMH13" s="387"/>
      <c r="AMI13" s="387"/>
      <c r="AMJ13" s="387"/>
      <c r="AMK13" s="387"/>
      <c r="AML13" s="387"/>
      <c r="AMM13" s="387"/>
      <c r="AMN13" s="387"/>
      <c r="AMO13" s="387"/>
      <c r="AMP13" s="387"/>
      <c r="AMQ13" s="387"/>
      <c r="AMR13" s="387"/>
      <c r="AMS13" s="387"/>
      <c r="AMT13" s="387"/>
      <c r="AMU13" s="387"/>
      <c r="AMV13" s="387"/>
      <c r="AMW13" s="387"/>
      <c r="AMX13" s="387"/>
      <c r="AMY13" s="387"/>
      <c r="AMZ13" s="387"/>
      <c r="ANA13" s="387"/>
      <c r="ANB13" s="387"/>
      <c r="ANC13" s="387"/>
      <c r="AND13" s="387"/>
      <c r="ANE13" s="387"/>
      <c r="ANF13" s="387"/>
      <c r="ANG13" s="387"/>
      <c r="ANH13" s="387"/>
      <c r="ANI13" s="387"/>
      <c r="ANJ13" s="387"/>
      <c r="ANK13" s="387"/>
      <c r="ANL13" s="387"/>
      <c r="ANM13" s="387"/>
      <c r="ANN13" s="387"/>
      <c r="ANO13" s="387"/>
      <c r="ANP13" s="387"/>
      <c r="ANQ13" s="387"/>
      <c r="ANR13" s="387"/>
      <c r="ANS13" s="387"/>
      <c r="ANT13" s="387"/>
      <c r="ANU13" s="387"/>
      <c r="ANV13" s="387"/>
      <c r="ANW13" s="387"/>
      <c r="ANX13" s="387"/>
      <c r="ANY13" s="387"/>
      <c r="ANZ13" s="387"/>
      <c r="AOA13" s="387"/>
      <c r="AOB13" s="387"/>
      <c r="AOC13" s="387"/>
      <c r="AOD13" s="387"/>
      <c r="AOE13" s="387"/>
      <c r="AOF13" s="387"/>
      <c r="AOG13" s="387"/>
      <c r="AOH13" s="387"/>
      <c r="AOI13" s="387"/>
      <c r="AOJ13" s="387"/>
      <c r="AOK13" s="387"/>
      <c r="AOL13" s="387"/>
      <c r="AOM13" s="387"/>
      <c r="AON13" s="387"/>
      <c r="AOO13" s="387"/>
      <c r="AOP13" s="387"/>
      <c r="AOQ13" s="387"/>
      <c r="AOR13" s="387"/>
      <c r="AOS13" s="387"/>
      <c r="AOT13" s="387"/>
      <c r="AOU13" s="387"/>
      <c r="AOV13" s="387"/>
      <c r="AOW13" s="387"/>
      <c r="AOX13" s="387"/>
      <c r="AOY13" s="387"/>
      <c r="AOZ13" s="387"/>
      <c r="APA13" s="387"/>
      <c r="APB13" s="387"/>
      <c r="APC13" s="387"/>
      <c r="APD13" s="387"/>
      <c r="APE13" s="387"/>
      <c r="APF13" s="387"/>
      <c r="APG13" s="387"/>
      <c r="APH13" s="387"/>
      <c r="API13" s="387"/>
      <c r="APJ13" s="387"/>
      <c r="APK13" s="387"/>
      <c r="APL13" s="387"/>
      <c r="APM13" s="387"/>
      <c r="APN13" s="387"/>
      <c r="APO13" s="387"/>
      <c r="APP13" s="387"/>
      <c r="APQ13" s="387"/>
      <c r="APR13" s="387"/>
      <c r="APS13" s="387"/>
      <c r="APT13" s="387"/>
      <c r="APU13" s="387"/>
      <c r="APV13" s="387"/>
      <c r="APW13" s="387"/>
      <c r="APX13" s="387"/>
      <c r="APY13" s="387"/>
      <c r="APZ13" s="387"/>
      <c r="AQA13" s="387"/>
      <c r="AQB13" s="387"/>
      <c r="AQC13" s="387"/>
      <c r="AQD13" s="387"/>
      <c r="AQE13" s="387"/>
      <c r="AQF13" s="387"/>
      <c r="AQG13" s="387"/>
      <c r="AQH13" s="387"/>
      <c r="AQI13" s="387"/>
      <c r="AQJ13" s="387"/>
      <c r="AQK13" s="387"/>
      <c r="AQL13" s="387"/>
      <c r="AQM13" s="387"/>
      <c r="AQN13" s="387"/>
      <c r="AQO13" s="387"/>
      <c r="AQP13" s="387"/>
      <c r="AQQ13" s="387"/>
      <c r="AQR13" s="387"/>
      <c r="AQS13" s="387"/>
      <c r="AQT13" s="387"/>
      <c r="AQU13" s="387"/>
      <c r="AQV13" s="387"/>
      <c r="AQW13" s="387"/>
      <c r="AQX13" s="387"/>
      <c r="AQY13" s="387"/>
      <c r="AQZ13" s="387"/>
      <c r="ARA13" s="387"/>
      <c r="ARB13" s="387"/>
      <c r="ARC13" s="387"/>
      <c r="ARD13" s="387"/>
      <c r="ARE13" s="387"/>
      <c r="ARF13" s="387"/>
      <c r="ARG13" s="387"/>
      <c r="ARH13" s="387"/>
      <c r="ARI13" s="387"/>
      <c r="ARJ13" s="387"/>
      <c r="ARK13" s="387"/>
      <c r="ARL13" s="387"/>
      <c r="ARM13" s="387"/>
      <c r="ARN13" s="387"/>
      <c r="ARO13" s="387"/>
      <c r="ARP13" s="387"/>
      <c r="ARQ13" s="387"/>
      <c r="ARR13" s="387"/>
      <c r="ARS13" s="387"/>
      <c r="ART13" s="387"/>
      <c r="ARU13" s="387"/>
      <c r="ARV13" s="387"/>
      <c r="ARW13" s="387"/>
      <c r="ARX13" s="387"/>
      <c r="ARY13" s="387"/>
      <c r="ARZ13" s="387"/>
      <c r="ASA13" s="387"/>
      <c r="ASB13" s="387"/>
      <c r="ASC13" s="387"/>
      <c r="ASD13" s="387"/>
      <c r="ASE13" s="387"/>
      <c r="ASF13" s="387"/>
      <c r="ASG13" s="387"/>
      <c r="ASH13" s="387"/>
      <c r="ASI13" s="387"/>
      <c r="ASJ13" s="387"/>
      <c r="ASK13" s="387"/>
      <c r="ASL13" s="387"/>
      <c r="ASM13" s="387"/>
      <c r="ASN13" s="387"/>
      <c r="ASO13" s="387"/>
      <c r="ASP13" s="387"/>
      <c r="ASQ13" s="387"/>
      <c r="ASR13" s="387"/>
      <c r="ASS13" s="387"/>
      <c r="AST13" s="387"/>
      <c r="ASU13" s="387"/>
      <c r="ASV13" s="387"/>
      <c r="ASW13" s="387"/>
      <c r="ASX13" s="387"/>
      <c r="ASY13" s="387"/>
      <c r="ASZ13" s="387"/>
      <c r="ATA13" s="387"/>
      <c r="ATB13" s="387"/>
      <c r="ATC13" s="387"/>
      <c r="ATD13" s="387"/>
      <c r="ATE13" s="387"/>
      <c r="ATF13" s="387"/>
      <c r="ATG13" s="387"/>
      <c r="ATH13" s="387"/>
      <c r="ATI13" s="387"/>
      <c r="ATJ13" s="387"/>
      <c r="ATK13" s="387"/>
      <c r="ATL13" s="387"/>
      <c r="ATM13" s="387"/>
      <c r="ATN13" s="387"/>
      <c r="ATO13" s="387"/>
      <c r="ATP13" s="387"/>
      <c r="ATQ13" s="387"/>
      <c r="ATR13" s="387"/>
      <c r="ATS13" s="387"/>
      <c r="ATT13" s="387"/>
      <c r="ATU13" s="387"/>
      <c r="ATV13" s="387"/>
      <c r="ATW13" s="387"/>
      <c r="ATX13" s="387"/>
      <c r="ATY13" s="387"/>
      <c r="ATZ13" s="387"/>
      <c r="AUA13" s="387"/>
      <c r="AUB13" s="387"/>
      <c r="AUC13" s="387"/>
      <c r="AUD13" s="387"/>
      <c r="AUE13" s="387"/>
      <c r="AUF13" s="387"/>
      <c r="AUG13" s="387"/>
      <c r="AUH13" s="387"/>
      <c r="AUI13" s="387"/>
      <c r="AUJ13" s="387"/>
      <c r="AUK13" s="387"/>
      <c r="AUL13" s="387"/>
      <c r="AUM13" s="387"/>
      <c r="AUN13" s="387"/>
      <c r="AUO13" s="387"/>
      <c r="AUP13" s="387"/>
      <c r="AUQ13" s="387"/>
      <c r="AUR13" s="387"/>
      <c r="AUS13" s="387"/>
      <c r="AUT13" s="387"/>
      <c r="AUU13" s="387"/>
      <c r="AUV13" s="387"/>
      <c r="AUW13" s="387"/>
      <c r="AUX13" s="387"/>
      <c r="AUY13" s="387"/>
      <c r="AUZ13" s="387"/>
      <c r="AVA13" s="387"/>
      <c r="AVB13" s="387"/>
      <c r="AVC13" s="387"/>
      <c r="AVD13" s="387"/>
      <c r="AVE13" s="387"/>
      <c r="AVF13" s="387"/>
      <c r="AVG13" s="387"/>
      <c r="AVH13" s="387"/>
      <c r="AVI13" s="387"/>
      <c r="AVJ13" s="387"/>
      <c r="AVK13" s="387"/>
      <c r="AVL13" s="387"/>
      <c r="AVM13" s="387"/>
      <c r="AVN13" s="387"/>
      <c r="AVO13" s="387"/>
      <c r="AVP13" s="387"/>
      <c r="AVQ13" s="387"/>
      <c r="AVR13" s="387"/>
      <c r="AVS13" s="387"/>
      <c r="AVT13" s="387"/>
      <c r="AVU13" s="387"/>
      <c r="AVV13" s="387"/>
      <c r="AVW13" s="387"/>
      <c r="AVX13" s="387"/>
      <c r="AVY13" s="387"/>
      <c r="AVZ13" s="387"/>
      <c r="AWA13" s="387"/>
      <c r="AWB13" s="387"/>
      <c r="AWC13" s="387"/>
      <c r="AWD13" s="387"/>
      <c r="AWE13" s="387"/>
      <c r="AWF13" s="387"/>
      <c r="AWG13" s="387"/>
      <c r="AWH13" s="387"/>
      <c r="AWI13" s="387"/>
      <c r="AWJ13" s="387"/>
      <c r="AWK13" s="387"/>
      <c r="AWL13" s="387"/>
      <c r="AWM13" s="387"/>
      <c r="AWN13" s="387"/>
      <c r="AWO13" s="387"/>
      <c r="AWP13" s="387"/>
      <c r="AWQ13" s="387"/>
      <c r="AWR13" s="387"/>
      <c r="AWS13" s="387"/>
      <c r="AWT13" s="387"/>
      <c r="AWU13" s="387"/>
      <c r="AWV13" s="387"/>
      <c r="AWW13" s="387"/>
      <c r="AWX13" s="387"/>
      <c r="AWY13" s="387"/>
      <c r="AWZ13" s="387"/>
      <c r="AXA13" s="387"/>
      <c r="AXB13" s="387"/>
      <c r="AXC13" s="387"/>
      <c r="AXD13" s="387"/>
      <c r="AXE13" s="387"/>
      <c r="AXF13" s="387"/>
      <c r="AXG13" s="387"/>
      <c r="AXH13" s="387"/>
      <c r="AXI13" s="387"/>
      <c r="AXJ13" s="387"/>
      <c r="AXK13" s="387"/>
      <c r="AXL13" s="387"/>
      <c r="AXM13" s="387"/>
      <c r="AXN13" s="387"/>
      <c r="AXO13" s="387"/>
      <c r="AXP13" s="387"/>
      <c r="AXQ13" s="387"/>
      <c r="AXR13" s="387"/>
      <c r="AXS13" s="387"/>
      <c r="AXT13" s="387"/>
      <c r="AXU13" s="387"/>
      <c r="AXV13" s="387"/>
      <c r="AXW13" s="387"/>
      <c r="AXX13" s="387"/>
      <c r="AXY13" s="387"/>
      <c r="AXZ13" s="387"/>
      <c r="AYA13" s="387"/>
      <c r="AYB13" s="387"/>
      <c r="AYC13" s="387"/>
      <c r="AYD13" s="387"/>
      <c r="AYE13" s="387"/>
      <c r="AYF13" s="387"/>
      <c r="AYG13" s="387"/>
      <c r="AYH13" s="387"/>
      <c r="AYI13" s="387"/>
      <c r="AYJ13" s="387"/>
      <c r="AYK13" s="387"/>
      <c r="AYL13" s="387"/>
      <c r="AYM13" s="387"/>
      <c r="AYN13" s="387"/>
      <c r="AYO13" s="387"/>
      <c r="AYP13" s="387"/>
      <c r="AYQ13" s="387"/>
      <c r="AYR13" s="387"/>
      <c r="AYS13" s="387"/>
      <c r="AYT13" s="387"/>
      <c r="AYU13" s="387"/>
      <c r="AYV13" s="387"/>
      <c r="AYW13" s="387"/>
      <c r="AYX13" s="387"/>
      <c r="AYY13" s="387"/>
      <c r="AYZ13" s="387"/>
      <c r="AZA13" s="387"/>
      <c r="AZB13" s="387"/>
      <c r="AZC13" s="387"/>
      <c r="AZD13" s="387"/>
      <c r="AZE13" s="387"/>
      <c r="AZF13" s="387"/>
      <c r="AZG13" s="387"/>
      <c r="AZH13" s="387"/>
      <c r="AZI13" s="387"/>
      <c r="AZJ13" s="387"/>
      <c r="AZK13" s="387"/>
      <c r="AZL13" s="387"/>
      <c r="AZM13" s="387"/>
      <c r="AZN13" s="387"/>
      <c r="AZO13" s="387"/>
      <c r="AZP13" s="387"/>
      <c r="AZQ13" s="387"/>
      <c r="AZR13" s="387"/>
      <c r="AZS13" s="387"/>
      <c r="AZT13" s="387"/>
      <c r="AZU13" s="387"/>
      <c r="AZV13" s="387"/>
      <c r="AZW13" s="387"/>
      <c r="AZX13" s="387"/>
      <c r="AZY13" s="387"/>
      <c r="AZZ13" s="387"/>
      <c r="BAA13" s="387"/>
      <c r="BAB13" s="387"/>
      <c r="BAC13" s="387"/>
      <c r="BAD13" s="387"/>
      <c r="BAE13" s="387"/>
      <c r="BAF13" s="387"/>
      <c r="BAG13" s="387"/>
      <c r="BAH13" s="387"/>
      <c r="BAI13" s="387"/>
      <c r="BAJ13" s="387"/>
      <c r="BAK13" s="387"/>
      <c r="BAL13" s="387"/>
      <c r="BAM13" s="387"/>
      <c r="BAN13" s="387"/>
      <c r="BAO13" s="387"/>
      <c r="BAP13" s="387"/>
      <c r="BAQ13" s="387"/>
      <c r="BAR13" s="387"/>
      <c r="BAS13" s="387"/>
      <c r="BAT13" s="387"/>
      <c r="BAU13" s="387"/>
      <c r="BAV13" s="387"/>
      <c r="BAW13" s="387"/>
      <c r="BAX13" s="387"/>
      <c r="BAY13" s="387"/>
      <c r="BAZ13" s="387"/>
      <c r="BBA13" s="387"/>
      <c r="BBB13" s="387"/>
      <c r="BBC13" s="387"/>
      <c r="BBD13" s="387"/>
      <c r="BBE13" s="387"/>
      <c r="BBF13" s="387"/>
      <c r="BBG13" s="387"/>
      <c r="BBH13" s="387"/>
      <c r="BBI13" s="387"/>
      <c r="BBJ13" s="387"/>
      <c r="BBK13" s="387"/>
      <c r="BBL13" s="387"/>
      <c r="BBM13" s="387"/>
      <c r="BBN13" s="387"/>
      <c r="BBO13" s="387"/>
      <c r="BBP13" s="387"/>
      <c r="BBQ13" s="387"/>
      <c r="BBR13" s="387"/>
      <c r="BBS13" s="387"/>
      <c r="BBT13" s="387"/>
      <c r="BBU13" s="387"/>
      <c r="BBV13" s="387"/>
      <c r="BBW13" s="387"/>
      <c r="BBX13" s="387"/>
      <c r="BBY13" s="387"/>
      <c r="BBZ13" s="387"/>
      <c r="BCA13" s="387"/>
      <c r="BCB13" s="387"/>
      <c r="BCC13" s="387"/>
      <c r="BCD13" s="387"/>
      <c r="BCE13" s="387"/>
      <c r="BCF13" s="387"/>
      <c r="BCG13" s="387"/>
      <c r="BCH13" s="387"/>
      <c r="BCI13" s="387"/>
      <c r="BCJ13" s="387"/>
      <c r="BCK13" s="387"/>
      <c r="BCL13" s="387"/>
      <c r="BCM13" s="387"/>
      <c r="BCN13" s="387"/>
      <c r="BCO13" s="387"/>
      <c r="BCP13" s="387"/>
      <c r="BCQ13" s="387"/>
      <c r="BCR13" s="387"/>
      <c r="BCS13" s="387"/>
      <c r="BCT13" s="387"/>
      <c r="BCU13" s="387"/>
      <c r="BCV13" s="387"/>
      <c r="BCW13" s="387"/>
      <c r="BCX13" s="387"/>
      <c r="BCY13" s="387"/>
      <c r="BCZ13" s="387"/>
      <c r="BDA13" s="387"/>
      <c r="BDB13" s="387"/>
      <c r="BDC13" s="387"/>
      <c r="BDD13" s="387"/>
      <c r="BDE13" s="387"/>
      <c r="BDF13" s="387"/>
      <c r="BDG13" s="387"/>
      <c r="BDH13" s="387"/>
      <c r="BDI13" s="387"/>
      <c r="BDJ13" s="387"/>
      <c r="BDK13" s="387"/>
      <c r="BDL13" s="387"/>
      <c r="BDM13" s="387"/>
      <c r="BDN13" s="387"/>
      <c r="BDO13" s="387"/>
      <c r="BDP13" s="387"/>
      <c r="BDQ13" s="387"/>
      <c r="BDR13" s="387"/>
      <c r="BDS13" s="387"/>
      <c r="BDT13" s="387"/>
      <c r="BDU13" s="387"/>
      <c r="BDV13" s="387"/>
      <c r="BDW13" s="387"/>
      <c r="BDX13" s="387"/>
      <c r="BDY13" s="387"/>
      <c r="BDZ13" s="387"/>
      <c r="BEA13" s="387"/>
      <c r="BEB13" s="387"/>
      <c r="BEC13" s="387"/>
      <c r="BED13" s="387"/>
      <c r="BEE13" s="387"/>
      <c r="BEF13" s="387"/>
      <c r="BEG13" s="387"/>
      <c r="BEH13" s="387"/>
      <c r="BEI13" s="387"/>
      <c r="BEJ13" s="387"/>
      <c r="BEK13" s="387"/>
      <c r="BEL13" s="387"/>
      <c r="BEM13" s="387"/>
      <c r="BEN13" s="387"/>
      <c r="BEO13" s="387"/>
      <c r="BEP13" s="387"/>
      <c r="BEQ13" s="387"/>
      <c r="BER13" s="387"/>
      <c r="BES13" s="387"/>
      <c r="BET13" s="387"/>
      <c r="BEU13" s="387"/>
      <c r="BEV13" s="387"/>
      <c r="BEW13" s="387"/>
      <c r="BEX13" s="387"/>
      <c r="BEY13" s="387"/>
      <c r="BEZ13" s="387"/>
      <c r="BFA13" s="387"/>
      <c r="BFB13" s="387"/>
      <c r="BFC13" s="387"/>
      <c r="BFD13" s="387"/>
      <c r="BFE13" s="387"/>
      <c r="BFF13" s="387"/>
      <c r="BFG13" s="387"/>
      <c r="BFH13" s="387"/>
      <c r="BFI13" s="387"/>
      <c r="BFJ13" s="387"/>
      <c r="BFK13" s="387"/>
      <c r="BFL13" s="387"/>
      <c r="BFM13" s="387"/>
      <c r="BFN13" s="387"/>
      <c r="BFO13" s="387"/>
      <c r="BFP13" s="387"/>
      <c r="BFQ13" s="387"/>
      <c r="BFR13" s="387"/>
      <c r="BFS13" s="387"/>
      <c r="BFT13" s="387"/>
      <c r="BFU13" s="387"/>
      <c r="BFV13" s="387"/>
      <c r="BFW13" s="387"/>
      <c r="BFX13" s="387"/>
      <c r="BFY13" s="387"/>
      <c r="BFZ13" s="387"/>
      <c r="BGA13" s="387"/>
      <c r="BGB13" s="387"/>
      <c r="BGC13" s="387"/>
      <c r="BGD13" s="387"/>
      <c r="BGE13" s="387"/>
      <c r="BGF13" s="387"/>
      <c r="BGG13" s="387"/>
      <c r="BGH13" s="387"/>
      <c r="BGI13" s="387"/>
      <c r="BGJ13" s="387"/>
      <c r="BGK13" s="387"/>
      <c r="BGL13" s="387"/>
      <c r="BGM13" s="387"/>
      <c r="BGN13" s="387"/>
      <c r="BGO13" s="387"/>
      <c r="BGP13" s="387"/>
      <c r="BGQ13" s="387"/>
      <c r="BGR13" s="387"/>
      <c r="BGS13" s="387"/>
      <c r="BGT13" s="387"/>
      <c r="BGU13" s="387"/>
      <c r="BGV13" s="387"/>
      <c r="BGW13" s="387"/>
      <c r="BGX13" s="387"/>
      <c r="BGY13" s="387"/>
      <c r="BGZ13" s="387"/>
      <c r="BHA13" s="387"/>
      <c r="BHB13" s="387"/>
      <c r="BHC13" s="387"/>
      <c r="BHD13" s="387"/>
      <c r="BHE13" s="387"/>
      <c r="BHF13" s="387"/>
      <c r="BHG13" s="387"/>
      <c r="BHH13" s="387"/>
      <c r="BHI13" s="387"/>
      <c r="BHJ13" s="387"/>
      <c r="BHK13" s="387"/>
      <c r="BHL13" s="387"/>
      <c r="BHM13" s="387"/>
      <c r="BHN13" s="387"/>
      <c r="BHO13" s="387"/>
      <c r="BHP13" s="387"/>
      <c r="BHQ13" s="387"/>
      <c r="BHR13" s="387"/>
      <c r="BHS13" s="387"/>
      <c r="BHT13" s="387"/>
      <c r="BHU13" s="387"/>
      <c r="BHV13" s="387"/>
      <c r="BHW13" s="387"/>
      <c r="BHX13" s="387"/>
      <c r="BHY13" s="387"/>
      <c r="BHZ13" s="387"/>
      <c r="BIA13" s="387"/>
      <c r="BIB13" s="387"/>
      <c r="BIC13" s="387"/>
      <c r="BID13" s="387"/>
      <c r="BIE13" s="387"/>
      <c r="BIF13" s="387"/>
      <c r="BIG13" s="387"/>
      <c r="BIH13" s="387"/>
      <c r="BII13" s="387"/>
      <c r="BIJ13" s="387"/>
      <c r="BIK13" s="387"/>
      <c r="BIL13" s="387"/>
      <c r="BIM13" s="387"/>
      <c r="BIN13" s="387"/>
      <c r="BIO13" s="387"/>
      <c r="BIP13" s="387"/>
      <c r="BIQ13" s="387"/>
      <c r="BIR13" s="387"/>
      <c r="BIS13" s="387"/>
      <c r="BIT13" s="387"/>
      <c r="BIU13" s="387"/>
      <c r="BIV13" s="387"/>
      <c r="BIW13" s="387"/>
      <c r="BIX13" s="387"/>
      <c r="BIY13" s="387"/>
      <c r="BIZ13" s="387"/>
      <c r="BJA13" s="387"/>
      <c r="BJB13" s="387"/>
      <c r="BJC13" s="387"/>
      <c r="BJD13" s="387"/>
      <c r="BJE13" s="387"/>
      <c r="BJF13" s="387"/>
      <c r="BJG13" s="387"/>
      <c r="BJH13" s="387"/>
      <c r="BJI13" s="387"/>
      <c r="BJJ13" s="387"/>
      <c r="BJK13" s="387"/>
      <c r="BJL13" s="387"/>
      <c r="BJM13" s="387"/>
      <c r="BJN13" s="387"/>
      <c r="BJO13" s="387"/>
      <c r="BJP13" s="387"/>
      <c r="BJQ13" s="387"/>
      <c r="BJR13" s="387"/>
      <c r="BJS13" s="387"/>
      <c r="BJT13" s="387"/>
      <c r="BJU13" s="387"/>
      <c r="BJV13" s="387"/>
      <c r="BJW13" s="387"/>
      <c r="BJX13" s="387"/>
      <c r="BJY13" s="387"/>
      <c r="BJZ13" s="387"/>
      <c r="BKA13" s="387"/>
      <c r="BKB13" s="387"/>
      <c r="BKC13" s="387"/>
      <c r="BKD13" s="387"/>
      <c r="BKE13" s="387"/>
      <c r="BKF13" s="387"/>
      <c r="BKG13" s="387"/>
      <c r="BKH13" s="387"/>
      <c r="BKI13" s="387"/>
      <c r="BKJ13" s="387"/>
      <c r="BKK13" s="387"/>
      <c r="BKL13" s="387"/>
      <c r="BKM13" s="387"/>
      <c r="BKN13" s="387"/>
      <c r="BKO13" s="387"/>
      <c r="BKP13" s="387"/>
      <c r="BKQ13" s="387"/>
      <c r="BKR13" s="387"/>
      <c r="BKS13" s="387"/>
      <c r="BKT13" s="387"/>
      <c r="BKU13" s="387"/>
      <c r="BKV13" s="387"/>
      <c r="BKW13" s="387"/>
      <c r="BKX13" s="387"/>
      <c r="BKY13" s="387"/>
      <c r="BKZ13" s="387"/>
      <c r="BLA13" s="387"/>
      <c r="BLB13" s="387"/>
      <c r="BLC13" s="387"/>
      <c r="BLD13" s="387"/>
      <c r="BLE13" s="387"/>
      <c r="BLF13" s="387"/>
      <c r="BLG13" s="387"/>
      <c r="BLH13" s="387"/>
      <c r="BLI13" s="387"/>
      <c r="BLJ13" s="387"/>
      <c r="BLK13" s="387"/>
      <c r="BLL13" s="387"/>
      <c r="BLM13" s="387"/>
      <c r="BLN13" s="387"/>
      <c r="BLO13" s="387"/>
      <c r="BLP13" s="387"/>
      <c r="BLQ13" s="387"/>
      <c r="BLR13" s="387"/>
      <c r="BLS13" s="387"/>
      <c r="BLT13" s="387"/>
      <c r="BLU13" s="387"/>
      <c r="BLV13" s="387"/>
      <c r="BLW13" s="387"/>
      <c r="BLX13" s="387"/>
      <c r="BLY13" s="387"/>
      <c r="BLZ13" s="387"/>
      <c r="BMA13" s="387"/>
      <c r="BMB13" s="387"/>
      <c r="BMC13" s="387"/>
      <c r="BMD13" s="387"/>
      <c r="BME13" s="387"/>
      <c r="BMF13" s="387"/>
      <c r="BMG13" s="387"/>
      <c r="BMH13" s="387"/>
      <c r="BMI13" s="387"/>
      <c r="BMJ13" s="387"/>
      <c r="BMK13" s="387"/>
      <c r="BML13" s="387"/>
      <c r="BMM13" s="387"/>
      <c r="BMN13" s="387"/>
      <c r="BMO13" s="387"/>
      <c r="BMP13" s="387"/>
      <c r="BMQ13" s="387"/>
      <c r="BMR13" s="387"/>
      <c r="BMS13" s="387"/>
      <c r="BMT13" s="387"/>
      <c r="BMU13" s="387"/>
      <c r="BMV13" s="387"/>
      <c r="BMW13" s="387"/>
      <c r="BMX13" s="387"/>
      <c r="BMY13" s="387"/>
      <c r="BMZ13" s="387"/>
      <c r="BNA13" s="387"/>
      <c r="BNB13" s="387"/>
      <c r="BNC13" s="387"/>
      <c r="BND13" s="387"/>
      <c r="BNE13" s="387"/>
      <c r="BNF13" s="387"/>
      <c r="BNG13" s="387"/>
      <c r="BNH13" s="387"/>
      <c r="BNI13" s="387"/>
      <c r="BNJ13" s="387"/>
      <c r="BNK13" s="387"/>
      <c r="BNL13" s="387"/>
      <c r="BNM13" s="387"/>
      <c r="BNN13" s="387"/>
      <c r="BNO13" s="387"/>
      <c r="BNP13" s="387"/>
      <c r="BNQ13" s="387"/>
      <c r="BNR13" s="387"/>
      <c r="BNS13" s="387"/>
      <c r="BNT13" s="387"/>
      <c r="BNU13" s="387"/>
      <c r="BNV13" s="387"/>
      <c r="BNW13" s="387"/>
      <c r="BNX13" s="387"/>
      <c r="BNY13" s="387"/>
      <c r="BNZ13" s="387"/>
      <c r="BOA13" s="387"/>
      <c r="BOB13" s="387"/>
      <c r="BOC13" s="387"/>
      <c r="BOD13" s="387"/>
      <c r="BOE13" s="387"/>
      <c r="BOF13" s="387"/>
      <c r="BOG13" s="387"/>
      <c r="BOH13" s="387"/>
      <c r="BOI13" s="387"/>
      <c r="BOJ13" s="387"/>
      <c r="BOK13" s="387"/>
      <c r="BOL13" s="387"/>
      <c r="BOM13" s="387"/>
      <c r="BON13" s="387"/>
      <c r="BOO13" s="387"/>
      <c r="BOP13" s="387"/>
      <c r="BOQ13" s="387"/>
      <c r="BOR13" s="387"/>
      <c r="BOS13" s="387"/>
      <c r="BOT13" s="387"/>
      <c r="BOU13" s="387"/>
      <c r="BOV13" s="387"/>
      <c r="BOW13" s="387"/>
      <c r="BOX13" s="387"/>
      <c r="BOY13" s="387"/>
      <c r="BOZ13" s="387"/>
      <c r="BPA13" s="387"/>
      <c r="BPB13" s="387"/>
      <c r="BPC13" s="387"/>
      <c r="BPD13" s="387"/>
      <c r="BPE13" s="387"/>
      <c r="BPF13" s="387"/>
      <c r="BPG13" s="387"/>
      <c r="BPH13" s="387"/>
      <c r="BPI13" s="387"/>
      <c r="BPJ13" s="387"/>
      <c r="BPK13" s="387"/>
      <c r="BPL13" s="387"/>
      <c r="BPM13" s="387"/>
      <c r="BPN13" s="387"/>
      <c r="BPO13" s="387"/>
      <c r="BPP13" s="387"/>
      <c r="BPQ13" s="387"/>
      <c r="BPR13" s="387"/>
      <c r="BPS13" s="387"/>
      <c r="BPT13" s="387"/>
      <c r="BPU13" s="387"/>
      <c r="BPV13" s="387"/>
      <c r="BPW13" s="387"/>
      <c r="BPX13" s="387"/>
      <c r="BPY13" s="387"/>
      <c r="BPZ13" s="387"/>
      <c r="BQA13" s="387"/>
      <c r="BQB13" s="387"/>
      <c r="BQC13" s="387"/>
      <c r="BQD13" s="387"/>
      <c r="BQE13" s="387"/>
      <c r="BQF13" s="387"/>
      <c r="BQG13" s="387"/>
      <c r="BQH13" s="387"/>
      <c r="BQI13" s="387"/>
      <c r="BQJ13" s="387"/>
      <c r="BQK13" s="387"/>
      <c r="BQL13" s="387"/>
      <c r="BQM13" s="387"/>
      <c r="BQN13" s="387"/>
      <c r="BQO13" s="387"/>
      <c r="BQP13" s="387"/>
      <c r="BQQ13" s="387"/>
      <c r="BQR13" s="387"/>
      <c r="BQS13" s="387"/>
      <c r="BQT13" s="387"/>
      <c r="BQU13" s="387"/>
      <c r="BQV13" s="387"/>
      <c r="BQW13" s="387"/>
      <c r="BQX13" s="387"/>
      <c r="BQY13" s="387"/>
      <c r="BQZ13" s="387"/>
      <c r="BRA13" s="387"/>
      <c r="BRB13" s="387"/>
      <c r="BRC13" s="387"/>
      <c r="BRD13" s="387"/>
      <c r="BRE13" s="387"/>
      <c r="BRF13" s="387"/>
      <c r="BRG13" s="387"/>
      <c r="BRH13" s="387"/>
      <c r="BRI13" s="387"/>
      <c r="BRJ13" s="387"/>
      <c r="BRK13" s="387"/>
      <c r="BRL13" s="387"/>
      <c r="BRM13" s="387"/>
      <c r="BRN13" s="387"/>
      <c r="BRO13" s="387"/>
      <c r="BRP13" s="387"/>
      <c r="BRQ13" s="387"/>
      <c r="BRR13" s="387"/>
      <c r="BRS13" s="387"/>
      <c r="BRT13" s="387"/>
      <c r="BRU13" s="387"/>
      <c r="BRV13" s="387"/>
      <c r="BRW13" s="387"/>
      <c r="BRX13" s="387"/>
      <c r="BRY13" s="387"/>
      <c r="BRZ13" s="387"/>
      <c r="BSA13" s="387"/>
      <c r="BSB13" s="387"/>
      <c r="BSC13" s="387"/>
      <c r="BSD13" s="387"/>
      <c r="BSE13" s="387"/>
      <c r="BSF13" s="387"/>
      <c r="BSG13" s="387"/>
      <c r="BSH13" s="387"/>
      <c r="BSI13" s="387"/>
      <c r="BSJ13" s="387"/>
      <c r="BSK13" s="387"/>
      <c r="BSL13" s="387"/>
      <c r="BSM13" s="387"/>
      <c r="BSN13" s="387"/>
      <c r="BSO13" s="387"/>
      <c r="BSP13" s="387"/>
      <c r="BSQ13" s="387"/>
      <c r="BSR13" s="387"/>
      <c r="BSS13" s="387"/>
      <c r="BST13" s="387"/>
      <c r="BSU13" s="387"/>
      <c r="BSV13" s="387"/>
      <c r="BSW13" s="387"/>
      <c r="BSX13" s="387"/>
      <c r="BSY13" s="387"/>
      <c r="BSZ13" s="387"/>
      <c r="BTA13" s="387"/>
      <c r="BTB13" s="387"/>
      <c r="BTC13" s="387"/>
      <c r="BTD13" s="387"/>
      <c r="BTE13" s="387"/>
      <c r="BTF13" s="387"/>
      <c r="BTG13" s="387"/>
      <c r="BTH13" s="387"/>
      <c r="BTI13" s="387"/>
    </row>
    <row r="14" spans="1:1881" s="372" customFormat="1" ht="120.75" customHeight="1" x14ac:dyDescent="0.25">
      <c r="A14" s="447">
        <v>628</v>
      </c>
      <c r="B14" s="448" t="s">
        <v>674</v>
      </c>
      <c r="C14" s="444" t="s">
        <v>152</v>
      </c>
      <c r="D14" s="445" t="s">
        <v>899</v>
      </c>
      <c r="E14" s="449" t="s">
        <v>676</v>
      </c>
      <c r="F14" s="686"/>
      <c r="G14" s="450">
        <f>IF(F14&gt;F12,"Please review account numbers 628 &gt; 626",)</f>
        <v>0</v>
      </c>
      <c r="H14" s="432"/>
      <c r="I14" s="433"/>
      <c r="J14" s="362"/>
      <c r="K14" s="387"/>
      <c r="L14" s="674" t="s">
        <v>920</v>
      </c>
      <c r="M14" s="576"/>
      <c r="N14" s="594"/>
      <c r="O14" s="387"/>
      <c r="P14" s="387"/>
      <c r="Q14" s="387"/>
      <c r="R14"/>
      <c r="S14" s="682"/>
      <c r="T14" s="387"/>
      <c r="U14" s="387"/>
      <c r="V14" s="387"/>
      <c r="W14" s="387"/>
      <c r="X14" s="682"/>
      <c r="Y14" s="387"/>
      <c r="Z14" s="387"/>
      <c r="AA14" s="387"/>
      <c r="AB14" s="387"/>
      <c r="AC14" s="387"/>
      <c r="AD14" s="387"/>
      <c r="AE14" s="387"/>
      <c r="AF14" s="387"/>
      <c r="AG14" s="387"/>
      <c r="AH14" s="387"/>
      <c r="AI14" s="387"/>
      <c r="AJ14" s="387"/>
      <c r="AK14" s="387"/>
      <c r="AL14" s="387"/>
      <c r="AM14" s="387"/>
      <c r="AN14" s="387"/>
      <c r="AO14" s="387"/>
      <c r="AP14" s="387"/>
      <c r="AQ14" s="387"/>
      <c r="AR14" s="387"/>
      <c r="AS14" s="387"/>
      <c r="AT14" s="387"/>
      <c r="AU14" s="387"/>
      <c r="AV14" s="387"/>
      <c r="AW14" s="387"/>
      <c r="AX14" s="387"/>
      <c r="AY14" s="387"/>
      <c r="AZ14" s="387"/>
      <c r="BA14" s="387"/>
      <c r="BB14" s="387"/>
      <c r="BC14" s="387"/>
      <c r="BD14" s="387"/>
      <c r="BE14" s="387"/>
      <c r="BF14" s="387"/>
      <c r="BG14" s="387"/>
      <c r="BH14" s="387"/>
      <c r="BI14" s="387"/>
      <c r="BJ14" s="387"/>
      <c r="BK14" s="387"/>
      <c r="BL14" s="387"/>
      <c r="BM14" s="387"/>
      <c r="BN14" s="387"/>
      <c r="BO14" s="387"/>
      <c r="BP14" s="387"/>
      <c r="BQ14" s="387"/>
      <c r="BR14" s="387"/>
      <c r="BS14" s="387"/>
      <c r="BT14" s="387"/>
      <c r="BU14" s="387"/>
      <c r="BV14" s="387"/>
      <c r="BW14" s="387"/>
      <c r="BX14" s="387"/>
      <c r="BY14" s="387"/>
      <c r="BZ14" s="387"/>
      <c r="CA14" s="387"/>
      <c r="CB14" s="387"/>
      <c r="CC14" s="387"/>
      <c r="CD14" s="387"/>
      <c r="CE14" s="387"/>
      <c r="CF14" s="387"/>
      <c r="CG14" s="387"/>
      <c r="CH14" s="387"/>
      <c r="CI14" s="387"/>
      <c r="CJ14" s="387"/>
      <c r="CK14" s="387"/>
      <c r="CL14" s="387"/>
      <c r="CM14" s="387"/>
      <c r="CN14" s="387"/>
      <c r="CO14" s="387"/>
      <c r="CP14" s="387"/>
      <c r="CQ14" s="387"/>
      <c r="CR14" s="387"/>
      <c r="CS14" s="387"/>
      <c r="CT14" s="387"/>
      <c r="CU14" s="387"/>
      <c r="CV14" s="387"/>
      <c r="CW14" s="387"/>
      <c r="CX14" s="387"/>
      <c r="CY14" s="387"/>
      <c r="CZ14" s="387"/>
      <c r="DA14" s="387"/>
      <c r="DB14" s="387"/>
      <c r="DC14" s="387"/>
      <c r="DD14" s="387"/>
      <c r="DE14" s="387"/>
      <c r="DF14" s="387"/>
      <c r="DG14" s="387"/>
      <c r="DH14" s="387"/>
      <c r="DI14" s="387"/>
      <c r="DJ14" s="387"/>
      <c r="DK14" s="387"/>
      <c r="DL14" s="387"/>
      <c r="DM14" s="387"/>
      <c r="DN14" s="387"/>
      <c r="DO14" s="387"/>
      <c r="DP14" s="387"/>
      <c r="DQ14" s="387"/>
      <c r="DR14" s="387"/>
      <c r="DS14" s="387"/>
      <c r="DT14" s="387"/>
      <c r="DU14" s="387"/>
      <c r="DV14" s="387"/>
      <c r="DW14" s="387"/>
      <c r="DX14" s="387"/>
      <c r="DY14" s="387"/>
      <c r="DZ14" s="387"/>
      <c r="EA14" s="387"/>
      <c r="EB14" s="387"/>
      <c r="EC14" s="387"/>
      <c r="ED14" s="387"/>
      <c r="EE14" s="387"/>
      <c r="EF14" s="387"/>
      <c r="EG14" s="387"/>
      <c r="EH14" s="387"/>
      <c r="EI14" s="387"/>
      <c r="EJ14" s="387"/>
      <c r="EK14" s="387"/>
      <c r="EL14" s="387"/>
      <c r="EM14" s="387"/>
      <c r="EN14" s="387"/>
      <c r="EO14" s="387"/>
      <c r="EP14" s="387"/>
      <c r="EQ14" s="387"/>
      <c r="ER14" s="387"/>
      <c r="ES14" s="387"/>
      <c r="ET14" s="387"/>
      <c r="EU14" s="387"/>
      <c r="EV14" s="387"/>
      <c r="EW14" s="387"/>
      <c r="EX14" s="387"/>
      <c r="EY14" s="387"/>
      <c r="EZ14" s="387"/>
      <c r="FA14" s="387"/>
      <c r="FB14" s="387"/>
      <c r="FC14" s="387"/>
      <c r="FD14" s="387"/>
      <c r="FE14" s="387"/>
      <c r="FF14" s="387"/>
      <c r="FG14" s="387"/>
      <c r="FH14" s="387"/>
      <c r="FI14" s="387"/>
      <c r="FJ14" s="387"/>
      <c r="FK14" s="387"/>
      <c r="FL14" s="387"/>
      <c r="FM14" s="387"/>
      <c r="FN14" s="387"/>
      <c r="FO14" s="387"/>
      <c r="FP14" s="387"/>
      <c r="FQ14" s="387"/>
      <c r="FR14" s="387"/>
      <c r="FS14" s="387"/>
      <c r="FT14" s="387"/>
      <c r="FU14" s="387"/>
      <c r="FV14" s="387"/>
      <c r="FW14" s="387"/>
      <c r="FX14" s="387"/>
      <c r="FY14" s="387"/>
      <c r="FZ14" s="387"/>
      <c r="GA14" s="387"/>
      <c r="GB14" s="387"/>
      <c r="GC14" s="387"/>
      <c r="GD14" s="387"/>
      <c r="GE14" s="387"/>
      <c r="GF14" s="387"/>
      <c r="GG14" s="387"/>
      <c r="GH14" s="387"/>
      <c r="GI14" s="387"/>
      <c r="GJ14" s="387"/>
      <c r="GK14" s="387"/>
      <c r="GL14" s="387"/>
      <c r="GM14" s="387"/>
      <c r="GN14" s="387"/>
      <c r="GO14" s="387"/>
      <c r="GP14" s="387"/>
      <c r="GQ14" s="387"/>
      <c r="GR14" s="387"/>
      <c r="GS14" s="387"/>
      <c r="GT14" s="387"/>
      <c r="GU14" s="387"/>
      <c r="GV14" s="387"/>
      <c r="GW14" s="387"/>
      <c r="GX14" s="387"/>
      <c r="GY14" s="387"/>
      <c r="GZ14" s="387"/>
      <c r="HA14" s="387"/>
      <c r="HB14" s="387"/>
      <c r="HC14" s="387"/>
      <c r="HD14" s="387"/>
      <c r="HE14" s="387"/>
      <c r="HF14" s="387"/>
      <c r="HG14" s="387"/>
      <c r="HH14" s="387"/>
      <c r="HI14" s="387"/>
      <c r="HJ14" s="387"/>
      <c r="HK14" s="387"/>
      <c r="HL14" s="387"/>
      <c r="HM14" s="387"/>
      <c r="HN14" s="387"/>
      <c r="HO14" s="387"/>
      <c r="HP14" s="387"/>
      <c r="HQ14" s="387"/>
      <c r="HR14" s="387"/>
      <c r="HS14" s="387"/>
      <c r="HT14" s="387"/>
      <c r="HU14" s="387"/>
      <c r="HV14" s="387"/>
      <c r="HW14" s="387"/>
      <c r="HX14" s="387"/>
      <c r="HY14" s="387"/>
      <c r="HZ14" s="387"/>
      <c r="IA14" s="387"/>
      <c r="IB14" s="387"/>
      <c r="IC14" s="387"/>
      <c r="ID14" s="387"/>
      <c r="IE14" s="387"/>
      <c r="IF14" s="387"/>
      <c r="IG14" s="387"/>
      <c r="IH14" s="387"/>
      <c r="II14" s="387"/>
      <c r="IJ14" s="387"/>
      <c r="IK14" s="387"/>
      <c r="IL14" s="387"/>
      <c r="IM14" s="387"/>
      <c r="IN14" s="387"/>
      <c r="IO14" s="387"/>
      <c r="IP14" s="387"/>
      <c r="IQ14" s="387"/>
      <c r="IR14" s="387"/>
      <c r="IS14" s="387"/>
      <c r="IT14" s="387"/>
      <c r="IU14" s="387"/>
      <c r="IV14" s="387"/>
      <c r="IW14" s="387"/>
      <c r="IX14" s="387"/>
      <c r="IY14" s="387"/>
      <c r="IZ14" s="387"/>
      <c r="JA14" s="387"/>
      <c r="JB14" s="387"/>
      <c r="JC14" s="387"/>
      <c r="JD14" s="387"/>
      <c r="JE14" s="387"/>
      <c r="JF14" s="387"/>
      <c r="JG14" s="387"/>
      <c r="JH14" s="387"/>
      <c r="JI14" s="387"/>
      <c r="JJ14" s="387"/>
      <c r="JK14" s="387"/>
      <c r="JL14" s="387"/>
      <c r="JM14" s="387"/>
      <c r="JN14" s="387"/>
      <c r="JO14" s="387"/>
      <c r="JP14" s="387"/>
      <c r="JQ14" s="387"/>
      <c r="JR14" s="387"/>
      <c r="JS14" s="387"/>
      <c r="JT14" s="387"/>
      <c r="JU14" s="387"/>
      <c r="JV14" s="387"/>
      <c r="JW14" s="387"/>
      <c r="JX14" s="387"/>
      <c r="JY14" s="387"/>
      <c r="JZ14" s="387"/>
      <c r="KA14" s="387"/>
      <c r="KB14" s="387"/>
      <c r="KC14" s="387"/>
      <c r="KD14" s="387"/>
      <c r="KE14" s="387"/>
      <c r="KF14" s="387"/>
      <c r="KG14" s="387"/>
      <c r="KH14" s="387"/>
      <c r="KI14" s="387"/>
      <c r="KJ14" s="387"/>
      <c r="KK14" s="387"/>
      <c r="KL14" s="387"/>
      <c r="KM14" s="387"/>
      <c r="KN14" s="387"/>
      <c r="KO14" s="387"/>
      <c r="KP14" s="387"/>
      <c r="KQ14" s="387"/>
      <c r="KR14" s="387"/>
      <c r="KS14" s="387"/>
      <c r="KT14" s="387"/>
      <c r="KU14" s="387"/>
      <c r="KV14" s="387"/>
      <c r="KW14" s="387"/>
      <c r="KX14" s="387"/>
      <c r="KY14" s="387"/>
      <c r="KZ14" s="387"/>
      <c r="LA14" s="387"/>
      <c r="LB14" s="387"/>
      <c r="LC14" s="387"/>
      <c r="LD14" s="387"/>
      <c r="LE14" s="387"/>
      <c r="LF14" s="387"/>
      <c r="LG14" s="387"/>
      <c r="LH14" s="387"/>
      <c r="LI14" s="387"/>
      <c r="LJ14" s="387"/>
      <c r="LK14" s="387"/>
      <c r="LL14" s="387"/>
      <c r="LM14" s="387"/>
      <c r="LN14" s="387"/>
      <c r="LO14" s="387"/>
      <c r="LP14" s="387"/>
      <c r="LQ14" s="387"/>
      <c r="LR14" s="387"/>
      <c r="LS14" s="387"/>
      <c r="LT14" s="387"/>
      <c r="LU14" s="387"/>
      <c r="LV14" s="387"/>
      <c r="LW14" s="387"/>
      <c r="LX14" s="387"/>
      <c r="LY14" s="387"/>
      <c r="LZ14" s="387"/>
      <c r="MA14" s="387"/>
      <c r="MB14" s="387"/>
      <c r="MC14" s="387"/>
      <c r="MD14" s="387"/>
      <c r="ME14" s="387"/>
      <c r="MF14" s="387"/>
      <c r="MG14" s="387"/>
      <c r="MH14" s="387"/>
      <c r="MI14" s="387"/>
      <c r="MJ14" s="387"/>
      <c r="MK14" s="387"/>
      <c r="ML14" s="387"/>
      <c r="MM14" s="387"/>
      <c r="MN14" s="387"/>
      <c r="MO14" s="387"/>
      <c r="MP14" s="387"/>
      <c r="MQ14" s="387"/>
      <c r="MR14" s="387"/>
      <c r="MS14" s="387"/>
      <c r="MT14" s="387"/>
      <c r="MU14" s="387"/>
      <c r="MV14" s="387"/>
      <c r="MW14" s="387"/>
      <c r="MX14" s="387"/>
      <c r="MY14" s="387"/>
      <c r="MZ14" s="387"/>
      <c r="NA14" s="387"/>
      <c r="NB14" s="387"/>
      <c r="NC14" s="387"/>
      <c r="ND14" s="387"/>
      <c r="NE14" s="387"/>
      <c r="NF14" s="387"/>
      <c r="NG14" s="387"/>
      <c r="NH14" s="387"/>
      <c r="NI14" s="387"/>
      <c r="NJ14" s="387"/>
      <c r="NK14" s="387"/>
      <c r="NL14" s="387"/>
      <c r="NM14" s="387"/>
      <c r="NN14" s="387"/>
      <c r="NO14" s="387"/>
      <c r="NP14" s="387"/>
      <c r="NQ14" s="387"/>
      <c r="NR14" s="387"/>
      <c r="NS14" s="387"/>
      <c r="NT14" s="387"/>
      <c r="NU14" s="387"/>
      <c r="NV14" s="387"/>
      <c r="NW14" s="387"/>
      <c r="NX14" s="387"/>
      <c r="NY14" s="387"/>
      <c r="NZ14" s="387"/>
      <c r="OA14" s="387"/>
      <c r="OB14" s="387"/>
      <c r="OC14" s="387"/>
      <c r="OD14" s="387"/>
      <c r="OE14" s="387"/>
      <c r="OF14" s="387"/>
      <c r="OG14" s="387"/>
      <c r="OH14" s="387"/>
      <c r="OI14" s="387"/>
      <c r="OJ14" s="387"/>
      <c r="OK14" s="387"/>
      <c r="OL14" s="387"/>
      <c r="OM14" s="387"/>
      <c r="ON14" s="387"/>
      <c r="OO14" s="387"/>
      <c r="OP14" s="387"/>
      <c r="OQ14" s="387"/>
      <c r="OR14" s="387"/>
      <c r="OS14" s="387"/>
      <c r="OT14" s="387"/>
      <c r="OU14" s="387"/>
      <c r="OV14" s="387"/>
      <c r="OW14" s="387"/>
      <c r="OX14" s="387"/>
      <c r="OY14" s="387"/>
      <c r="OZ14" s="387"/>
      <c r="PA14" s="387"/>
      <c r="PB14" s="387"/>
      <c r="PC14" s="387"/>
      <c r="PD14" s="387"/>
      <c r="PE14" s="387"/>
      <c r="PF14" s="387"/>
      <c r="PG14" s="387"/>
      <c r="PH14" s="387"/>
      <c r="PI14" s="387"/>
      <c r="PJ14" s="387"/>
      <c r="PK14" s="387"/>
      <c r="PL14" s="387"/>
      <c r="PM14" s="387"/>
      <c r="PN14" s="387"/>
      <c r="PO14" s="387"/>
      <c r="PP14" s="387"/>
      <c r="PQ14" s="387"/>
      <c r="PR14" s="387"/>
      <c r="PS14" s="387"/>
      <c r="PT14" s="387"/>
      <c r="PU14" s="387"/>
      <c r="PV14" s="387"/>
      <c r="PW14" s="387"/>
      <c r="PX14" s="387"/>
      <c r="PY14" s="387"/>
      <c r="PZ14" s="387"/>
      <c r="QA14" s="387"/>
      <c r="QB14" s="387"/>
      <c r="QC14" s="387"/>
      <c r="QD14" s="387"/>
      <c r="QE14" s="387"/>
      <c r="QF14" s="387"/>
      <c r="QG14" s="387"/>
      <c r="QH14" s="387"/>
      <c r="QI14" s="387"/>
      <c r="QJ14" s="387"/>
      <c r="QK14" s="387"/>
      <c r="QL14" s="387"/>
      <c r="QM14" s="387"/>
      <c r="QN14" s="387"/>
      <c r="QO14" s="387"/>
      <c r="QP14" s="387"/>
      <c r="QQ14" s="387"/>
      <c r="QR14" s="387"/>
      <c r="QS14" s="387"/>
      <c r="QT14" s="387"/>
      <c r="QU14" s="387"/>
      <c r="QV14" s="387"/>
      <c r="QW14" s="387"/>
      <c r="QX14" s="387"/>
      <c r="QY14" s="387"/>
      <c r="QZ14" s="387"/>
      <c r="RA14" s="387"/>
      <c r="RB14" s="387"/>
      <c r="RC14" s="387"/>
      <c r="RD14" s="387"/>
      <c r="RE14" s="387"/>
      <c r="RF14" s="387"/>
      <c r="RG14" s="387"/>
      <c r="RH14" s="387"/>
      <c r="RI14" s="387"/>
      <c r="RJ14" s="387"/>
      <c r="RK14" s="387"/>
      <c r="RL14" s="387"/>
      <c r="RM14" s="387"/>
      <c r="RN14" s="387"/>
      <c r="RO14" s="387"/>
      <c r="RP14" s="387"/>
      <c r="RQ14" s="387"/>
      <c r="RR14" s="387"/>
      <c r="RS14" s="387"/>
      <c r="RT14" s="387"/>
      <c r="RU14" s="387"/>
      <c r="RV14" s="387"/>
      <c r="RW14" s="387"/>
      <c r="RX14" s="387"/>
      <c r="RY14" s="387"/>
      <c r="RZ14" s="387"/>
      <c r="SA14" s="387"/>
      <c r="SB14" s="387"/>
      <c r="SC14" s="387"/>
      <c r="SD14" s="387"/>
      <c r="SE14" s="387"/>
      <c r="SF14" s="387"/>
      <c r="SG14" s="387"/>
      <c r="SH14" s="387"/>
      <c r="SI14" s="387"/>
      <c r="SJ14" s="387"/>
      <c r="SK14" s="387"/>
      <c r="SL14" s="387"/>
      <c r="SM14" s="387"/>
      <c r="SN14" s="387"/>
      <c r="SO14" s="387"/>
      <c r="SP14" s="387"/>
      <c r="SQ14" s="387"/>
      <c r="SR14" s="387"/>
      <c r="SS14" s="387"/>
      <c r="ST14" s="387"/>
      <c r="SU14" s="387"/>
      <c r="SV14" s="387"/>
      <c r="SW14" s="387"/>
      <c r="SX14" s="387"/>
      <c r="SY14" s="387"/>
      <c r="SZ14" s="387"/>
      <c r="TA14" s="387"/>
      <c r="TB14" s="387"/>
      <c r="TC14" s="387"/>
      <c r="TD14" s="387"/>
      <c r="TE14" s="387"/>
      <c r="TF14" s="387"/>
      <c r="TG14" s="387"/>
      <c r="TH14" s="387"/>
      <c r="TI14" s="387"/>
      <c r="TJ14" s="387"/>
      <c r="TK14" s="387"/>
      <c r="TL14" s="387"/>
      <c r="TM14" s="387"/>
      <c r="TN14" s="387"/>
      <c r="TO14" s="387"/>
      <c r="TP14" s="387"/>
      <c r="TQ14" s="387"/>
      <c r="TR14" s="387"/>
      <c r="TS14" s="387"/>
      <c r="TT14" s="387"/>
      <c r="TU14" s="387"/>
      <c r="TV14" s="387"/>
      <c r="TW14" s="387"/>
      <c r="TX14" s="387"/>
      <c r="TY14" s="387"/>
      <c r="TZ14" s="387"/>
      <c r="UA14" s="387"/>
      <c r="UB14" s="387"/>
      <c r="UC14" s="387"/>
      <c r="UD14" s="387"/>
      <c r="UE14" s="387"/>
      <c r="UF14" s="387"/>
      <c r="UG14" s="387"/>
      <c r="UH14" s="387"/>
      <c r="UI14" s="387"/>
      <c r="UJ14" s="387"/>
      <c r="UK14" s="387"/>
      <c r="UL14" s="387"/>
      <c r="UM14" s="387"/>
      <c r="UN14" s="387"/>
      <c r="UO14" s="387"/>
      <c r="UP14" s="387"/>
      <c r="UQ14" s="387"/>
      <c r="UR14" s="387"/>
      <c r="US14" s="387"/>
      <c r="UT14" s="387"/>
      <c r="UU14" s="387"/>
      <c r="UV14" s="387"/>
      <c r="UW14" s="387"/>
      <c r="UX14" s="387"/>
      <c r="UY14" s="387"/>
      <c r="UZ14" s="387"/>
      <c r="VA14" s="387"/>
      <c r="VB14" s="387"/>
      <c r="VC14" s="387"/>
      <c r="VD14" s="387"/>
      <c r="VE14" s="387"/>
      <c r="VF14" s="387"/>
      <c r="VG14" s="387"/>
      <c r="VH14" s="387"/>
      <c r="VI14" s="387"/>
      <c r="VJ14" s="387"/>
      <c r="VK14" s="387"/>
      <c r="VL14" s="387"/>
      <c r="VM14" s="387"/>
      <c r="VN14" s="387"/>
      <c r="VO14" s="387"/>
      <c r="VP14" s="387"/>
      <c r="VQ14" s="387"/>
      <c r="VR14" s="387"/>
      <c r="VS14" s="387"/>
      <c r="VT14" s="387"/>
      <c r="VU14" s="387"/>
      <c r="VV14" s="387"/>
      <c r="VW14" s="387"/>
      <c r="VX14" s="387"/>
      <c r="VY14" s="387"/>
      <c r="VZ14" s="387"/>
      <c r="WA14" s="387"/>
      <c r="WB14" s="387"/>
      <c r="WC14" s="387"/>
      <c r="WD14" s="387"/>
      <c r="WE14" s="387"/>
      <c r="WF14" s="387"/>
      <c r="WG14" s="387"/>
      <c r="WH14" s="387"/>
      <c r="WI14" s="387"/>
      <c r="WJ14" s="387"/>
      <c r="WK14" s="387"/>
      <c r="WL14" s="387"/>
      <c r="WM14" s="387"/>
      <c r="WN14" s="387"/>
      <c r="WO14" s="387"/>
      <c r="WP14" s="387"/>
      <c r="WQ14" s="387"/>
      <c r="WR14" s="387"/>
      <c r="WS14" s="387"/>
      <c r="WT14" s="387"/>
      <c r="WU14" s="387"/>
      <c r="WV14" s="387"/>
      <c r="WW14" s="387"/>
      <c r="WX14" s="387"/>
      <c r="WY14" s="387"/>
      <c r="WZ14" s="387"/>
      <c r="XA14" s="387"/>
      <c r="XB14" s="387"/>
      <c r="XC14" s="387"/>
      <c r="XD14" s="387"/>
      <c r="XE14" s="387"/>
      <c r="XF14" s="387"/>
      <c r="XG14" s="387"/>
      <c r="XH14" s="387"/>
      <c r="XI14" s="387"/>
      <c r="XJ14" s="387"/>
      <c r="XK14" s="387"/>
      <c r="XL14" s="387"/>
      <c r="XM14" s="387"/>
      <c r="XN14" s="387"/>
      <c r="XO14" s="387"/>
      <c r="XP14" s="387"/>
      <c r="XQ14" s="387"/>
      <c r="XR14" s="387"/>
      <c r="XS14" s="387"/>
      <c r="XT14" s="387"/>
      <c r="XU14" s="387"/>
      <c r="XV14" s="387"/>
      <c r="XW14" s="387"/>
      <c r="XX14" s="387"/>
      <c r="XY14" s="387"/>
      <c r="XZ14" s="387"/>
      <c r="YA14" s="387"/>
      <c r="YB14" s="387"/>
      <c r="YC14" s="387"/>
      <c r="YD14" s="387"/>
      <c r="YE14" s="387"/>
      <c r="YF14" s="387"/>
      <c r="YG14" s="387"/>
      <c r="YH14" s="387"/>
      <c r="YI14" s="387"/>
      <c r="YJ14" s="387"/>
      <c r="YK14" s="387"/>
      <c r="YL14" s="387"/>
      <c r="YM14" s="387"/>
      <c r="YN14" s="387"/>
      <c r="YO14" s="387"/>
      <c r="YP14" s="387"/>
      <c r="YQ14" s="387"/>
      <c r="YR14" s="387"/>
      <c r="YS14" s="387"/>
      <c r="YT14" s="387"/>
      <c r="YU14" s="387"/>
      <c r="YV14" s="387"/>
      <c r="YW14" s="387"/>
      <c r="YX14" s="387"/>
      <c r="YY14" s="387"/>
      <c r="YZ14" s="387"/>
      <c r="ZA14" s="387"/>
      <c r="ZB14" s="387"/>
      <c r="ZC14" s="387"/>
      <c r="ZD14" s="387"/>
      <c r="ZE14" s="387"/>
      <c r="ZF14" s="387"/>
      <c r="ZG14" s="387"/>
      <c r="ZH14" s="387"/>
      <c r="ZI14" s="387"/>
      <c r="ZJ14" s="387"/>
      <c r="ZK14" s="387"/>
      <c r="ZL14" s="387"/>
      <c r="ZM14" s="387"/>
      <c r="ZN14" s="387"/>
      <c r="ZO14" s="387"/>
      <c r="ZP14" s="387"/>
      <c r="ZQ14" s="387"/>
      <c r="ZR14" s="387"/>
      <c r="ZS14" s="387"/>
      <c r="ZT14" s="387"/>
      <c r="ZU14" s="387"/>
      <c r="ZV14" s="387"/>
      <c r="ZW14" s="387"/>
      <c r="ZX14" s="387"/>
      <c r="ZY14" s="387"/>
      <c r="ZZ14" s="387"/>
      <c r="AAA14" s="387"/>
      <c r="AAB14" s="387"/>
      <c r="AAC14" s="387"/>
      <c r="AAD14" s="387"/>
      <c r="AAE14" s="387"/>
      <c r="AAF14" s="387"/>
      <c r="AAG14" s="387"/>
      <c r="AAH14" s="387"/>
      <c r="AAI14" s="387"/>
      <c r="AAJ14" s="387"/>
      <c r="AAK14" s="387"/>
      <c r="AAL14" s="387"/>
      <c r="AAM14" s="387"/>
      <c r="AAN14" s="387"/>
      <c r="AAO14" s="387"/>
      <c r="AAP14" s="387"/>
      <c r="AAQ14" s="387"/>
      <c r="AAR14" s="387"/>
      <c r="AAS14" s="387"/>
      <c r="AAT14" s="387"/>
      <c r="AAU14" s="387"/>
      <c r="AAV14" s="387"/>
      <c r="AAW14" s="387"/>
      <c r="AAX14" s="387"/>
      <c r="AAY14" s="387"/>
      <c r="AAZ14" s="387"/>
      <c r="ABA14" s="387"/>
      <c r="ABB14" s="387"/>
      <c r="ABC14" s="387"/>
      <c r="ABD14" s="387"/>
      <c r="ABE14" s="387"/>
      <c r="ABF14" s="387"/>
      <c r="ABG14" s="387"/>
      <c r="ABH14" s="387"/>
      <c r="ABI14" s="387"/>
      <c r="ABJ14" s="387"/>
      <c r="ABK14" s="387"/>
      <c r="ABL14" s="387"/>
      <c r="ABM14" s="387"/>
      <c r="ABN14" s="387"/>
      <c r="ABO14" s="387"/>
      <c r="ABP14" s="387"/>
      <c r="ABQ14" s="387"/>
      <c r="ABR14" s="387"/>
      <c r="ABS14" s="387"/>
      <c r="ABT14" s="387"/>
      <c r="ABU14" s="387"/>
      <c r="ABV14" s="387"/>
      <c r="ABW14" s="387"/>
      <c r="ABX14" s="387"/>
      <c r="ABY14" s="387"/>
      <c r="ABZ14" s="387"/>
      <c r="ACA14" s="387"/>
      <c r="ACB14" s="387"/>
      <c r="ACC14" s="387"/>
      <c r="ACD14" s="387"/>
      <c r="ACE14" s="387"/>
      <c r="ACF14" s="387"/>
      <c r="ACG14" s="387"/>
      <c r="ACH14" s="387"/>
      <c r="ACI14" s="387"/>
      <c r="ACJ14" s="387"/>
      <c r="ACK14" s="387"/>
      <c r="ACL14" s="387"/>
      <c r="ACM14" s="387"/>
      <c r="ACN14" s="387"/>
      <c r="ACO14" s="387"/>
      <c r="ACP14" s="387"/>
      <c r="ACQ14" s="387"/>
      <c r="ACR14" s="387"/>
      <c r="ACS14" s="387"/>
      <c r="ACT14" s="387"/>
      <c r="ACU14" s="387"/>
      <c r="ACV14" s="387"/>
      <c r="ACW14" s="387"/>
      <c r="ACX14" s="387"/>
      <c r="ACY14" s="387"/>
      <c r="ACZ14" s="387"/>
      <c r="ADA14" s="387"/>
      <c r="ADB14" s="387"/>
      <c r="ADC14" s="387"/>
      <c r="ADD14" s="387"/>
      <c r="ADE14" s="387"/>
      <c r="ADF14" s="387"/>
      <c r="ADG14" s="387"/>
      <c r="ADH14" s="387"/>
      <c r="ADI14" s="387"/>
      <c r="ADJ14" s="387"/>
      <c r="ADK14" s="387"/>
      <c r="ADL14" s="387"/>
      <c r="ADM14" s="387"/>
      <c r="ADN14" s="387"/>
      <c r="ADO14" s="387"/>
      <c r="ADP14" s="387"/>
      <c r="ADQ14" s="387"/>
      <c r="ADR14" s="387"/>
      <c r="ADS14" s="387"/>
      <c r="ADT14" s="387"/>
      <c r="ADU14" s="387"/>
      <c r="ADV14" s="387"/>
      <c r="ADW14" s="387"/>
      <c r="ADX14" s="387"/>
      <c r="ADY14" s="387"/>
      <c r="ADZ14" s="387"/>
      <c r="AEA14" s="387"/>
      <c r="AEB14" s="387"/>
      <c r="AEC14" s="387"/>
      <c r="AED14" s="387"/>
      <c r="AEE14" s="387"/>
      <c r="AEF14" s="387"/>
      <c r="AEG14" s="387"/>
      <c r="AEH14" s="387"/>
      <c r="AEI14" s="387"/>
      <c r="AEJ14" s="387"/>
      <c r="AEK14" s="387"/>
      <c r="AEL14" s="387"/>
      <c r="AEM14" s="387"/>
      <c r="AEN14" s="387"/>
      <c r="AEO14" s="387"/>
      <c r="AEP14" s="387"/>
      <c r="AEQ14" s="387"/>
      <c r="AER14" s="387"/>
      <c r="AES14" s="387"/>
      <c r="AET14" s="387"/>
      <c r="AEU14" s="387"/>
      <c r="AEV14" s="387"/>
      <c r="AEW14" s="387"/>
      <c r="AEX14" s="387"/>
      <c r="AEY14" s="387"/>
      <c r="AEZ14" s="387"/>
      <c r="AFA14" s="387"/>
      <c r="AFB14" s="387"/>
      <c r="AFC14" s="387"/>
      <c r="AFD14" s="387"/>
      <c r="AFE14" s="387"/>
      <c r="AFF14" s="387"/>
      <c r="AFG14" s="387"/>
      <c r="AFH14" s="387"/>
      <c r="AFI14" s="387"/>
      <c r="AFJ14" s="387"/>
      <c r="AFK14" s="387"/>
      <c r="AFL14" s="387"/>
      <c r="AFM14" s="387"/>
      <c r="AFN14" s="387"/>
      <c r="AFO14" s="387"/>
      <c r="AFP14" s="387"/>
      <c r="AFQ14" s="387"/>
      <c r="AFR14" s="387"/>
      <c r="AFS14" s="387"/>
      <c r="AFT14" s="387"/>
      <c r="AFU14" s="387"/>
      <c r="AFV14" s="387"/>
      <c r="AFW14" s="387"/>
      <c r="AFX14" s="387"/>
      <c r="AFY14" s="387"/>
      <c r="AFZ14" s="387"/>
      <c r="AGA14" s="387"/>
      <c r="AGB14" s="387"/>
      <c r="AGC14" s="387"/>
      <c r="AGD14" s="387"/>
      <c r="AGE14" s="387"/>
      <c r="AGF14" s="387"/>
      <c r="AGG14" s="387"/>
      <c r="AGH14" s="387"/>
      <c r="AGI14" s="387"/>
      <c r="AGJ14" s="387"/>
      <c r="AGK14" s="387"/>
      <c r="AGL14" s="387"/>
      <c r="AGM14" s="387"/>
      <c r="AGN14" s="387"/>
      <c r="AGO14" s="387"/>
      <c r="AGP14" s="387"/>
      <c r="AGQ14" s="387"/>
      <c r="AGR14" s="387"/>
      <c r="AGS14" s="387"/>
      <c r="AGT14" s="387"/>
      <c r="AGU14" s="387"/>
      <c r="AGV14" s="387"/>
      <c r="AGW14" s="387"/>
      <c r="AGX14" s="387"/>
      <c r="AGY14" s="387"/>
      <c r="AGZ14" s="387"/>
      <c r="AHA14" s="387"/>
      <c r="AHB14" s="387"/>
      <c r="AHC14" s="387"/>
      <c r="AHD14" s="387"/>
      <c r="AHE14" s="387"/>
      <c r="AHF14" s="387"/>
      <c r="AHG14" s="387"/>
      <c r="AHH14" s="387"/>
      <c r="AHI14" s="387"/>
      <c r="AHJ14" s="387"/>
      <c r="AHK14" s="387"/>
      <c r="AHL14" s="387"/>
      <c r="AHM14" s="387"/>
      <c r="AHN14" s="387"/>
      <c r="AHO14" s="387"/>
      <c r="AHP14" s="387"/>
      <c r="AHQ14" s="387"/>
      <c r="AHR14" s="387"/>
      <c r="AHS14" s="387"/>
      <c r="AHT14" s="387"/>
      <c r="AHU14" s="387"/>
      <c r="AHV14" s="387"/>
      <c r="AHW14" s="387"/>
      <c r="AHX14" s="387"/>
      <c r="AHY14" s="387"/>
      <c r="AHZ14" s="387"/>
      <c r="AIA14" s="387"/>
      <c r="AIB14" s="387"/>
      <c r="AIC14" s="387"/>
      <c r="AID14" s="387"/>
      <c r="AIE14" s="387"/>
      <c r="AIF14" s="387"/>
      <c r="AIG14" s="387"/>
      <c r="AIH14" s="387"/>
      <c r="AII14" s="387"/>
      <c r="AIJ14" s="387"/>
      <c r="AIK14" s="387"/>
      <c r="AIL14" s="387"/>
      <c r="AIM14" s="387"/>
      <c r="AIN14" s="387"/>
      <c r="AIO14" s="387"/>
      <c r="AIP14" s="387"/>
      <c r="AIQ14" s="387"/>
      <c r="AIR14" s="387"/>
      <c r="AIS14" s="387"/>
      <c r="AIT14" s="387"/>
      <c r="AIU14" s="387"/>
      <c r="AIV14" s="387"/>
      <c r="AIW14" s="387"/>
      <c r="AIX14" s="387"/>
      <c r="AIY14" s="387"/>
      <c r="AIZ14" s="387"/>
      <c r="AJA14" s="387"/>
      <c r="AJB14" s="387"/>
      <c r="AJC14" s="387"/>
      <c r="AJD14" s="387"/>
      <c r="AJE14" s="387"/>
      <c r="AJF14" s="387"/>
      <c r="AJG14" s="387"/>
      <c r="AJH14" s="387"/>
      <c r="AJI14" s="387"/>
      <c r="AJJ14" s="387"/>
      <c r="AJK14" s="387"/>
      <c r="AJL14" s="387"/>
      <c r="AJM14" s="387"/>
      <c r="AJN14" s="387"/>
      <c r="AJO14" s="387"/>
      <c r="AJP14" s="387"/>
      <c r="AJQ14" s="387"/>
      <c r="AJR14" s="387"/>
      <c r="AJS14" s="387"/>
      <c r="AJT14" s="387"/>
      <c r="AJU14" s="387"/>
      <c r="AJV14" s="387"/>
      <c r="AJW14" s="387"/>
      <c r="AJX14" s="387"/>
      <c r="AJY14" s="387"/>
      <c r="AJZ14" s="387"/>
      <c r="AKA14" s="387"/>
      <c r="AKB14" s="387"/>
      <c r="AKC14" s="387"/>
      <c r="AKD14" s="387"/>
      <c r="AKE14" s="387"/>
      <c r="AKF14" s="387"/>
      <c r="AKG14" s="387"/>
      <c r="AKH14" s="387"/>
      <c r="AKI14" s="387"/>
      <c r="AKJ14" s="387"/>
      <c r="AKK14" s="387"/>
      <c r="AKL14" s="387"/>
      <c r="AKM14" s="387"/>
      <c r="AKN14" s="387"/>
      <c r="AKO14" s="387"/>
      <c r="AKP14" s="387"/>
      <c r="AKQ14" s="387"/>
      <c r="AKR14" s="387"/>
      <c r="AKS14" s="387"/>
      <c r="AKT14" s="387"/>
      <c r="AKU14" s="387"/>
      <c r="AKV14" s="387"/>
      <c r="AKW14" s="387"/>
      <c r="AKX14" s="387"/>
      <c r="AKY14" s="387"/>
      <c r="AKZ14" s="387"/>
      <c r="ALA14" s="387"/>
      <c r="ALB14" s="387"/>
      <c r="ALC14" s="387"/>
      <c r="ALD14" s="387"/>
      <c r="ALE14" s="387"/>
      <c r="ALF14" s="387"/>
      <c r="ALG14" s="387"/>
      <c r="ALH14" s="387"/>
      <c r="ALI14" s="387"/>
      <c r="ALJ14" s="387"/>
      <c r="ALK14" s="387"/>
      <c r="ALL14" s="387"/>
      <c r="ALM14" s="387"/>
      <c r="ALN14" s="387"/>
      <c r="ALO14" s="387"/>
      <c r="ALP14" s="387"/>
      <c r="ALQ14" s="387"/>
      <c r="ALR14" s="387"/>
      <c r="ALS14" s="387"/>
      <c r="ALT14" s="387"/>
      <c r="ALU14" s="387"/>
      <c r="ALV14" s="387"/>
      <c r="ALW14" s="387"/>
      <c r="ALX14" s="387"/>
      <c r="ALY14" s="387"/>
      <c r="ALZ14" s="387"/>
      <c r="AMA14" s="387"/>
      <c r="AMB14" s="387"/>
      <c r="AMC14" s="387"/>
      <c r="AMD14" s="387"/>
      <c r="AME14" s="387"/>
      <c r="AMF14" s="387"/>
      <c r="AMG14" s="387"/>
      <c r="AMH14" s="387"/>
      <c r="AMI14" s="387"/>
      <c r="AMJ14" s="387"/>
      <c r="AMK14" s="387"/>
      <c r="AML14" s="387"/>
      <c r="AMM14" s="387"/>
      <c r="AMN14" s="387"/>
      <c r="AMO14" s="387"/>
      <c r="AMP14" s="387"/>
      <c r="AMQ14" s="387"/>
      <c r="AMR14" s="387"/>
      <c r="AMS14" s="387"/>
      <c r="AMT14" s="387"/>
      <c r="AMU14" s="387"/>
      <c r="AMV14" s="387"/>
      <c r="AMW14" s="387"/>
      <c r="AMX14" s="387"/>
      <c r="AMY14" s="387"/>
      <c r="AMZ14" s="387"/>
      <c r="ANA14" s="387"/>
      <c r="ANB14" s="387"/>
      <c r="ANC14" s="387"/>
      <c r="AND14" s="387"/>
      <c r="ANE14" s="387"/>
      <c r="ANF14" s="387"/>
      <c r="ANG14" s="387"/>
      <c r="ANH14" s="387"/>
      <c r="ANI14" s="387"/>
      <c r="ANJ14" s="387"/>
      <c r="ANK14" s="387"/>
      <c r="ANL14" s="387"/>
      <c r="ANM14" s="387"/>
      <c r="ANN14" s="387"/>
      <c r="ANO14" s="387"/>
      <c r="ANP14" s="387"/>
      <c r="ANQ14" s="387"/>
      <c r="ANR14" s="387"/>
      <c r="ANS14" s="387"/>
      <c r="ANT14" s="387"/>
      <c r="ANU14" s="387"/>
      <c r="ANV14" s="387"/>
      <c r="ANW14" s="387"/>
      <c r="ANX14" s="387"/>
      <c r="ANY14" s="387"/>
      <c r="ANZ14" s="387"/>
      <c r="AOA14" s="387"/>
      <c r="AOB14" s="387"/>
      <c r="AOC14" s="387"/>
      <c r="AOD14" s="387"/>
      <c r="AOE14" s="387"/>
      <c r="AOF14" s="387"/>
      <c r="AOG14" s="387"/>
      <c r="AOH14" s="387"/>
      <c r="AOI14" s="387"/>
      <c r="AOJ14" s="387"/>
      <c r="AOK14" s="387"/>
      <c r="AOL14" s="387"/>
      <c r="AOM14" s="387"/>
      <c r="AON14" s="387"/>
      <c r="AOO14" s="387"/>
      <c r="AOP14" s="387"/>
      <c r="AOQ14" s="387"/>
      <c r="AOR14" s="387"/>
      <c r="AOS14" s="387"/>
      <c r="AOT14" s="387"/>
      <c r="AOU14" s="387"/>
      <c r="AOV14" s="387"/>
      <c r="AOW14" s="387"/>
      <c r="AOX14" s="387"/>
      <c r="AOY14" s="387"/>
      <c r="AOZ14" s="387"/>
      <c r="APA14" s="387"/>
      <c r="APB14" s="387"/>
      <c r="APC14" s="387"/>
      <c r="APD14" s="387"/>
      <c r="APE14" s="387"/>
      <c r="APF14" s="387"/>
      <c r="APG14" s="387"/>
      <c r="APH14" s="387"/>
      <c r="API14" s="387"/>
      <c r="APJ14" s="387"/>
      <c r="APK14" s="387"/>
      <c r="APL14" s="387"/>
      <c r="APM14" s="387"/>
      <c r="APN14" s="387"/>
      <c r="APO14" s="387"/>
      <c r="APP14" s="387"/>
      <c r="APQ14" s="387"/>
      <c r="APR14" s="387"/>
      <c r="APS14" s="387"/>
      <c r="APT14" s="387"/>
      <c r="APU14" s="387"/>
      <c r="APV14" s="387"/>
      <c r="APW14" s="387"/>
      <c r="APX14" s="387"/>
      <c r="APY14" s="387"/>
      <c r="APZ14" s="387"/>
      <c r="AQA14" s="387"/>
      <c r="AQB14" s="387"/>
      <c r="AQC14" s="387"/>
      <c r="AQD14" s="387"/>
      <c r="AQE14" s="387"/>
      <c r="AQF14" s="387"/>
      <c r="AQG14" s="387"/>
      <c r="AQH14" s="387"/>
      <c r="AQI14" s="387"/>
      <c r="AQJ14" s="387"/>
      <c r="AQK14" s="387"/>
      <c r="AQL14" s="387"/>
      <c r="AQM14" s="387"/>
      <c r="AQN14" s="387"/>
      <c r="AQO14" s="387"/>
      <c r="AQP14" s="387"/>
      <c r="AQQ14" s="387"/>
      <c r="AQR14" s="387"/>
      <c r="AQS14" s="387"/>
      <c r="AQT14" s="387"/>
      <c r="AQU14" s="387"/>
      <c r="AQV14" s="387"/>
      <c r="AQW14" s="387"/>
      <c r="AQX14" s="387"/>
      <c r="AQY14" s="387"/>
      <c r="AQZ14" s="387"/>
      <c r="ARA14" s="387"/>
      <c r="ARB14" s="387"/>
      <c r="ARC14" s="387"/>
      <c r="ARD14" s="387"/>
      <c r="ARE14" s="387"/>
      <c r="ARF14" s="387"/>
      <c r="ARG14" s="387"/>
      <c r="ARH14" s="387"/>
      <c r="ARI14" s="387"/>
      <c r="ARJ14" s="387"/>
      <c r="ARK14" s="387"/>
      <c r="ARL14" s="387"/>
      <c r="ARM14" s="387"/>
      <c r="ARN14" s="387"/>
      <c r="ARO14" s="387"/>
      <c r="ARP14" s="387"/>
      <c r="ARQ14" s="387"/>
      <c r="ARR14" s="387"/>
      <c r="ARS14" s="387"/>
      <c r="ART14" s="387"/>
      <c r="ARU14" s="387"/>
      <c r="ARV14" s="387"/>
      <c r="ARW14" s="387"/>
      <c r="ARX14" s="387"/>
      <c r="ARY14" s="387"/>
      <c r="ARZ14" s="387"/>
      <c r="ASA14" s="387"/>
      <c r="ASB14" s="387"/>
      <c r="ASC14" s="387"/>
      <c r="ASD14" s="387"/>
      <c r="ASE14" s="387"/>
      <c r="ASF14" s="387"/>
      <c r="ASG14" s="387"/>
      <c r="ASH14" s="387"/>
      <c r="ASI14" s="387"/>
      <c r="ASJ14" s="387"/>
      <c r="ASK14" s="387"/>
      <c r="ASL14" s="387"/>
      <c r="ASM14" s="387"/>
      <c r="ASN14" s="387"/>
      <c r="ASO14" s="387"/>
      <c r="ASP14" s="387"/>
      <c r="ASQ14" s="387"/>
      <c r="ASR14" s="387"/>
      <c r="ASS14" s="387"/>
      <c r="AST14" s="387"/>
      <c r="ASU14" s="387"/>
      <c r="ASV14" s="387"/>
      <c r="ASW14" s="387"/>
      <c r="ASX14" s="387"/>
      <c r="ASY14" s="387"/>
      <c r="ASZ14" s="387"/>
      <c r="ATA14" s="387"/>
      <c r="ATB14" s="387"/>
      <c r="ATC14" s="387"/>
      <c r="ATD14" s="387"/>
      <c r="ATE14" s="387"/>
      <c r="ATF14" s="387"/>
      <c r="ATG14" s="387"/>
      <c r="ATH14" s="387"/>
      <c r="ATI14" s="387"/>
      <c r="ATJ14" s="387"/>
      <c r="ATK14" s="387"/>
      <c r="ATL14" s="387"/>
      <c r="ATM14" s="387"/>
      <c r="ATN14" s="387"/>
      <c r="ATO14" s="387"/>
      <c r="ATP14" s="387"/>
      <c r="ATQ14" s="387"/>
      <c r="ATR14" s="387"/>
      <c r="ATS14" s="387"/>
      <c r="ATT14" s="387"/>
      <c r="ATU14" s="387"/>
      <c r="ATV14" s="387"/>
      <c r="ATW14" s="387"/>
      <c r="ATX14" s="387"/>
      <c r="ATY14" s="387"/>
      <c r="ATZ14" s="387"/>
      <c r="AUA14" s="387"/>
      <c r="AUB14" s="387"/>
      <c r="AUC14" s="387"/>
      <c r="AUD14" s="387"/>
      <c r="AUE14" s="387"/>
      <c r="AUF14" s="387"/>
      <c r="AUG14" s="387"/>
      <c r="AUH14" s="387"/>
      <c r="AUI14" s="387"/>
      <c r="AUJ14" s="387"/>
      <c r="AUK14" s="387"/>
      <c r="AUL14" s="387"/>
      <c r="AUM14" s="387"/>
      <c r="AUN14" s="387"/>
      <c r="AUO14" s="387"/>
      <c r="AUP14" s="387"/>
      <c r="AUQ14" s="387"/>
      <c r="AUR14" s="387"/>
      <c r="AUS14" s="387"/>
      <c r="AUT14" s="387"/>
      <c r="AUU14" s="387"/>
      <c r="AUV14" s="387"/>
      <c r="AUW14" s="387"/>
      <c r="AUX14" s="387"/>
      <c r="AUY14" s="387"/>
      <c r="AUZ14" s="387"/>
      <c r="AVA14" s="387"/>
      <c r="AVB14" s="387"/>
      <c r="AVC14" s="387"/>
      <c r="AVD14" s="387"/>
      <c r="AVE14" s="387"/>
      <c r="AVF14" s="387"/>
      <c r="AVG14" s="387"/>
      <c r="AVH14" s="387"/>
      <c r="AVI14" s="387"/>
      <c r="AVJ14" s="387"/>
      <c r="AVK14" s="387"/>
      <c r="AVL14" s="387"/>
      <c r="AVM14" s="387"/>
      <c r="AVN14" s="387"/>
      <c r="AVO14" s="387"/>
      <c r="AVP14" s="387"/>
      <c r="AVQ14" s="387"/>
      <c r="AVR14" s="387"/>
      <c r="AVS14" s="387"/>
      <c r="AVT14" s="387"/>
      <c r="AVU14" s="387"/>
      <c r="AVV14" s="387"/>
      <c r="AVW14" s="387"/>
      <c r="AVX14" s="387"/>
      <c r="AVY14" s="387"/>
      <c r="AVZ14" s="387"/>
      <c r="AWA14" s="387"/>
      <c r="AWB14" s="387"/>
      <c r="AWC14" s="387"/>
      <c r="AWD14" s="387"/>
      <c r="AWE14" s="387"/>
      <c r="AWF14" s="387"/>
      <c r="AWG14" s="387"/>
      <c r="AWH14" s="387"/>
      <c r="AWI14" s="387"/>
      <c r="AWJ14" s="387"/>
      <c r="AWK14" s="387"/>
      <c r="AWL14" s="387"/>
      <c r="AWM14" s="387"/>
      <c r="AWN14" s="387"/>
      <c r="AWO14" s="387"/>
      <c r="AWP14" s="387"/>
      <c r="AWQ14" s="387"/>
      <c r="AWR14" s="387"/>
      <c r="AWS14" s="387"/>
      <c r="AWT14" s="387"/>
      <c r="AWU14" s="387"/>
      <c r="AWV14" s="387"/>
      <c r="AWW14" s="387"/>
      <c r="AWX14" s="387"/>
      <c r="AWY14" s="387"/>
      <c r="AWZ14" s="387"/>
      <c r="AXA14" s="387"/>
      <c r="AXB14" s="387"/>
      <c r="AXC14" s="387"/>
      <c r="AXD14" s="387"/>
      <c r="AXE14" s="387"/>
      <c r="AXF14" s="387"/>
      <c r="AXG14" s="387"/>
      <c r="AXH14" s="387"/>
      <c r="AXI14" s="387"/>
      <c r="AXJ14" s="387"/>
      <c r="AXK14" s="387"/>
      <c r="AXL14" s="387"/>
      <c r="AXM14" s="387"/>
      <c r="AXN14" s="387"/>
      <c r="AXO14" s="387"/>
      <c r="AXP14" s="387"/>
      <c r="AXQ14" s="387"/>
      <c r="AXR14" s="387"/>
      <c r="AXS14" s="387"/>
      <c r="AXT14" s="387"/>
      <c r="AXU14" s="387"/>
      <c r="AXV14" s="387"/>
      <c r="AXW14" s="387"/>
      <c r="AXX14" s="387"/>
      <c r="AXY14" s="387"/>
      <c r="AXZ14" s="387"/>
      <c r="AYA14" s="387"/>
      <c r="AYB14" s="387"/>
      <c r="AYC14" s="387"/>
      <c r="AYD14" s="387"/>
      <c r="AYE14" s="387"/>
      <c r="AYF14" s="387"/>
      <c r="AYG14" s="387"/>
      <c r="AYH14" s="387"/>
      <c r="AYI14" s="387"/>
      <c r="AYJ14" s="387"/>
      <c r="AYK14" s="387"/>
      <c r="AYL14" s="387"/>
      <c r="AYM14" s="387"/>
      <c r="AYN14" s="387"/>
      <c r="AYO14" s="387"/>
      <c r="AYP14" s="387"/>
      <c r="AYQ14" s="387"/>
      <c r="AYR14" s="387"/>
      <c r="AYS14" s="387"/>
      <c r="AYT14" s="387"/>
      <c r="AYU14" s="387"/>
      <c r="AYV14" s="387"/>
      <c r="AYW14" s="387"/>
      <c r="AYX14" s="387"/>
      <c r="AYY14" s="387"/>
      <c r="AYZ14" s="387"/>
      <c r="AZA14" s="387"/>
      <c r="AZB14" s="387"/>
      <c r="AZC14" s="387"/>
      <c r="AZD14" s="387"/>
      <c r="AZE14" s="387"/>
      <c r="AZF14" s="387"/>
      <c r="AZG14" s="387"/>
      <c r="AZH14" s="387"/>
      <c r="AZI14" s="387"/>
      <c r="AZJ14" s="387"/>
      <c r="AZK14" s="387"/>
      <c r="AZL14" s="387"/>
      <c r="AZM14" s="387"/>
      <c r="AZN14" s="387"/>
      <c r="AZO14" s="387"/>
      <c r="AZP14" s="387"/>
      <c r="AZQ14" s="387"/>
      <c r="AZR14" s="387"/>
      <c r="AZS14" s="387"/>
      <c r="AZT14" s="387"/>
      <c r="AZU14" s="387"/>
      <c r="AZV14" s="387"/>
      <c r="AZW14" s="387"/>
      <c r="AZX14" s="387"/>
      <c r="AZY14" s="387"/>
      <c r="AZZ14" s="387"/>
      <c r="BAA14" s="387"/>
      <c r="BAB14" s="387"/>
      <c r="BAC14" s="387"/>
      <c r="BAD14" s="387"/>
      <c r="BAE14" s="387"/>
      <c r="BAF14" s="387"/>
      <c r="BAG14" s="387"/>
      <c r="BAH14" s="387"/>
      <c r="BAI14" s="387"/>
      <c r="BAJ14" s="387"/>
      <c r="BAK14" s="387"/>
      <c r="BAL14" s="387"/>
      <c r="BAM14" s="387"/>
      <c r="BAN14" s="387"/>
      <c r="BAO14" s="387"/>
      <c r="BAP14" s="387"/>
      <c r="BAQ14" s="387"/>
      <c r="BAR14" s="387"/>
      <c r="BAS14" s="387"/>
      <c r="BAT14" s="387"/>
      <c r="BAU14" s="387"/>
      <c r="BAV14" s="387"/>
      <c r="BAW14" s="387"/>
      <c r="BAX14" s="387"/>
      <c r="BAY14" s="387"/>
      <c r="BAZ14" s="387"/>
      <c r="BBA14" s="387"/>
      <c r="BBB14" s="387"/>
      <c r="BBC14" s="387"/>
      <c r="BBD14" s="387"/>
      <c r="BBE14" s="387"/>
      <c r="BBF14" s="387"/>
      <c r="BBG14" s="387"/>
      <c r="BBH14" s="387"/>
      <c r="BBI14" s="387"/>
      <c r="BBJ14" s="387"/>
      <c r="BBK14" s="387"/>
      <c r="BBL14" s="387"/>
      <c r="BBM14" s="387"/>
      <c r="BBN14" s="387"/>
      <c r="BBO14" s="387"/>
      <c r="BBP14" s="387"/>
      <c r="BBQ14" s="387"/>
      <c r="BBR14" s="387"/>
      <c r="BBS14" s="387"/>
      <c r="BBT14" s="387"/>
      <c r="BBU14" s="387"/>
      <c r="BBV14" s="387"/>
      <c r="BBW14" s="387"/>
      <c r="BBX14" s="387"/>
      <c r="BBY14" s="387"/>
      <c r="BBZ14" s="387"/>
      <c r="BCA14" s="387"/>
      <c r="BCB14" s="387"/>
      <c r="BCC14" s="387"/>
      <c r="BCD14" s="387"/>
      <c r="BCE14" s="387"/>
      <c r="BCF14" s="387"/>
      <c r="BCG14" s="387"/>
      <c r="BCH14" s="387"/>
      <c r="BCI14" s="387"/>
      <c r="BCJ14" s="387"/>
      <c r="BCK14" s="387"/>
      <c r="BCL14" s="387"/>
      <c r="BCM14" s="387"/>
      <c r="BCN14" s="387"/>
      <c r="BCO14" s="387"/>
      <c r="BCP14" s="387"/>
      <c r="BCQ14" s="387"/>
      <c r="BCR14" s="387"/>
      <c r="BCS14" s="387"/>
      <c r="BCT14" s="387"/>
      <c r="BCU14" s="387"/>
      <c r="BCV14" s="387"/>
      <c r="BCW14" s="387"/>
      <c r="BCX14" s="387"/>
      <c r="BCY14" s="387"/>
      <c r="BCZ14" s="387"/>
      <c r="BDA14" s="387"/>
      <c r="BDB14" s="387"/>
      <c r="BDC14" s="387"/>
      <c r="BDD14" s="387"/>
      <c r="BDE14" s="387"/>
      <c r="BDF14" s="387"/>
      <c r="BDG14" s="387"/>
      <c r="BDH14" s="387"/>
      <c r="BDI14" s="387"/>
      <c r="BDJ14" s="387"/>
      <c r="BDK14" s="387"/>
      <c r="BDL14" s="387"/>
      <c r="BDM14" s="387"/>
      <c r="BDN14" s="387"/>
      <c r="BDO14" s="387"/>
      <c r="BDP14" s="387"/>
      <c r="BDQ14" s="387"/>
      <c r="BDR14" s="387"/>
      <c r="BDS14" s="387"/>
      <c r="BDT14" s="387"/>
      <c r="BDU14" s="387"/>
      <c r="BDV14" s="387"/>
      <c r="BDW14" s="387"/>
      <c r="BDX14" s="387"/>
      <c r="BDY14" s="387"/>
      <c r="BDZ14" s="387"/>
      <c r="BEA14" s="387"/>
      <c r="BEB14" s="387"/>
      <c r="BEC14" s="387"/>
      <c r="BED14" s="387"/>
      <c r="BEE14" s="387"/>
      <c r="BEF14" s="387"/>
      <c r="BEG14" s="387"/>
      <c r="BEH14" s="387"/>
      <c r="BEI14" s="387"/>
      <c r="BEJ14" s="387"/>
      <c r="BEK14" s="387"/>
      <c r="BEL14" s="387"/>
      <c r="BEM14" s="387"/>
      <c r="BEN14" s="387"/>
      <c r="BEO14" s="387"/>
      <c r="BEP14" s="387"/>
      <c r="BEQ14" s="387"/>
      <c r="BER14" s="387"/>
      <c r="BES14" s="387"/>
      <c r="BET14" s="387"/>
      <c r="BEU14" s="387"/>
      <c r="BEV14" s="387"/>
      <c r="BEW14" s="387"/>
      <c r="BEX14" s="387"/>
      <c r="BEY14" s="387"/>
      <c r="BEZ14" s="387"/>
      <c r="BFA14" s="387"/>
      <c r="BFB14" s="387"/>
      <c r="BFC14" s="387"/>
      <c r="BFD14" s="387"/>
      <c r="BFE14" s="387"/>
      <c r="BFF14" s="387"/>
      <c r="BFG14" s="387"/>
      <c r="BFH14" s="387"/>
      <c r="BFI14" s="387"/>
      <c r="BFJ14" s="387"/>
      <c r="BFK14" s="387"/>
      <c r="BFL14" s="387"/>
      <c r="BFM14" s="387"/>
      <c r="BFN14" s="387"/>
      <c r="BFO14" s="387"/>
      <c r="BFP14" s="387"/>
      <c r="BFQ14" s="387"/>
      <c r="BFR14" s="387"/>
      <c r="BFS14" s="387"/>
      <c r="BFT14" s="387"/>
      <c r="BFU14" s="387"/>
      <c r="BFV14" s="387"/>
      <c r="BFW14" s="387"/>
      <c r="BFX14" s="387"/>
      <c r="BFY14" s="387"/>
      <c r="BFZ14" s="387"/>
      <c r="BGA14" s="387"/>
      <c r="BGB14" s="387"/>
      <c r="BGC14" s="387"/>
      <c r="BGD14" s="387"/>
      <c r="BGE14" s="387"/>
      <c r="BGF14" s="387"/>
      <c r="BGG14" s="387"/>
      <c r="BGH14" s="387"/>
      <c r="BGI14" s="387"/>
      <c r="BGJ14" s="387"/>
      <c r="BGK14" s="387"/>
      <c r="BGL14" s="387"/>
      <c r="BGM14" s="387"/>
      <c r="BGN14" s="387"/>
      <c r="BGO14" s="387"/>
      <c r="BGP14" s="387"/>
      <c r="BGQ14" s="387"/>
      <c r="BGR14" s="387"/>
      <c r="BGS14" s="387"/>
      <c r="BGT14" s="387"/>
      <c r="BGU14" s="387"/>
      <c r="BGV14" s="387"/>
      <c r="BGW14" s="387"/>
      <c r="BGX14" s="387"/>
      <c r="BGY14" s="387"/>
      <c r="BGZ14" s="387"/>
      <c r="BHA14" s="387"/>
      <c r="BHB14" s="387"/>
      <c r="BHC14" s="387"/>
      <c r="BHD14" s="387"/>
      <c r="BHE14" s="387"/>
      <c r="BHF14" s="387"/>
      <c r="BHG14" s="387"/>
      <c r="BHH14" s="387"/>
      <c r="BHI14" s="387"/>
      <c r="BHJ14" s="387"/>
      <c r="BHK14" s="387"/>
      <c r="BHL14" s="387"/>
      <c r="BHM14" s="387"/>
      <c r="BHN14" s="387"/>
      <c r="BHO14" s="387"/>
      <c r="BHP14" s="387"/>
      <c r="BHQ14" s="387"/>
      <c r="BHR14" s="387"/>
      <c r="BHS14" s="387"/>
      <c r="BHT14" s="387"/>
      <c r="BHU14" s="387"/>
      <c r="BHV14" s="387"/>
      <c r="BHW14" s="387"/>
      <c r="BHX14" s="387"/>
      <c r="BHY14" s="387"/>
      <c r="BHZ14" s="387"/>
      <c r="BIA14" s="387"/>
      <c r="BIB14" s="387"/>
      <c r="BIC14" s="387"/>
      <c r="BID14" s="387"/>
      <c r="BIE14" s="387"/>
      <c r="BIF14" s="387"/>
      <c r="BIG14" s="387"/>
      <c r="BIH14" s="387"/>
      <c r="BII14" s="387"/>
      <c r="BIJ14" s="387"/>
      <c r="BIK14" s="387"/>
      <c r="BIL14" s="387"/>
      <c r="BIM14" s="387"/>
      <c r="BIN14" s="387"/>
      <c r="BIO14" s="387"/>
      <c r="BIP14" s="387"/>
      <c r="BIQ14" s="387"/>
      <c r="BIR14" s="387"/>
      <c r="BIS14" s="387"/>
      <c r="BIT14" s="387"/>
      <c r="BIU14" s="387"/>
      <c r="BIV14" s="387"/>
      <c r="BIW14" s="387"/>
      <c r="BIX14" s="387"/>
      <c r="BIY14" s="387"/>
      <c r="BIZ14" s="387"/>
      <c r="BJA14" s="387"/>
      <c r="BJB14" s="387"/>
      <c r="BJC14" s="387"/>
      <c r="BJD14" s="387"/>
      <c r="BJE14" s="387"/>
      <c r="BJF14" s="387"/>
      <c r="BJG14" s="387"/>
      <c r="BJH14" s="387"/>
      <c r="BJI14" s="387"/>
      <c r="BJJ14" s="387"/>
      <c r="BJK14" s="387"/>
      <c r="BJL14" s="387"/>
      <c r="BJM14" s="387"/>
      <c r="BJN14" s="387"/>
      <c r="BJO14" s="387"/>
      <c r="BJP14" s="387"/>
      <c r="BJQ14" s="387"/>
      <c r="BJR14" s="387"/>
      <c r="BJS14" s="387"/>
      <c r="BJT14" s="387"/>
      <c r="BJU14" s="387"/>
      <c r="BJV14" s="387"/>
      <c r="BJW14" s="387"/>
      <c r="BJX14" s="387"/>
      <c r="BJY14" s="387"/>
      <c r="BJZ14" s="387"/>
      <c r="BKA14" s="387"/>
      <c r="BKB14" s="387"/>
      <c r="BKC14" s="387"/>
      <c r="BKD14" s="387"/>
      <c r="BKE14" s="387"/>
      <c r="BKF14" s="387"/>
      <c r="BKG14" s="387"/>
      <c r="BKH14" s="387"/>
      <c r="BKI14" s="387"/>
      <c r="BKJ14" s="387"/>
      <c r="BKK14" s="387"/>
      <c r="BKL14" s="387"/>
      <c r="BKM14" s="387"/>
      <c r="BKN14" s="387"/>
      <c r="BKO14" s="387"/>
      <c r="BKP14" s="387"/>
      <c r="BKQ14" s="387"/>
      <c r="BKR14" s="387"/>
      <c r="BKS14" s="387"/>
      <c r="BKT14" s="387"/>
      <c r="BKU14" s="387"/>
      <c r="BKV14" s="387"/>
      <c r="BKW14" s="387"/>
      <c r="BKX14" s="387"/>
      <c r="BKY14" s="387"/>
      <c r="BKZ14" s="387"/>
      <c r="BLA14" s="387"/>
      <c r="BLB14" s="387"/>
      <c r="BLC14" s="387"/>
      <c r="BLD14" s="387"/>
      <c r="BLE14" s="387"/>
      <c r="BLF14" s="387"/>
      <c r="BLG14" s="387"/>
      <c r="BLH14" s="387"/>
      <c r="BLI14" s="387"/>
      <c r="BLJ14" s="387"/>
      <c r="BLK14" s="387"/>
      <c r="BLL14" s="387"/>
      <c r="BLM14" s="387"/>
      <c r="BLN14" s="387"/>
      <c r="BLO14" s="387"/>
      <c r="BLP14" s="387"/>
      <c r="BLQ14" s="387"/>
      <c r="BLR14" s="387"/>
      <c r="BLS14" s="387"/>
      <c r="BLT14" s="387"/>
      <c r="BLU14" s="387"/>
      <c r="BLV14" s="387"/>
      <c r="BLW14" s="387"/>
      <c r="BLX14" s="387"/>
      <c r="BLY14" s="387"/>
      <c r="BLZ14" s="387"/>
      <c r="BMA14" s="387"/>
      <c r="BMB14" s="387"/>
      <c r="BMC14" s="387"/>
      <c r="BMD14" s="387"/>
      <c r="BME14" s="387"/>
      <c r="BMF14" s="387"/>
      <c r="BMG14" s="387"/>
      <c r="BMH14" s="387"/>
      <c r="BMI14" s="387"/>
      <c r="BMJ14" s="387"/>
      <c r="BMK14" s="387"/>
      <c r="BML14" s="387"/>
      <c r="BMM14" s="387"/>
      <c r="BMN14" s="387"/>
      <c r="BMO14" s="387"/>
      <c r="BMP14" s="387"/>
      <c r="BMQ14" s="387"/>
      <c r="BMR14" s="387"/>
      <c r="BMS14" s="387"/>
      <c r="BMT14" s="387"/>
      <c r="BMU14" s="387"/>
      <c r="BMV14" s="387"/>
      <c r="BMW14" s="387"/>
      <c r="BMX14" s="387"/>
      <c r="BMY14" s="387"/>
      <c r="BMZ14" s="387"/>
      <c r="BNA14" s="387"/>
      <c r="BNB14" s="387"/>
      <c r="BNC14" s="387"/>
      <c r="BND14" s="387"/>
      <c r="BNE14" s="387"/>
      <c r="BNF14" s="387"/>
      <c r="BNG14" s="387"/>
      <c r="BNH14" s="387"/>
      <c r="BNI14" s="387"/>
      <c r="BNJ14" s="387"/>
      <c r="BNK14" s="387"/>
      <c r="BNL14" s="387"/>
      <c r="BNM14" s="387"/>
      <c r="BNN14" s="387"/>
      <c r="BNO14" s="387"/>
      <c r="BNP14" s="387"/>
      <c r="BNQ14" s="387"/>
      <c r="BNR14" s="387"/>
      <c r="BNS14" s="387"/>
      <c r="BNT14" s="387"/>
      <c r="BNU14" s="387"/>
      <c r="BNV14" s="387"/>
      <c r="BNW14" s="387"/>
      <c r="BNX14" s="387"/>
      <c r="BNY14" s="387"/>
      <c r="BNZ14" s="387"/>
      <c r="BOA14" s="387"/>
      <c r="BOB14" s="387"/>
      <c r="BOC14" s="387"/>
      <c r="BOD14" s="387"/>
      <c r="BOE14" s="387"/>
      <c r="BOF14" s="387"/>
      <c r="BOG14" s="387"/>
      <c r="BOH14" s="387"/>
      <c r="BOI14" s="387"/>
      <c r="BOJ14" s="387"/>
      <c r="BOK14" s="387"/>
      <c r="BOL14" s="387"/>
      <c r="BOM14" s="387"/>
      <c r="BON14" s="387"/>
      <c r="BOO14" s="387"/>
      <c r="BOP14" s="387"/>
      <c r="BOQ14" s="387"/>
      <c r="BOR14" s="387"/>
      <c r="BOS14" s="387"/>
      <c r="BOT14" s="387"/>
      <c r="BOU14" s="387"/>
      <c r="BOV14" s="387"/>
      <c r="BOW14" s="387"/>
      <c r="BOX14" s="387"/>
      <c r="BOY14" s="387"/>
      <c r="BOZ14" s="387"/>
      <c r="BPA14" s="387"/>
      <c r="BPB14" s="387"/>
      <c r="BPC14" s="387"/>
      <c r="BPD14" s="387"/>
      <c r="BPE14" s="387"/>
      <c r="BPF14" s="387"/>
      <c r="BPG14" s="387"/>
      <c r="BPH14" s="387"/>
      <c r="BPI14" s="387"/>
      <c r="BPJ14" s="387"/>
      <c r="BPK14" s="387"/>
      <c r="BPL14" s="387"/>
      <c r="BPM14" s="387"/>
      <c r="BPN14" s="387"/>
      <c r="BPO14" s="387"/>
      <c r="BPP14" s="387"/>
      <c r="BPQ14" s="387"/>
      <c r="BPR14" s="387"/>
      <c r="BPS14" s="387"/>
      <c r="BPT14" s="387"/>
      <c r="BPU14" s="387"/>
      <c r="BPV14" s="387"/>
      <c r="BPW14" s="387"/>
      <c r="BPX14" s="387"/>
      <c r="BPY14" s="387"/>
      <c r="BPZ14" s="387"/>
      <c r="BQA14" s="387"/>
      <c r="BQB14" s="387"/>
      <c r="BQC14" s="387"/>
      <c r="BQD14" s="387"/>
      <c r="BQE14" s="387"/>
      <c r="BQF14" s="387"/>
      <c r="BQG14" s="387"/>
      <c r="BQH14" s="387"/>
      <c r="BQI14" s="387"/>
      <c r="BQJ14" s="387"/>
      <c r="BQK14" s="387"/>
      <c r="BQL14" s="387"/>
      <c r="BQM14" s="387"/>
      <c r="BQN14" s="387"/>
      <c r="BQO14" s="387"/>
      <c r="BQP14" s="387"/>
      <c r="BQQ14" s="387"/>
      <c r="BQR14" s="387"/>
      <c r="BQS14" s="387"/>
      <c r="BQT14" s="387"/>
      <c r="BQU14" s="387"/>
      <c r="BQV14" s="387"/>
      <c r="BQW14" s="387"/>
      <c r="BQX14" s="387"/>
      <c r="BQY14" s="387"/>
      <c r="BQZ14" s="387"/>
      <c r="BRA14" s="387"/>
      <c r="BRB14" s="387"/>
      <c r="BRC14" s="387"/>
      <c r="BRD14" s="387"/>
      <c r="BRE14" s="387"/>
      <c r="BRF14" s="387"/>
      <c r="BRG14" s="387"/>
      <c r="BRH14" s="387"/>
      <c r="BRI14" s="387"/>
      <c r="BRJ14" s="387"/>
      <c r="BRK14" s="387"/>
      <c r="BRL14" s="387"/>
      <c r="BRM14" s="387"/>
      <c r="BRN14" s="387"/>
      <c r="BRO14" s="387"/>
      <c r="BRP14" s="387"/>
      <c r="BRQ14" s="387"/>
      <c r="BRR14" s="387"/>
      <c r="BRS14" s="387"/>
      <c r="BRT14" s="387"/>
      <c r="BRU14" s="387"/>
      <c r="BRV14" s="387"/>
      <c r="BRW14" s="387"/>
      <c r="BRX14" s="387"/>
      <c r="BRY14" s="387"/>
      <c r="BRZ14" s="387"/>
      <c r="BSA14" s="387"/>
      <c r="BSB14" s="387"/>
      <c r="BSC14" s="387"/>
      <c r="BSD14" s="387"/>
      <c r="BSE14" s="387"/>
      <c r="BSF14" s="387"/>
      <c r="BSG14" s="387"/>
      <c r="BSH14" s="387"/>
      <c r="BSI14" s="387"/>
      <c r="BSJ14" s="387"/>
      <c r="BSK14" s="387"/>
      <c r="BSL14" s="387"/>
      <c r="BSM14" s="387"/>
      <c r="BSN14" s="387"/>
      <c r="BSO14" s="387"/>
      <c r="BSP14" s="387"/>
      <c r="BSQ14" s="387"/>
      <c r="BSR14" s="387"/>
      <c r="BSS14" s="387"/>
      <c r="BST14" s="387"/>
      <c r="BSU14" s="387"/>
      <c r="BSV14" s="387"/>
      <c r="BSW14" s="387"/>
      <c r="BSX14" s="387"/>
      <c r="BSY14" s="387"/>
      <c r="BSZ14" s="387"/>
      <c r="BTA14" s="387"/>
      <c r="BTB14" s="387"/>
      <c r="BTC14" s="387"/>
      <c r="BTD14" s="387"/>
      <c r="BTE14" s="387"/>
      <c r="BTF14" s="387"/>
      <c r="BTG14" s="387"/>
      <c r="BTH14" s="387"/>
      <c r="BTI14" s="387"/>
    </row>
    <row r="15" spans="1:1881" s="372" customFormat="1" ht="111" customHeight="1" x14ac:dyDescent="0.25">
      <c r="A15" s="447">
        <v>629</v>
      </c>
      <c r="B15" s="448" t="s">
        <v>674</v>
      </c>
      <c r="C15" s="444" t="s">
        <v>152</v>
      </c>
      <c r="D15" s="445" t="s">
        <v>900</v>
      </c>
      <c r="E15" s="449" t="s">
        <v>676</v>
      </c>
      <c r="F15" s="686"/>
      <c r="G15" s="450">
        <f>IF(F15&gt;F12,"Please review account numbers 629 &gt; 626",)</f>
        <v>0</v>
      </c>
      <c r="H15" s="432"/>
      <c r="I15" s="433"/>
      <c r="J15" s="362"/>
      <c r="K15" s="387"/>
      <c r="L15" s="674" t="s">
        <v>986</v>
      </c>
      <c r="M15" s="576"/>
      <c r="N15" s="594"/>
      <c r="O15" s="387"/>
      <c r="P15" s="387"/>
      <c r="Q15" s="387"/>
      <c r="R15"/>
      <c r="S15" s="682"/>
      <c r="T15" s="387"/>
      <c r="U15" s="387"/>
      <c r="V15" s="387"/>
      <c r="W15" s="387"/>
      <c r="X15" s="682"/>
      <c r="Y15" s="387"/>
      <c r="Z15" s="387"/>
      <c r="AA15" s="387"/>
      <c r="AB15" s="387"/>
      <c r="AC15" s="387"/>
      <c r="AD15" s="387"/>
      <c r="AE15" s="387"/>
      <c r="AF15" s="387"/>
      <c r="AG15" s="387"/>
      <c r="AH15" s="387"/>
      <c r="AI15" s="387"/>
      <c r="AJ15" s="387"/>
      <c r="AK15" s="387"/>
      <c r="AL15" s="387"/>
      <c r="AM15" s="387"/>
      <c r="AN15" s="387"/>
      <c r="AO15" s="387"/>
      <c r="AP15" s="387"/>
      <c r="AQ15" s="387"/>
      <c r="AR15" s="387"/>
      <c r="AS15" s="387"/>
      <c r="AT15" s="387"/>
      <c r="AU15" s="387"/>
      <c r="AV15" s="387"/>
      <c r="AW15" s="387"/>
      <c r="AX15" s="387"/>
      <c r="AY15" s="387"/>
      <c r="AZ15" s="387"/>
      <c r="BA15" s="387"/>
      <c r="BB15" s="387"/>
      <c r="BC15" s="387"/>
      <c r="BD15" s="387"/>
      <c r="BE15" s="387"/>
      <c r="BF15" s="387"/>
      <c r="BG15" s="387"/>
      <c r="BH15" s="387"/>
      <c r="BI15" s="387"/>
      <c r="BJ15" s="387"/>
      <c r="BK15" s="387"/>
      <c r="BL15" s="387"/>
      <c r="BM15" s="387"/>
      <c r="BN15" s="387"/>
      <c r="BO15" s="387"/>
      <c r="BP15" s="387"/>
      <c r="BQ15" s="387"/>
      <c r="BR15" s="387"/>
      <c r="BS15" s="387"/>
      <c r="BT15" s="387"/>
      <c r="BU15" s="387"/>
      <c r="BV15" s="387"/>
      <c r="BW15" s="387"/>
      <c r="BX15" s="387"/>
      <c r="BY15" s="387"/>
      <c r="BZ15" s="387"/>
      <c r="CA15" s="387"/>
      <c r="CB15" s="387"/>
      <c r="CC15" s="387"/>
      <c r="CD15" s="387"/>
      <c r="CE15" s="387"/>
      <c r="CF15" s="387"/>
      <c r="CG15" s="387"/>
      <c r="CH15" s="387"/>
      <c r="CI15" s="387"/>
      <c r="CJ15" s="387"/>
      <c r="CK15" s="387"/>
      <c r="CL15" s="387"/>
      <c r="CM15" s="387"/>
      <c r="CN15" s="387"/>
      <c r="CO15" s="387"/>
      <c r="CP15" s="387"/>
      <c r="CQ15" s="387"/>
      <c r="CR15" s="387"/>
      <c r="CS15" s="387"/>
      <c r="CT15" s="387"/>
      <c r="CU15" s="387"/>
      <c r="CV15" s="387"/>
      <c r="CW15" s="387"/>
      <c r="CX15" s="387"/>
      <c r="CY15" s="387"/>
      <c r="CZ15" s="387"/>
      <c r="DA15" s="387"/>
      <c r="DB15" s="387"/>
      <c r="DC15" s="387"/>
      <c r="DD15" s="387"/>
      <c r="DE15" s="387"/>
      <c r="DF15" s="387"/>
      <c r="DG15" s="387"/>
      <c r="DH15" s="387"/>
      <c r="DI15" s="387"/>
      <c r="DJ15" s="387"/>
      <c r="DK15" s="387"/>
      <c r="DL15" s="387"/>
      <c r="DM15" s="387"/>
      <c r="DN15" s="387"/>
      <c r="DO15" s="387"/>
      <c r="DP15" s="387"/>
      <c r="DQ15" s="387"/>
      <c r="DR15" s="387"/>
      <c r="DS15" s="387"/>
      <c r="DT15" s="387"/>
      <c r="DU15" s="387"/>
      <c r="DV15" s="387"/>
      <c r="DW15" s="387"/>
      <c r="DX15" s="387"/>
      <c r="DY15" s="387"/>
      <c r="DZ15" s="387"/>
      <c r="EA15" s="387"/>
      <c r="EB15" s="387"/>
      <c r="EC15" s="387"/>
      <c r="ED15" s="387"/>
      <c r="EE15" s="387"/>
      <c r="EF15" s="387"/>
      <c r="EG15" s="387"/>
      <c r="EH15" s="387"/>
      <c r="EI15" s="387"/>
      <c r="EJ15" s="387"/>
      <c r="EK15" s="387"/>
      <c r="EL15" s="387"/>
      <c r="EM15" s="387"/>
      <c r="EN15" s="387"/>
      <c r="EO15" s="387"/>
      <c r="EP15" s="387"/>
      <c r="EQ15" s="387"/>
      <c r="ER15" s="387"/>
      <c r="ES15" s="387"/>
      <c r="ET15" s="387"/>
      <c r="EU15" s="387"/>
      <c r="EV15" s="387"/>
      <c r="EW15" s="387"/>
      <c r="EX15" s="387"/>
      <c r="EY15" s="387"/>
      <c r="EZ15" s="387"/>
      <c r="FA15" s="387"/>
      <c r="FB15" s="387"/>
      <c r="FC15" s="387"/>
      <c r="FD15" s="387"/>
      <c r="FE15" s="387"/>
      <c r="FF15" s="387"/>
      <c r="FG15" s="387"/>
      <c r="FH15" s="387"/>
      <c r="FI15" s="387"/>
      <c r="FJ15" s="387"/>
      <c r="FK15" s="387"/>
      <c r="FL15" s="387"/>
      <c r="FM15" s="387"/>
      <c r="FN15" s="387"/>
      <c r="FO15" s="387"/>
      <c r="FP15" s="387"/>
      <c r="FQ15" s="387"/>
      <c r="FR15" s="387"/>
      <c r="FS15" s="387"/>
      <c r="FT15" s="387"/>
      <c r="FU15" s="387"/>
      <c r="FV15" s="387"/>
      <c r="FW15" s="387"/>
      <c r="FX15" s="387"/>
      <c r="FY15" s="387"/>
      <c r="FZ15" s="387"/>
      <c r="GA15" s="387"/>
      <c r="GB15" s="387"/>
      <c r="GC15" s="387"/>
      <c r="GD15" s="387"/>
      <c r="GE15" s="387"/>
      <c r="GF15" s="387"/>
      <c r="GG15" s="387"/>
      <c r="GH15" s="387"/>
      <c r="GI15" s="387"/>
      <c r="GJ15" s="387"/>
      <c r="GK15" s="387"/>
      <c r="GL15" s="387"/>
      <c r="GM15" s="387"/>
      <c r="GN15" s="387"/>
      <c r="GO15" s="387"/>
      <c r="GP15" s="387"/>
      <c r="GQ15" s="387"/>
      <c r="GR15" s="387"/>
      <c r="GS15" s="387"/>
      <c r="GT15" s="387"/>
      <c r="GU15" s="387"/>
      <c r="GV15" s="387"/>
      <c r="GW15" s="387"/>
      <c r="GX15" s="387"/>
      <c r="GY15" s="387"/>
      <c r="GZ15" s="387"/>
      <c r="HA15" s="387"/>
      <c r="HB15" s="387"/>
      <c r="HC15" s="387"/>
      <c r="HD15" s="387"/>
      <c r="HE15" s="387"/>
      <c r="HF15" s="387"/>
      <c r="HG15" s="387"/>
      <c r="HH15" s="387"/>
      <c r="HI15" s="387"/>
      <c r="HJ15" s="387"/>
      <c r="HK15" s="387"/>
      <c r="HL15" s="387"/>
      <c r="HM15" s="387"/>
      <c r="HN15" s="387"/>
      <c r="HO15" s="387"/>
      <c r="HP15" s="387"/>
      <c r="HQ15" s="387"/>
      <c r="HR15" s="387"/>
      <c r="HS15" s="387"/>
      <c r="HT15" s="387"/>
      <c r="HU15" s="387"/>
      <c r="HV15" s="387"/>
      <c r="HW15" s="387"/>
      <c r="HX15" s="387"/>
      <c r="HY15" s="387"/>
      <c r="HZ15" s="387"/>
      <c r="IA15" s="387"/>
      <c r="IB15" s="387"/>
      <c r="IC15" s="387"/>
      <c r="ID15" s="387"/>
      <c r="IE15" s="387"/>
      <c r="IF15" s="387"/>
      <c r="IG15" s="387"/>
      <c r="IH15" s="387"/>
      <c r="II15" s="387"/>
      <c r="IJ15" s="387"/>
      <c r="IK15" s="387"/>
      <c r="IL15" s="387"/>
      <c r="IM15" s="387"/>
      <c r="IN15" s="387"/>
      <c r="IO15" s="387"/>
      <c r="IP15" s="387"/>
      <c r="IQ15" s="387"/>
      <c r="IR15" s="387"/>
      <c r="IS15" s="387"/>
      <c r="IT15" s="387"/>
      <c r="IU15" s="387"/>
      <c r="IV15" s="387"/>
      <c r="IW15" s="387"/>
      <c r="IX15" s="387"/>
      <c r="IY15" s="387"/>
      <c r="IZ15" s="387"/>
      <c r="JA15" s="387"/>
      <c r="JB15" s="387"/>
      <c r="JC15" s="387"/>
      <c r="JD15" s="387"/>
      <c r="JE15" s="387"/>
      <c r="JF15" s="387"/>
      <c r="JG15" s="387"/>
      <c r="JH15" s="387"/>
      <c r="JI15" s="387"/>
      <c r="JJ15" s="387"/>
      <c r="JK15" s="387"/>
      <c r="JL15" s="387"/>
      <c r="JM15" s="387"/>
      <c r="JN15" s="387"/>
      <c r="JO15" s="387"/>
      <c r="JP15" s="387"/>
      <c r="JQ15" s="387"/>
      <c r="JR15" s="387"/>
      <c r="JS15" s="387"/>
      <c r="JT15" s="387"/>
      <c r="JU15" s="387"/>
      <c r="JV15" s="387"/>
      <c r="JW15" s="387"/>
      <c r="JX15" s="387"/>
      <c r="JY15" s="387"/>
      <c r="JZ15" s="387"/>
      <c r="KA15" s="387"/>
      <c r="KB15" s="387"/>
      <c r="KC15" s="387"/>
      <c r="KD15" s="387"/>
      <c r="KE15" s="387"/>
      <c r="KF15" s="387"/>
      <c r="KG15" s="387"/>
      <c r="KH15" s="387"/>
      <c r="KI15" s="387"/>
      <c r="KJ15" s="387"/>
      <c r="KK15" s="387"/>
      <c r="KL15" s="387"/>
      <c r="KM15" s="387"/>
      <c r="KN15" s="387"/>
      <c r="KO15" s="387"/>
      <c r="KP15" s="387"/>
      <c r="KQ15" s="387"/>
      <c r="KR15" s="387"/>
      <c r="KS15" s="387"/>
      <c r="KT15" s="387"/>
      <c r="KU15" s="387"/>
      <c r="KV15" s="387"/>
      <c r="KW15" s="387"/>
      <c r="KX15" s="387"/>
      <c r="KY15" s="387"/>
      <c r="KZ15" s="387"/>
      <c r="LA15" s="387"/>
      <c r="LB15" s="387"/>
      <c r="LC15" s="387"/>
      <c r="LD15" s="387"/>
      <c r="LE15" s="387"/>
      <c r="LF15" s="387"/>
      <c r="LG15" s="387"/>
      <c r="LH15" s="387"/>
      <c r="LI15" s="387"/>
      <c r="LJ15" s="387"/>
      <c r="LK15" s="387"/>
      <c r="LL15" s="387"/>
      <c r="LM15" s="387"/>
      <c r="LN15" s="387"/>
      <c r="LO15" s="387"/>
      <c r="LP15" s="387"/>
      <c r="LQ15" s="387"/>
      <c r="LR15" s="387"/>
      <c r="LS15" s="387"/>
      <c r="LT15" s="387"/>
      <c r="LU15" s="387"/>
      <c r="LV15" s="387"/>
      <c r="LW15" s="387"/>
      <c r="LX15" s="387"/>
      <c r="LY15" s="387"/>
      <c r="LZ15" s="387"/>
      <c r="MA15" s="387"/>
      <c r="MB15" s="387"/>
      <c r="MC15" s="387"/>
      <c r="MD15" s="387"/>
      <c r="ME15" s="387"/>
      <c r="MF15" s="387"/>
      <c r="MG15" s="387"/>
      <c r="MH15" s="387"/>
      <c r="MI15" s="387"/>
      <c r="MJ15" s="387"/>
      <c r="MK15" s="387"/>
      <c r="ML15" s="387"/>
      <c r="MM15" s="387"/>
      <c r="MN15" s="387"/>
      <c r="MO15" s="387"/>
      <c r="MP15" s="387"/>
      <c r="MQ15" s="387"/>
      <c r="MR15" s="387"/>
      <c r="MS15" s="387"/>
      <c r="MT15" s="387"/>
      <c r="MU15" s="387"/>
      <c r="MV15" s="387"/>
      <c r="MW15" s="387"/>
      <c r="MX15" s="387"/>
      <c r="MY15" s="387"/>
      <c r="MZ15" s="387"/>
      <c r="NA15" s="387"/>
      <c r="NB15" s="387"/>
      <c r="NC15" s="387"/>
      <c r="ND15" s="387"/>
      <c r="NE15" s="387"/>
      <c r="NF15" s="387"/>
      <c r="NG15" s="387"/>
      <c r="NH15" s="387"/>
      <c r="NI15" s="387"/>
      <c r="NJ15" s="387"/>
      <c r="NK15" s="387"/>
      <c r="NL15" s="387"/>
      <c r="NM15" s="387"/>
      <c r="NN15" s="387"/>
      <c r="NO15" s="387"/>
      <c r="NP15" s="387"/>
      <c r="NQ15" s="387"/>
      <c r="NR15" s="387"/>
      <c r="NS15" s="387"/>
      <c r="NT15" s="387"/>
      <c r="NU15" s="387"/>
      <c r="NV15" s="387"/>
      <c r="NW15" s="387"/>
      <c r="NX15" s="387"/>
      <c r="NY15" s="387"/>
      <c r="NZ15" s="387"/>
      <c r="OA15" s="387"/>
      <c r="OB15" s="387"/>
      <c r="OC15" s="387"/>
      <c r="OD15" s="387"/>
      <c r="OE15" s="387"/>
      <c r="OF15" s="387"/>
      <c r="OG15" s="387"/>
      <c r="OH15" s="387"/>
      <c r="OI15" s="387"/>
      <c r="OJ15" s="387"/>
      <c r="OK15" s="387"/>
      <c r="OL15" s="387"/>
      <c r="OM15" s="387"/>
      <c r="ON15" s="387"/>
      <c r="OO15" s="387"/>
      <c r="OP15" s="387"/>
      <c r="OQ15" s="387"/>
      <c r="OR15" s="387"/>
      <c r="OS15" s="387"/>
      <c r="OT15" s="387"/>
      <c r="OU15" s="387"/>
      <c r="OV15" s="387"/>
      <c r="OW15" s="387"/>
      <c r="OX15" s="387"/>
      <c r="OY15" s="387"/>
      <c r="OZ15" s="387"/>
      <c r="PA15" s="387"/>
      <c r="PB15" s="387"/>
      <c r="PC15" s="387"/>
      <c r="PD15" s="387"/>
      <c r="PE15" s="387"/>
      <c r="PF15" s="387"/>
      <c r="PG15" s="387"/>
      <c r="PH15" s="387"/>
      <c r="PI15" s="387"/>
      <c r="PJ15" s="387"/>
      <c r="PK15" s="387"/>
      <c r="PL15" s="387"/>
      <c r="PM15" s="387"/>
      <c r="PN15" s="387"/>
      <c r="PO15" s="387"/>
      <c r="PP15" s="387"/>
      <c r="PQ15" s="387"/>
      <c r="PR15" s="387"/>
      <c r="PS15" s="387"/>
      <c r="PT15" s="387"/>
      <c r="PU15" s="387"/>
      <c r="PV15" s="387"/>
      <c r="PW15" s="387"/>
      <c r="PX15" s="387"/>
      <c r="PY15" s="387"/>
      <c r="PZ15" s="387"/>
      <c r="QA15" s="387"/>
      <c r="QB15" s="387"/>
      <c r="QC15" s="387"/>
      <c r="QD15" s="387"/>
      <c r="QE15" s="387"/>
      <c r="QF15" s="387"/>
      <c r="QG15" s="387"/>
      <c r="QH15" s="387"/>
      <c r="QI15" s="387"/>
      <c r="QJ15" s="387"/>
      <c r="QK15" s="387"/>
      <c r="QL15" s="387"/>
      <c r="QM15" s="387"/>
      <c r="QN15" s="387"/>
      <c r="QO15" s="387"/>
      <c r="QP15" s="387"/>
      <c r="QQ15" s="387"/>
      <c r="QR15" s="387"/>
      <c r="QS15" s="387"/>
      <c r="QT15" s="387"/>
      <c r="QU15" s="387"/>
      <c r="QV15" s="387"/>
      <c r="QW15" s="387"/>
      <c r="QX15" s="387"/>
      <c r="QY15" s="387"/>
      <c r="QZ15" s="387"/>
      <c r="RA15" s="387"/>
      <c r="RB15" s="387"/>
      <c r="RC15" s="387"/>
      <c r="RD15" s="387"/>
      <c r="RE15" s="387"/>
      <c r="RF15" s="387"/>
      <c r="RG15" s="387"/>
      <c r="RH15" s="387"/>
      <c r="RI15" s="387"/>
      <c r="RJ15" s="387"/>
      <c r="RK15" s="387"/>
      <c r="RL15" s="387"/>
      <c r="RM15" s="387"/>
      <c r="RN15" s="387"/>
      <c r="RO15" s="387"/>
      <c r="RP15" s="387"/>
      <c r="RQ15" s="387"/>
      <c r="RR15" s="387"/>
      <c r="RS15" s="387"/>
      <c r="RT15" s="387"/>
      <c r="RU15" s="387"/>
      <c r="RV15" s="387"/>
      <c r="RW15" s="387"/>
      <c r="RX15" s="387"/>
      <c r="RY15" s="387"/>
      <c r="RZ15" s="387"/>
      <c r="SA15" s="387"/>
      <c r="SB15" s="387"/>
      <c r="SC15" s="387"/>
      <c r="SD15" s="387"/>
      <c r="SE15" s="387"/>
      <c r="SF15" s="387"/>
      <c r="SG15" s="387"/>
      <c r="SH15" s="387"/>
      <c r="SI15" s="387"/>
      <c r="SJ15" s="387"/>
      <c r="SK15" s="387"/>
      <c r="SL15" s="387"/>
      <c r="SM15" s="387"/>
      <c r="SN15" s="387"/>
      <c r="SO15" s="387"/>
      <c r="SP15" s="387"/>
      <c r="SQ15" s="387"/>
      <c r="SR15" s="387"/>
      <c r="SS15" s="387"/>
      <c r="ST15" s="387"/>
      <c r="SU15" s="387"/>
      <c r="SV15" s="387"/>
      <c r="SW15" s="387"/>
      <c r="SX15" s="387"/>
      <c r="SY15" s="387"/>
      <c r="SZ15" s="387"/>
      <c r="TA15" s="387"/>
      <c r="TB15" s="387"/>
      <c r="TC15" s="387"/>
      <c r="TD15" s="387"/>
      <c r="TE15" s="387"/>
      <c r="TF15" s="387"/>
      <c r="TG15" s="387"/>
      <c r="TH15" s="387"/>
      <c r="TI15" s="387"/>
      <c r="TJ15" s="387"/>
      <c r="TK15" s="387"/>
      <c r="TL15" s="387"/>
      <c r="TM15" s="387"/>
      <c r="TN15" s="387"/>
      <c r="TO15" s="387"/>
      <c r="TP15" s="387"/>
      <c r="TQ15" s="387"/>
      <c r="TR15" s="387"/>
      <c r="TS15" s="387"/>
      <c r="TT15" s="387"/>
      <c r="TU15" s="387"/>
      <c r="TV15" s="387"/>
      <c r="TW15" s="387"/>
      <c r="TX15" s="387"/>
      <c r="TY15" s="387"/>
      <c r="TZ15" s="387"/>
      <c r="UA15" s="387"/>
      <c r="UB15" s="387"/>
      <c r="UC15" s="387"/>
      <c r="UD15" s="387"/>
      <c r="UE15" s="387"/>
      <c r="UF15" s="387"/>
      <c r="UG15" s="387"/>
      <c r="UH15" s="387"/>
      <c r="UI15" s="387"/>
      <c r="UJ15" s="387"/>
      <c r="UK15" s="387"/>
      <c r="UL15" s="387"/>
      <c r="UM15" s="387"/>
      <c r="UN15" s="387"/>
      <c r="UO15" s="387"/>
      <c r="UP15" s="387"/>
      <c r="UQ15" s="387"/>
      <c r="UR15" s="387"/>
      <c r="US15" s="387"/>
      <c r="UT15" s="387"/>
      <c r="UU15" s="387"/>
      <c r="UV15" s="387"/>
      <c r="UW15" s="387"/>
      <c r="UX15" s="387"/>
      <c r="UY15" s="387"/>
      <c r="UZ15" s="387"/>
      <c r="VA15" s="387"/>
      <c r="VB15" s="387"/>
      <c r="VC15" s="387"/>
      <c r="VD15" s="387"/>
      <c r="VE15" s="387"/>
      <c r="VF15" s="387"/>
      <c r="VG15" s="387"/>
      <c r="VH15" s="387"/>
      <c r="VI15" s="387"/>
      <c r="VJ15" s="387"/>
      <c r="VK15" s="387"/>
      <c r="VL15" s="387"/>
      <c r="VM15" s="387"/>
      <c r="VN15" s="387"/>
      <c r="VO15" s="387"/>
      <c r="VP15" s="387"/>
      <c r="VQ15" s="387"/>
      <c r="VR15" s="387"/>
      <c r="VS15" s="387"/>
      <c r="VT15" s="387"/>
      <c r="VU15" s="387"/>
      <c r="VV15" s="387"/>
      <c r="VW15" s="387"/>
      <c r="VX15" s="387"/>
      <c r="VY15" s="387"/>
      <c r="VZ15" s="387"/>
      <c r="WA15" s="387"/>
      <c r="WB15" s="387"/>
      <c r="WC15" s="387"/>
      <c r="WD15" s="387"/>
      <c r="WE15" s="387"/>
      <c r="WF15" s="387"/>
      <c r="WG15" s="387"/>
      <c r="WH15" s="387"/>
      <c r="WI15" s="387"/>
      <c r="WJ15" s="387"/>
      <c r="WK15" s="387"/>
      <c r="WL15" s="387"/>
      <c r="WM15" s="387"/>
      <c r="WN15" s="387"/>
      <c r="WO15" s="387"/>
      <c r="WP15" s="387"/>
      <c r="WQ15" s="387"/>
      <c r="WR15" s="387"/>
      <c r="WS15" s="387"/>
      <c r="WT15" s="387"/>
      <c r="WU15" s="387"/>
      <c r="WV15" s="387"/>
      <c r="WW15" s="387"/>
      <c r="WX15" s="387"/>
      <c r="WY15" s="387"/>
      <c r="WZ15" s="387"/>
      <c r="XA15" s="387"/>
      <c r="XB15" s="387"/>
      <c r="XC15" s="387"/>
      <c r="XD15" s="387"/>
      <c r="XE15" s="387"/>
      <c r="XF15" s="387"/>
      <c r="XG15" s="387"/>
      <c r="XH15" s="387"/>
      <c r="XI15" s="387"/>
      <c r="XJ15" s="387"/>
      <c r="XK15" s="387"/>
      <c r="XL15" s="387"/>
      <c r="XM15" s="387"/>
      <c r="XN15" s="387"/>
      <c r="XO15" s="387"/>
      <c r="XP15" s="387"/>
      <c r="XQ15" s="387"/>
      <c r="XR15" s="387"/>
      <c r="XS15" s="387"/>
      <c r="XT15" s="387"/>
      <c r="XU15" s="387"/>
      <c r="XV15" s="387"/>
      <c r="XW15" s="387"/>
      <c r="XX15" s="387"/>
      <c r="XY15" s="387"/>
      <c r="XZ15" s="387"/>
      <c r="YA15" s="387"/>
      <c r="YB15" s="387"/>
      <c r="YC15" s="387"/>
      <c r="YD15" s="387"/>
      <c r="YE15" s="387"/>
      <c r="YF15" s="387"/>
      <c r="YG15" s="387"/>
      <c r="YH15" s="387"/>
      <c r="YI15" s="387"/>
      <c r="YJ15" s="387"/>
      <c r="YK15" s="387"/>
      <c r="YL15" s="387"/>
      <c r="YM15" s="387"/>
      <c r="YN15" s="387"/>
      <c r="YO15" s="387"/>
      <c r="YP15" s="387"/>
      <c r="YQ15" s="387"/>
      <c r="YR15" s="387"/>
      <c r="YS15" s="387"/>
      <c r="YT15" s="387"/>
      <c r="YU15" s="387"/>
      <c r="YV15" s="387"/>
      <c r="YW15" s="387"/>
      <c r="YX15" s="387"/>
      <c r="YY15" s="387"/>
      <c r="YZ15" s="387"/>
      <c r="ZA15" s="387"/>
      <c r="ZB15" s="387"/>
      <c r="ZC15" s="387"/>
      <c r="ZD15" s="387"/>
      <c r="ZE15" s="387"/>
      <c r="ZF15" s="387"/>
      <c r="ZG15" s="387"/>
      <c r="ZH15" s="387"/>
      <c r="ZI15" s="387"/>
      <c r="ZJ15" s="387"/>
      <c r="ZK15" s="387"/>
      <c r="ZL15" s="387"/>
      <c r="ZM15" s="387"/>
      <c r="ZN15" s="387"/>
      <c r="ZO15" s="387"/>
      <c r="ZP15" s="387"/>
      <c r="ZQ15" s="387"/>
      <c r="ZR15" s="387"/>
      <c r="ZS15" s="387"/>
      <c r="ZT15" s="387"/>
      <c r="ZU15" s="387"/>
      <c r="ZV15" s="387"/>
      <c r="ZW15" s="387"/>
      <c r="ZX15" s="387"/>
      <c r="ZY15" s="387"/>
      <c r="ZZ15" s="387"/>
      <c r="AAA15" s="387"/>
      <c r="AAB15" s="387"/>
      <c r="AAC15" s="387"/>
      <c r="AAD15" s="387"/>
      <c r="AAE15" s="387"/>
      <c r="AAF15" s="387"/>
      <c r="AAG15" s="387"/>
      <c r="AAH15" s="387"/>
      <c r="AAI15" s="387"/>
      <c r="AAJ15" s="387"/>
      <c r="AAK15" s="387"/>
      <c r="AAL15" s="387"/>
      <c r="AAM15" s="387"/>
      <c r="AAN15" s="387"/>
      <c r="AAO15" s="387"/>
      <c r="AAP15" s="387"/>
      <c r="AAQ15" s="387"/>
      <c r="AAR15" s="387"/>
      <c r="AAS15" s="387"/>
      <c r="AAT15" s="387"/>
      <c r="AAU15" s="387"/>
      <c r="AAV15" s="387"/>
      <c r="AAW15" s="387"/>
      <c r="AAX15" s="387"/>
      <c r="AAY15" s="387"/>
      <c r="AAZ15" s="387"/>
      <c r="ABA15" s="387"/>
      <c r="ABB15" s="387"/>
      <c r="ABC15" s="387"/>
      <c r="ABD15" s="387"/>
      <c r="ABE15" s="387"/>
      <c r="ABF15" s="387"/>
      <c r="ABG15" s="387"/>
      <c r="ABH15" s="387"/>
      <c r="ABI15" s="387"/>
      <c r="ABJ15" s="387"/>
      <c r="ABK15" s="387"/>
      <c r="ABL15" s="387"/>
      <c r="ABM15" s="387"/>
      <c r="ABN15" s="387"/>
      <c r="ABO15" s="387"/>
      <c r="ABP15" s="387"/>
      <c r="ABQ15" s="387"/>
      <c r="ABR15" s="387"/>
      <c r="ABS15" s="387"/>
      <c r="ABT15" s="387"/>
      <c r="ABU15" s="387"/>
      <c r="ABV15" s="387"/>
      <c r="ABW15" s="387"/>
      <c r="ABX15" s="387"/>
      <c r="ABY15" s="387"/>
      <c r="ABZ15" s="387"/>
      <c r="ACA15" s="387"/>
      <c r="ACB15" s="387"/>
      <c r="ACC15" s="387"/>
      <c r="ACD15" s="387"/>
      <c r="ACE15" s="387"/>
      <c r="ACF15" s="387"/>
      <c r="ACG15" s="387"/>
      <c r="ACH15" s="387"/>
      <c r="ACI15" s="387"/>
      <c r="ACJ15" s="387"/>
      <c r="ACK15" s="387"/>
      <c r="ACL15" s="387"/>
      <c r="ACM15" s="387"/>
      <c r="ACN15" s="387"/>
      <c r="ACO15" s="387"/>
      <c r="ACP15" s="387"/>
      <c r="ACQ15" s="387"/>
      <c r="ACR15" s="387"/>
      <c r="ACS15" s="387"/>
      <c r="ACT15" s="387"/>
      <c r="ACU15" s="387"/>
      <c r="ACV15" s="387"/>
      <c r="ACW15" s="387"/>
      <c r="ACX15" s="387"/>
      <c r="ACY15" s="387"/>
      <c r="ACZ15" s="387"/>
      <c r="ADA15" s="387"/>
      <c r="ADB15" s="387"/>
      <c r="ADC15" s="387"/>
      <c r="ADD15" s="387"/>
      <c r="ADE15" s="387"/>
      <c r="ADF15" s="387"/>
      <c r="ADG15" s="387"/>
      <c r="ADH15" s="387"/>
      <c r="ADI15" s="387"/>
      <c r="ADJ15" s="387"/>
      <c r="ADK15" s="387"/>
      <c r="ADL15" s="387"/>
      <c r="ADM15" s="387"/>
      <c r="ADN15" s="387"/>
      <c r="ADO15" s="387"/>
      <c r="ADP15" s="387"/>
      <c r="ADQ15" s="387"/>
      <c r="ADR15" s="387"/>
      <c r="ADS15" s="387"/>
      <c r="ADT15" s="387"/>
      <c r="ADU15" s="387"/>
      <c r="ADV15" s="387"/>
      <c r="ADW15" s="387"/>
      <c r="ADX15" s="387"/>
      <c r="ADY15" s="387"/>
      <c r="ADZ15" s="387"/>
      <c r="AEA15" s="387"/>
      <c r="AEB15" s="387"/>
      <c r="AEC15" s="387"/>
      <c r="AED15" s="387"/>
      <c r="AEE15" s="387"/>
      <c r="AEF15" s="387"/>
      <c r="AEG15" s="387"/>
      <c r="AEH15" s="387"/>
      <c r="AEI15" s="387"/>
      <c r="AEJ15" s="387"/>
      <c r="AEK15" s="387"/>
      <c r="AEL15" s="387"/>
      <c r="AEM15" s="387"/>
      <c r="AEN15" s="387"/>
      <c r="AEO15" s="387"/>
      <c r="AEP15" s="387"/>
      <c r="AEQ15" s="387"/>
      <c r="AER15" s="387"/>
      <c r="AES15" s="387"/>
      <c r="AET15" s="387"/>
      <c r="AEU15" s="387"/>
      <c r="AEV15" s="387"/>
      <c r="AEW15" s="387"/>
      <c r="AEX15" s="387"/>
      <c r="AEY15" s="387"/>
      <c r="AEZ15" s="387"/>
      <c r="AFA15" s="387"/>
      <c r="AFB15" s="387"/>
      <c r="AFC15" s="387"/>
      <c r="AFD15" s="387"/>
      <c r="AFE15" s="387"/>
      <c r="AFF15" s="387"/>
      <c r="AFG15" s="387"/>
      <c r="AFH15" s="387"/>
      <c r="AFI15" s="387"/>
      <c r="AFJ15" s="387"/>
      <c r="AFK15" s="387"/>
      <c r="AFL15" s="387"/>
      <c r="AFM15" s="387"/>
      <c r="AFN15" s="387"/>
      <c r="AFO15" s="387"/>
      <c r="AFP15" s="387"/>
      <c r="AFQ15" s="387"/>
      <c r="AFR15" s="387"/>
      <c r="AFS15" s="387"/>
      <c r="AFT15" s="387"/>
      <c r="AFU15" s="387"/>
      <c r="AFV15" s="387"/>
      <c r="AFW15" s="387"/>
      <c r="AFX15" s="387"/>
      <c r="AFY15" s="387"/>
      <c r="AFZ15" s="387"/>
      <c r="AGA15" s="387"/>
      <c r="AGB15" s="387"/>
      <c r="AGC15" s="387"/>
      <c r="AGD15" s="387"/>
      <c r="AGE15" s="387"/>
      <c r="AGF15" s="387"/>
      <c r="AGG15" s="387"/>
      <c r="AGH15" s="387"/>
      <c r="AGI15" s="387"/>
      <c r="AGJ15" s="387"/>
      <c r="AGK15" s="387"/>
      <c r="AGL15" s="387"/>
      <c r="AGM15" s="387"/>
      <c r="AGN15" s="387"/>
      <c r="AGO15" s="387"/>
      <c r="AGP15" s="387"/>
      <c r="AGQ15" s="387"/>
      <c r="AGR15" s="387"/>
      <c r="AGS15" s="387"/>
      <c r="AGT15" s="387"/>
      <c r="AGU15" s="387"/>
      <c r="AGV15" s="387"/>
      <c r="AGW15" s="387"/>
      <c r="AGX15" s="387"/>
      <c r="AGY15" s="387"/>
      <c r="AGZ15" s="387"/>
      <c r="AHA15" s="387"/>
      <c r="AHB15" s="387"/>
      <c r="AHC15" s="387"/>
      <c r="AHD15" s="387"/>
      <c r="AHE15" s="387"/>
      <c r="AHF15" s="387"/>
      <c r="AHG15" s="387"/>
      <c r="AHH15" s="387"/>
      <c r="AHI15" s="387"/>
      <c r="AHJ15" s="387"/>
      <c r="AHK15" s="387"/>
      <c r="AHL15" s="387"/>
      <c r="AHM15" s="387"/>
      <c r="AHN15" s="387"/>
      <c r="AHO15" s="387"/>
      <c r="AHP15" s="387"/>
      <c r="AHQ15" s="387"/>
      <c r="AHR15" s="387"/>
      <c r="AHS15" s="387"/>
      <c r="AHT15" s="387"/>
      <c r="AHU15" s="387"/>
      <c r="AHV15" s="387"/>
      <c r="AHW15" s="387"/>
      <c r="AHX15" s="387"/>
      <c r="AHY15" s="387"/>
      <c r="AHZ15" s="387"/>
      <c r="AIA15" s="387"/>
      <c r="AIB15" s="387"/>
      <c r="AIC15" s="387"/>
      <c r="AID15" s="387"/>
      <c r="AIE15" s="387"/>
      <c r="AIF15" s="387"/>
      <c r="AIG15" s="387"/>
      <c r="AIH15" s="387"/>
      <c r="AII15" s="387"/>
      <c r="AIJ15" s="387"/>
      <c r="AIK15" s="387"/>
      <c r="AIL15" s="387"/>
      <c r="AIM15" s="387"/>
      <c r="AIN15" s="387"/>
      <c r="AIO15" s="387"/>
      <c r="AIP15" s="387"/>
      <c r="AIQ15" s="387"/>
      <c r="AIR15" s="387"/>
      <c r="AIS15" s="387"/>
      <c r="AIT15" s="387"/>
      <c r="AIU15" s="387"/>
      <c r="AIV15" s="387"/>
      <c r="AIW15" s="387"/>
      <c r="AIX15" s="387"/>
      <c r="AIY15" s="387"/>
      <c r="AIZ15" s="387"/>
      <c r="AJA15" s="387"/>
      <c r="AJB15" s="387"/>
      <c r="AJC15" s="387"/>
      <c r="AJD15" s="387"/>
      <c r="AJE15" s="387"/>
      <c r="AJF15" s="387"/>
      <c r="AJG15" s="387"/>
      <c r="AJH15" s="387"/>
      <c r="AJI15" s="387"/>
      <c r="AJJ15" s="387"/>
      <c r="AJK15" s="387"/>
      <c r="AJL15" s="387"/>
      <c r="AJM15" s="387"/>
      <c r="AJN15" s="387"/>
      <c r="AJO15" s="387"/>
      <c r="AJP15" s="387"/>
      <c r="AJQ15" s="387"/>
      <c r="AJR15" s="387"/>
      <c r="AJS15" s="387"/>
      <c r="AJT15" s="387"/>
      <c r="AJU15" s="387"/>
      <c r="AJV15" s="387"/>
      <c r="AJW15" s="387"/>
      <c r="AJX15" s="387"/>
      <c r="AJY15" s="387"/>
      <c r="AJZ15" s="387"/>
      <c r="AKA15" s="387"/>
      <c r="AKB15" s="387"/>
      <c r="AKC15" s="387"/>
      <c r="AKD15" s="387"/>
      <c r="AKE15" s="387"/>
      <c r="AKF15" s="387"/>
      <c r="AKG15" s="387"/>
      <c r="AKH15" s="387"/>
      <c r="AKI15" s="387"/>
      <c r="AKJ15" s="387"/>
      <c r="AKK15" s="387"/>
      <c r="AKL15" s="387"/>
      <c r="AKM15" s="387"/>
      <c r="AKN15" s="387"/>
      <c r="AKO15" s="387"/>
      <c r="AKP15" s="387"/>
      <c r="AKQ15" s="387"/>
      <c r="AKR15" s="387"/>
      <c r="AKS15" s="387"/>
      <c r="AKT15" s="387"/>
      <c r="AKU15" s="387"/>
      <c r="AKV15" s="387"/>
      <c r="AKW15" s="387"/>
      <c r="AKX15" s="387"/>
      <c r="AKY15" s="387"/>
      <c r="AKZ15" s="387"/>
      <c r="ALA15" s="387"/>
      <c r="ALB15" s="387"/>
      <c r="ALC15" s="387"/>
      <c r="ALD15" s="387"/>
      <c r="ALE15" s="387"/>
      <c r="ALF15" s="387"/>
      <c r="ALG15" s="387"/>
      <c r="ALH15" s="387"/>
      <c r="ALI15" s="387"/>
      <c r="ALJ15" s="387"/>
      <c r="ALK15" s="387"/>
      <c r="ALL15" s="387"/>
      <c r="ALM15" s="387"/>
      <c r="ALN15" s="387"/>
      <c r="ALO15" s="387"/>
      <c r="ALP15" s="387"/>
      <c r="ALQ15" s="387"/>
      <c r="ALR15" s="387"/>
      <c r="ALS15" s="387"/>
      <c r="ALT15" s="387"/>
      <c r="ALU15" s="387"/>
      <c r="ALV15" s="387"/>
      <c r="ALW15" s="387"/>
      <c r="ALX15" s="387"/>
      <c r="ALY15" s="387"/>
      <c r="ALZ15" s="387"/>
      <c r="AMA15" s="387"/>
      <c r="AMB15" s="387"/>
      <c r="AMC15" s="387"/>
      <c r="AMD15" s="387"/>
      <c r="AME15" s="387"/>
      <c r="AMF15" s="387"/>
      <c r="AMG15" s="387"/>
      <c r="AMH15" s="387"/>
      <c r="AMI15" s="387"/>
      <c r="AMJ15" s="387"/>
      <c r="AMK15" s="387"/>
      <c r="AML15" s="387"/>
      <c r="AMM15" s="387"/>
      <c r="AMN15" s="387"/>
      <c r="AMO15" s="387"/>
      <c r="AMP15" s="387"/>
      <c r="AMQ15" s="387"/>
      <c r="AMR15" s="387"/>
      <c r="AMS15" s="387"/>
      <c r="AMT15" s="387"/>
      <c r="AMU15" s="387"/>
      <c r="AMV15" s="387"/>
      <c r="AMW15" s="387"/>
      <c r="AMX15" s="387"/>
      <c r="AMY15" s="387"/>
      <c r="AMZ15" s="387"/>
      <c r="ANA15" s="387"/>
      <c r="ANB15" s="387"/>
      <c r="ANC15" s="387"/>
      <c r="AND15" s="387"/>
      <c r="ANE15" s="387"/>
      <c r="ANF15" s="387"/>
      <c r="ANG15" s="387"/>
      <c r="ANH15" s="387"/>
      <c r="ANI15" s="387"/>
      <c r="ANJ15" s="387"/>
      <c r="ANK15" s="387"/>
      <c r="ANL15" s="387"/>
      <c r="ANM15" s="387"/>
      <c r="ANN15" s="387"/>
      <c r="ANO15" s="387"/>
      <c r="ANP15" s="387"/>
      <c r="ANQ15" s="387"/>
      <c r="ANR15" s="387"/>
      <c r="ANS15" s="387"/>
      <c r="ANT15" s="387"/>
      <c r="ANU15" s="387"/>
      <c r="ANV15" s="387"/>
      <c r="ANW15" s="387"/>
      <c r="ANX15" s="387"/>
      <c r="ANY15" s="387"/>
      <c r="ANZ15" s="387"/>
      <c r="AOA15" s="387"/>
      <c r="AOB15" s="387"/>
      <c r="AOC15" s="387"/>
      <c r="AOD15" s="387"/>
      <c r="AOE15" s="387"/>
      <c r="AOF15" s="387"/>
      <c r="AOG15" s="387"/>
      <c r="AOH15" s="387"/>
      <c r="AOI15" s="387"/>
      <c r="AOJ15" s="387"/>
      <c r="AOK15" s="387"/>
      <c r="AOL15" s="387"/>
      <c r="AOM15" s="387"/>
      <c r="AON15" s="387"/>
      <c r="AOO15" s="387"/>
      <c r="AOP15" s="387"/>
      <c r="AOQ15" s="387"/>
      <c r="AOR15" s="387"/>
      <c r="AOS15" s="387"/>
      <c r="AOT15" s="387"/>
      <c r="AOU15" s="387"/>
      <c r="AOV15" s="387"/>
      <c r="AOW15" s="387"/>
      <c r="AOX15" s="387"/>
      <c r="AOY15" s="387"/>
      <c r="AOZ15" s="387"/>
      <c r="APA15" s="387"/>
      <c r="APB15" s="387"/>
      <c r="APC15" s="387"/>
      <c r="APD15" s="387"/>
      <c r="APE15" s="387"/>
      <c r="APF15" s="387"/>
      <c r="APG15" s="387"/>
      <c r="APH15" s="387"/>
      <c r="API15" s="387"/>
      <c r="APJ15" s="387"/>
      <c r="APK15" s="387"/>
      <c r="APL15" s="387"/>
      <c r="APM15" s="387"/>
      <c r="APN15" s="387"/>
      <c r="APO15" s="387"/>
      <c r="APP15" s="387"/>
      <c r="APQ15" s="387"/>
      <c r="APR15" s="387"/>
      <c r="APS15" s="387"/>
      <c r="APT15" s="387"/>
      <c r="APU15" s="387"/>
      <c r="APV15" s="387"/>
      <c r="APW15" s="387"/>
      <c r="APX15" s="387"/>
      <c r="APY15" s="387"/>
      <c r="APZ15" s="387"/>
      <c r="AQA15" s="387"/>
      <c r="AQB15" s="387"/>
      <c r="AQC15" s="387"/>
      <c r="AQD15" s="387"/>
      <c r="AQE15" s="387"/>
      <c r="AQF15" s="387"/>
      <c r="AQG15" s="387"/>
      <c r="AQH15" s="387"/>
      <c r="AQI15" s="387"/>
      <c r="AQJ15" s="387"/>
      <c r="AQK15" s="387"/>
      <c r="AQL15" s="387"/>
      <c r="AQM15" s="387"/>
      <c r="AQN15" s="387"/>
      <c r="AQO15" s="387"/>
      <c r="AQP15" s="387"/>
      <c r="AQQ15" s="387"/>
      <c r="AQR15" s="387"/>
      <c r="AQS15" s="387"/>
      <c r="AQT15" s="387"/>
      <c r="AQU15" s="387"/>
      <c r="AQV15" s="387"/>
      <c r="AQW15" s="387"/>
      <c r="AQX15" s="387"/>
      <c r="AQY15" s="387"/>
      <c r="AQZ15" s="387"/>
      <c r="ARA15" s="387"/>
      <c r="ARB15" s="387"/>
      <c r="ARC15" s="387"/>
      <c r="ARD15" s="387"/>
      <c r="ARE15" s="387"/>
      <c r="ARF15" s="387"/>
      <c r="ARG15" s="387"/>
      <c r="ARH15" s="387"/>
      <c r="ARI15" s="387"/>
      <c r="ARJ15" s="387"/>
      <c r="ARK15" s="387"/>
      <c r="ARL15" s="387"/>
      <c r="ARM15" s="387"/>
      <c r="ARN15" s="387"/>
      <c r="ARO15" s="387"/>
      <c r="ARP15" s="387"/>
      <c r="ARQ15" s="387"/>
      <c r="ARR15" s="387"/>
      <c r="ARS15" s="387"/>
      <c r="ART15" s="387"/>
      <c r="ARU15" s="387"/>
      <c r="ARV15" s="387"/>
      <c r="ARW15" s="387"/>
      <c r="ARX15" s="387"/>
      <c r="ARY15" s="387"/>
      <c r="ARZ15" s="387"/>
      <c r="ASA15" s="387"/>
      <c r="ASB15" s="387"/>
      <c r="ASC15" s="387"/>
      <c r="ASD15" s="387"/>
      <c r="ASE15" s="387"/>
      <c r="ASF15" s="387"/>
      <c r="ASG15" s="387"/>
      <c r="ASH15" s="387"/>
      <c r="ASI15" s="387"/>
      <c r="ASJ15" s="387"/>
      <c r="ASK15" s="387"/>
      <c r="ASL15" s="387"/>
      <c r="ASM15" s="387"/>
      <c r="ASN15" s="387"/>
      <c r="ASO15" s="387"/>
      <c r="ASP15" s="387"/>
      <c r="ASQ15" s="387"/>
      <c r="ASR15" s="387"/>
      <c r="ASS15" s="387"/>
      <c r="AST15" s="387"/>
      <c r="ASU15" s="387"/>
      <c r="ASV15" s="387"/>
      <c r="ASW15" s="387"/>
      <c r="ASX15" s="387"/>
      <c r="ASY15" s="387"/>
      <c r="ASZ15" s="387"/>
      <c r="ATA15" s="387"/>
      <c r="ATB15" s="387"/>
      <c r="ATC15" s="387"/>
      <c r="ATD15" s="387"/>
      <c r="ATE15" s="387"/>
      <c r="ATF15" s="387"/>
      <c r="ATG15" s="387"/>
      <c r="ATH15" s="387"/>
      <c r="ATI15" s="387"/>
      <c r="ATJ15" s="387"/>
      <c r="ATK15" s="387"/>
      <c r="ATL15" s="387"/>
      <c r="ATM15" s="387"/>
      <c r="ATN15" s="387"/>
      <c r="ATO15" s="387"/>
      <c r="ATP15" s="387"/>
      <c r="ATQ15" s="387"/>
      <c r="ATR15" s="387"/>
      <c r="ATS15" s="387"/>
      <c r="ATT15" s="387"/>
      <c r="ATU15" s="387"/>
      <c r="ATV15" s="387"/>
      <c r="ATW15" s="387"/>
      <c r="ATX15" s="387"/>
      <c r="ATY15" s="387"/>
      <c r="ATZ15" s="387"/>
      <c r="AUA15" s="387"/>
      <c r="AUB15" s="387"/>
      <c r="AUC15" s="387"/>
      <c r="AUD15" s="387"/>
      <c r="AUE15" s="387"/>
      <c r="AUF15" s="387"/>
      <c r="AUG15" s="387"/>
      <c r="AUH15" s="387"/>
      <c r="AUI15" s="387"/>
      <c r="AUJ15" s="387"/>
      <c r="AUK15" s="387"/>
      <c r="AUL15" s="387"/>
      <c r="AUM15" s="387"/>
      <c r="AUN15" s="387"/>
      <c r="AUO15" s="387"/>
      <c r="AUP15" s="387"/>
      <c r="AUQ15" s="387"/>
      <c r="AUR15" s="387"/>
      <c r="AUS15" s="387"/>
      <c r="AUT15" s="387"/>
      <c r="AUU15" s="387"/>
      <c r="AUV15" s="387"/>
      <c r="AUW15" s="387"/>
      <c r="AUX15" s="387"/>
      <c r="AUY15" s="387"/>
      <c r="AUZ15" s="387"/>
      <c r="AVA15" s="387"/>
      <c r="AVB15" s="387"/>
      <c r="AVC15" s="387"/>
      <c r="AVD15" s="387"/>
      <c r="AVE15" s="387"/>
      <c r="AVF15" s="387"/>
      <c r="AVG15" s="387"/>
      <c r="AVH15" s="387"/>
      <c r="AVI15" s="387"/>
      <c r="AVJ15" s="387"/>
      <c r="AVK15" s="387"/>
      <c r="AVL15" s="387"/>
      <c r="AVM15" s="387"/>
      <c r="AVN15" s="387"/>
      <c r="AVO15" s="387"/>
      <c r="AVP15" s="387"/>
      <c r="AVQ15" s="387"/>
      <c r="AVR15" s="387"/>
      <c r="AVS15" s="387"/>
      <c r="AVT15" s="387"/>
      <c r="AVU15" s="387"/>
      <c r="AVV15" s="387"/>
      <c r="AVW15" s="387"/>
      <c r="AVX15" s="387"/>
      <c r="AVY15" s="387"/>
      <c r="AVZ15" s="387"/>
      <c r="AWA15" s="387"/>
      <c r="AWB15" s="387"/>
      <c r="AWC15" s="387"/>
      <c r="AWD15" s="387"/>
      <c r="AWE15" s="387"/>
      <c r="AWF15" s="387"/>
      <c r="AWG15" s="387"/>
      <c r="AWH15" s="387"/>
      <c r="AWI15" s="387"/>
      <c r="AWJ15" s="387"/>
      <c r="AWK15" s="387"/>
      <c r="AWL15" s="387"/>
      <c r="AWM15" s="387"/>
      <c r="AWN15" s="387"/>
      <c r="AWO15" s="387"/>
      <c r="AWP15" s="387"/>
      <c r="AWQ15" s="387"/>
      <c r="AWR15" s="387"/>
      <c r="AWS15" s="387"/>
      <c r="AWT15" s="387"/>
      <c r="AWU15" s="387"/>
      <c r="AWV15" s="387"/>
      <c r="AWW15" s="387"/>
      <c r="AWX15" s="387"/>
      <c r="AWY15" s="387"/>
      <c r="AWZ15" s="387"/>
      <c r="AXA15" s="387"/>
      <c r="AXB15" s="387"/>
      <c r="AXC15" s="387"/>
      <c r="AXD15" s="387"/>
      <c r="AXE15" s="387"/>
      <c r="AXF15" s="387"/>
      <c r="AXG15" s="387"/>
      <c r="AXH15" s="387"/>
      <c r="AXI15" s="387"/>
      <c r="AXJ15" s="387"/>
      <c r="AXK15" s="387"/>
      <c r="AXL15" s="387"/>
      <c r="AXM15" s="387"/>
      <c r="AXN15" s="387"/>
      <c r="AXO15" s="387"/>
      <c r="AXP15" s="387"/>
      <c r="AXQ15" s="387"/>
      <c r="AXR15" s="387"/>
      <c r="AXS15" s="387"/>
      <c r="AXT15" s="387"/>
      <c r="AXU15" s="387"/>
      <c r="AXV15" s="387"/>
      <c r="AXW15" s="387"/>
      <c r="AXX15" s="387"/>
      <c r="AXY15" s="387"/>
      <c r="AXZ15" s="387"/>
      <c r="AYA15" s="387"/>
      <c r="AYB15" s="387"/>
      <c r="AYC15" s="387"/>
      <c r="AYD15" s="387"/>
      <c r="AYE15" s="387"/>
      <c r="AYF15" s="387"/>
      <c r="AYG15" s="387"/>
      <c r="AYH15" s="387"/>
      <c r="AYI15" s="387"/>
      <c r="AYJ15" s="387"/>
      <c r="AYK15" s="387"/>
      <c r="AYL15" s="387"/>
      <c r="AYM15" s="387"/>
      <c r="AYN15" s="387"/>
      <c r="AYO15" s="387"/>
      <c r="AYP15" s="387"/>
      <c r="AYQ15" s="387"/>
      <c r="AYR15" s="387"/>
      <c r="AYS15" s="387"/>
      <c r="AYT15" s="387"/>
      <c r="AYU15" s="387"/>
      <c r="AYV15" s="387"/>
      <c r="AYW15" s="387"/>
      <c r="AYX15" s="387"/>
      <c r="AYY15" s="387"/>
      <c r="AYZ15" s="387"/>
      <c r="AZA15" s="387"/>
      <c r="AZB15" s="387"/>
      <c r="AZC15" s="387"/>
      <c r="AZD15" s="387"/>
      <c r="AZE15" s="387"/>
      <c r="AZF15" s="387"/>
      <c r="AZG15" s="387"/>
      <c r="AZH15" s="387"/>
      <c r="AZI15" s="387"/>
      <c r="AZJ15" s="387"/>
      <c r="AZK15" s="387"/>
      <c r="AZL15" s="387"/>
      <c r="AZM15" s="387"/>
      <c r="AZN15" s="387"/>
      <c r="AZO15" s="387"/>
      <c r="AZP15" s="387"/>
      <c r="AZQ15" s="387"/>
      <c r="AZR15" s="387"/>
      <c r="AZS15" s="387"/>
      <c r="AZT15" s="387"/>
      <c r="AZU15" s="387"/>
      <c r="AZV15" s="387"/>
      <c r="AZW15" s="387"/>
      <c r="AZX15" s="387"/>
      <c r="AZY15" s="387"/>
      <c r="AZZ15" s="387"/>
      <c r="BAA15" s="387"/>
      <c r="BAB15" s="387"/>
      <c r="BAC15" s="387"/>
      <c r="BAD15" s="387"/>
      <c r="BAE15" s="387"/>
      <c r="BAF15" s="387"/>
      <c r="BAG15" s="387"/>
      <c r="BAH15" s="387"/>
      <c r="BAI15" s="387"/>
      <c r="BAJ15" s="387"/>
      <c r="BAK15" s="387"/>
      <c r="BAL15" s="387"/>
      <c r="BAM15" s="387"/>
      <c r="BAN15" s="387"/>
      <c r="BAO15" s="387"/>
      <c r="BAP15" s="387"/>
      <c r="BAQ15" s="387"/>
      <c r="BAR15" s="387"/>
      <c r="BAS15" s="387"/>
      <c r="BAT15" s="387"/>
      <c r="BAU15" s="387"/>
      <c r="BAV15" s="387"/>
      <c r="BAW15" s="387"/>
      <c r="BAX15" s="387"/>
      <c r="BAY15" s="387"/>
      <c r="BAZ15" s="387"/>
      <c r="BBA15" s="387"/>
      <c r="BBB15" s="387"/>
      <c r="BBC15" s="387"/>
      <c r="BBD15" s="387"/>
      <c r="BBE15" s="387"/>
      <c r="BBF15" s="387"/>
      <c r="BBG15" s="387"/>
      <c r="BBH15" s="387"/>
      <c r="BBI15" s="387"/>
      <c r="BBJ15" s="387"/>
      <c r="BBK15" s="387"/>
      <c r="BBL15" s="387"/>
      <c r="BBM15" s="387"/>
      <c r="BBN15" s="387"/>
      <c r="BBO15" s="387"/>
      <c r="BBP15" s="387"/>
      <c r="BBQ15" s="387"/>
      <c r="BBR15" s="387"/>
      <c r="BBS15" s="387"/>
      <c r="BBT15" s="387"/>
      <c r="BBU15" s="387"/>
      <c r="BBV15" s="387"/>
      <c r="BBW15" s="387"/>
      <c r="BBX15" s="387"/>
      <c r="BBY15" s="387"/>
      <c r="BBZ15" s="387"/>
      <c r="BCA15" s="387"/>
      <c r="BCB15" s="387"/>
      <c r="BCC15" s="387"/>
      <c r="BCD15" s="387"/>
      <c r="BCE15" s="387"/>
      <c r="BCF15" s="387"/>
      <c r="BCG15" s="387"/>
      <c r="BCH15" s="387"/>
      <c r="BCI15" s="387"/>
      <c r="BCJ15" s="387"/>
      <c r="BCK15" s="387"/>
      <c r="BCL15" s="387"/>
      <c r="BCM15" s="387"/>
      <c r="BCN15" s="387"/>
      <c r="BCO15" s="387"/>
      <c r="BCP15" s="387"/>
      <c r="BCQ15" s="387"/>
      <c r="BCR15" s="387"/>
      <c r="BCS15" s="387"/>
      <c r="BCT15" s="387"/>
      <c r="BCU15" s="387"/>
      <c r="BCV15" s="387"/>
      <c r="BCW15" s="387"/>
      <c r="BCX15" s="387"/>
      <c r="BCY15" s="387"/>
      <c r="BCZ15" s="387"/>
      <c r="BDA15" s="387"/>
      <c r="BDB15" s="387"/>
      <c r="BDC15" s="387"/>
      <c r="BDD15" s="387"/>
      <c r="BDE15" s="387"/>
      <c r="BDF15" s="387"/>
      <c r="BDG15" s="387"/>
      <c r="BDH15" s="387"/>
      <c r="BDI15" s="387"/>
      <c r="BDJ15" s="387"/>
      <c r="BDK15" s="387"/>
      <c r="BDL15" s="387"/>
      <c r="BDM15" s="387"/>
      <c r="BDN15" s="387"/>
      <c r="BDO15" s="387"/>
      <c r="BDP15" s="387"/>
      <c r="BDQ15" s="387"/>
      <c r="BDR15" s="387"/>
      <c r="BDS15" s="387"/>
      <c r="BDT15" s="387"/>
      <c r="BDU15" s="387"/>
      <c r="BDV15" s="387"/>
      <c r="BDW15" s="387"/>
      <c r="BDX15" s="387"/>
      <c r="BDY15" s="387"/>
      <c r="BDZ15" s="387"/>
      <c r="BEA15" s="387"/>
      <c r="BEB15" s="387"/>
      <c r="BEC15" s="387"/>
      <c r="BED15" s="387"/>
      <c r="BEE15" s="387"/>
      <c r="BEF15" s="387"/>
      <c r="BEG15" s="387"/>
      <c r="BEH15" s="387"/>
      <c r="BEI15" s="387"/>
      <c r="BEJ15" s="387"/>
      <c r="BEK15" s="387"/>
      <c r="BEL15" s="387"/>
      <c r="BEM15" s="387"/>
      <c r="BEN15" s="387"/>
      <c r="BEO15" s="387"/>
      <c r="BEP15" s="387"/>
      <c r="BEQ15" s="387"/>
      <c r="BER15" s="387"/>
      <c r="BES15" s="387"/>
      <c r="BET15" s="387"/>
      <c r="BEU15" s="387"/>
      <c r="BEV15" s="387"/>
      <c r="BEW15" s="387"/>
      <c r="BEX15" s="387"/>
      <c r="BEY15" s="387"/>
      <c r="BEZ15" s="387"/>
      <c r="BFA15" s="387"/>
      <c r="BFB15" s="387"/>
      <c r="BFC15" s="387"/>
      <c r="BFD15" s="387"/>
      <c r="BFE15" s="387"/>
      <c r="BFF15" s="387"/>
      <c r="BFG15" s="387"/>
      <c r="BFH15" s="387"/>
      <c r="BFI15" s="387"/>
      <c r="BFJ15" s="387"/>
      <c r="BFK15" s="387"/>
      <c r="BFL15" s="387"/>
      <c r="BFM15" s="387"/>
      <c r="BFN15" s="387"/>
      <c r="BFO15" s="387"/>
      <c r="BFP15" s="387"/>
      <c r="BFQ15" s="387"/>
      <c r="BFR15" s="387"/>
      <c r="BFS15" s="387"/>
      <c r="BFT15" s="387"/>
      <c r="BFU15" s="387"/>
      <c r="BFV15" s="387"/>
      <c r="BFW15" s="387"/>
      <c r="BFX15" s="387"/>
      <c r="BFY15" s="387"/>
      <c r="BFZ15" s="387"/>
      <c r="BGA15" s="387"/>
      <c r="BGB15" s="387"/>
      <c r="BGC15" s="387"/>
      <c r="BGD15" s="387"/>
      <c r="BGE15" s="387"/>
      <c r="BGF15" s="387"/>
      <c r="BGG15" s="387"/>
      <c r="BGH15" s="387"/>
      <c r="BGI15" s="387"/>
      <c r="BGJ15" s="387"/>
      <c r="BGK15" s="387"/>
      <c r="BGL15" s="387"/>
      <c r="BGM15" s="387"/>
      <c r="BGN15" s="387"/>
      <c r="BGO15" s="387"/>
      <c r="BGP15" s="387"/>
      <c r="BGQ15" s="387"/>
      <c r="BGR15" s="387"/>
      <c r="BGS15" s="387"/>
      <c r="BGT15" s="387"/>
      <c r="BGU15" s="387"/>
      <c r="BGV15" s="387"/>
      <c r="BGW15" s="387"/>
      <c r="BGX15" s="387"/>
      <c r="BGY15" s="387"/>
      <c r="BGZ15" s="387"/>
      <c r="BHA15" s="387"/>
      <c r="BHB15" s="387"/>
      <c r="BHC15" s="387"/>
      <c r="BHD15" s="387"/>
      <c r="BHE15" s="387"/>
      <c r="BHF15" s="387"/>
      <c r="BHG15" s="387"/>
      <c r="BHH15" s="387"/>
      <c r="BHI15" s="387"/>
      <c r="BHJ15" s="387"/>
      <c r="BHK15" s="387"/>
      <c r="BHL15" s="387"/>
      <c r="BHM15" s="387"/>
      <c r="BHN15" s="387"/>
      <c r="BHO15" s="387"/>
      <c r="BHP15" s="387"/>
      <c r="BHQ15" s="387"/>
      <c r="BHR15" s="387"/>
      <c r="BHS15" s="387"/>
      <c r="BHT15" s="387"/>
      <c r="BHU15" s="387"/>
      <c r="BHV15" s="387"/>
      <c r="BHW15" s="387"/>
      <c r="BHX15" s="387"/>
      <c r="BHY15" s="387"/>
      <c r="BHZ15" s="387"/>
      <c r="BIA15" s="387"/>
      <c r="BIB15" s="387"/>
      <c r="BIC15" s="387"/>
      <c r="BID15" s="387"/>
      <c r="BIE15" s="387"/>
      <c r="BIF15" s="387"/>
      <c r="BIG15" s="387"/>
      <c r="BIH15" s="387"/>
      <c r="BII15" s="387"/>
      <c r="BIJ15" s="387"/>
      <c r="BIK15" s="387"/>
      <c r="BIL15" s="387"/>
      <c r="BIM15" s="387"/>
      <c r="BIN15" s="387"/>
      <c r="BIO15" s="387"/>
      <c r="BIP15" s="387"/>
      <c r="BIQ15" s="387"/>
      <c r="BIR15" s="387"/>
      <c r="BIS15" s="387"/>
      <c r="BIT15" s="387"/>
      <c r="BIU15" s="387"/>
      <c r="BIV15" s="387"/>
      <c r="BIW15" s="387"/>
      <c r="BIX15" s="387"/>
      <c r="BIY15" s="387"/>
      <c r="BIZ15" s="387"/>
      <c r="BJA15" s="387"/>
      <c r="BJB15" s="387"/>
      <c r="BJC15" s="387"/>
      <c r="BJD15" s="387"/>
      <c r="BJE15" s="387"/>
      <c r="BJF15" s="387"/>
      <c r="BJG15" s="387"/>
      <c r="BJH15" s="387"/>
      <c r="BJI15" s="387"/>
      <c r="BJJ15" s="387"/>
      <c r="BJK15" s="387"/>
      <c r="BJL15" s="387"/>
      <c r="BJM15" s="387"/>
      <c r="BJN15" s="387"/>
      <c r="BJO15" s="387"/>
      <c r="BJP15" s="387"/>
      <c r="BJQ15" s="387"/>
      <c r="BJR15" s="387"/>
      <c r="BJS15" s="387"/>
      <c r="BJT15" s="387"/>
      <c r="BJU15" s="387"/>
      <c r="BJV15" s="387"/>
      <c r="BJW15" s="387"/>
      <c r="BJX15" s="387"/>
      <c r="BJY15" s="387"/>
      <c r="BJZ15" s="387"/>
      <c r="BKA15" s="387"/>
      <c r="BKB15" s="387"/>
      <c r="BKC15" s="387"/>
      <c r="BKD15" s="387"/>
      <c r="BKE15" s="387"/>
      <c r="BKF15" s="387"/>
      <c r="BKG15" s="387"/>
      <c r="BKH15" s="387"/>
      <c r="BKI15" s="387"/>
      <c r="BKJ15" s="387"/>
      <c r="BKK15" s="387"/>
      <c r="BKL15" s="387"/>
      <c r="BKM15" s="387"/>
      <c r="BKN15" s="387"/>
      <c r="BKO15" s="387"/>
      <c r="BKP15" s="387"/>
      <c r="BKQ15" s="387"/>
      <c r="BKR15" s="387"/>
      <c r="BKS15" s="387"/>
      <c r="BKT15" s="387"/>
      <c r="BKU15" s="387"/>
      <c r="BKV15" s="387"/>
      <c r="BKW15" s="387"/>
      <c r="BKX15" s="387"/>
      <c r="BKY15" s="387"/>
      <c r="BKZ15" s="387"/>
      <c r="BLA15" s="387"/>
      <c r="BLB15" s="387"/>
      <c r="BLC15" s="387"/>
      <c r="BLD15" s="387"/>
      <c r="BLE15" s="387"/>
      <c r="BLF15" s="387"/>
      <c r="BLG15" s="387"/>
      <c r="BLH15" s="387"/>
      <c r="BLI15" s="387"/>
      <c r="BLJ15" s="387"/>
      <c r="BLK15" s="387"/>
      <c r="BLL15" s="387"/>
      <c r="BLM15" s="387"/>
      <c r="BLN15" s="387"/>
      <c r="BLO15" s="387"/>
      <c r="BLP15" s="387"/>
      <c r="BLQ15" s="387"/>
      <c r="BLR15" s="387"/>
      <c r="BLS15" s="387"/>
      <c r="BLT15" s="387"/>
      <c r="BLU15" s="387"/>
      <c r="BLV15" s="387"/>
      <c r="BLW15" s="387"/>
      <c r="BLX15" s="387"/>
      <c r="BLY15" s="387"/>
      <c r="BLZ15" s="387"/>
      <c r="BMA15" s="387"/>
      <c r="BMB15" s="387"/>
      <c r="BMC15" s="387"/>
      <c r="BMD15" s="387"/>
      <c r="BME15" s="387"/>
      <c r="BMF15" s="387"/>
      <c r="BMG15" s="387"/>
      <c r="BMH15" s="387"/>
      <c r="BMI15" s="387"/>
      <c r="BMJ15" s="387"/>
      <c r="BMK15" s="387"/>
      <c r="BML15" s="387"/>
      <c r="BMM15" s="387"/>
      <c r="BMN15" s="387"/>
      <c r="BMO15" s="387"/>
      <c r="BMP15" s="387"/>
      <c r="BMQ15" s="387"/>
      <c r="BMR15" s="387"/>
      <c r="BMS15" s="387"/>
      <c r="BMT15" s="387"/>
      <c r="BMU15" s="387"/>
      <c r="BMV15" s="387"/>
      <c r="BMW15" s="387"/>
      <c r="BMX15" s="387"/>
      <c r="BMY15" s="387"/>
      <c r="BMZ15" s="387"/>
      <c r="BNA15" s="387"/>
      <c r="BNB15" s="387"/>
      <c r="BNC15" s="387"/>
      <c r="BND15" s="387"/>
      <c r="BNE15" s="387"/>
      <c r="BNF15" s="387"/>
      <c r="BNG15" s="387"/>
      <c r="BNH15" s="387"/>
      <c r="BNI15" s="387"/>
      <c r="BNJ15" s="387"/>
      <c r="BNK15" s="387"/>
      <c r="BNL15" s="387"/>
      <c r="BNM15" s="387"/>
      <c r="BNN15" s="387"/>
      <c r="BNO15" s="387"/>
      <c r="BNP15" s="387"/>
      <c r="BNQ15" s="387"/>
      <c r="BNR15" s="387"/>
      <c r="BNS15" s="387"/>
      <c r="BNT15" s="387"/>
      <c r="BNU15" s="387"/>
      <c r="BNV15" s="387"/>
      <c r="BNW15" s="387"/>
      <c r="BNX15" s="387"/>
      <c r="BNY15" s="387"/>
      <c r="BNZ15" s="387"/>
      <c r="BOA15" s="387"/>
      <c r="BOB15" s="387"/>
      <c r="BOC15" s="387"/>
      <c r="BOD15" s="387"/>
      <c r="BOE15" s="387"/>
      <c r="BOF15" s="387"/>
      <c r="BOG15" s="387"/>
      <c r="BOH15" s="387"/>
      <c r="BOI15" s="387"/>
      <c r="BOJ15" s="387"/>
      <c r="BOK15" s="387"/>
      <c r="BOL15" s="387"/>
      <c r="BOM15" s="387"/>
      <c r="BON15" s="387"/>
      <c r="BOO15" s="387"/>
      <c r="BOP15" s="387"/>
      <c r="BOQ15" s="387"/>
      <c r="BOR15" s="387"/>
      <c r="BOS15" s="387"/>
      <c r="BOT15" s="387"/>
      <c r="BOU15" s="387"/>
      <c r="BOV15" s="387"/>
      <c r="BOW15" s="387"/>
      <c r="BOX15" s="387"/>
      <c r="BOY15" s="387"/>
      <c r="BOZ15" s="387"/>
      <c r="BPA15" s="387"/>
      <c r="BPB15" s="387"/>
      <c r="BPC15" s="387"/>
      <c r="BPD15" s="387"/>
      <c r="BPE15" s="387"/>
      <c r="BPF15" s="387"/>
      <c r="BPG15" s="387"/>
      <c r="BPH15" s="387"/>
      <c r="BPI15" s="387"/>
      <c r="BPJ15" s="387"/>
      <c r="BPK15" s="387"/>
      <c r="BPL15" s="387"/>
      <c r="BPM15" s="387"/>
      <c r="BPN15" s="387"/>
      <c r="BPO15" s="387"/>
      <c r="BPP15" s="387"/>
      <c r="BPQ15" s="387"/>
      <c r="BPR15" s="387"/>
      <c r="BPS15" s="387"/>
      <c r="BPT15" s="387"/>
      <c r="BPU15" s="387"/>
      <c r="BPV15" s="387"/>
      <c r="BPW15" s="387"/>
      <c r="BPX15" s="387"/>
      <c r="BPY15" s="387"/>
      <c r="BPZ15" s="387"/>
      <c r="BQA15" s="387"/>
      <c r="BQB15" s="387"/>
      <c r="BQC15" s="387"/>
      <c r="BQD15" s="387"/>
      <c r="BQE15" s="387"/>
      <c r="BQF15" s="387"/>
      <c r="BQG15" s="387"/>
      <c r="BQH15" s="387"/>
      <c r="BQI15" s="387"/>
      <c r="BQJ15" s="387"/>
      <c r="BQK15" s="387"/>
      <c r="BQL15" s="387"/>
      <c r="BQM15" s="387"/>
      <c r="BQN15" s="387"/>
      <c r="BQO15" s="387"/>
      <c r="BQP15" s="387"/>
      <c r="BQQ15" s="387"/>
      <c r="BQR15" s="387"/>
      <c r="BQS15" s="387"/>
      <c r="BQT15" s="387"/>
      <c r="BQU15" s="387"/>
      <c r="BQV15" s="387"/>
      <c r="BQW15" s="387"/>
      <c r="BQX15" s="387"/>
      <c r="BQY15" s="387"/>
      <c r="BQZ15" s="387"/>
      <c r="BRA15" s="387"/>
      <c r="BRB15" s="387"/>
      <c r="BRC15" s="387"/>
      <c r="BRD15" s="387"/>
      <c r="BRE15" s="387"/>
      <c r="BRF15" s="387"/>
      <c r="BRG15" s="387"/>
      <c r="BRH15" s="387"/>
      <c r="BRI15" s="387"/>
      <c r="BRJ15" s="387"/>
      <c r="BRK15" s="387"/>
      <c r="BRL15" s="387"/>
      <c r="BRM15" s="387"/>
      <c r="BRN15" s="387"/>
      <c r="BRO15" s="387"/>
      <c r="BRP15" s="387"/>
      <c r="BRQ15" s="387"/>
      <c r="BRR15" s="387"/>
      <c r="BRS15" s="387"/>
      <c r="BRT15" s="387"/>
      <c r="BRU15" s="387"/>
      <c r="BRV15" s="387"/>
      <c r="BRW15" s="387"/>
      <c r="BRX15" s="387"/>
      <c r="BRY15" s="387"/>
      <c r="BRZ15" s="387"/>
      <c r="BSA15" s="387"/>
      <c r="BSB15" s="387"/>
      <c r="BSC15" s="387"/>
      <c r="BSD15" s="387"/>
      <c r="BSE15" s="387"/>
      <c r="BSF15" s="387"/>
      <c r="BSG15" s="387"/>
      <c r="BSH15" s="387"/>
      <c r="BSI15" s="387"/>
      <c r="BSJ15" s="387"/>
      <c r="BSK15" s="387"/>
      <c r="BSL15" s="387"/>
      <c r="BSM15" s="387"/>
      <c r="BSN15" s="387"/>
      <c r="BSO15" s="387"/>
      <c r="BSP15" s="387"/>
      <c r="BSQ15" s="387"/>
      <c r="BSR15" s="387"/>
      <c r="BSS15" s="387"/>
      <c r="BST15" s="387"/>
      <c r="BSU15" s="387"/>
      <c r="BSV15" s="387"/>
      <c r="BSW15" s="387"/>
      <c r="BSX15" s="387"/>
      <c r="BSY15" s="387"/>
      <c r="BSZ15" s="387"/>
      <c r="BTA15" s="387"/>
      <c r="BTB15" s="387"/>
      <c r="BTC15" s="387"/>
      <c r="BTD15" s="387"/>
      <c r="BTE15" s="387"/>
      <c r="BTF15" s="387"/>
      <c r="BTG15" s="387"/>
      <c r="BTH15" s="387"/>
      <c r="BTI15" s="387"/>
    </row>
    <row r="16" spans="1:1881" s="372" customFormat="1" ht="126" customHeight="1" x14ac:dyDescent="0.25">
      <c r="A16" s="447">
        <v>630</v>
      </c>
      <c r="B16" s="448" t="s">
        <v>674</v>
      </c>
      <c r="C16" s="444" t="s">
        <v>152</v>
      </c>
      <c r="D16" s="445" t="s">
        <v>901</v>
      </c>
      <c r="E16" s="449" t="s">
        <v>676</v>
      </c>
      <c r="F16" s="686"/>
      <c r="G16" s="450">
        <f>IF(F16&gt;F12,"Please review account numbers 630 &gt; 626",)</f>
        <v>0</v>
      </c>
      <c r="H16" s="432"/>
      <c r="I16" s="433"/>
      <c r="J16" s="362"/>
      <c r="K16" s="387"/>
      <c r="L16" s="674" t="s">
        <v>921</v>
      </c>
      <c r="M16" s="576"/>
      <c r="N16" s="594"/>
      <c r="O16" s="387"/>
      <c r="P16" s="387"/>
      <c r="Q16" s="387"/>
      <c r="R16"/>
      <c r="S16" s="682"/>
      <c r="T16" s="387"/>
      <c r="U16" s="387"/>
      <c r="V16" s="387"/>
      <c r="W16" s="387"/>
      <c r="X16" s="682"/>
      <c r="Y16" s="387"/>
      <c r="Z16" s="387"/>
      <c r="AA16" s="387"/>
      <c r="AB16" s="387"/>
      <c r="AC16" s="387"/>
      <c r="AD16" s="387"/>
      <c r="AE16" s="387"/>
      <c r="AF16" s="387"/>
      <c r="AG16" s="387"/>
      <c r="AH16" s="387"/>
      <c r="AI16" s="387"/>
      <c r="AJ16" s="387"/>
      <c r="AK16" s="387"/>
      <c r="AL16" s="387"/>
      <c r="AM16" s="387"/>
      <c r="AN16" s="387"/>
      <c r="AO16" s="387"/>
      <c r="AP16" s="387"/>
      <c r="AQ16" s="387"/>
      <c r="AR16" s="387"/>
      <c r="AS16" s="387"/>
      <c r="AT16" s="387"/>
      <c r="AU16" s="387"/>
      <c r="AV16" s="387"/>
      <c r="AW16" s="387"/>
      <c r="AX16" s="387"/>
      <c r="AY16" s="387"/>
      <c r="AZ16" s="387"/>
      <c r="BA16" s="387"/>
      <c r="BB16" s="387"/>
      <c r="BC16" s="387"/>
      <c r="BD16" s="387"/>
      <c r="BE16" s="387"/>
      <c r="BF16" s="387"/>
      <c r="BG16" s="387"/>
      <c r="BH16" s="387"/>
      <c r="BI16" s="387"/>
      <c r="BJ16" s="387"/>
      <c r="BK16" s="387"/>
      <c r="BL16" s="387"/>
      <c r="BM16" s="387"/>
      <c r="BN16" s="387"/>
      <c r="BO16" s="387"/>
      <c r="BP16" s="387"/>
      <c r="BQ16" s="387"/>
      <c r="BR16" s="387"/>
      <c r="BS16" s="387"/>
      <c r="BT16" s="387"/>
      <c r="BU16" s="387"/>
      <c r="BV16" s="387"/>
      <c r="BW16" s="387"/>
      <c r="BX16" s="387"/>
      <c r="BY16" s="387"/>
      <c r="BZ16" s="387"/>
      <c r="CA16" s="387"/>
      <c r="CB16" s="387"/>
      <c r="CC16" s="387"/>
      <c r="CD16" s="387"/>
      <c r="CE16" s="387"/>
      <c r="CF16" s="387"/>
      <c r="CG16" s="387"/>
      <c r="CH16" s="387"/>
      <c r="CI16" s="387"/>
      <c r="CJ16" s="387"/>
      <c r="CK16" s="387"/>
      <c r="CL16" s="387"/>
      <c r="CM16" s="387"/>
      <c r="CN16" s="387"/>
      <c r="CO16" s="387"/>
      <c r="CP16" s="387"/>
      <c r="CQ16" s="387"/>
      <c r="CR16" s="387"/>
      <c r="CS16" s="387"/>
      <c r="CT16" s="387"/>
      <c r="CU16" s="387"/>
      <c r="CV16" s="387"/>
      <c r="CW16" s="387"/>
      <c r="CX16" s="387"/>
      <c r="CY16" s="387"/>
      <c r="CZ16" s="387"/>
      <c r="DA16" s="387"/>
      <c r="DB16" s="387"/>
      <c r="DC16" s="387"/>
      <c r="DD16" s="387"/>
      <c r="DE16" s="387"/>
      <c r="DF16" s="387"/>
      <c r="DG16" s="387"/>
      <c r="DH16" s="387"/>
      <c r="DI16" s="387"/>
      <c r="DJ16" s="387"/>
      <c r="DK16" s="387"/>
      <c r="DL16" s="387"/>
      <c r="DM16" s="387"/>
      <c r="DN16" s="387"/>
      <c r="DO16" s="387"/>
      <c r="DP16" s="387"/>
      <c r="DQ16" s="387"/>
      <c r="DR16" s="387"/>
      <c r="DS16" s="387"/>
      <c r="DT16" s="387"/>
      <c r="DU16" s="387"/>
      <c r="DV16" s="387"/>
      <c r="DW16" s="387"/>
      <c r="DX16" s="387"/>
      <c r="DY16" s="387"/>
      <c r="DZ16" s="387"/>
      <c r="EA16" s="387"/>
      <c r="EB16" s="387"/>
      <c r="EC16" s="387"/>
      <c r="ED16" s="387"/>
      <c r="EE16" s="387"/>
      <c r="EF16" s="387"/>
      <c r="EG16" s="387"/>
      <c r="EH16" s="387"/>
      <c r="EI16" s="387"/>
      <c r="EJ16" s="387"/>
      <c r="EK16" s="387"/>
      <c r="EL16" s="387"/>
      <c r="EM16" s="387"/>
      <c r="EN16" s="387"/>
      <c r="EO16" s="387"/>
      <c r="EP16" s="387"/>
      <c r="EQ16" s="387"/>
      <c r="ER16" s="387"/>
      <c r="ES16" s="387"/>
      <c r="ET16" s="387"/>
      <c r="EU16" s="387"/>
      <c r="EV16" s="387"/>
      <c r="EW16" s="387"/>
      <c r="EX16" s="387"/>
      <c r="EY16" s="387"/>
      <c r="EZ16" s="387"/>
      <c r="FA16" s="387"/>
      <c r="FB16" s="387"/>
      <c r="FC16" s="387"/>
      <c r="FD16" s="387"/>
      <c r="FE16" s="387"/>
      <c r="FF16" s="387"/>
      <c r="FG16" s="387"/>
      <c r="FH16" s="387"/>
      <c r="FI16" s="387"/>
      <c r="FJ16" s="387"/>
      <c r="FK16" s="387"/>
      <c r="FL16" s="387"/>
      <c r="FM16" s="387"/>
      <c r="FN16" s="387"/>
      <c r="FO16" s="387"/>
      <c r="FP16" s="387"/>
      <c r="FQ16" s="387"/>
      <c r="FR16" s="387"/>
      <c r="FS16" s="387"/>
      <c r="FT16" s="387"/>
      <c r="FU16" s="387"/>
      <c r="FV16" s="387"/>
      <c r="FW16" s="387"/>
      <c r="FX16" s="387"/>
      <c r="FY16" s="387"/>
      <c r="FZ16" s="387"/>
      <c r="GA16" s="387"/>
      <c r="GB16" s="387"/>
      <c r="GC16" s="387"/>
      <c r="GD16" s="387"/>
      <c r="GE16" s="387"/>
      <c r="GF16" s="387"/>
      <c r="GG16" s="387"/>
      <c r="GH16" s="387"/>
      <c r="GI16" s="387"/>
      <c r="GJ16" s="387"/>
      <c r="GK16" s="387"/>
      <c r="GL16" s="387"/>
      <c r="GM16" s="387"/>
      <c r="GN16" s="387"/>
      <c r="GO16" s="387"/>
      <c r="GP16" s="387"/>
      <c r="GQ16" s="387"/>
      <c r="GR16" s="387"/>
      <c r="GS16" s="387"/>
      <c r="GT16" s="387"/>
      <c r="GU16" s="387"/>
      <c r="GV16" s="387"/>
      <c r="GW16" s="387"/>
      <c r="GX16" s="387"/>
      <c r="GY16" s="387"/>
      <c r="GZ16" s="387"/>
      <c r="HA16" s="387"/>
      <c r="HB16" s="387"/>
      <c r="HC16" s="387"/>
      <c r="HD16" s="387"/>
      <c r="HE16" s="387"/>
      <c r="HF16" s="387"/>
      <c r="HG16" s="387"/>
      <c r="HH16" s="387"/>
      <c r="HI16" s="387"/>
      <c r="HJ16" s="387"/>
      <c r="HK16" s="387"/>
      <c r="HL16" s="387"/>
      <c r="HM16" s="387"/>
      <c r="HN16" s="387"/>
      <c r="HO16" s="387"/>
      <c r="HP16" s="387"/>
      <c r="HQ16" s="387"/>
      <c r="HR16" s="387"/>
      <c r="HS16" s="387"/>
      <c r="HT16" s="387"/>
      <c r="HU16" s="387"/>
      <c r="HV16" s="387"/>
      <c r="HW16" s="387"/>
      <c r="HX16" s="387"/>
      <c r="HY16" s="387"/>
      <c r="HZ16" s="387"/>
      <c r="IA16" s="387"/>
      <c r="IB16" s="387"/>
      <c r="IC16" s="387"/>
      <c r="ID16" s="387"/>
      <c r="IE16" s="387"/>
      <c r="IF16" s="387"/>
      <c r="IG16" s="387"/>
      <c r="IH16" s="387"/>
      <c r="II16" s="387"/>
      <c r="IJ16" s="387"/>
      <c r="IK16" s="387"/>
      <c r="IL16" s="387"/>
      <c r="IM16" s="387"/>
      <c r="IN16" s="387"/>
      <c r="IO16" s="387"/>
      <c r="IP16" s="387"/>
      <c r="IQ16" s="387"/>
      <c r="IR16" s="387"/>
      <c r="IS16" s="387"/>
      <c r="IT16" s="387"/>
      <c r="IU16" s="387"/>
      <c r="IV16" s="387"/>
      <c r="IW16" s="387"/>
      <c r="IX16" s="387"/>
      <c r="IY16" s="387"/>
      <c r="IZ16" s="387"/>
      <c r="JA16" s="387"/>
      <c r="JB16" s="387"/>
      <c r="JC16" s="387"/>
      <c r="JD16" s="387"/>
      <c r="JE16" s="387"/>
      <c r="JF16" s="387"/>
      <c r="JG16" s="387"/>
      <c r="JH16" s="387"/>
      <c r="JI16" s="387"/>
      <c r="JJ16" s="387"/>
      <c r="JK16" s="387"/>
      <c r="JL16" s="387"/>
      <c r="JM16" s="387"/>
      <c r="JN16" s="387"/>
      <c r="JO16" s="387"/>
      <c r="JP16" s="387"/>
      <c r="JQ16" s="387"/>
      <c r="JR16" s="387"/>
      <c r="JS16" s="387"/>
      <c r="JT16" s="387"/>
      <c r="JU16" s="387"/>
      <c r="JV16" s="387"/>
      <c r="JW16" s="387"/>
      <c r="JX16" s="387"/>
      <c r="JY16" s="387"/>
      <c r="JZ16" s="387"/>
      <c r="KA16" s="387"/>
      <c r="KB16" s="387"/>
      <c r="KC16" s="387"/>
      <c r="KD16" s="387"/>
      <c r="KE16" s="387"/>
      <c r="KF16" s="387"/>
      <c r="KG16" s="387"/>
      <c r="KH16" s="387"/>
      <c r="KI16" s="387"/>
      <c r="KJ16" s="387"/>
      <c r="KK16" s="387"/>
      <c r="KL16" s="387"/>
      <c r="KM16" s="387"/>
      <c r="KN16" s="387"/>
      <c r="KO16" s="387"/>
      <c r="KP16" s="387"/>
      <c r="KQ16" s="387"/>
      <c r="KR16" s="387"/>
      <c r="KS16" s="387"/>
      <c r="KT16" s="387"/>
      <c r="KU16" s="387"/>
      <c r="KV16" s="387"/>
      <c r="KW16" s="387"/>
      <c r="KX16" s="387"/>
      <c r="KY16" s="387"/>
      <c r="KZ16" s="387"/>
      <c r="LA16" s="387"/>
      <c r="LB16" s="387"/>
      <c r="LC16" s="387"/>
      <c r="LD16" s="387"/>
      <c r="LE16" s="387"/>
      <c r="LF16" s="387"/>
      <c r="LG16" s="387"/>
      <c r="LH16" s="387"/>
      <c r="LI16" s="387"/>
      <c r="LJ16" s="387"/>
      <c r="LK16" s="387"/>
      <c r="LL16" s="387"/>
      <c r="LM16" s="387"/>
      <c r="LN16" s="387"/>
      <c r="LO16" s="387"/>
      <c r="LP16" s="387"/>
      <c r="LQ16" s="387"/>
      <c r="LR16" s="387"/>
      <c r="LS16" s="387"/>
      <c r="LT16" s="387"/>
      <c r="LU16" s="387"/>
      <c r="LV16" s="387"/>
      <c r="LW16" s="387"/>
      <c r="LX16" s="387"/>
      <c r="LY16" s="387"/>
      <c r="LZ16" s="387"/>
      <c r="MA16" s="387"/>
      <c r="MB16" s="387"/>
      <c r="MC16" s="387"/>
      <c r="MD16" s="387"/>
      <c r="ME16" s="387"/>
      <c r="MF16" s="387"/>
      <c r="MG16" s="387"/>
      <c r="MH16" s="387"/>
      <c r="MI16" s="387"/>
      <c r="MJ16" s="387"/>
      <c r="MK16" s="387"/>
      <c r="ML16" s="387"/>
      <c r="MM16" s="387"/>
      <c r="MN16" s="387"/>
      <c r="MO16" s="387"/>
      <c r="MP16" s="387"/>
      <c r="MQ16" s="387"/>
      <c r="MR16" s="387"/>
      <c r="MS16" s="387"/>
      <c r="MT16" s="387"/>
      <c r="MU16" s="387"/>
      <c r="MV16" s="387"/>
      <c r="MW16" s="387"/>
      <c r="MX16" s="387"/>
      <c r="MY16" s="387"/>
      <c r="MZ16" s="387"/>
      <c r="NA16" s="387"/>
      <c r="NB16" s="387"/>
      <c r="NC16" s="387"/>
      <c r="ND16" s="387"/>
      <c r="NE16" s="387"/>
      <c r="NF16" s="387"/>
      <c r="NG16" s="387"/>
      <c r="NH16" s="387"/>
      <c r="NI16" s="387"/>
      <c r="NJ16" s="387"/>
      <c r="NK16" s="387"/>
      <c r="NL16" s="387"/>
      <c r="NM16" s="387"/>
      <c r="NN16" s="387"/>
      <c r="NO16" s="387"/>
      <c r="NP16" s="387"/>
      <c r="NQ16" s="387"/>
      <c r="NR16" s="387"/>
      <c r="NS16" s="387"/>
      <c r="NT16" s="387"/>
      <c r="NU16" s="387"/>
      <c r="NV16" s="387"/>
      <c r="NW16" s="387"/>
      <c r="NX16" s="387"/>
      <c r="NY16" s="387"/>
      <c r="NZ16" s="387"/>
      <c r="OA16" s="387"/>
      <c r="OB16" s="387"/>
      <c r="OC16" s="387"/>
      <c r="OD16" s="387"/>
      <c r="OE16" s="387"/>
      <c r="OF16" s="387"/>
      <c r="OG16" s="387"/>
      <c r="OH16" s="387"/>
      <c r="OI16" s="387"/>
      <c r="OJ16" s="387"/>
      <c r="OK16" s="387"/>
      <c r="OL16" s="387"/>
      <c r="OM16" s="387"/>
      <c r="ON16" s="387"/>
      <c r="OO16" s="387"/>
      <c r="OP16" s="387"/>
      <c r="OQ16" s="387"/>
      <c r="OR16" s="387"/>
      <c r="OS16" s="387"/>
      <c r="OT16" s="387"/>
      <c r="OU16" s="387"/>
      <c r="OV16" s="387"/>
      <c r="OW16" s="387"/>
      <c r="OX16" s="387"/>
      <c r="OY16" s="387"/>
      <c r="OZ16" s="387"/>
      <c r="PA16" s="387"/>
      <c r="PB16" s="387"/>
      <c r="PC16" s="387"/>
      <c r="PD16" s="387"/>
      <c r="PE16" s="387"/>
      <c r="PF16" s="387"/>
      <c r="PG16" s="387"/>
      <c r="PH16" s="387"/>
      <c r="PI16" s="387"/>
      <c r="PJ16" s="387"/>
      <c r="PK16" s="387"/>
      <c r="PL16" s="387"/>
      <c r="PM16" s="387"/>
      <c r="PN16" s="387"/>
      <c r="PO16" s="387"/>
      <c r="PP16" s="387"/>
      <c r="PQ16" s="387"/>
      <c r="PR16" s="387"/>
      <c r="PS16" s="387"/>
      <c r="PT16" s="387"/>
      <c r="PU16" s="387"/>
      <c r="PV16" s="387"/>
      <c r="PW16" s="387"/>
      <c r="PX16" s="387"/>
      <c r="PY16" s="387"/>
      <c r="PZ16" s="387"/>
      <c r="QA16" s="387"/>
      <c r="QB16" s="387"/>
      <c r="QC16" s="387"/>
      <c r="QD16" s="387"/>
      <c r="QE16" s="387"/>
      <c r="QF16" s="387"/>
      <c r="QG16" s="387"/>
      <c r="QH16" s="387"/>
      <c r="QI16" s="387"/>
      <c r="QJ16" s="387"/>
      <c r="QK16" s="387"/>
      <c r="QL16" s="387"/>
      <c r="QM16" s="387"/>
      <c r="QN16" s="387"/>
      <c r="QO16" s="387"/>
      <c r="QP16" s="387"/>
      <c r="QQ16" s="387"/>
      <c r="QR16" s="387"/>
      <c r="QS16" s="387"/>
      <c r="QT16" s="387"/>
      <c r="QU16" s="387"/>
      <c r="QV16" s="387"/>
      <c r="QW16" s="387"/>
      <c r="QX16" s="387"/>
      <c r="QY16" s="387"/>
      <c r="QZ16" s="387"/>
      <c r="RA16" s="387"/>
      <c r="RB16" s="387"/>
      <c r="RC16" s="387"/>
      <c r="RD16" s="387"/>
      <c r="RE16" s="387"/>
      <c r="RF16" s="387"/>
      <c r="RG16" s="387"/>
      <c r="RH16" s="387"/>
      <c r="RI16" s="387"/>
      <c r="RJ16" s="387"/>
      <c r="RK16" s="387"/>
      <c r="RL16" s="387"/>
      <c r="RM16" s="387"/>
      <c r="RN16" s="387"/>
      <c r="RO16" s="387"/>
      <c r="RP16" s="387"/>
      <c r="RQ16" s="387"/>
      <c r="RR16" s="387"/>
      <c r="RS16" s="387"/>
      <c r="RT16" s="387"/>
      <c r="RU16" s="387"/>
      <c r="RV16" s="387"/>
      <c r="RW16" s="387"/>
      <c r="RX16" s="387"/>
      <c r="RY16" s="387"/>
      <c r="RZ16" s="387"/>
      <c r="SA16" s="387"/>
      <c r="SB16" s="387"/>
      <c r="SC16" s="387"/>
      <c r="SD16" s="387"/>
      <c r="SE16" s="387"/>
      <c r="SF16" s="387"/>
      <c r="SG16" s="387"/>
      <c r="SH16" s="387"/>
      <c r="SI16" s="387"/>
      <c r="SJ16" s="387"/>
      <c r="SK16" s="387"/>
      <c r="SL16" s="387"/>
      <c r="SM16" s="387"/>
      <c r="SN16" s="387"/>
      <c r="SO16" s="387"/>
      <c r="SP16" s="387"/>
      <c r="SQ16" s="387"/>
      <c r="SR16" s="387"/>
      <c r="SS16" s="387"/>
      <c r="ST16" s="387"/>
      <c r="SU16" s="387"/>
      <c r="SV16" s="387"/>
      <c r="SW16" s="387"/>
      <c r="SX16" s="387"/>
      <c r="SY16" s="387"/>
      <c r="SZ16" s="387"/>
      <c r="TA16" s="387"/>
      <c r="TB16" s="387"/>
      <c r="TC16" s="387"/>
      <c r="TD16" s="387"/>
      <c r="TE16" s="387"/>
      <c r="TF16" s="387"/>
      <c r="TG16" s="387"/>
      <c r="TH16" s="387"/>
      <c r="TI16" s="387"/>
      <c r="TJ16" s="387"/>
      <c r="TK16" s="387"/>
      <c r="TL16" s="387"/>
      <c r="TM16" s="387"/>
      <c r="TN16" s="387"/>
      <c r="TO16" s="387"/>
      <c r="TP16" s="387"/>
      <c r="TQ16" s="387"/>
      <c r="TR16" s="387"/>
      <c r="TS16" s="387"/>
      <c r="TT16" s="387"/>
      <c r="TU16" s="387"/>
      <c r="TV16" s="387"/>
      <c r="TW16" s="387"/>
      <c r="TX16" s="387"/>
      <c r="TY16" s="387"/>
      <c r="TZ16" s="387"/>
      <c r="UA16" s="387"/>
      <c r="UB16" s="387"/>
      <c r="UC16" s="387"/>
      <c r="UD16" s="387"/>
      <c r="UE16" s="387"/>
      <c r="UF16" s="387"/>
      <c r="UG16" s="387"/>
      <c r="UH16" s="387"/>
      <c r="UI16" s="387"/>
      <c r="UJ16" s="387"/>
      <c r="UK16" s="387"/>
      <c r="UL16" s="387"/>
      <c r="UM16" s="387"/>
      <c r="UN16" s="387"/>
      <c r="UO16" s="387"/>
      <c r="UP16" s="387"/>
      <c r="UQ16" s="387"/>
      <c r="UR16" s="387"/>
      <c r="US16" s="387"/>
      <c r="UT16" s="387"/>
      <c r="UU16" s="387"/>
      <c r="UV16" s="387"/>
      <c r="UW16" s="387"/>
      <c r="UX16" s="387"/>
      <c r="UY16" s="387"/>
      <c r="UZ16" s="387"/>
      <c r="VA16" s="387"/>
      <c r="VB16" s="387"/>
      <c r="VC16" s="387"/>
      <c r="VD16" s="387"/>
      <c r="VE16" s="387"/>
      <c r="VF16" s="387"/>
      <c r="VG16" s="387"/>
      <c r="VH16" s="387"/>
      <c r="VI16" s="387"/>
      <c r="VJ16" s="387"/>
      <c r="VK16" s="387"/>
      <c r="VL16" s="387"/>
      <c r="VM16" s="387"/>
      <c r="VN16" s="387"/>
      <c r="VO16" s="387"/>
      <c r="VP16" s="387"/>
      <c r="VQ16" s="387"/>
      <c r="VR16" s="387"/>
      <c r="VS16" s="387"/>
      <c r="VT16" s="387"/>
      <c r="VU16" s="387"/>
      <c r="VV16" s="387"/>
      <c r="VW16" s="387"/>
      <c r="VX16" s="387"/>
      <c r="VY16" s="387"/>
      <c r="VZ16" s="387"/>
      <c r="WA16" s="387"/>
      <c r="WB16" s="387"/>
      <c r="WC16" s="387"/>
      <c r="WD16" s="387"/>
      <c r="WE16" s="387"/>
      <c r="WF16" s="387"/>
      <c r="WG16" s="387"/>
      <c r="WH16" s="387"/>
      <c r="WI16" s="387"/>
      <c r="WJ16" s="387"/>
      <c r="WK16" s="387"/>
      <c r="WL16" s="387"/>
      <c r="WM16" s="387"/>
      <c r="WN16" s="387"/>
      <c r="WO16" s="387"/>
      <c r="WP16" s="387"/>
      <c r="WQ16" s="387"/>
      <c r="WR16" s="387"/>
      <c r="WS16" s="387"/>
      <c r="WT16" s="387"/>
      <c r="WU16" s="387"/>
      <c r="WV16" s="387"/>
      <c r="WW16" s="387"/>
      <c r="WX16" s="387"/>
      <c r="WY16" s="387"/>
      <c r="WZ16" s="387"/>
      <c r="XA16" s="387"/>
      <c r="XB16" s="387"/>
      <c r="XC16" s="387"/>
      <c r="XD16" s="387"/>
      <c r="XE16" s="387"/>
      <c r="XF16" s="387"/>
      <c r="XG16" s="387"/>
      <c r="XH16" s="387"/>
      <c r="XI16" s="387"/>
      <c r="XJ16" s="387"/>
      <c r="XK16" s="387"/>
      <c r="XL16" s="387"/>
      <c r="XM16" s="387"/>
      <c r="XN16" s="387"/>
      <c r="XO16" s="387"/>
      <c r="XP16" s="387"/>
      <c r="XQ16" s="387"/>
      <c r="XR16" s="387"/>
      <c r="XS16" s="387"/>
      <c r="XT16" s="387"/>
      <c r="XU16" s="387"/>
      <c r="XV16" s="387"/>
      <c r="XW16" s="387"/>
      <c r="XX16" s="387"/>
      <c r="XY16" s="387"/>
      <c r="XZ16" s="387"/>
      <c r="YA16" s="387"/>
      <c r="YB16" s="387"/>
      <c r="YC16" s="387"/>
      <c r="YD16" s="387"/>
      <c r="YE16" s="387"/>
      <c r="YF16" s="387"/>
      <c r="YG16" s="387"/>
      <c r="YH16" s="387"/>
      <c r="YI16" s="387"/>
      <c r="YJ16" s="387"/>
      <c r="YK16" s="387"/>
      <c r="YL16" s="387"/>
      <c r="YM16" s="387"/>
      <c r="YN16" s="387"/>
      <c r="YO16" s="387"/>
      <c r="YP16" s="387"/>
      <c r="YQ16" s="387"/>
      <c r="YR16" s="387"/>
      <c r="YS16" s="387"/>
      <c r="YT16" s="387"/>
      <c r="YU16" s="387"/>
      <c r="YV16" s="387"/>
      <c r="YW16" s="387"/>
      <c r="YX16" s="387"/>
      <c r="YY16" s="387"/>
      <c r="YZ16" s="387"/>
      <c r="ZA16" s="387"/>
      <c r="ZB16" s="387"/>
      <c r="ZC16" s="387"/>
      <c r="ZD16" s="387"/>
      <c r="ZE16" s="387"/>
      <c r="ZF16" s="387"/>
      <c r="ZG16" s="387"/>
      <c r="ZH16" s="387"/>
      <c r="ZI16" s="387"/>
      <c r="ZJ16" s="387"/>
      <c r="ZK16" s="387"/>
      <c r="ZL16" s="387"/>
      <c r="ZM16" s="387"/>
      <c r="ZN16" s="387"/>
      <c r="ZO16" s="387"/>
      <c r="ZP16" s="387"/>
      <c r="ZQ16" s="387"/>
      <c r="ZR16" s="387"/>
      <c r="ZS16" s="387"/>
      <c r="ZT16" s="387"/>
      <c r="ZU16" s="387"/>
      <c r="ZV16" s="387"/>
      <c r="ZW16" s="387"/>
      <c r="ZX16" s="387"/>
      <c r="ZY16" s="387"/>
      <c r="ZZ16" s="387"/>
      <c r="AAA16" s="387"/>
      <c r="AAB16" s="387"/>
      <c r="AAC16" s="387"/>
      <c r="AAD16" s="387"/>
      <c r="AAE16" s="387"/>
      <c r="AAF16" s="387"/>
      <c r="AAG16" s="387"/>
      <c r="AAH16" s="387"/>
      <c r="AAI16" s="387"/>
      <c r="AAJ16" s="387"/>
      <c r="AAK16" s="387"/>
      <c r="AAL16" s="387"/>
      <c r="AAM16" s="387"/>
      <c r="AAN16" s="387"/>
      <c r="AAO16" s="387"/>
      <c r="AAP16" s="387"/>
      <c r="AAQ16" s="387"/>
      <c r="AAR16" s="387"/>
      <c r="AAS16" s="387"/>
      <c r="AAT16" s="387"/>
      <c r="AAU16" s="387"/>
      <c r="AAV16" s="387"/>
      <c r="AAW16" s="387"/>
      <c r="AAX16" s="387"/>
      <c r="AAY16" s="387"/>
      <c r="AAZ16" s="387"/>
      <c r="ABA16" s="387"/>
      <c r="ABB16" s="387"/>
      <c r="ABC16" s="387"/>
      <c r="ABD16" s="387"/>
      <c r="ABE16" s="387"/>
      <c r="ABF16" s="387"/>
      <c r="ABG16" s="387"/>
      <c r="ABH16" s="387"/>
      <c r="ABI16" s="387"/>
      <c r="ABJ16" s="387"/>
      <c r="ABK16" s="387"/>
      <c r="ABL16" s="387"/>
      <c r="ABM16" s="387"/>
      <c r="ABN16" s="387"/>
      <c r="ABO16" s="387"/>
      <c r="ABP16" s="387"/>
      <c r="ABQ16" s="387"/>
      <c r="ABR16" s="387"/>
      <c r="ABS16" s="387"/>
      <c r="ABT16" s="387"/>
      <c r="ABU16" s="387"/>
      <c r="ABV16" s="387"/>
      <c r="ABW16" s="387"/>
      <c r="ABX16" s="387"/>
      <c r="ABY16" s="387"/>
      <c r="ABZ16" s="387"/>
      <c r="ACA16" s="387"/>
      <c r="ACB16" s="387"/>
      <c r="ACC16" s="387"/>
      <c r="ACD16" s="387"/>
      <c r="ACE16" s="387"/>
      <c r="ACF16" s="387"/>
      <c r="ACG16" s="387"/>
      <c r="ACH16" s="387"/>
      <c r="ACI16" s="387"/>
      <c r="ACJ16" s="387"/>
      <c r="ACK16" s="387"/>
      <c r="ACL16" s="387"/>
      <c r="ACM16" s="387"/>
      <c r="ACN16" s="387"/>
      <c r="ACO16" s="387"/>
      <c r="ACP16" s="387"/>
      <c r="ACQ16" s="387"/>
      <c r="ACR16" s="387"/>
      <c r="ACS16" s="387"/>
      <c r="ACT16" s="387"/>
      <c r="ACU16" s="387"/>
      <c r="ACV16" s="387"/>
      <c r="ACW16" s="387"/>
      <c r="ACX16" s="387"/>
      <c r="ACY16" s="387"/>
      <c r="ACZ16" s="387"/>
      <c r="ADA16" s="387"/>
      <c r="ADB16" s="387"/>
      <c r="ADC16" s="387"/>
      <c r="ADD16" s="387"/>
      <c r="ADE16" s="387"/>
      <c r="ADF16" s="387"/>
      <c r="ADG16" s="387"/>
      <c r="ADH16" s="387"/>
      <c r="ADI16" s="387"/>
      <c r="ADJ16" s="387"/>
      <c r="ADK16" s="387"/>
      <c r="ADL16" s="387"/>
      <c r="ADM16" s="387"/>
      <c r="ADN16" s="387"/>
      <c r="ADO16" s="387"/>
      <c r="ADP16" s="387"/>
      <c r="ADQ16" s="387"/>
      <c r="ADR16" s="387"/>
      <c r="ADS16" s="387"/>
      <c r="ADT16" s="387"/>
      <c r="ADU16" s="387"/>
      <c r="ADV16" s="387"/>
      <c r="ADW16" s="387"/>
      <c r="ADX16" s="387"/>
      <c r="ADY16" s="387"/>
      <c r="ADZ16" s="387"/>
      <c r="AEA16" s="387"/>
      <c r="AEB16" s="387"/>
      <c r="AEC16" s="387"/>
      <c r="AED16" s="387"/>
      <c r="AEE16" s="387"/>
      <c r="AEF16" s="387"/>
      <c r="AEG16" s="387"/>
      <c r="AEH16" s="387"/>
      <c r="AEI16" s="387"/>
      <c r="AEJ16" s="387"/>
      <c r="AEK16" s="387"/>
      <c r="AEL16" s="387"/>
      <c r="AEM16" s="387"/>
      <c r="AEN16" s="387"/>
      <c r="AEO16" s="387"/>
      <c r="AEP16" s="387"/>
      <c r="AEQ16" s="387"/>
      <c r="AER16" s="387"/>
      <c r="AES16" s="387"/>
      <c r="AET16" s="387"/>
      <c r="AEU16" s="387"/>
      <c r="AEV16" s="387"/>
      <c r="AEW16" s="387"/>
      <c r="AEX16" s="387"/>
      <c r="AEY16" s="387"/>
      <c r="AEZ16" s="387"/>
      <c r="AFA16" s="387"/>
      <c r="AFB16" s="387"/>
      <c r="AFC16" s="387"/>
      <c r="AFD16" s="387"/>
      <c r="AFE16" s="387"/>
      <c r="AFF16" s="387"/>
      <c r="AFG16" s="387"/>
      <c r="AFH16" s="387"/>
      <c r="AFI16" s="387"/>
      <c r="AFJ16" s="387"/>
      <c r="AFK16" s="387"/>
      <c r="AFL16" s="387"/>
      <c r="AFM16" s="387"/>
      <c r="AFN16" s="387"/>
      <c r="AFO16" s="387"/>
      <c r="AFP16" s="387"/>
      <c r="AFQ16" s="387"/>
      <c r="AFR16" s="387"/>
      <c r="AFS16" s="387"/>
      <c r="AFT16" s="387"/>
      <c r="AFU16" s="387"/>
      <c r="AFV16" s="387"/>
      <c r="AFW16" s="387"/>
      <c r="AFX16" s="387"/>
      <c r="AFY16" s="387"/>
      <c r="AFZ16" s="387"/>
      <c r="AGA16" s="387"/>
      <c r="AGB16" s="387"/>
      <c r="AGC16" s="387"/>
      <c r="AGD16" s="387"/>
      <c r="AGE16" s="387"/>
      <c r="AGF16" s="387"/>
      <c r="AGG16" s="387"/>
      <c r="AGH16" s="387"/>
      <c r="AGI16" s="387"/>
      <c r="AGJ16" s="387"/>
      <c r="AGK16" s="387"/>
      <c r="AGL16" s="387"/>
      <c r="AGM16" s="387"/>
      <c r="AGN16" s="387"/>
      <c r="AGO16" s="387"/>
      <c r="AGP16" s="387"/>
      <c r="AGQ16" s="387"/>
      <c r="AGR16" s="387"/>
      <c r="AGS16" s="387"/>
      <c r="AGT16" s="387"/>
      <c r="AGU16" s="387"/>
      <c r="AGV16" s="387"/>
      <c r="AGW16" s="387"/>
      <c r="AGX16" s="387"/>
      <c r="AGY16" s="387"/>
      <c r="AGZ16" s="387"/>
      <c r="AHA16" s="387"/>
      <c r="AHB16" s="387"/>
      <c r="AHC16" s="387"/>
      <c r="AHD16" s="387"/>
      <c r="AHE16" s="387"/>
      <c r="AHF16" s="387"/>
      <c r="AHG16" s="387"/>
      <c r="AHH16" s="387"/>
      <c r="AHI16" s="387"/>
      <c r="AHJ16" s="387"/>
      <c r="AHK16" s="387"/>
      <c r="AHL16" s="387"/>
      <c r="AHM16" s="387"/>
      <c r="AHN16" s="387"/>
      <c r="AHO16" s="387"/>
      <c r="AHP16" s="387"/>
      <c r="AHQ16" s="387"/>
      <c r="AHR16" s="387"/>
      <c r="AHS16" s="387"/>
      <c r="AHT16" s="387"/>
      <c r="AHU16" s="387"/>
      <c r="AHV16" s="387"/>
      <c r="AHW16" s="387"/>
      <c r="AHX16" s="387"/>
      <c r="AHY16" s="387"/>
      <c r="AHZ16" s="387"/>
      <c r="AIA16" s="387"/>
      <c r="AIB16" s="387"/>
      <c r="AIC16" s="387"/>
      <c r="AID16" s="387"/>
      <c r="AIE16" s="387"/>
      <c r="AIF16" s="387"/>
      <c r="AIG16" s="387"/>
      <c r="AIH16" s="387"/>
      <c r="AII16" s="387"/>
      <c r="AIJ16" s="387"/>
      <c r="AIK16" s="387"/>
      <c r="AIL16" s="387"/>
      <c r="AIM16" s="387"/>
      <c r="AIN16" s="387"/>
      <c r="AIO16" s="387"/>
      <c r="AIP16" s="387"/>
      <c r="AIQ16" s="387"/>
      <c r="AIR16" s="387"/>
      <c r="AIS16" s="387"/>
      <c r="AIT16" s="387"/>
      <c r="AIU16" s="387"/>
      <c r="AIV16" s="387"/>
      <c r="AIW16" s="387"/>
      <c r="AIX16" s="387"/>
      <c r="AIY16" s="387"/>
      <c r="AIZ16" s="387"/>
      <c r="AJA16" s="387"/>
      <c r="AJB16" s="387"/>
      <c r="AJC16" s="387"/>
      <c r="AJD16" s="387"/>
      <c r="AJE16" s="387"/>
      <c r="AJF16" s="387"/>
      <c r="AJG16" s="387"/>
      <c r="AJH16" s="387"/>
      <c r="AJI16" s="387"/>
      <c r="AJJ16" s="387"/>
      <c r="AJK16" s="387"/>
      <c r="AJL16" s="387"/>
      <c r="AJM16" s="387"/>
      <c r="AJN16" s="387"/>
      <c r="AJO16" s="387"/>
      <c r="AJP16" s="387"/>
      <c r="AJQ16" s="387"/>
      <c r="AJR16" s="387"/>
      <c r="AJS16" s="387"/>
      <c r="AJT16" s="387"/>
      <c r="AJU16" s="387"/>
      <c r="AJV16" s="387"/>
      <c r="AJW16" s="387"/>
      <c r="AJX16" s="387"/>
      <c r="AJY16" s="387"/>
      <c r="AJZ16" s="387"/>
      <c r="AKA16" s="387"/>
      <c r="AKB16" s="387"/>
      <c r="AKC16" s="387"/>
      <c r="AKD16" s="387"/>
      <c r="AKE16" s="387"/>
      <c r="AKF16" s="387"/>
      <c r="AKG16" s="387"/>
      <c r="AKH16" s="387"/>
      <c r="AKI16" s="387"/>
      <c r="AKJ16" s="387"/>
      <c r="AKK16" s="387"/>
      <c r="AKL16" s="387"/>
      <c r="AKM16" s="387"/>
      <c r="AKN16" s="387"/>
      <c r="AKO16" s="387"/>
      <c r="AKP16" s="387"/>
      <c r="AKQ16" s="387"/>
      <c r="AKR16" s="387"/>
      <c r="AKS16" s="387"/>
      <c r="AKT16" s="387"/>
      <c r="AKU16" s="387"/>
      <c r="AKV16" s="387"/>
      <c r="AKW16" s="387"/>
      <c r="AKX16" s="387"/>
      <c r="AKY16" s="387"/>
      <c r="AKZ16" s="387"/>
      <c r="ALA16" s="387"/>
      <c r="ALB16" s="387"/>
      <c r="ALC16" s="387"/>
      <c r="ALD16" s="387"/>
      <c r="ALE16" s="387"/>
      <c r="ALF16" s="387"/>
      <c r="ALG16" s="387"/>
      <c r="ALH16" s="387"/>
      <c r="ALI16" s="387"/>
      <c r="ALJ16" s="387"/>
      <c r="ALK16" s="387"/>
      <c r="ALL16" s="387"/>
      <c r="ALM16" s="387"/>
      <c r="ALN16" s="387"/>
      <c r="ALO16" s="387"/>
      <c r="ALP16" s="387"/>
      <c r="ALQ16" s="387"/>
      <c r="ALR16" s="387"/>
      <c r="ALS16" s="387"/>
      <c r="ALT16" s="387"/>
      <c r="ALU16" s="387"/>
      <c r="ALV16" s="387"/>
      <c r="ALW16" s="387"/>
      <c r="ALX16" s="387"/>
      <c r="ALY16" s="387"/>
      <c r="ALZ16" s="387"/>
      <c r="AMA16" s="387"/>
      <c r="AMB16" s="387"/>
      <c r="AMC16" s="387"/>
      <c r="AMD16" s="387"/>
      <c r="AME16" s="387"/>
      <c r="AMF16" s="387"/>
      <c r="AMG16" s="387"/>
      <c r="AMH16" s="387"/>
      <c r="AMI16" s="387"/>
      <c r="AMJ16" s="387"/>
      <c r="AMK16" s="387"/>
      <c r="AML16" s="387"/>
      <c r="AMM16" s="387"/>
      <c r="AMN16" s="387"/>
      <c r="AMO16" s="387"/>
      <c r="AMP16" s="387"/>
      <c r="AMQ16" s="387"/>
      <c r="AMR16" s="387"/>
      <c r="AMS16" s="387"/>
      <c r="AMT16" s="387"/>
      <c r="AMU16" s="387"/>
      <c r="AMV16" s="387"/>
      <c r="AMW16" s="387"/>
      <c r="AMX16" s="387"/>
      <c r="AMY16" s="387"/>
      <c r="AMZ16" s="387"/>
      <c r="ANA16" s="387"/>
      <c r="ANB16" s="387"/>
      <c r="ANC16" s="387"/>
      <c r="AND16" s="387"/>
      <c r="ANE16" s="387"/>
      <c r="ANF16" s="387"/>
      <c r="ANG16" s="387"/>
      <c r="ANH16" s="387"/>
      <c r="ANI16" s="387"/>
      <c r="ANJ16" s="387"/>
      <c r="ANK16" s="387"/>
      <c r="ANL16" s="387"/>
      <c r="ANM16" s="387"/>
      <c r="ANN16" s="387"/>
      <c r="ANO16" s="387"/>
      <c r="ANP16" s="387"/>
      <c r="ANQ16" s="387"/>
      <c r="ANR16" s="387"/>
      <c r="ANS16" s="387"/>
      <c r="ANT16" s="387"/>
      <c r="ANU16" s="387"/>
      <c r="ANV16" s="387"/>
      <c r="ANW16" s="387"/>
      <c r="ANX16" s="387"/>
      <c r="ANY16" s="387"/>
      <c r="ANZ16" s="387"/>
      <c r="AOA16" s="387"/>
      <c r="AOB16" s="387"/>
      <c r="AOC16" s="387"/>
      <c r="AOD16" s="387"/>
      <c r="AOE16" s="387"/>
      <c r="AOF16" s="387"/>
      <c r="AOG16" s="387"/>
      <c r="AOH16" s="387"/>
      <c r="AOI16" s="387"/>
      <c r="AOJ16" s="387"/>
      <c r="AOK16" s="387"/>
      <c r="AOL16" s="387"/>
      <c r="AOM16" s="387"/>
      <c r="AON16" s="387"/>
      <c r="AOO16" s="387"/>
      <c r="AOP16" s="387"/>
      <c r="AOQ16" s="387"/>
      <c r="AOR16" s="387"/>
      <c r="AOS16" s="387"/>
      <c r="AOT16" s="387"/>
      <c r="AOU16" s="387"/>
      <c r="AOV16" s="387"/>
      <c r="AOW16" s="387"/>
      <c r="AOX16" s="387"/>
      <c r="AOY16" s="387"/>
      <c r="AOZ16" s="387"/>
      <c r="APA16" s="387"/>
      <c r="APB16" s="387"/>
      <c r="APC16" s="387"/>
      <c r="APD16" s="387"/>
      <c r="APE16" s="387"/>
      <c r="APF16" s="387"/>
      <c r="APG16" s="387"/>
      <c r="APH16" s="387"/>
      <c r="API16" s="387"/>
      <c r="APJ16" s="387"/>
      <c r="APK16" s="387"/>
      <c r="APL16" s="387"/>
      <c r="APM16" s="387"/>
      <c r="APN16" s="387"/>
      <c r="APO16" s="387"/>
      <c r="APP16" s="387"/>
      <c r="APQ16" s="387"/>
      <c r="APR16" s="387"/>
      <c r="APS16" s="387"/>
      <c r="APT16" s="387"/>
      <c r="APU16" s="387"/>
      <c r="APV16" s="387"/>
      <c r="APW16" s="387"/>
      <c r="APX16" s="387"/>
      <c r="APY16" s="387"/>
      <c r="APZ16" s="387"/>
      <c r="AQA16" s="387"/>
      <c r="AQB16" s="387"/>
      <c r="AQC16" s="387"/>
      <c r="AQD16" s="387"/>
      <c r="AQE16" s="387"/>
      <c r="AQF16" s="387"/>
      <c r="AQG16" s="387"/>
      <c r="AQH16" s="387"/>
      <c r="AQI16" s="387"/>
      <c r="AQJ16" s="387"/>
      <c r="AQK16" s="387"/>
      <c r="AQL16" s="387"/>
      <c r="AQM16" s="387"/>
      <c r="AQN16" s="387"/>
      <c r="AQO16" s="387"/>
      <c r="AQP16" s="387"/>
      <c r="AQQ16" s="387"/>
      <c r="AQR16" s="387"/>
      <c r="AQS16" s="387"/>
      <c r="AQT16" s="387"/>
      <c r="AQU16" s="387"/>
      <c r="AQV16" s="387"/>
      <c r="AQW16" s="387"/>
      <c r="AQX16" s="387"/>
      <c r="AQY16" s="387"/>
      <c r="AQZ16" s="387"/>
      <c r="ARA16" s="387"/>
      <c r="ARB16" s="387"/>
      <c r="ARC16" s="387"/>
      <c r="ARD16" s="387"/>
      <c r="ARE16" s="387"/>
      <c r="ARF16" s="387"/>
      <c r="ARG16" s="387"/>
      <c r="ARH16" s="387"/>
      <c r="ARI16" s="387"/>
      <c r="ARJ16" s="387"/>
      <c r="ARK16" s="387"/>
      <c r="ARL16" s="387"/>
      <c r="ARM16" s="387"/>
      <c r="ARN16" s="387"/>
      <c r="ARO16" s="387"/>
      <c r="ARP16" s="387"/>
      <c r="ARQ16" s="387"/>
      <c r="ARR16" s="387"/>
      <c r="ARS16" s="387"/>
      <c r="ART16" s="387"/>
      <c r="ARU16" s="387"/>
      <c r="ARV16" s="387"/>
      <c r="ARW16" s="387"/>
      <c r="ARX16" s="387"/>
      <c r="ARY16" s="387"/>
      <c r="ARZ16" s="387"/>
      <c r="ASA16" s="387"/>
      <c r="ASB16" s="387"/>
      <c r="ASC16" s="387"/>
      <c r="ASD16" s="387"/>
      <c r="ASE16" s="387"/>
      <c r="ASF16" s="387"/>
      <c r="ASG16" s="387"/>
      <c r="ASH16" s="387"/>
      <c r="ASI16" s="387"/>
      <c r="ASJ16" s="387"/>
      <c r="ASK16" s="387"/>
      <c r="ASL16" s="387"/>
      <c r="ASM16" s="387"/>
      <c r="ASN16" s="387"/>
      <c r="ASO16" s="387"/>
      <c r="ASP16" s="387"/>
      <c r="ASQ16" s="387"/>
      <c r="ASR16" s="387"/>
      <c r="ASS16" s="387"/>
      <c r="AST16" s="387"/>
      <c r="ASU16" s="387"/>
      <c r="ASV16" s="387"/>
      <c r="ASW16" s="387"/>
      <c r="ASX16" s="387"/>
      <c r="ASY16" s="387"/>
      <c r="ASZ16" s="387"/>
      <c r="ATA16" s="387"/>
      <c r="ATB16" s="387"/>
      <c r="ATC16" s="387"/>
      <c r="ATD16" s="387"/>
      <c r="ATE16" s="387"/>
      <c r="ATF16" s="387"/>
      <c r="ATG16" s="387"/>
      <c r="ATH16" s="387"/>
      <c r="ATI16" s="387"/>
      <c r="ATJ16" s="387"/>
      <c r="ATK16" s="387"/>
      <c r="ATL16" s="387"/>
      <c r="ATM16" s="387"/>
      <c r="ATN16" s="387"/>
      <c r="ATO16" s="387"/>
      <c r="ATP16" s="387"/>
      <c r="ATQ16" s="387"/>
      <c r="ATR16" s="387"/>
      <c r="ATS16" s="387"/>
      <c r="ATT16" s="387"/>
      <c r="ATU16" s="387"/>
      <c r="ATV16" s="387"/>
      <c r="ATW16" s="387"/>
      <c r="ATX16" s="387"/>
      <c r="ATY16" s="387"/>
      <c r="ATZ16" s="387"/>
      <c r="AUA16" s="387"/>
      <c r="AUB16" s="387"/>
      <c r="AUC16" s="387"/>
      <c r="AUD16" s="387"/>
      <c r="AUE16" s="387"/>
      <c r="AUF16" s="387"/>
      <c r="AUG16" s="387"/>
      <c r="AUH16" s="387"/>
      <c r="AUI16" s="387"/>
      <c r="AUJ16" s="387"/>
      <c r="AUK16" s="387"/>
      <c r="AUL16" s="387"/>
      <c r="AUM16" s="387"/>
      <c r="AUN16" s="387"/>
      <c r="AUO16" s="387"/>
      <c r="AUP16" s="387"/>
      <c r="AUQ16" s="387"/>
      <c r="AUR16" s="387"/>
      <c r="AUS16" s="387"/>
      <c r="AUT16" s="387"/>
      <c r="AUU16" s="387"/>
      <c r="AUV16" s="387"/>
      <c r="AUW16" s="387"/>
      <c r="AUX16" s="387"/>
      <c r="AUY16" s="387"/>
      <c r="AUZ16" s="387"/>
      <c r="AVA16" s="387"/>
      <c r="AVB16" s="387"/>
      <c r="AVC16" s="387"/>
      <c r="AVD16" s="387"/>
      <c r="AVE16" s="387"/>
      <c r="AVF16" s="387"/>
      <c r="AVG16" s="387"/>
      <c r="AVH16" s="387"/>
      <c r="AVI16" s="387"/>
      <c r="AVJ16" s="387"/>
      <c r="AVK16" s="387"/>
      <c r="AVL16" s="387"/>
      <c r="AVM16" s="387"/>
      <c r="AVN16" s="387"/>
      <c r="AVO16" s="387"/>
      <c r="AVP16" s="387"/>
      <c r="AVQ16" s="387"/>
      <c r="AVR16" s="387"/>
      <c r="AVS16" s="387"/>
      <c r="AVT16" s="387"/>
      <c r="AVU16" s="387"/>
      <c r="AVV16" s="387"/>
      <c r="AVW16" s="387"/>
      <c r="AVX16" s="387"/>
      <c r="AVY16" s="387"/>
      <c r="AVZ16" s="387"/>
      <c r="AWA16" s="387"/>
      <c r="AWB16" s="387"/>
      <c r="AWC16" s="387"/>
      <c r="AWD16" s="387"/>
      <c r="AWE16" s="387"/>
      <c r="AWF16" s="387"/>
      <c r="AWG16" s="387"/>
      <c r="AWH16" s="387"/>
      <c r="AWI16" s="387"/>
      <c r="AWJ16" s="387"/>
      <c r="AWK16" s="387"/>
      <c r="AWL16" s="387"/>
      <c r="AWM16" s="387"/>
      <c r="AWN16" s="387"/>
      <c r="AWO16" s="387"/>
      <c r="AWP16" s="387"/>
      <c r="AWQ16" s="387"/>
      <c r="AWR16" s="387"/>
      <c r="AWS16" s="387"/>
      <c r="AWT16" s="387"/>
      <c r="AWU16" s="387"/>
      <c r="AWV16" s="387"/>
      <c r="AWW16" s="387"/>
      <c r="AWX16" s="387"/>
      <c r="AWY16" s="387"/>
      <c r="AWZ16" s="387"/>
      <c r="AXA16" s="387"/>
      <c r="AXB16" s="387"/>
      <c r="AXC16" s="387"/>
      <c r="AXD16" s="387"/>
      <c r="AXE16" s="387"/>
      <c r="AXF16" s="387"/>
      <c r="AXG16" s="387"/>
      <c r="AXH16" s="387"/>
      <c r="AXI16" s="387"/>
      <c r="AXJ16" s="387"/>
      <c r="AXK16" s="387"/>
      <c r="AXL16" s="387"/>
      <c r="AXM16" s="387"/>
      <c r="AXN16" s="387"/>
      <c r="AXO16" s="387"/>
      <c r="AXP16" s="387"/>
      <c r="AXQ16" s="387"/>
      <c r="AXR16" s="387"/>
      <c r="AXS16" s="387"/>
      <c r="AXT16" s="387"/>
      <c r="AXU16" s="387"/>
      <c r="AXV16" s="387"/>
      <c r="AXW16" s="387"/>
      <c r="AXX16" s="387"/>
      <c r="AXY16" s="387"/>
      <c r="AXZ16" s="387"/>
      <c r="AYA16" s="387"/>
      <c r="AYB16" s="387"/>
      <c r="AYC16" s="387"/>
      <c r="AYD16" s="387"/>
      <c r="AYE16" s="387"/>
      <c r="AYF16" s="387"/>
      <c r="AYG16" s="387"/>
      <c r="AYH16" s="387"/>
      <c r="AYI16" s="387"/>
      <c r="AYJ16" s="387"/>
      <c r="AYK16" s="387"/>
      <c r="AYL16" s="387"/>
      <c r="AYM16" s="387"/>
      <c r="AYN16" s="387"/>
      <c r="AYO16" s="387"/>
      <c r="AYP16" s="387"/>
      <c r="AYQ16" s="387"/>
      <c r="AYR16" s="387"/>
      <c r="AYS16" s="387"/>
      <c r="AYT16" s="387"/>
      <c r="AYU16" s="387"/>
      <c r="AYV16" s="387"/>
      <c r="AYW16" s="387"/>
      <c r="AYX16" s="387"/>
      <c r="AYY16" s="387"/>
      <c r="AYZ16" s="387"/>
      <c r="AZA16" s="387"/>
      <c r="AZB16" s="387"/>
      <c r="AZC16" s="387"/>
      <c r="AZD16" s="387"/>
      <c r="AZE16" s="387"/>
      <c r="AZF16" s="387"/>
      <c r="AZG16" s="387"/>
      <c r="AZH16" s="387"/>
      <c r="AZI16" s="387"/>
      <c r="AZJ16" s="387"/>
      <c r="AZK16" s="387"/>
      <c r="AZL16" s="387"/>
      <c r="AZM16" s="387"/>
      <c r="AZN16" s="387"/>
      <c r="AZO16" s="387"/>
      <c r="AZP16" s="387"/>
      <c r="AZQ16" s="387"/>
      <c r="AZR16" s="387"/>
      <c r="AZS16" s="387"/>
      <c r="AZT16" s="387"/>
      <c r="AZU16" s="387"/>
      <c r="AZV16" s="387"/>
      <c r="AZW16" s="387"/>
      <c r="AZX16" s="387"/>
      <c r="AZY16" s="387"/>
      <c r="AZZ16" s="387"/>
      <c r="BAA16" s="387"/>
      <c r="BAB16" s="387"/>
      <c r="BAC16" s="387"/>
      <c r="BAD16" s="387"/>
      <c r="BAE16" s="387"/>
      <c r="BAF16" s="387"/>
      <c r="BAG16" s="387"/>
      <c r="BAH16" s="387"/>
      <c r="BAI16" s="387"/>
      <c r="BAJ16" s="387"/>
      <c r="BAK16" s="387"/>
      <c r="BAL16" s="387"/>
      <c r="BAM16" s="387"/>
      <c r="BAN16" s="387"/>
      <c r="BAO16" s="387"/>
      <c r="BAP16" s="387"/>
      <c r="BAQ16" s="387"/>
      <c r="BAR16" s="387"/>
      <c r="BAS16" s="387"/>
      <c r="BAT16" s="387"/>
      <c r="BAU16" s="387"/>
      <c r="BAV16" s="387"/>
      <c r="BAW16" s="387"/>
      <c r="BAX16" s="387"/>
      <c r="BAY16" s="387"/>
      <c r="BAZ16" s="387"/>
      <c r="BBA16" s="387"/>
      <c r="BBB16" s="387"/>
      <c r="BBC16" s="387"/>
      <c r="BBD16" s="387"/>
      <c r="BBE16" s="387"/>
      <c r="BBF16" s="387"/>
      <c r="BBG16" s="387"/>
      <c r="BBH16" s="387"/>
      <c r="BBI16" s="387"/>
      <c r="BBJ16" s="387"/>
      <c r="BBK16" s="387"/>
      <c r="BBL16" s="387"/>
      <c r="BBM16" s="387"/>
      <c r="BBN16" s="387"/>
      <c r="BBO16" s="387"/>
      <c r="BBP16" s="387"/>
      <c r="BBQ16" s="387"/>
      <c r="BBR16" s="387"/>
      <c r="BBS16" s="387"/>
      <c r="BBT16" s="387"/>
      <c r="BBU16" s="387"/>
      <c r="BBV16" s="387"/>
      <c r="BBW16" s="387"/>
      <c r="BBX16" s="387"/>
      <c r="BBY16" s="387"/>
      <c r="BBZ16" s="387"/>
      <c r="BCA16" s="387"/>
      <c r="BCB16" s="387"/>
      <c r="BCC16" s="387"/>
      <c r="BCD16" s="387"/>
      <c r="BCE16" s="387"/>
      <c r="BCF16" s="387"/>
      <c r="BCG16" s="387"/>
      <c r="BCH16" s="387"/>
      <c r="BCI16" s="387"/>
      <c r="BCJ16" s="387"/>
      <c r="BCK16" s="387"/>
      <c r="BCL16" s="387"/>
      <c r="BCM16" s="387"/>
      <c r="BCN16" s="387"/>
      <c r="BCO16" s="387"/>
      <c r="BCP16" s="387"/>
      <c r="BCQ16" s="387"/>
      <c r="BCR16" s="387"/>
      <c r="BCS16" s="387"/>
      <c r="BCT16" s="387"/>
      <c r="BCU16" s="387"/>
      <c r="BCV16" s="387"/>
      <c r="BCW16" s="387"/>
      <c r="BCX16" s="387"/>
      <c r="BCY16" s="387"/>
      <c r="BCZ16" s="387"/>
      <c r="BDA16" s="387"/>
      <c r="BDB16" s="387"/>
      <c r="BDC16" s="387"/>
      <c r="BDD16" s="387"/>
      <c r="BDE16" s="387"/>
      <c r="BDF16" s="387"/>
      <c r="BDG16" s="387"/>
      <c r="BDH16" s="387"/>
      <c r="BDI16" s="387"/>
      <c r="BDJ16" s="387"/>
      <c r="BDK16" s="387"/>
      <c r="BDL16" s="387"/>
      <c r="BDM16" s="387"/>
      <c r="BDN16" s="387"/>
      <c r="BDO16" s="387"/>
      <c r="BDP16" s="387"/>
      <c r="BDQ16" s="387"/>
      <c r="BDR16" s="387"/>
      <c r="BDS16" s="387"/>
      <c r="BDT16" s="387"/>
      <c r="BDU16" s="387"/>
      <c r="BDV16" s="387"/>
      <c r="BDW16" s="387"/>
      <c r="BDX16" s="387"/>
      <c r="BDY16" s="387"/>
      <c r="BDZ16" s="387"/>
      <c r="BEA16" s="387"/>
      <c r="BEB16" s="387"/>
      <c r="BEC16" s="387"/>
      <c r="BED16" s="387"/>
      <c r="BEE16" s="387"/>
      <c r="BEF16" s="387"/>
      <c r="BEG16" s="387"/>
      <c r="BEH16" s="387"/>
      <c r="BEI16" s="387"/>
      <c r="BEJ16" s="387"/>
      <c r="BEK16" s="387"/>
      <c r="BEL16" s="387"/>
      <c r="BEM16" s="387"/>
      <c r="BEN16" s="387"/>
      <c r="BEO16" s="387"/>
      <c r="BEP16" s="387"/>
      <c r="BEQ16" s="387"/>
      <c r="BER16" s="387"/>
      <c r="BES16" s="387"/>
      <c r="BET16" s="387"/>
      <c r="BEU16" s="387"/>
      <c r="BEV16" s="387"/>
      <c r="BEW16" s="387"/>
      <c r="BEX16" s="387"/>
      <c r="BEY16" s="387"/>
      <c r="BEZ16" s="387"/>
      <c r="BFA16" s="387"/>
      <c r="BFB16" s="387"/>
      <c r="BFC16" s="387"/>
      <c r="BFD16" s="387"/>
      <c r="BFE16" s="387"/>
      <c r="BFF16" s="387"/>
      <c r="BFG16" s="387"/>
      <c r="BFH16" s="387"/>
      <c r="BFI16" s="387"/>
      <c r="BFJ16" s="387"/>
      <c r="BFK16" s="387"/>
      <c r="BFL16" s="387"/>
      <c r="BFM16" s="387"/>
      <c r="BFN16" s="387"/>
      <c r="BFO16" s="387"/>
      <c r="BFP16" s="387"/>
      <c r="BFQ16" s="387"/>
      <c r="BFR16" s="387"/>
      <c r="BFS16" s="387"/>
      <c r="BFT16" s="387"/>
      <c r="BFU16" s="387"/>
      <c r="BFV16" s="387"/>
      <c r="BFW16" s="387"/>
      <c r="BFX16" s="387"/>
      <c r="BFY16" s="387"/>
      <c r="BFZ16" s="387"/>
      <c r="BGA16" s="387"/>
      <c r="BGB16" s="387"/>
      <c r="BGC16" s="387"/>
      <c r="BGD16" s="387"/>
      <c r="BGE16" s="387"/>
      <c r="BGF16" s="387"/>
      <c r="BGG16" s="387"/>
      <c r="BGH16" s="387"/>
      <c r="BGI16" s="387"/>
      <c r="BGJ16" s="387"/>
      <c r="BGK16" s="387"/>
      <c r="BGL16" s="387"/>
      <c r="BGM16" s="387"/>
      <c r="BGN16" s="387"/>
      <c r="BGO16" s="387"/>
      <c r="BGP16" s="387"/>
      <c r="BGQ16" s="387"/>
      <c r="BGR16" s="387"/>
      <c r="BGS16" s="387"/>
      <c r="BGT16" s="387"/>
      <c r="BGU16" s="387"/>
      <c r="BGV16" s="387"/>
      <c r="BGW16" s="387"/>
      <c r="BGX16" s="387"/>
      <c r="BGY16" s="387"/>
      <c r="BGZ16" s="387"/>
      <c r="BHA16" s="387"/>
      <c r="BHB16" s="387"/>
      <c r="BHC16" s="387"/>
      <c r="BHD16" s="387"/>
      <c r="BHE16" s="387"/>
      <c r="BHF16" s="387"/>
      <c r="BHG16" s="387"/>
      <c r="BHH16" s="387"/>
      <c r="BHI16" s="387"/>
      <c r="BHJ16" s="387"/>
      <c r="BHK16" s="387"/>
      <c r="BHL16" s="387"/>
      <c r="BHM16" s="387"/>
      <c r="BHN16" s="387"/>
      <c r="BHO16" s="387"/>
      <c r="BHP16" s="387"/>
      <c r="BHQ16" s="387"/>
      <c r="BHR16" s="387"/>
      <c r="BHS16" s="387"/>
      <c r="BHT16" s="387"/>
      <c r="BHU16" s="387"/>
      <c r="BHV16" s="387"/>
      <c r="BHW16" s="387"/>
      <c r="BHX16" s="387"/>
      <c r="BHY16" s="387"/>
      <c r="BHZ16" s="387"/>
      <c r="BIA16" s="387"/>
      <c r="BIB16" s="387"/>
      <c r="BIC16" s="387"/>
      <c r="BID16" s="387"/>
      <c r="BIE16" s="387"/>
      <c r="BIF16" s="387"/>
      <c r="BIG16" s="387"/>
      <c r="BIH16" s="387"/>
      <c r="BII16" s="387"/>
      <c r="BIJ16" s="387"/>
      <c r="BIK16" s="387"/>
      <c r="BIL16" s="387"/>
      <c r="BIM16" s="387"/>
      <c r="BIN16" s="387"/>
      <c r="BIO16" s="387"/>
      <c r="BIP16" s="387"/>
      <c r="BIQ16" s="387"/>
      <c r="BIR16" s="387"/>
      <c r="BIS16" s="387"/>
      <c r="BIT16" s="387"/>
      <c r="BIU16" s="387"/>
      <c r="BIV16" s="387"/>
      <c r="BIW16" s="387"/>
      <c r="BIX16" s="387"/>
      <c r="BIY16" s="387"/>
      <c r="BIZ16" s="387"/>
      <c r="BJA16" s="387"/>
      <c r="BJB16" s="387"/>
      <c r="BJC16" s="387"/>
      <c r="BJD16" s="387"/>
      <c r="BJE16" s="387"/>
      <c r="BJF16" s="387"/>
      <c r="BJG16" s="387"/>
      <c r="BJH16" s="387"/>
      <c r="BJI16" s="387"/>
      <c r="BJJ16" s="387"/>
      <c r="BJK16" s="387"/>
      <c r="BJL16" s="387"/>
      <c r="BJM16" s="387"/>
      <c r="BJN16" s="387"/>
      <c r="BJO16" s="387"/>
      <c r="BJP16" s="387"/>
      <c r="BJQ16" s="387"/>
      <c r="BJR16" s="387"/>
      <c r="BJS16" s="387"/>
      <c r="BJT16" s="387"/>
      <c r="BJU16" s="387"/>
      <c r="BJV16" s="387"/>
      <c r="BJW16" s="387"/>
      <c r="BJX16" s="387"/>
      <c r="BJY16" s="387"/>
      <c r="BJZ16" s="387"/>
      <c r="BKA16" s="387"/>
      <c r="BKB16" s="387"/>
      <c r="BKC16" s="387"/>
      <c r="BKD16" s="387"/>
      <c r="BKE16" s="387"/>
      <c r="BKF16" s="387"/>
      <c r="BKG16" s="387"/>
      <c r="BKH16" s="387"/>
      <c r="BKI16" s="387"/>
      <c r="BKJ16" s="387"/>
      <c r="BKK16" s="387"/>
      <c r="BKL16" s="387"/>
      <c r="BKM16" s="387"/>
      <c r="BKN16" s="387"/>
      <c r="BKO16" s="387"/>
      <c r="BKP16" s="387"/>
      <c r="BKQ16" s="387"/>
      <c r="BKR16" s="387"/>
      <c r="BKS16" s="387"/>
      <c r="BKT16" s="387"/>
      <c r="BKU16" s="387"/>
      <c r="BKV16" s="387"/>
      <c r="BKW16" s="387"/>
      <c r="BKX16" s="387"/>
      <c r="BKY16" s="387"/>
      <c r="BKZ16" s="387"/>
      <c r="BLA16" s="387"/>
      <c r="BLB16" s="387"/>
      <c r="BLC16" s="387"/>
      <c r="BLD16" s="387"/>
      <c r="BLE16" s="387"/>
      <c r="BLF16" s="387"/>
      <c r="BLG16" s="387"/>
      <c r="BLH16" s="387"/>
      <c r="BLI16" s="387"/>
      <c r="BLJ16" s="387"/>
      <c r="BLK16" s="387"/>
      <c r="BLL16" s="387"/>
      <c r="BLM16" s="387"/>
      <c r="BLN16" s="387"/>
      <c r="BLO16" s="387"/>
      <c r="BLP16" s="387"/>
      <c r="BLQ16" s="387"/>
      <c r="BLR16" s="387"/>
      <c r="BLS16" s="387"/>
      <c r="BLT16" s="387"/>
      <c r="BLU16" s="387"/>
      <c r="BLV16" s="387"/>
      <c r="BLW16" s="387"/>
      <c r="BLX16" s="387"/>
      <c r="BLY16" s="387"/>
      <c r="BLZ16" s="387"/>
      <c r="BMA16" s="387"/>
      <c r="BMB16" s="387"/>
      <c r="BMC16" s="387"/>
      <c r="BMD16" s="387"/>
      <c r="BME16" s="387"/>
      <c r="BMF16" s="387"/>
      <c r="BMG16" s="387"/>
      <c r="BMH16" s="387"/>
      <c r="BMI16" s="387"/>
      <c r="BMJ16" s="387"/>
      <c r="BMK16" s="387"/>
      <c r="BML16" s="387"/>
      <c r="BMM16" s="387"/>
      <c r="BMN16" s="387"/>
      <c r="BMO16" s="387"/>
      <c r="BMP16" s="387"/>
      <c r="BMQ16" s="387"/>
      <c r="BMR16" s="387"/>
      <c r="BMS16" s="387"/>
      <c r="BMT16" s="387"/>
      <c r="BMU16" s="387"/>
      <c r="BMV16" s="387"/>
      <c r="BMW16" s="387"/>
      <c r="BMX16" s="387"/>
      <c r="BMY16" s="387"/>
      <c r="BMZ16" s="387"/>
      <c r="BNA16" s="387"/>
      <c r="BNB16" s="387"/>
      <c r="BNC16" s="387"/>
      <c r="BND16" s="387"/>
      <c r="BNE16" s="387"/>
      <c r="BNF16" s="387"/>
      <c r="BNG16" s="387"/>
      <c r="BNH16" s="387"/>
      <c r="BNI16" s="387"/>
      <c r="BNJ16" s="387"/>
      <c r="BNK16" s="387"/>
      <c r="BNL16" s="387"/>
      <c r="BNM16" s="387"/>
      <c r="BNN16" s="387"/>
      <c r="BNO16" s="387"/>
      <c r="BNP16" s="387"/>
      <c r="BNQ16" s="387"/>
      <c r="BNR16" s="387"/>
      <c r="BNS16" s="387"/>
      <c r="BNT16" s="387"/>
      <c r="BNU16" s="387"/>
      <c r="BNV16" s="387"/>
      <c r="BNW16" s="387"/>
      <c r="BNX16" s="387"/>
      <c r="BNY16" s="387"/>
      <c r="BNZ16" s="387"/>
      <c r="BOA16" s="387"/>
      <c r="BOB16" s="387"/>
      <c r="BOC16" s="387"/>
      <c r="BOD16" s="387"/>
      <c r="BOE16" s="387"/>
      <c r="BOF16" s="387"/>
      <c r="BOG16" s="387"/>
      <c r="BOH16" s="387"/>
      <c r="BOI16" s="387"/>
      <c r="BOJ16" s="387"/>
      <c r="BOK16" s="387"/>
      <c r="BOL16" s="387"/>
      <c r="BOM16" s="387"/>
      <c r="BON16" s="387"/>
      <c r="BOO16" s="387"/>
      <c r="BOP16" s="387"/>
      <c r="BOQ16" s="387"/>
      <c r="BOR16" s="387"/>
      <c r="BOS16" s="387"/>
      <c r="BOT16" s="387"/>
      <c r="BOU16" s="387"/>
      <c r="BOV16" s="387"/>
      <c r="BOW16" s="387"/>
      <c r="BOX16" s="387"/>
      <c r="BOY16" s="387"/>
      <c r="BOZ16" s="387"/>
      <c r="BPA16" s="387"/>
      <c r="BPB16" s="387"/>
      <c r="BPC16" s="387"/>
      <c r="BPD16" s="387"/>
      <c r="BPE16" s="387"/>
      <c r="BPF16" s="387"/>
      <c r="BPG16" s="387"/>
      <c r="BPH16" s="387"/>
      <c r="BPI16" s="387"/>
      <c r="BPJ16" s="387"/>
      <c r="BPK16" s="387"/>
      <c r="BPL16" s="387"/>
      <c r="BPM16" s="387"/>
      <c r="BPN16" s="387"/>
      <c r="BPO16" s="387"/>
      <c r="BPP16" s="387"/>
      <c r="BPQ16" s="387"/>
      <c r="BPR16" s="387"/>
      <c r="BPS16" s="387"/>
      <c r="BPT16" s="387"/>
      <c r="BPU16" s="387"/>
      <c r="BPV16" s="387"/>
      <c r="BPW16" s="387"/>
      <c r="BPX16" s="387"/>
      <c r="BPY16" s="387"/>
      <c r="BPZ16" s="387"/>
      <c r="BQA16" s="387"/>
      <c r="BQB16" s="387"/>
      <c r="BQC16" s="387"/>
      <c r="BQD16" s="387"/>
      <c r="BQE16" s="387"/>
      <c r="BQF16" s="387"/>
      <c r="BQG16" s="387"/>
      <c r="BQH16" s="387"/>
      <c r="BQI16" s="387"/>
      <c r="BQJ16" s="387"/>
      <c r="BQK16" s="387"/>
      <c r="BQL16" s="387"/>
      <c r="BQM16" s="387"/>
      <c r="BQN16" s="387"/>
      <c r="BQO16" s="387"/>
      <c r="BQP16" s="387"/>
      <c r="BQQ16" s="387"/>
      <c r="BQR16" s="387"/>
      <c r="BQS16" s="387"/>
      <c r="BQT16" s="387"/>
      <c r="BQU16" s="387"/>
      <c r="BQV16" s="387"/>
      <c r="BQW16" s="387"/>
      <c r="BQX16" s="387"/>
      <c r="BQY16" s="387"/>
      <c r="BQZ16" s="387"/>
      <c r="BRA16" s="387"/>
      <c r="BRB16" s="387"/>
      <c r="BRC16" s="387"/>
      <c r="BRD16" s="387"/>
      <c r="BRE16" s="387"/>
      <c r="BRF16" s="387"/>
      <c r="BRG16" s="387"/>
      <c r="BRH16" s="387"/>
      <c r="BRI16" s="387"/>
      <c r="BRJ16" s="387"/>
      <c r="BRK16" s="387"/>
      <c r="BRL16" s="387"/>
      <c r="BRM16" s="387"/>
      <c r="BRN16" s="387"/>
      <c r="BRO16" s="387"/>
      <c r="BRP16" s="387"/>
      <c r="BRQ16" s="387"/>
      <c r="BRR16" s="387"/>
      <c r="BRS16" s="387"/>
      <c r="BRT16" s="387"/>
      <c r="BRU16" s="387"/>
      <c r="BRV16" s="387"/>
      <c r="BRW16" s="387"/>
      <c r="BRX16" s="387"/>
      <c r="BRY16" s="387"/>
      <c r="BRZ16" s="387"/>
      <c r="BSA16" s="387"/>
      <c r="BSB16" s="387"/>
      <c r="BSC16" s="387"/>
      <c r="BSD16" s="387"/>
      <c r="BSE16" s="387"/>
      <c r="BSF16" s="387"/>
      <c r="BSG16" s="387"/>
      <c r="BSH16" s="387"/>
      <c r="BSI16" s="387"/>
      <c r="BSJ16" s="387"/>
      <c r="BSK16" s="387"/>
      <c r="BSL16" s="387"/>
      <c r="BSM16" s="387"/>
      <c r="BSN16" s="387"/>
      <c r="BSO16" s="387"/>
      <c r="BSP16" s="387"/>
      <c r="BSQ16" s="387"/>
      <c r="BSR16" s="387"/>
      <c r="BSS16" s="387"/>
      <c r="BST16" s="387"/>
      <c r="BSU16" s="387"/>
      <c r="BSV16" s="387"/>
      <c r="BSW16" s="387"/>
      <c r="BSX16" s="387"/>
      <c r="BSY16" s="387"/>
      <c r="BSZ16" s="387"/>
      <c r="BTA16" s="387"/>
      <c r="BTB16" s="387"/>
      <c r="BTC16" s="387"/>
      <c r="BTD16" s="387"/>
      <c r="BTE16" s="387"/>
      <c r="BTF16" s="387"/>
      <c r="BTG16" s="387"/>
      <c r="BTH16" s="387"/>
      <c r="BTI16" s="387"/>
    </row>
    <row r="17" spans="1:1881" s="372" customFormat="1" ht="110.25" customHeight="1" x14ac:dyDescent="0.25">
      <c r="A17" s="447">
        <v>631</v>
      </c>
      <c r="B17" s="448" t="s">
        <v>674</v>
      </c>
      <c r="C17" s="444" t="s">
        <v>152</v>
      </c>
      <c r="D17" s="445" t="s">
        <v>902</v>
      </c>
      <c r="E17" s="449" t="s">
        <v>676</v>
      </c>
      <c r="F17" s="686"/>
      <c r="G17" s="450">
        <f>IF(F17&gt;F12,"Please review account numbers 631 &gt; 626",)</f>
        <v>0</v>
      </c>
      <c r="H17" s="432"/>
      <c r="I17" s="433"/>
      <c r="J17" s="362"/>
      <c r="K17" s="387"/>
      <c r="L17" s="674" t="s">
        <v>922</v>
      </c>
      <c r="M17" s="576"/>
      <c r="N17" s="594"/>
      <c r="O17" s="387"/>
      <c r="P17" s="387"/>
      <c r="Q17" s="387"/>
      <c r="R17"/>
      <c r="S17" s="682"/>
      <c r="T17" s="387"/>
      <c r="U17" s="387"/>
      <c r="V17" s="387"/>
      <c r="W17" s="387"/>
      <c r="X17" s="682"/>
      <c r="Y17" s="387"/>
      <c r="Z17" s="387"/>
      <c r="AA17" s="387"/>
      <c r="AB17" s="387"/>
      <c r="AC17" s="387"/>
      <c r="AD17" s="387"/>
      <c r="AE17" s="387"/>
      <c r="AF17" s="387"/>
      <c r="AG17" s="387"/>
      <c r="AH17" s="387"/>
      <c r="AI17" s="387"/>
      <c r="AJ17" s="387"/>
      <c r="AK17" s="387"/>
      <c r="AL17" s="387"/>
      <c r="AM17" s="387"/>
      <c r="AN17" s="387"/>
      <c r="AO17" s="387"/>
      <c r="AP17" s="387"/>
      <c r="AQ17" s="387"/>
      <c r="AR17" s="387"/>
      <c r="AS17" s="387"/>
      <c r="AT17" s="387"/>
      <c r="AU17" s="387"/>
      <c r="AV17" s="387"/>
      <c r="AW17" s="387"/>
      <c r="AX17" s="387"/>
      <c r="AY17" s="387"/>
      <c r="AZ17" s="387"/>
      <c r="BA17" s="387"/>
      <c r="BB17" s="387"/>
      <c r="BC17" s="387"/>
      <c r="BD17" s="387"/>
      <c r="BE17" s="387"/>
      <c r="BF17" s="387"/>
      <c r="BG17" s="387"/>
      <c r="BH17" s="387"/>
      <c r="BI17" s="387"/>
      <c r="BJ17" s="387"/>
      <c r="BK17" s="387"/>
      <c r="BL17" s="387"/>
      <c r="BM17" s="387"/>
      <c r="BN17" s="387"/>
      <c r="BO17" s="387"/>
      <c r="BP17" s="387"/>
      <c r="BQ17" s="387"/>
      <c r="BR17" s="387"/>
      <c r="BS17" s="387"/>
      <c r="BT17" s="387"/>
      <c r="BU17" s="387"/>
      <c r="BV17" s="387"/>
      <c r="BW17" s="387"/>
      <c r="BX17" s="387"/>
      <c r="BY17" s="387"/>
      <c r="BZ17" s="387"/>
      <c r="CA17" s="387"/>
      <c r="CB17" s="387"/>
      <c r="CC17" s="387"/>
      <c r="CD17" s="387"/>
      <c r="CE17" s="387"/>
      <c r="CF17" s="387"/>
      <c r="CG17" s="387"/>
      <c r="CH17" s="387"/>
      <c r="CI17" s="387"/>
      <c r="CJ17" s="387"/>
      <c r="CK17" s="387"/>
      <c r="CL17" s="387"/>
      <c r="CM17" s="387"/>
      <c r="CN17" s="387"/>
      <c r="CO17" s="387"/>
      <c r="CP17" s="387"/>
      <c r="CQ17" s="387"/>
      <c r="CR17" s="387"/>
      <c r="CS17" s="387"/>
      <c r="CT17" s="387"/>
      <c r="CU17" s="387"/>
      <c r="CV17" s="387"/>
      <c r="CW17" s="387"/>
      <c r="CX17" s="387"/>
      <c r="CY17" s="387"/>
      <c r="CZ17" s="387"/>
      <c r="DA17" s="387"/>
      <c r="DB17" s="387"/>
      <c r="DC17" s="387"/>
      <c r="DD17" s="387"/>
      <c r="DE17" s="387"/>
      <c r="DF17" s="387"/>
      <c r="DG17" s="387"/>
      <c r="DH17" s="387"/>
      <c r="DI17" s="387"/>
      <c r="DJ17" s="387"/>
      <c r="DK17" s="387"/>
      <c r="DL17" s="387"/>
      <c r="DM17" s="387"/>
      <c r="DN17" s="387"/>
      <c r="DO17" s="387"/>
      <c r="DP17" s="387"/>
      <c r="DQ17" s="387"/>
      <c r="DR17" s="387"/>
      <c r="DS17" s="387"/>
      <c r="DT17" s="387"/>
      <c r="DU17" s="387"/>
      <c r="DV17" s="387"/>
      <c r="DW17" s="387"/>
      <c r="DX17" s="387"/>
      <c r="DY17" s="387"/>
      <c r="DZ17" s="387"/>
      <c r="EA17" s="387"/>
      <c r="EB17" s="387"/>
      <c r="EC17" s="387"/>
      <c r="ED17" s="387"/>
      <c r="EE17" s="387"/>
      <c r="EF17" s="387"/>
      <c r="EG17" s="387"/>
      <c r="EH17" s="387"/>
      <c r="EI17" s="387"/>
      <c r="EJ17" s="387"/>
      <c r="EK17" s="387"/>
      <c r="EL17" s="387"/>
      <c r="EM17" s="387"/>
      <c r="EN17" s="387"/>
      <c r="EO17" s="387"/>
      <c r="EP17" s="387"/>
      <c r="EQ17" s="387"/>
      <c r="ER17" s="387"/>
      <c r="ES17" s="387"/>
      <c r="ET17" s="387"/>
      <c r="EU17" s="387"/>
      <c r="EV17" s="387"/>
      <c r="EW17" s="387"/>
      <c r="EX17" s="387"/>
      <c r="EY17" s="387"/>
      <c r="EZ17" s="387"/>
      <c r="FA17" s="387"/>
      <c r="FB17" s="387"/>
      <c r="FC17" s="387"/>
      <c r="FD17" s="387"/>
      <c r="FE17" s="387"/>
      <c r="FF17" s="387"/>
      <c r="FG17" s="387"/>
      <c r="FH17" s="387"/>
      <c r="FI17" s="387"/>
      <c r="FJ17" s="387"/>
      <c r="FK17" s="387"/>
      <c r="FL17" s="387"/>
      <c r="FM17" s="387"/>
      <c r="FN17" s="387"/>
      <c r="FO17" s="387"/>
      <c r="FP17" s="387"/>
      <c r="FQ17" s="387"/>
      <c r="FR17" s="387"/>
      <c r="FS17" s="387"/>
      <c r="FT17" s="387"/>
      <c r="FU17" s="387"/>
      <c r="FV17" s="387"/>
      <c r="FW17" s="387"/>
      <c r="FX17" s="387"/>
      <c r="FY17" s="387"/>
      <c r="FZ17" s="387"/>
      <c r="GA17" s="387"/>
      <c r="GB17" s="387"/>
      <c r="GC17" s="387"/>
      <c r="GD17" s="387"/>
      <c r="GE17" s="387"/>
      <c r="GF17" s="387"/>
      <c r="GG17" s="387"/>
      <c r="GH17" s="387"/>
      <c r="GI17" s="387"/>
      <c r="GJ17" s="387"/>
      <c r="GK17" s="387"/>
      <c r="GL17" s="387"/>
      <c r="GM17" s="387"/>
      <c r="GN17" s="387"/>
      <c r="GO17" s="387"/>
      <c r="GP17" s="387"/>
      <c r="GQ17" s="387"/>
      <c r="GR17" s="387"/>
      <c r="GS17" s="387"/>
      <c r="GT17" s="387"/>
      <c r="GU17" s="387"/>
      <c r="GV17" s="387"/>
      <c r="GW17" s="387"/>
      <c r="GX17" s="387"/>
      <c r="GY17" s="387"/>
      <c r="GZ17" s="387"/>
      <c r="HA17" s="387"/>
      <c r="HB17" s="387"/>
      <c r="HC17" s="387"/>
      <c r="HD17" s="387"/>
      <c r="HE17" s="387"/>
      <c r="HF17" s="387"/>
      <c r="HG17" s="387"/>
      <c r="HH17" s="387"/>
      <c r="HI17" s="387"/>
      <c r="HJ17" s="387"/>
      <c r="HK17" s="387"/>
      <c r="HL17" s="387"/>
      <c r="HM17" s="387"/>
      <c r="HN17" s="387"/>
      <c r="HO17" s="387"/>
      <c r="HP17" s="387"/>
      <c r="HQ17" s="387"/>
      <c r="HR17" s="387"/>
      <c r="HS17" s="387"/>
      <c r="HT17" s="387"/>
      <c r="HU17" s="387"/>
      <c r="HV17" s="387"/>
      <c r="HW17" s="387"/>
      <c r="HX17" s="387"/>
      <c r="HY17" s="387"/>
      <c r="HZ17" s="387"/>
      <c r="IA17" s="387"/>
      <c r="IB17" s="387"/>
      <c r="IC17" s="387"/>
      <c r="ID17" s="387"/>
      <c r="IE17" s="387"/>
      <c r="IF17" s="387"/>
      <c r="IG17" s="387"/>
      <c r="IH17" s="387"/>
      <c r="II17" s="387"/>
      <c r="IJ17" s="387"/>
      <c r="IK17" s="387"/>
      <c r="IL17" s="387"/>
      <c r="IM17" s="387"/>
      <c r="IN17" s="387"/>
      <c r="IO17" s="387"/>
      <c r="IP17" s="387"/>
      <c r="IQ17" s="387"/>
      <c r="IR17" s="387"/>
      <c r="IS17" s="387"/>
      <c r="IT17" s="387"/>
      <c r="IU17" s="387"/>
      <c r="IV17" s="387"/>
      <c r="IW17" s="387"/>
      <c r="IX17" s="387"/>
      <c r="IY17" s="387"/>
      <c r="IZ17" s="387"/>
      <c r="JA17" s="387"/>
      <c r="JB17" s="387"/>
      <c r="JC17" s="387"/>
      <c r="JD17" s="387"/>
      <c r="JE17" s="387"/>
      <c r="JF17" s="387"/>
      <c r="JG17" s="387"/>
      <c r="JH17" s="387"/>
      <c r="JI17" s="387"/>
      <c r="JJ17" s="387"/>
      <c r="JK17" s="387"/>
      <c r="JL17" s="387"/>
      <c r="JM17" s="387"/>
      <c r="JN17" s="387"/>
      <c r="JO17" s="387"/>
      <c r="JP17" s="387"/>
      <c r="JQ17" s="387"/>
      <c r="JR17" s="387"/>
      <c r="JS17" s="387"/>
      <c r="JT17" s="387"/>
      <c r="JU17" s="387"/>
      <c r="JV17" s="387"/>
      <c r="JW17" s="387"/>
      <c r="JX17" s="387"/>
      <c r="JY17" s="387"/>
      <c r="JZ17" s="387"/>
      <c r="KA17" s="387"/>
      <c r="KB17" s="387"/>
      <c r="KC17" s="387"/>
      <c r="KD17" s="387"/>
      <c r="KE17" s="387"/>
      <c r="KF17" s="387"/>
      <c r="KG17" s="387"/>
      <c r="KH17" s="387"/>
      <c r="KI17" s="387"/>
      <c r="KJ17" s="387"/>
      <c r="KK17" s="387"/>
      <c r="KL17" s="387"/>
      <c r="KM17" s="387"/>
      <c r="KN17" s="387"/>
      <c r="KO17" s="387"/>
      <c r="KP17" s="387"/>
      <c r="KQ17" s="387"/>
      <c r="KR17" s="387"/>
      <c r="KS17" s="387"/>
      <c r="KT17" s="387"/>
      <c r="KU17" s="387"/>
      <c r="KV17" s="387"/>
      <c r="KW17" s="387"/>
      <c r="KX17" s="387"/>
      <c r="KY17" s="387"/>
      <c r="KZ17" s="387"/>
      <c r="LA17" s="387"/>
      <c r="LB17" s="387"/>
      <c r="LC17" s="387"/>
      <c r="LD17" s="387"/>
      <c r="LE17" s="387"/>
      <c r="LF17" s="387"/>
      <c r="LG17" s="387"/>
      <c r="LH17" s="387"/>
      <c r="LI17" s="387"/>
      <c r="LJ17" s="387"/>
      <c r="LK17" s="387"/>
      <c r="LL17" s="387"/>
      <c r="LM17" s="387"/>
      <c r="LN17" s="387"/>
      <c r="LO17" s="387"/>
      <c r="LP17" s="387"/>
      <c r="LQ17" s="387"/>
      <c r="LR17" s="387"/>
      <c r="LS17" s="387"/>
      <c r="LT17" s="387"/>
      <c r="LU17" s="387"/>
      <c r="LV17" s="387"/>
      <c r="LW17" s="387"/>
      <c r="LX17" s="387"/>
      <c r="LY17" s="387"/>
      <c r="LZ17" s="387"/>
      <c r="MA17" s="387"/>
      <c r="MB17" s="387"/>
      <c r="MC17" s="387"/>
      <c r="MD17" s="387"/>
      <c r="ME17" s="387"/>
      <c r="MF17" s="387"/>
      <c r="MG17" s="387"/>
      <c r="MH17" s="387"/>
      <c r="MI17" s="387"/>
      <c r="MJ17" s="387"/>
      <c r="MK17" s="387"/>
      <c r="ML17" s="387"/>
      <c r="MM17" s="387"/>
      <c r="MN17" s="387"/>
      <c r="MO17" s="387"/>
      <c r="MP17" s="387"/>
      <c r="MQ17" s="387"/>
      <c r="MR17" s="387"/>
      <c r="MS17" s="387"/>
      <c r="MT17" s="387"/>
      <c r="MU17" s="387"/>
      <c r="MV17" s="387"/>
      <c r="MW17" s="387"/>
      <c r="MX17" s="387"/>
      <c r="MY17" s="387"/>
      <c r="MZ17" s="387"/>
      <c r="NA17" s="387"/>
      <c r="NB17" s="387"/>
      <c r="NC17" s="387"/>
      <c r="ND17" s="387"/>
      <c r="NE17" s="387"/>
      <c r="NF17" s="387"/>
      <c r="NG17" s="387"/>
      <c r="NH17" s="387"/>
      <c r="NI17" s="387"/>
      <c r="NJ17" s="387"/>
      <c r="NK17" s="387"/>
      <c r="NL17" s="387"/>
      <c r="NM17" s="387"/>
      <c r="NN17" s="387"/>
      <c r="NO17" s="387"/>
      <c r="NP17" s="387"/>
      <c r="NQ17" s="387"/>
      <c r="NR17" s="387"/>
      <c r="NS17" s="387"/>
      <c r="NT17" s="387"/>
      <c r="NU17" s="387"/>
      <c r="NV17" s="387"/>
      <c r="NW17" s="387"/>
      <c r="NX17" s="387"/>
      <c r="NY17" s="387"/>
      <c r="NZ17" s="387"/>
      <c r="OA17" s="387"/>
      <c r="OB17" s="387"/>
      <c r="OC17" s="387"/>
      <c r="OD17" s="387"/>
      <c r="OE17" s="387"/>
      <c r="OF17" s="387"/>
      <c r="OG17" s="387"/>
      <c r="OH17" s="387"/>
      <c r="OI17" s="387"/>
      <c r="OJ17" s="387"/>
      <c r="OK17" s="387"/>
      <c r="OL17" s="387"/>
      <c r="OM17" s="387"/>
      <c r="ON17" s="387"/>
      <c r="OO17" s="387"/>
      <c r="OP17" s="387"/>
      <c r="OQ17" s="387"/>
      <c r="OR17" s="387"/>
      <c r="OS17" s="387"/>
      <c r="OT17" s="387"/>
      <c r="OU17" s="387"/>
      <c r="OV17" s="387"/>
      <c r="OW17" s="387"/>
      <c r="OX17" s="387"/>
      <c r="OY17" s="387"/>
      <c r="OZ17" s="387"/>
      <c r="PA17" s="387"/>
      <c r="PB17" s="387"/>
      <c r="PC17" s="387"/>
      <c r="PD17" s="387"/>
      <c r="PE17" s="387"/>
      <c r="PF17" s="387"/>
      <c r="PG17" s="387"/>
      <c r="PH17" s="387"/>
      <c r="PI17" s="387"/>
      <c r="PJ17" s="387"/>
      <c r="PK17" s="387"/>
      <c r="PL17" s="387"/>
      <c r="PM17" s="387"/>
      <c r="PN17" s="387"/>
      <c r="PO17" s="387"/>
      <c r="PP17" s="387"/>
      <c r="PQ17" s="387"/>
      <c r="PR17" s="387"/>
      <c r="PS17" s="387"/>
      <c r="PT17" s="387"/>
      <c r="PU17" s="387"/>
      <c r="PV17" s="387"/>
      <c r="PW17" s="387"/>
      <c r="PX17" s="387"/>
      <c r="PY17" s="387"/>
      <c r="PZ17" s="387"/>
      <c r="QA17" s="387"/>
      <c r="QB17" s="387"/>
      <c r="QC17" s="387"/>
      <c r="QD17" s="387"/>
      <c r="QE17" s="387"/>
      <c r="QF17" s="387"/>
      <c r="QG17" s="387"/>
      <c r="QH17" s="387"/>
      <c r="QI17" s="387"/>
      <c r="QJ17" s="387"/>
      <c r="QK17" s="387"/>
      <c r="QL17" s="387"/>
      <c r="QM17" s="387"/>
      <c r="QN17" s="387"/>
      <c r="QO17" s="387"/>
      <c r="QP17" s="387"/>
      <c r="QQ17" s="387"/>
      <c r="QR17" s="387"/>
      <c r="QS17" s="387"/>
      <c r="QT17" s="387"/>
      <c r="QU17" s="387"/>
      <c r="QV17" s="387"/>
      <c r="QW17" s="387"/>
      <c r="QX17" s="387"/>
      <c r="QY17" s="387"/>
      <c r="QZ17" s="387"/>
      <c r="RA17" s="387"/>
      <c r="RB17" s="387"/>
      <c r="RC17" s="387"/>
      <c r="RD17" s="387"/>
      <c r="RE17" s="387"/>
      <c r="RF17" s="387"/>
      <c r="RG17" s="387"/>
      <c r="RH17" s="387"/>
      <c r="RI17" s="387"/>
      <c r="RJ17" s="387"/>
      <c r="RK17" s="387"/>
      <c r="RL17" s="387"/>
      <c r="RM17" s="387"/>
      <c r="RN17" s="387"/>
      <c r="RO17" s="387"/>
      <c r="RP17" s="387"/>
      <c r="RQ17" s="387"/>
      <c r="RR17" s="387"/>
      <c r="RS17" s="387"/>
      <c r="RT17" s="387"/>
      <c r="RU17" s="387"/>
      <c r="RV17" s="387"/>
      <c r="RW17" s="387"/>
      <c r="RX17" s="387"/>
      <c r="RY17" s="387"/>
      <c r="RZ17" s="387"/>
      <c r="SA17" s="387"/>
      <c r="SB17" s="387"/>
      <c r="SC17" s="387"/>
      <c r="SD17" s="387"/>
      <c r="SE17" s="387"/>
      <c r="SF17" s="387"/>
      <c r="SG17" s="387"/>
      <c r="SH17" s="387"/>
      <c r="SI17" s="387"/>
      <c r="SJ17" s="387"/>
      <c r="SK17" s="387"/>
      <c r="SL17" s="387"/>
      <c r="SM17" s="387"/>
      <c r="SN17" s="387"/>
      <c r="SO17" s="387"/>
      <c r="SP17" s="387"/>
      <c r="SQ17" s="387"/>
      <c r="SR17" s="387"/>
      <c r="SS17" s="387"/>
      <c r="ST17" s="387"/>
      <c r="SU17" s="387"/>
      <c r="SV17" s="387"/>
      <c r="SW17" s="387"/>
      <c r="SX17" s="387"/>
      <c r="SY17" s="387"/>
      <c r="SZ17" s="387"/>
      <c r="TA17" s="387"/>
      <c r="TB17" s="387"/>
      <c r="TC17" s="387"/>
      <c r="TD17" s="387"/>
      <c r="TE17" s="387"/>
      <c r="TF17" s="387"/>
      <c r="TG17" s="387"/>
      <c r="TH17" s="387"/>
      <c r="TI17" s="387"/>
      <c r="TJ17" s="387"/>
      <c r="TK17" s="387"/>
      <c r="TL17" s="387"/>
      <c r="TM17" s="387"/>
      <c r="TN17" s="387"/>
      <c r="TO17" s="387"/>
      <c r="TP17" s="387"/>
      <c r="TQ17" s="387"/>
      <c r="TR17" s="387"/>
      <c r="TS17" s="387"/>
      <c r="TT17" s="387"/>
      <c r="TU17" s="387"/>
      <c r="TV17" s="387"/>
      <c r="TW17" s="387"/>
      <c r="TX17" s="387"/>
      <c r="TY17" s="387"/>
      <c r="TZ17" s="387"/>
      <c r="UA17" s="387"/>
      <c r="UB17" s="387"/>
      <c r="UC17" s="387"/>
      <c r="UD17" s="387"/>
      <c r="UE17" s="387"/>
      <c r="UF17" s="387"/>
      <c r="UG17" s="387"/>
      <c r="UH17" s="387"/>
      <c r="UI17" s="387"/>
      <c r="UJ17" s="387"/>
      <c r="UK17" s="387"/>
      <c r="UL17" s="387"/>
      <c r="UM17" s="387"/>
      <c r="UN17" s="387"/>
      <c r="UO17" s="387"/>
      <c r="UP17" s="387"/>
      <c r="UQ17" s="387"/>
      <c r="UR17" s="387"/>
      <c r="US17" s="387"/>
      <c r="UT17" s="387"/>
      <c r="UU17" s="387"/>
      <c r="UV17" s="387"/>
      <c r="UW17" s="387"/>
      <c r="UX17" s="387"/>
      <c r="UY17" s="387"/>
      <c r="UZ17" s="387"/>
      <c r="VA17" s="387"/>
      <c r="VB17" s="387"/>
      <c r="VC17" s="387"/>
      <c r="VD17" s="387"/>
      <c r="VE17" s="387"/>
      <c r="VF17" s="387"/>
      <c r="VG17" s="387"/>
      <c r="VH17" s="387"/>
      <c r="VI17" s="387"/>
      <c r="VJ17" s="387"/>
      <c r="VK17" s="387"/>
      <c r="VL17" s="387"/>
      <c r="VM17" s="387"/>
      <c r="VN17" s="387"/>
      <c r="VO17" s="387"/>
      <c r="VP17" s="387"/>
      <c r="VQ17" s="387"/>
      <c r="VR17" s="387"/>
      <c r="VS17" s="387"/>
      <c r="VT17" s="387"/>
      <c r="VU17" s="387"/>
      <c r="VV17" s="387"/>
      <c r="VW17" s="387"/>
      <c r="VX17" s="387"/>
      <c r="VY17" s="387"/>
      <c r="VZ17" s="387"/>
      <c r="WA17" s="387"/>
      <c r="WB17" s="387"/>
      <c r="WC17" s="387"/>
      <c r="WD17" s="387"/>
      <c r="WE17" s="387"/>
      <c r="WF17" s="387"/>
      <c r="WG17" s="387"/>
      <c r="WH17" s="387"/>
      <c r="WI17" s="387"/>
      <c r="WJ17" s="387"/>
      <c r="WK17" s="387"/>
      <c r="WL17" s="387"/>
      <c r="WM17" s="387"/>
      <c r="WN17" s="387"/>
      <c r="WO17" s="387"/>
      <c r="WP17" s="387"/>
      <c r="WQ17" s="387"/>
      <c r="WR17" s="387"/>
      <c r="WS17" s="387"/>
      <c r="WT17" s="387"/>
      <c r="WU17" s="387"/>
      <c r="WV17" s="387"/>
      <c r="WW17" s="387"/>
      <c r="WX17" s="387"/>
      <c r="WY17" s="387"/>
      <c r="WZ17" s="387"/>
      <c r="XA17" s="387"/>
      <c r="XB17" s="387"/>
      <c r="XC17" s="387"/>
      <c r="XD17" s="387"/>
      <c r="XE17" s="387"/>
      <c r="XF17" s="387"/>
      <c r="XG17" s="387"/>
      <c r="XH17" s="387"/>
      <c r="XI17" s="387"/>
      <c r="XJ17" s="387"/>
      <c r="XK17" s="387"/>
      <c r="XL17" s="387"/>
      <c r="XM17" s="387"/>
      <c r="XN17" s="387"/>
      <c r="XO17" s="387"/>
      <c r="XP17" s="387"/>
      <c r="XQ17" s="387"/>
      <c r="XR17" s="387"/>
      <c r="XS17" s="387"/>
      <c r="XT17" s="387"/>
      <c r="XU17" s="387"/>
      <c r="XV17" s="387"/>
      <c r="XW17" s="387"/>
      <c r="XX17" s="387"/>
      <c r="XY17" s="387"/>
      <c r="XZ17" s="387"/>
      <c r="YA17" s="387"/>
      <c r="YB17" s="387"/>
      <c r="YC17" s="387"/>
      <c r="YD17" s="387"/>
      <c r="YE17" s="387"/>
      <c r="YF17" s="387"/>
      <c r="YG17" s="387"/>
      <c r="YH17" s="387"/>
      <c r="YI17" s="387"/>
      <c r="YJ17" s="387"/>
      <c r="YK17" s="387"/>
      <c r="YL17" s="387"/>
      <c r="YM17" s="387"/>
      <c r="YN17" s="387"/>
      <c r="YO17" s="387"/>
      <c r="YP17" s="387"/>
      <c r="YQ17" s="387"/>
      <c r="YR17" s="387"/>
      <c r="YS17" s="387"/>
      <c r="YT17" s="387"/>
      <c r="YU17" s="387"/>
      <c r="YV17" s="387"/>
      <c r="YW17" s="387"/>
      <c r="YX17" s="387"/>
      <c r="YY17" s="387"/>
      <c r="YZ17" s="387"/>
      <c r="ZA17" s="387"/>
      <c r="ZB17" s="387"/>
      <c r="ZC17" s="387"/>
      <c r="ZD17" s="387"/>
      <c r="ZE17" s="387"/>
      <c r="ZF17" s="387"/>
      <c r="ZG17" s="387"/>
      <c r="ZH17" s="387"/>
      <c r="ZI17" s="387"/>
      <c r="ZJ17" s="387"/>
      <c r="ZK17" s="387"/>
      <c r="ZL17" s="387"/>
      <c r="ZM17" s="387"/>
      <c r="ZN17" s="387"/>
      <c r="ZO17" s="387"/>
      <c r="ZP17" s="387"/>
      <c r="ZQ17" s="387"/>
      <c r="ZR17" s="387"/>
      <c r="ZS17" s="387"/>
      <c r="ZT17" s="387"/>
      <c r="ZU17" s="387"/>
      <c r="ZV17" s="387"/>
      <c r="ZW17" s="387"/>
      <c r="ZX17" s="387"/>
      <c r="ZY17" s="387"/>
      <c r="ZZ17" s="387"/>
      <c r="AAA17" s="387"/>
      <c r="AAB17" s="387"/>
      <c r="AAC17" s="387"/>
      <c r="AAD17" s="387"/>
      <c r="AAE17" s="387"/>
      <c r="AAF17" s="387"/>
      <c r="AAG17" s="387"/>
      <c r="AAH17" s="387"/>
      <c r="AAI17" s="387"/>
      <c r="AAJ17" s="387"/>
      <c r="AAK17" s="387"/>
      <c r="AAL17" s="387"/>
      <c r="AAM17" s="387"/>
      <c r="AAN17" s="387"/>
      <c r="AAO17" s="387"/>
      <c r="AAP17" s="387"/>
      <c r="AAQ17" s="387"/>
      <c r="AAR17" s="387"/>
      <c r="AAS17" s="387"/>
      <c r="AAT17" s="387"/>
      <c r="AAU17" s="387"/>
      <c r="AAV17" s="387"/>
      <c r="AAW17" s="387"/>
      <c r="AAX17" s="387"/>
      <c r="AAY17" s="387"/>
      <c r="AAZ17" s="387"/>
      <c r="ABA17" s="387"/>
      <c r="ABB17" s="387"/>
      <c r="ABC17" s="387"/>
      <c r="ABD17" s="387"/>
      <c r="ABE17" s="387"/>
      <c r="ABF17" s="387"/>
      <c r="ABG17" s="387"/>
      <c r="ABH17" s="387"/>
      <c r="ABI17" s="387"/>
      <c r="ABJ17" s="387"/>
      <c r="ABK17" s="387"/>
      <c r="ABL17" s="387"/>
      <c r="ABM17" s="387"/>
      <c r="ABN17" s="387"/>
      <c r="ABO17" s="387"/>
      <c r="ABP17" s="387"/>
      <c r="ABQ17" s="387"/>
      <c r="ABR17" s="387"/>
      <c r="ABS17" s="387"/>
      <c r="ABT17" s="387"/>
      <c r="ABU17" s="387"/>
      <c r="ABV17" s="387"/>
      <c r="ABW17" s="387"/>
      <c r="ABX17" s="387"/>
      <c r="ABY17" s="387"/>
      <c r="ABZ17" s="387"/>
      <c r="ACA17" s="387"/>
      <c r="ACB17" s="387"/>
      <c r="ACC17" s="387"/>
      <c r="ACD17" s="387"/>
      <c r="ACE17" s="387"/>
      <c r="ACF17" s="387"/>
      <c r="ACG17" s="387"/>
      <c r="ACH17" s="387"/>
      <c r="ACI17" s="387"/>
      <c r="ACJ17" s="387"/>
      <c r="ACK17" s="387"/>
      <c r="ACL17" s="387"/>
      <c r="ACM17" s="387"/>
      <c r="ACN17" s="387"/>
      <c r="ACO17" s="387"/>
      <c r="ACP17" s="387"/>
      <c r="ACQ17" s="387"/>
      <c r="ACR17" s="387"/>
      <c r="ACS17" s="387"/>
      <c r="ACT17" s="387"/>
      <c r="ACU17" s="387"/>
      <c r="ACV17" s="387"/>
      <c r="ACW17" s="387"/>
      <c r="ACX17" s="387"/>
      <c r="ACY17" s="387"/>
      <c r="ACZ17" s="387"/>
      <c r="ADA17" s="387"/>
      <c r="ADB17" s="387"/>
      <c r="ADC17" s="387"/>
      <c r="ADD17" s="387"/>
      <c r="ADE17" s="387"/>
      <c r="ADF17" s="387"/>
      <c r="ADG17" s="387"/>
      <c r="ADH17" s="387"/>
      <c r="ADI17" s="387"/>
      <c r="ADJ17" s="387"/>
      <c r="ADK17" s="387"/>
      <c r="ADL17" s="387"/>
      <c r="ADM17" s="387"/>
      <c r="ADN17" s="387"/>
      <c r="ADO17" s="387"/>
      <c r="ADP17" s="387"/>
      <c r="ADQ17" s="387"/>
      <c r="ADR17" s="387"/>
      <c r="ADS17" s="387"/>
      <c r="ADT17" s="387"/>
      <c r="ADU17" s="387"/>
      <c r="ADV17" s="387"/>
      <c r="ADW17" s="387"/>
      <c r="ADX17" s="387"/>
      <c r="ADY17" s="387"/>
      <c r="ADZ17" s="387"/>
      <c r="AEA17" s="387"/>
      <c r="AEB17" s="387"/>
      <c r="AEC17" s="387"/>
      <c r="AED17" s="387"/>
      <c r="AEE17" s="387"/>
      <c r="AEF17" s="387"/>
      <c r="AEG17" s="387"/>
      <c r="AEH17" s="387"/>
      <c r="AEI17" s="387"/>
      <c r="AEJ17" s="387"/>
      <c r="AEK17" s="387"/>
      <c r="AEL17" s="387"/>
      <c r="AEM17" s="387"/>
      <c r="AEN17" s="387"/>
      <c r="AEO17" s="387"/>
      <c r="AEP17" s="387"/>
      <c r="AEQ17" s="387"/>
      <c r="AER17" s="387"/>
      <c r="AES17" s="387"/>
      <c r="AET17" s="387"/>
      <c r="AEU17" s="387"/>
      <c r="AEV17" s="387"/>
      <c r="AEW17" s="387"/>
      <c r="AEX17" s="387"/>
      <c r="AEY17" s="387"/>
      <c r="AEZ17" s="387"/>
      <c r="AFA17" s="387"/>
      <c r="AFB17" s="387"/>
      <c r="AFC17" s="387"/>
      <c r="AFD17" s="387"/>
      <c r="AFE17" s="387"/>
      <c r="AFF17" s="387"/>
      <c r="AFG17" s="387"/>
      <c r="AFH17" s="387"/>
      <c r="AFI17" s="387"/>
      <c r="AFJ17" s="387"/>
      <c r="AFK17" s="387"/>
      <c r="AFL17" s="387"/>
      <c r="AFM17" s="387"/>
      <c r="AFN17" s="387"/>
      <c r="AFO17" s="387"/>
      <c r="AFP17" s="387"/>
      <c r="AFQ17" s="387"/>
      <c r="AFR17" s="387"/>
      <c r="AFS17" s="387"/>
      <c r="AFT17" s="387"/>
      <c r="AFU17" s="387"/>
      <c r="AFV17" s="387"/>
      <c r="AFW17" s="387"/>
      <c r="AFX17" s="387"/>
      <c r="AFY17" s="387"/>
      <c r="AFZ17" s="387"/>
      <c r="AGA17" s="387"/>
      <c r="AGB17" s="387"/>
      <c r="AGC17" s="387"/>
      <c r="AGD17" s="387"/>
      <c r="AGE17" s="387"/>
      <c r="AGF17" s="387"/>
      <c r="AGG17" s="387"/>
      <c r="AGH17" s="387"/>
      <c r="AGI17" s="387"/>
      <c r="AGJ17" s="387"/>
      <c r="AGK17" s="387"/>
      <c r="AGL17" s="387"/>
      <c r="AGM17" s="387"/>
      <c r="AGN17" s="387"/>
      <c r="AGO17" s="387"/>
      <c r="AGP17" s="387"/>
      <c r="AGQ17" s="387"/>
      <c r="AGR17" s="387"/>
      <c r="AGS17" s="387"/>
      <c r="AGT17" s="387"/>
      <c r="AGU17" s="387"/>
      <c r="AGV17" s="387"/>
      <c r="AGW17" s="387"/>
      <c r="AGX17" s="387"/>
      <c r="AGY17" s="387"/>
      <c r="AGZ17" s="387"/>
      <c r="AHA17" s="387"/>
      <c r="AHB17" s="387"/>
      <c r="AHC17" s="387"/>
      <c r="AHD17" s="387"/>
      <c r="AHE17" s="387"/>
      <c r="AHF17" s="387"/>
      <c r="AHG17" s="387"/>
      <c r="AHH17" s="387"/>
      <c r="AHI17" s="387"/>
      <c r="AHJ17" s="387"/>
      <c r="AHK17" s="387"/>
      <c r="AHL17" s="387"/>
      <c r="AHM17" s="387"/>
      <c r="AHN17" s="387"/>
      <c r="AHO17" s="387"/>
      <c r="AHP17" s="387"/>
      <c r="AHQ17" s="387"/>
      <c r="AHR17" s="387"/>
      <c r="AHS17" s="387"/>
      <c r="AHT17" s="387"/>
      <c r="AHU17" s="387"/>
      <c r="AHV17" s="387"/>
      <c r="AHW17" s="387"/>
      <c r="AHX17" s="387"/>
      <c r="AHY17" s="387"/>
      <c r="AHZ17" s="387"/>
      <c r="AIA17" s="387"/>
      <c r="AIB17" s="387"/>
      <c r="AIC17" s="387"/>
      <c r="AID17" s="387"/>
      <c r="AIE17" s="387"/>
      <c r="AIF17" s="387"/>
      <c r="AIG17" s="387"/>
      <c r="AIH17" s="387"/>
      <c r="AII17" s="387"/>
      <c r="AIJ17" s="387"/>
      <c r="AIK17" s="387"/>
      <c r="AIL17" s="387"/>
      <c r="AIM17" s="387"/>
      <c r="AIN17" s="387"/>
      <c r="AIO17" s="387"/>
      <c r="AIP17" s="387"/>
      <c r="AIQ17" s="387"/>
      <c r="AIR17" s="387"/>
      <c r="AIS17" s="387"/>
      <c r="AIT17" s="387"/>
      <c r="AIU17" s="387"/>
      <c r="AIV17" s="387"/>
      <c r="AIW17" s="387"/>
      <c r="AIX17" s="387"/>
      <c r="AIY17" s="387"/>
      <c r="AIZ17" s="387"/>
      <c r="AJA17" s="387"/>
      <c r="AJB17" s="387"/>
      <c r="AJC17" s="387"/>
      <c r="AJD17" s="387"/>
      <c r="AJE17" s="387"/>
      <c r="AJF17" s="387"/>
      <c r="AJG17" s="387"/>
      <c r="AJH17" s="387"/>
      <c r="AJI17" s="387"/>
      <c r="AJJ17" s="387"/>
      <c r="AJK17" s="387"/>
      <c r="AJL17" s="387"/>
      <c r="AJM17" s="387"/>
      <c r="AJN17" s="387"/>
      <c r="AJO17" s="387"/>
      <c r="AJP17" s="387"/>
      <c r="AJQ17" s="387"/>
      <c r="AJR17" s="387"/>
      <c r="AJS17" s="387"/>
      <c r="AJT17" s="387"/>
      <c r="AJU17" s="387"/>
      <c r="AJV17" s="387"/>
      <c r="AJW17" s="387"/>
      <c r="AJX17" s="387"/>
      <c r="AJY17" s="387"/>
      <c r="AJZ17" s="387"/>
      <c r="AKA17" s="387"/>
      <c r="AKB17" s="387"/>
      <c r="AKC17" s="387"/>
      <c r="AKD17" s="387"/>
      <c r="AKE17" s="387"/>
      <c r="AKF17" s="387"/>
      <c r="AKG17" s="387"/>
      <c r="AKH17" s="387"/>
      <c r="AKI17" s="387"/>
      <c r="AKJ17" s="387"/>
      <c r="AKK17" s="387"/>
      <c r="AKL17" s="387"/>
      <c r="AKM17" s="387"/>
      <c r="AKN17" s="387"/>
      <c r="AKO17" s="387"/>
      <c r="AKP17" s="387"/>
      <c r="AKQ17" s="387"/>
      <c r="AKR17" s="387"/>
      <c r="AKS17" s="387"/>
      <c r="AKT17" s="387"/>
      <c r="AKU17" s="387"/>
      <c r="AKV17" s="387"/>
      <c r="AKW17" s="387"/>
      <c r="AKX17" s="387"/>
      <c r="AKY17" s="387"/>
      <c r="AKZ17" s="387"/>
      <c r="ALA17" s="387"/>
      <c r="ALB17" s="387"/>
      <c r="ALC17" s="387"/>
      <c r="ALD17" s="387"/>
      <c r="ALE17" s="387"/>
      <c r="ALF17" s="387"/>
      <c r="ALG17" s="387"/>
      <c r="ALH17" s="387"/>
      <c r="ALI17" s="387"/>
      <c r="ALJ17" s="387"/>
      <c r="ALK17" s="387"/>
      <c r="ALL17" s="387"/>
      <c r="ALM17" s="387"/>
      <c r="ALN17" s="387"/>
      <c r="ALO17" s="387"/>
      <c r="ALP17" s="387"/>
      <c r="ALQ17" s="387"/>
      <c r="ALR17" s="387"/>
      <c r="ALS17" s="387"/>
      <c r="ALT17" s="387"/>
      <c r="ALU17" s="387"/>
      <c r="ALV17" s="387"/>
      <c r="ALW17" s="387"/>
      <c r="ALX17" s="387"/>
      <c r="ALY17" s="387"/>
      <c r="ALZ17" s="387"/>
      <c r="AMA17" s="387"/>
      <c r="AMB17" s="387"/>
      <c r="AMC17" s="387"/>
      <c r="AMD17" s="387"/>
      <c r="AME17" s="387"/>
      <c r="AMF17" s="387"/>
      <c r="AMG17" s="387"/>
      <c r="AMH17" s="387"/>
      <c r="AMI17" s="387"/>
      <c r="AMJ17" s="387"/>
      <c r="AMK17" s="387"/>
      <c r="AML17" s="387"/>
      <c r="AMM17" s="387"/>
      <c r="AMN17" s="387"/>
      <c r="AMO17" s="387"/>
      <c r="AMP17" s="387"/>
      <c r="AMQ17" s="387"/>
      <c r="AMR17" s="387"/>
      <c r="AMS17" s="387"/>
      <c r="AMT17" s="387"/>
      <c r="AMU17" s="387"/>
      <c r="AMV17" s="387"/>
      <c r="AMW17" s="387"/>
      <c r="AMX17" s="387"/>
      <c r="AMY17" s="387"/>
      <c r="AMZ17" s="387"/>
      <c r="ANA17" s="387"/>
      <c r="ANB17" s="387"/>
      <c r="ANC17" s="387"/>
      <c r="AND17" s="387"/>
      <c r="ANE17" s="387"/>
      <c r="ANF17" s="387"/>
      <c r="ANG17" s="387"/>
      <c r="ANH17" s="387"/>
      <c r="ANI17" s="387"/>
      <c r="ANJ17" s="387"/>
      <c r="ANK17" s="387"/>
      <c r="ANL17" s="387"/>
      <c r="ANM17" s="387"/>
      <c r="ANN17" s="387"/>
      <c r="ANO17" s="387"/>
      <c r="ANP17" s="387"/>
      <c r="ANQ17" s="387"/>
      <c r="ANR17" s="387"/>
      <c r="ANS17" s="387"/>
      <c r="ANT17" s="387"/>
      <c r="ANU17" s="387"/>
      <c r="ANV17" s="387"/>
      <c r="ANW17" s="387"/>
      <c r="ANX17" s="387"/>
      <c r="ANY17" s="387"/>
      <c r="ANZ17" s="387"/>
      <c r="AOA17" s="387"/>
      <c r="AOB17" s="387"/>
      <c r="AOC17" s="387"/>
      <c r="AOD17" s="387"/>
      <c r="AOE17" s="387"/>
      <c r="AOF17" s="387"/>
      <c r="AOG17" s="387"/>
      <c r="AOH17" s="387"/>
      <c r="AOI17" s="387"/>
      <c r="AOJ17" s="387"/>
      <c r="AOK17" s="387"/>
      <c r="AOL17" s="387"/>
      <c r="AOM17" s="387"/>
      <c r="AON17" s="387"/>
      <c r="AOO17" s="387"/>
      <c r="AOP17" s="387"/>
      <c r="AOQ17" s="387"/>
      <c r="AOR17" s="387"/>
      <c r="AOS17" s="387"/>
      <c r="AOT17" s="387"/>
      <c r="AOU17" s="387"/>
      <c r="AOV17" s="387"/>
      <c r="AOW17" s="387"/>
      <c r="AOX17" s="387"/>
      <c r="AOY17" s="387"/>
      <c r="AOZ17" s="387"/>
      <c r="APA17" s="387"/>
      <c r="APB17" s="387"/>
      <c r="APC17" s="387"/>
      <c r="APD17" s="387"/>
      <c r="APE17" s="387"/>
      <c r="APF17" s="387"/>
      <c r="APG17" s="387"/>
      <c r="APH17" s="387"/>
      <c r="API17" s="387"/>
      <c r="APJ17" s="387"/>
      <c r="APK17" s="387"/>
      <c r="APL17" s="387"/>
      <c r="APM17" s="387"/>
      <c r="APN17" s="387"/>
      <c r="APO17" s="387"/>
      <c r="APP17" s="387"/>
      <c r="APQ17" s="387"/>
      <c r="APR17" s="387"/>
      <c r="APS17" s="387"/>
      <c r="APT17" s="387"/>
      <c r="APU17" s="387"/>
      <c r="APV17" s="387"/>
      <c r="APW17" s="387"/>
      <c r="APX17" s="387"/>
      <c r="APY17" s="387"/>
      <c r="APZ17" s="387"/>
      <c r="AQA17" s="387"/>
      <c r="AQB17" s="387"/>
      <c r="AQC17" s="387"/>
      <c r="AQD17" s="387"/>
      <c r="AQE17" s="387"/>
      <c r="AQF17" s="387"/>
      <c r="AQG17" s="387"/>
      <c r="AQH17" s="387"/>
      <c r="AQI17" s="387"/>
      <c r="AQJ17" s="387"/>
      <c r="AQK17" s="387"/>
      <c r="AQL17" s="387"/>
      <c r="AQM17" s="387"/>
      <c r="AQN17" s="387"/>
      <c r="AQO17" s="387"/>
      <c r="AQP17" s="387"/>
      <c r="AQQ17" s="387"/>
      <c r="AQR17" s="387"/>
      <c r="AQS17" s="387"/>
      <c r="AQT17" s="387"/>
      <c r="AQU17" s="387"/>
      <c r="AQV17" s="387"/>
      <c r="AQW17" s="387"/>
      <c r="AQX17" s="387"/>
      <c r="AQY17" s="387"/>
      <c r="AQZ17" s="387"/>
      <c r="ARA17" s="387"/>
      <c r="ARB17" s="387"/>
      <c r="ARC17" s="387"/>
      <c r="ARD17" s="387"/>
      <c r="ARE17" s="387"/>
      <c r="ARF17" s="387"/>
      <c r="ARG17" s="387"/>
      <c r="ARH17" s="387"/>
      <c r="ARI17" s="387"/>
      <c r="ARJ17" s="387"/>
      <c r="ARK17" s="387"/>
      <c r="ARL17" s="387"/>
      <c r="ARM17" s="387"/>
      <c r="ARN17" s="387"/>
      <c r="ARO17" s="387"/>
      <c r="ARP17" s="387"/>
      <c r="ARQ17" s="387"/>
      <c r="ARR17" s="387"/>
      <c r="ARS17" s="387"/>
      <c r="ART17" s="387"/>
      <c r="ARU17" s="387"/>
      <c r="ARV17" s="387"/>
      <c r="ARW17" s="387"/>
      <c r="ARX17" s="387"/>
      <c r="ARY17" s="387"/>
      <c r="ARZ17" s="387"/>
      <c r="ASA17" s="387"/>
      <c r="ASB17" s="387"/>
      <c r="ASC17" s="387"/>
      <c r="ASD17" s="387"/>
      <c r="ASE17" s="387"/>
      <c r="ASF17" s="387"/>
      <c r="ASG17" s="387"/>
      <c r="ASH17" s="387"/>
      <c r="ASI17" s="387"/>
      <c r="ASJ17" s="387"/>
      <c r="ASK17" s="387"/>
      <c r="ASL17" s="387"/>
      <c r="ASM17" s="387"/>
      <c r="ASN17" s="387"/>
      <c r="ASO17" s="387"/>
      <c r="ASP17" s="387"/>
      <c r="ASQ17" s="387"/>
      <c r="ASR17" s="387"/>
      <c r="ASS17" s="387"/>
      <c r="AST17" s="387"/>
      <c r="ASU17" s="387"/>
      <c r="ASV17" s="387"/>
      <c r="ASW17" s="387"/>
      <c r="ASX17" s="387"/>
      <c r="ASY17" s="387"/>
      <c r="ASZ17" s="387"/>
      <c r="ATA17" s="387"/>
      <c r="ATB17" s="387"/>
      <c r="ATC17" s="387"/>
      <c r="ATD17" s="387"/>
      <c r="ATE17" s="387"/>
      <c r="ATF17" s="387"/>
      <c r="ATG17" s="387"/>
      <c r="ATH17" s="387"/>
      <c r="ATI17" s="387"/>
      <c r="ATJ17" s="387"/>
      <c r="ATK17" s="387"/>
      <c r="ATL17" s="387"/>
      <c r="ATM17" s="387"/>
      <c r="ATN17" s="387"/>
      <c r="ATO17" s="387"/>
      <c r="ATP17" s="387"/>
      <c r="ATQ17" s="387"/>
      <c r="ATR17" s="387"/>
      <c r="ATS17" s="387"/>
      <c r="ATT17" s="387"/>
      <c r="ATU17" s="387"/>
      <c r="ATV17" s="387"/>
      <c r="ATW17" s="387"/>
      <c r="ATX17" s="387"/>
      <c r="ATY17" s="387"/>
      <c r="ATZ17" s="387"/>
      <c r="AUA17" s="387"/>
      <c r="AUB17" s="387"/>
      <c r="AUC17" s="387"/>
      <c r="AUD17" s="387"/>
      <c r="AUE17" s="387"/>
      <c r="AUF17" s="387"/>
      <c r="AUG17" s="387"/>
      <c r="AUH17" s="387"/>
      <c r="AUI17" s="387"/>
      <c r="AUJ17" s="387"/>
      <c r="AUK17" s="387"/>
      <c r="AUL17" s="387"/>
      <c r="AUM17" s="387"/>
      <c r="AUN17" s="387"/>
      <c r="AUO17" s="387"/>
      <c r="AUP17" s="387"/>
      <c r="AUQ17" s="387"/>
      <c r="AUR17" s="387"/>
      <c r="AUS17" s="387"/>
      <c r="AUT17" s="387"/>
      <c r="AUU17" s="387"/>
      <c r="AUV17" s="387"/>
      <c r="AUW17" s="387"/>
      <c r="AUX17" s="387"/>
      <c r="AUY17" s="387"/>
      <c r="AUZ17" s="387"/>
      <c r="AVA17" s="387"/>
      <c r="AVB17" s="387"/>
      <c r="AVC17" s="387"/>
      <c r="AVD17" s="387"/>
      <c r="AVE17" s="387"/>
      <c r="AVF17" s="387"/>
      <c r="AVG17" s="387"/>
      <c r="AVH17" s="387"/>
      <c r="AVI17" s="387"/>
      <c r="AVJ17" s="387"/>
      <c r="AVK17" s="387"/>
      <c r="AVL17" s="387"/>
      <c r="AVM17" s="387"/>
      <c r="AVN17" s="387"/>
      <c r="AVO17" s="387"/>
      <c r="AVP17" s="387"/>
      <c r="AVQ17" s="387"/>
      <c r="AVR17" s="387"/>
      <c r="AVS17" s="387"/>
      <c r="AVT17" s="387"/>
      <c r="AVU17" s="387"/>
      <c r="AVV17" s="387"/>
      <c r="AVW17" s="387"/>
      <c r="AVX17" s="387"/>
      <c r="AVY17" s="387"/>
      <c r="AVZ17" s="387"/>
      <c r="AWA17" s="387"/>
      <c r="AWB17" s="387"/>
      <c r="AWC17" s="387"/>
      <c r="AWD17" s="387"/>
      <c r="AWE17" s="387"/>
      <c r="AWF17" s="387"/>
      <c r="AWG17" s="387"/>
      <c r="AWH17" s="387"/>
      <c r="AWI17" s="387"/>
      <c r="AWJ17" s="387"/>
      <c r="AWK17" s="387"/>
      <c r="AWL17" s="387"/>
      <c r="AWM17" s="387"/>
      <c r="AWN17" s="387"/>
      <c r="AWO17" s="387"/>
      <c r="AWP17" s="387"/>
      <c r="AWQ17" s="387"/>
      <c r="AWR17" s="387"/>
      <c r="AWS17" s="387"/>
      <c r="AWT17" s="387"/>
      <c r="AWU17" s="387"/>
      <c r="AWV17" s="387"/>
      <c r="AWW17" s="387"/>
      <c r="AWX17" s="387"/>
      <c r="AWY17" s="387"/>
      <c r="AWZ17" s="387"/>
      <c r="AXA17" s="387"/>
      <c r="AXB17" s="387"/>
      <c r="AXC17" s="387"/>
      <c r="AXD17" s="387"/>
      <c r="AXE17" s="387"/>
      <c r="AXF17" s="387"/>
      <c r="AXG17" s="387"/>
      <c r="AXH17" s="387"/>
      <c r="AXI17" s="387"/>
      <c r="AXJ17" s="387"/>
      <c r="AXK17" s="387"/>
      <c r="AXL17" s="387"/>
      <c r="AXM17" s="387"/>
      <c r="AXN17" s="387"/>
      <c r="AXO17" s="387"/>
      <c r="AXP17" s="387"/>
      <c r="AXQ17" s="387"/>
      <c r="AXR17" s="387"/>
      <c r="AXS17" s="387"/>
      <c r="AXT17" s="387"/>
      <c r="AXU17" s="387"/>
      <c r="AXV17" s="387"/>
      <c r="AXW17" s="387"/>
      <c r="AXX17" s="387"/>
      <c r="AXY17" s="387"/>
      <c r="AXZ17" s="387"/>
      <c r="AYA17" s="387"/>
      <c r="AYB17" s="387"/>
      <c r="AYC17" s="387"/>
      <c r="AYD17" s="387"/>
      <c r="AYE17" s="387"/>
      <c r="AYF17" s="387"/>
      <c r="AYG17" s="387"/>
      <c r="AYH17" s="387"/>
      <c r="AYI17" s="387"/>
      <c r="AYJ17" s="387"/>
      <c r="AYK17" s="387"/>
      <c r="AYL17" s="387"/>
      <c r="AYM17" s="387"/>
      <c r="AYN17" s="387"/>
      <c r="AYO17" s="387"/>
      <c r="AYP17" s="387"/>
      <c r="AYQ17" s="387"/>
      <c r="AYR17" s="387"/>
      <c r="AYS17" s="387"/>
      <c r="AYT17" s="387"/>
      <c r="AYU17" s="387"/>
      <c r="AYV17" s="387"/>
      <c r="AYW17" s="387"/>
      <c r="AYX17" s="387"/>
      <c r="AYY17" s="387"/>
      <c r="AYZ17" s="387"/>
      <c r="AZA17" s="387"/>
      <c r="AZB17" s="387"/>
      <c r="AZC17" s="387"/>
      <c r="AZD17" s="387"/>
      <c r="AZE17" s="387"/>
      <c r="AZF17" s="387"/>
      <c r="AZG17" s="387"/>
      <c r="AZH17" s="387"/>
      <c r="AZI17" s="387"/>
      <c r="AZJ17" s="387"/>
      <c r="AZK17" s="387"/>
      <c r="AZL17" s="387"/>
      <c r="AZM17" s="387"/>
      <c r="AZN17" s="387"/>
      <c r="AZO17" s="387"/>
      <c r="AZP17" s="387"/>
      <c r="AZQ17" s="387"/>
      <c r="AZR17" s="387"/>
      <c r="AZS17" s="387"/>
      <c r="AZT17" s="387"/>
      <c r="AZU17" s="387"/>
      <c r="AZV17" s="387"/>
      <c r="AZW17" s="387"/>
      <c r="AZX17" s="387"/>
      <c r="AZY17" s="387"/>
      <c r="AZZ17" s="387"/>
      <c r="BAA17" s="387"/>
      <c r="BAB17" s="387"/>
      <c r="BAC17" s="387"/>
      <c r="BAD17" s="387"/>
      <c r="BAE17" s="387"/>
      <c r="BAF17" s="387"/>
      <c r="BAG17" s="387"/>
      <c r="BAH17" s="387"/>
      <c r="BAI17" s="387"/>
      <c r="BAJ17" s="387"/>
      <c r="BAK17" s="387"/>
      <c r="BAL17" s="387"/>
      <c r="BAM17" s="387"/>
      <c r="BAN17" s="387"/>
      <c r="BAO17" s="387"/>
      <c r="BAP17" s="387"/>
      <c r="BAQ17" s="387"/>
      <c r="BAR17" s="387"/>
      <c r="BAS17" s="387"/>
      <c r="BAT17" s="387"/>
      <c r="BAU17" s="387"/>
      <c r="BAV17" s="387"/>
      <c r="BAW17" s="387"/>
      <c r="BAX17" s="387"/>
      <c r="BAY17" s="387"/>
      <c r="BAZ17" s="387"/>
      <c r="BBA17" s="387"/>
      <c r="BBB17" s="387"/>
      <c r="BBC17" s="387"/>
      <c r="BBD17" s="387"/>
      <c r="BBE17" s="387"/>
      <c r="BBF17" s="387"/>
      <c r="BBG17" s="387"/>
      <c r="BBH17" s="387"/>
      <c r="BBI17" s="387"/>
      <c r="BBJ17" s="387"/>
      <c r="BBK17" s="387"/>
      <c r="BBL17" s="387"/>
      <c r="BBM17" s="387"/>
      <c r="BBN17" s="387"/>
      <c r="BBO17" s="387"/>
      <c r="BBP17" s="387"/>
      <c r="BBQ17" s="387"/>
      <c r="BBR17" s="387"/>
      <c r="BBS17" s="387"/>
      <c r="BBT17" s="387"/>
      <c r="BBU17" s="387"/>
      <c r="BBV17" s="387"/>
      <c r="BBW17" s="387"/>
      <c r="BBX17" s="387"/>
      <c r="BBY17" s="387"/>
      <c r="BBZ17" s="387"/>
      <c r="BCA17" s="387"/>
      <c r="BCB17" s="387"/>
      <c r="BCC17" s="387"/>
      <c r="BCD17" s="387"/>
      <c r="BCE17" s="387"/>
      <c r="BCF17" s="387"/>
      <c r="BCG17" s="387"/>
      <c r="BCH17" s="387"/>
      <c r="BCI17" s="387"/>
      <c r="BCJ17" s="387"/>
      <c r="BCK17" s="387"/>
      <c r="BCL17" s="387"/>
      <c r="BCM17" s="387"/>
      <c r="BCN17" s="387"/>
      <c r="BCO17" s="387"/>
      <c r="BCP17" s="387"/>
      <c r="BCQ17" s="387"/>
      <c r="BCR17" s="387"/>
      <c r="BCS17" s="387"/>
      <c r="BCT17" s="387"/>
      <c r="BCU17" s="387"/>
      <c r="BCV17" s="387"/>
      <c r="BCW17" s="387"/>
      <c r="BCX17" s="387"/>
      <c r="BCY17" s="387"/>
      <c r="BCZ17" s="387"/>
      <c r="BDA17" s="387"/>
      <c r="BDB17" s="387"/>
      <c r="BDC17" s="387"/>
      <c r="BDD17" s="387"/>
      <c r="BDE17" s="387"/>
      <c r="BDF17" s="387"/>
      <c r="BDG17" s="387"/>
      <c r="BDH17" s="387"/>
      <c r="BDI17" s="387"/>
      <c r="BDJ17" s="387"/>
      <c r="BDK17" s="387"/>
      <c r="BDL17" s="387"/>
      <c r="BDM17" s="387"/>
      <c r="BDN17" s="387"/>
      <c r="BDO17" s="387"/>
      <c r="BDP17" s="387"/>
      <c r="BDQ17" s="387"/>
      <c r="BDR17" s="387"/>
      <c r="BDS17" s="387"/>
      <c r="BDT17" s="387"/>
      <c r="BDU17" s="387"/>
      <c r="BDV17" s="387"/>
      <c r="BDW17" s="387"/>
      <c r="BDX17" s="387"/>
      <c r="BDY17" s="387"/>
      <c r="BDZ17" s="387"/>
      <c r="BEA17" s="387"/>
      <c r="BEB17" s="387"/>
      <c r="BEC17" s="387"/>
      <c r="BED17" s="387"/>
      <c r="BEE17" s="387"/>
      <c r="BEF17" s="387"/>
      <c r="BEG17" s="387"/>
      <c r="BEH17" s="387"/>
      <c r="BEI17" s="387"/>
      <c r="BEJ17" s="387"/>
      <c r="BEK17" s="387"/>
      <c r="BEL17" s="387"/>
      <c r="BEM17" s="387"/>
      <c r="BEN17" s="387"/>
      <c r="BEO17" s="387"/>
      <c r="BEP17" s="387"/>
      <c r="BEQ17" s="387"/>
      <c r="BER17" s="387"/>
      <c r="BES17" s="387"/>
      <c r="BET17" s="387"/>
      <c r="BEU17" s="387"/>
      <c r="BEV17" s="387"/>
      <c r="BEW17" s="387"/>
      <c r="BEX17" s="387"/>
      <c r="BEY17" s="387"/>
      <c r="BEZ17" s="387"/>
      <c r="BFA17" s="387"/>
      <c r="BFB17" s="387"/>
      <c r="BFC17" s="387"/>
      <c r="BFD17" s="387"/>
      <c r="BFE17" s="387"/>
      <c r="BFF17" s="387"/>
      <c r="BFG17" s="387"/>
      <c r="BFH17" s="387"/>
      <c r="BFI17" s="387"/>
      <c r="BFJ17" s="387"/>
      <c r="BFK17" s="387"/>
      <c r="BFL17" s="387"/>
      <c r="BFM17" s="387"/>
      <c r="BFN17" s="387"/>
      <c r="BFO17" s="387"/>
      <c r="BFP17" s="387"/>
      <c r="BFQ17" s="387"/>
      <c r="BFR17" s="387"/>
      <c r="BFS17" s="387"/>
      <c r="BFT17" s="387"/>
      <c r="BFU17" s="387"/>
      <c r="BFV17" s="387"/>
      <c r="BFW17" s="387"/>
      <c r="BFX17" s="387"/>
      <c r="BFY17" s="387"/>
      <c r="BFZ17" s="387"/>
      <c r="BGA17" s="387"/>
      <c r="BGB17" s="387"/>
      <c r="BGC17" s="387"/>
      <c r="BGD17" s="387"/>
      <c r="BGE17" s="387"/>
      <c r="BGF17" s="387"/>
      <c r="BGG17" s="387"/>
      <c r="BGH17" s="387"/>
      <c r="BGI17" s="387"/>
      <c r="BGJ17" s="387"/>
      <c r="BGK17" s="387"/>
      <c r="BGL17" s="387"/>
      <c r="BGM17" s="387"/>
      <c r="BGN17" s="387"/>
      <c r="BGO17" s="387"/>
      <c r="BGP17" s="387"/>
      <c r="BGQ17" s="387"/>
      <c r="BGR17" s="387"/>
      <c r="BGS17" s="387"/>
      <c r="BGT17" s="387"/>
      <c r="BGU17" s="387"/>
      <c r="BGV17" s="387"/>
      <c r="BGW17" s="387"/>
      <c r="BGX17" s="387"/>
      <c r="BGY17" s="387"/>
      <c r="BGZ17" s="387"/>
      <c r="BHA17" s="387"/>
      <c r="BHB17" s="387"/>
      <c r="BHC17" s="387"/>
      <c r="BHD17" s="387"/>
      <c r="BHE17" s="387"/>
      <c r="BHF17" s="387"/>
      <c r="BHG17" s="387"/>
      <c r="BHH17" s="387"/>
      <c r="BHI17" s="387"/>
      <c r="BHJ17" s="387"/>
      <c r="BHK17" s="387"/>
      <c r="BHL17" s="387"/>
      <c r="BHM17" s="387"/>
      <c r="BHN17" s="387"/>
      <c r="BHO17" s="387"/>
      <c r="BHP17" s="387"/>
      <c r="BHQ17" s="387"/>
      <c r="BHR17" s="387"/>
      <c r="BHS17" s="387"/>
      <c r="BHT17" s="387"/>
      <c r="BHU17" s="387"/>
      <c r="BHV17" s="387"/>
      <c r="BHW17" s="387"/>
      <c r="BHX17" s="387"/>
      <c r="BHY17" s="387"/>
      <c r="BHZ17" s="387"/>
      <c r="BIA17" s="387"/>
      <c r="BIB17" s="387"/>
      <c r="BIC17" s="387"/>
      <c r="BID17" s="387"/>
      <c r="BIE17" s="387"/>
      <c r="BIF17" s="387"/>
      <c r="BIG17" s="387"/>
      <c r="BIH17" s="387"/>
      <c r="BII17" s="387"/>
      <c r="BIJ17" s="387"/>
      <c r="BIK17" s="387"/>
      <c r="BIL17" s="387"/>
      <c r="BIM17" s="387"/>
      <c r="BIN17" s="387"/>
      <c r="BIO17" s="387"/>
      <c r="BIP17" s="387"/>
      <c r="BIQ17" s="387"/>
      <c r="BIR17" s="387"/>
      <c r="BIS17" s="387"/>
      <c r="BIT17" s="387"/>
      <c r="BIU17" s="387"/>
      <c r="BIV17" s="387"/>
      <c r="BIW17" s="387"/>
      <c r="BIX17" s="387"/>
      <c r="BIY17" s="387"/>
      <c r="BIZ17" s="387"/>
      <c r="BJA17" s="387"/>
      <c r="BJB17" s="387"/>
      <c r="BJC17" s="387"/>
      <c r="BJD17" s="387"/>
      <c r="BJE17" s="387"/>
      <c r="BJF17" s="387"/>
      <c r="BJG17" s="387"/>
      <c r="BJH17" s="387"/>
      <c r="BJI17" s="387"/>
      <c r="BJJ17" s="387"/>
      <c r="BJK17" s="387"/>
      <c r="BJL17" s="387"/>
      <c r="BJM17" s="387"/>
      <c r="BJN17" s="387"/>
      <c r="BJO17" s="387"/>
      <c r="BJP17" s="387"/>
      <c r="BJQ17" s="387"/>
      <c r="BJR17" s="387"/>
      <c r="BJS17" s="387"/>
      <c r="BJT17" s="387"/>
      <c r="BJU17" s="387"/>
      <c r="BJV17" s="387"/>
      <c r="BJW17" s="387"/>
      <c r="BJX17" s="387"/>
      <c r="BJY17" s="387"/>
      <c r="BJZ17" s="387"/>
      <c r="BKA17" s="387"/>
      <c r="BKB17" s="387"/>
      <c r="BKC17" s="387"/>
      <c r="BKD17" s="387"/>
      <c r="BKE17" s="387"/>
      <c r="BKF17" s="387"/>
      <c r="BKG17" s="387"/>
      <c r="BKH17" s="387"/>
      <c r="BKI17" s="387"/>
      <c r="BKJ17" s="387"/>
      <c r="BKK17" s="387"/>
      <c r="BKL17" s="387"/>
      <c r="BKM17" s="387"/>
      <c r="BKN17" s="387"/>
      <c r="BKO17" s="387"/>
      <c r="BKP17" s="387"/>
      <c r="BKQ17" s="387"/>
      <c r="BKR17" s="387"/>
      <c r="BKS17" s="387"/>
      <c r="BKT17" s="387"/>
      <c r="BKU17" s="387"/>
      <c r="BKV17" s="387"/>
      <c r="BKW17" s="387"/>
      <c r="BKX17" s="387"/>
      <c r="BKY17" s="387"/>
      <c r="BKZ17" s="387"/>
      <c r="BLA17" s="387"/>
      <c r="BLB17" s="387"/>
      <c r="BLC17" s="387"/>
      <c r="BLD17" s="387"/>
      <c r="BLE17" s="387"/>
      <c r="BLF17" s="387"/>
      <c r="BLG17" s="387"/>
      <c r="BLH17" s="387"/>
      <c r="BLI17" s="387"/>
      <c r="BLJ17" s="387"/>
      <c r="BLK17" s="387"/>
      <c r="BLL17" s="387"/>
      <c r="BLM17" s="387"/>
      <c r="BLN17" s="387"/>
      <c r="BLO17" s="387"/>
      <c r="BLP17" s="387"/>
      <c r="BLQ17" s="387"/>
      <c r="BLR17" s="387"/>
      <c r="BLS17" s="387"/>
      <c r="BLT17" s="387"/>
      <c r="BLU17" s="387"/>
      <c r="BLV17" s="387"/>
      <c r="BLW17" s="387"/>
      <c r="BLX17" s="387"/>
      <c r="BLY17" s="387"/>
      <c r="BLZ17" s="387"/>
      <c r="BMA17" s="387"/>
      <c r="BMB17" s="387"/>
      <c r="BMC17" s="387"/>
      <c r="BMD17" s="387"/>
      <c r="BME17" s="387"/>
      <c r="BMF17" s="387"/>
      <c r="BMG17" s="387"/>
      <c r="BMH17" s="387"/>
      <c r="BMI17" s="387"/>
      <c r="BMJ17" s="387"/>
      <c r="BMK17" s="387"/>
      <c r="BML17" s="387"/>
      <c r="BMM17" s="387"/>
      <c r="BMN17" s="387"/>
      <c r="BMO17" s="387"/>
      <c r="BMP17" s="387"/>
      <c r="BMQ17" s="387"/>
      <c r="BMR17" s="387"/>
      <c r="BMS17" s="387"/>
      <c r="BMT17" s="387"/>
      <c r="BMU17" s="387"/>
      <c r="BMV17" s="387"/>
      <c r="BMW17" s="387"/>
      <c r="BMX17" s="387"/>
      <c r="BMY17" s="387"/>
      <c r="BMZ17" s="387"/>
      <c r="BNA17" s="387"/>
      <c r="BNB17" s="387"/>
      <c r="BNC17" s="387"/>
      <c r="BND17" s="387"/>
      <c r="BNE17" s="387"/>
      <c r="BNF17" s="387"/>
      <c r="BNG17" s="387"/>
      <c r="BNH17" s="387"/>
      <c r="BNI17" s="387"/>
      <c r="BNJ17" s="387"/>
      <c r="BNK17" s="387"/>
      <c r="BNL17" s="387"/>
      <c r="BNM17" s="387"/>
      <c r="BNN17" s="387"/>
      <c r="BNO17" s="387"/>
      <c r="BNP17" s="387"/>
      <c r="BNQ17" s="387"/>
      <c r="BNR17" s="387"/>
      <c r="BNS17" s="387"/>
      <c r="BNT17" s="387"/>
      <c r="BNU17" s="387"/>
      <c r="BNV17" s="387"/>
      <c r="BNW17" s="387"/>
      <c r="BNX17" s="387"/>
      <c r="BNY17" s="387"/>
      <c r="BNZ17" s="387"/>
      <c r="BOA17" s="387"/>
      <c r="BOB17" s="387"/>
      <c r="BOC17" s="387"/>
      <c r="BOD17" s="387"/>
      <c r="BOE17" s="387"/>
      <c r="BOF17" s="387"/>
      <c r="BOG17" s="387"/>
      <c r="BOH17" s="387"/>
      <c r="BOI17" s="387"/>
      <c r="BOJ17" s="387"/>
      <c r="BOK17" s="387"/>
      <c r="BOL17" s="387"/>
      <c r="BOM17" s="387"/>
      <c r="BON17" s="387"/>
      <c r="BOO17" s="387"/>
      <c r="BOP17" s="387"/>
      <c r="BOQ17" s="387"/>
      <c r="BOR17" s="387"/>
      <c r="BOS17" s="387"/>
      <c r="BOT17" s="387"/>
      <c r="BOU17" s="387"/>
      <c r="BOV17" s="387"/>
      <c r="BOW17" s="387"/>
      <c r="BOX17" s="387"/>
      <c r="BOY17" s="387"/>
      <c r="BOZ17" s="387"/>
      <c r="BPA17" s="387"/>
      <c r="BPB17" s="387"/>
      <c r="BPC17" s="387"/>
      <c r="BPD17" s="387"/>
      <c r="BPE17" s="387"/>
      <c r="BPF17" s="387"/>
      <c r="BPG17" s="387"/>
      <c r="BPH17" s="387"/>
      <c r="BPI17" s="387"/>
      <c r="BPJ17" s="387"/>
      <c r="BPK17" s="387"/>
      <c r="BPL17" s="387"/>
      <c r="BPM17" s="387"/>
      <c r="BPN17" s="387"/>
      <c r="BPO17" s="387"/>
      <c r="BPP17" s="387"/>
      <c r="BPQ17" s="387"/>
      <c r="BPR17" s="387"/>
      <c r="BPS17" s="387"/>
      <c r="BPT17" s="387"/>
      <c r="BPU17" s="387"/>
      <c r="BPV17" s="387"/>
      <c r="BPW17" s="387"/>
      <c r="BPX17" s="387"/>
      <c r="BPY17" s="387"/>
      <c r="BPZ17" s="387"/>
      <c r="BQA17" s="387"/>
      <c r="BQB17" s="387"/>
      <c r="BQC17" s="387"/>
      <c r="BQD17" s="387"/>
      <c r="BQE17" s="387"/>
      <c r="BQF17" s="387"/>
      <c r="BQG17" s="387"/>
      <c r="BQH17" s="387"/>
      <c r="BQI17" s="387"/>
      <c r="BQJ17" s="387"/>
      <c r="BQK17" s="387"/>
      <c r="BQL17" s="387"/>
      <c r="BQM17" s="387"/>
      <c r="BQN17" s="387"/>
      <c r="BQO17" s="387"/>
      <c r="BQP17" s="387"/>
      <c r="BQQ17" s="387"/>
      <c r="BQR17" s="387"/>
      <c r="BQS17" s="387"/>
      <c r="BQT17" s="387"/>
      <c r="BQU17" s="387"/>
      <c r="BQV17" s="387"/>
      <c r="BQW17" s="387"/>
      <c r="BQX17" s="387"/>
      <c r="BQY17" s="387"/>
      <c r="BQZ17" s="387"/>
      <c r="BRA17" s="387"/>
      <c r="BRB17" s="387"/>
      <c r="BRC17" s="387"/>
      <c r="BRD17" s="387"/>
      <c r="BRE17" s="387"/>
      <c r="BRF17" s="387"/>
      <c r="BRG17" s="387"/>
      <c r="BRH17" s="387"/>
      <c r="BRI17" s="387"/>
      <c r="BRJ17" s="387"/>
      <c r="BRK17" s="387"/>
      <c r="BRL17" s="387"/>
      <c r="BRM17" s="387"/>
      <c r="BRN17" s="387"/>
      <c r="BRO17" s="387"/>
      <c r="BRP17" s="387"/>
      <c r="BRQ17" s="387"/>
      <c r="BRR17" s="387"/>
      <c r="BRS17" s="387"/>
      <c r="BRT17" s="387"/>
      <c r="BRU17" s="387"/>
      <c r="BRV17" s="387"/>
      <c r="BRW17" s="387"/>
      <c r="BRX17" s="387"/>
      <c r="BRY17" s="387"/>
      <c r="BRZ17" s="387"/>
      <c r="BSA17" s="387"/>
      <c r="BSB17" s="387"/>
      <c r="BSC17" s="387"/>
      <c r="BSD17" s="387"/>
      <c r="BSE17" s="387"/>
      <c r="BSF17" s="387"/>
      <c r="BSG17" s="387"/>
      <c r="BSH17" s="387"/>
      <c r="BSI17" s="387"/>
      <c r="BSJ17" s="387"/>
      <c r="BSK17" s="387"/>
      <c r="BSL17" s="387"/>
      <c r="BSM17" s="387"/>
      <c r="BSN17" s="387"/>
      <c r="BSO17" s="387"/>
      <c r="BSP17" s="387"/>
      <c r="BSQ17" s="387"/>
      <c r="BSR17" s="387"/>
      <c r="BSS17" s="387"/>
      <c r="BST17" s="387"/>
      <c r="BSU17" s="387"/>
      <c r="BSV17" s="387"/>
      <c r="BSW17" s="387"/>
      <c r="BSX17" s="387"/>
      <c r="BSY17" s="387"/>
      <c r="BSZ17" s="387"/>
      <c r="BTA17" s="387"/>
      <c r="BTB17" s="387"/>
      <c r="BTC17" s="387"/>
      <c r="BTD17" s="387"/>
      <c r="BTE17" s="387"/>
      <c r="BTF17" s="387"/>
      <c r="BTG17" s="387"/>
      <c r="BTH17" s="387"/>
      <c r="BTI17" s="387"/>
    </row>
    <row r="18" spans="1:1881" s="372" customFormat="1" ht="105" customHeight="1" x14ac:dyDescent="0.35">
      <c r="A18" s="447">
        <v>632</v>
      </c>
      <c r="B18" s="448" t="s">
        <v>674</v>
      </c>
      <c r="C18" s="444" t="s">
        <v>152</v>
      </c>
      <c r="D18" s="445" t="s">
        <v>903</v>
      </c>
      <c r="E18" s="449" t="s">
        <v>676</v>
      </c>
      <c r="F18" s="686"/>
      <c r="G18" s="450">
        <f>IF(F18&gt;F12,"Please review account numbers 632 &gt; 626",)</f>
        <v>0</v>
      </c>
      <c r="H18" s="432"/>
      <c r="I18" s="434"/>
      <c r="J18" s="362"/>
      <c r="K18" s="436"/>
      <c r="L18" s="674" t="s">
        <v>988</v>
      </c>
      <c r="M18" s="576"/>
      <c r="N18" s="594"/>
      <c r="O18" s="387"/>
      <c r="P18" s="387"/>
      <c r="Q18" s="387"/>
      <c r="R18"/>
      <c r="S18" s="682"/>
      <c r="T18" s="387"/>
      <c r="U18" s="387"/>
      <c r="V18" s="387"/>
      <c r="W18" s="387"/>
      <c r="X18" s="682"/>
      <c r="Y18" s="387"/>
      <c r="Z18" s="387"/>
      <c r="AA18" s="387"/>
      <c r="AB18" s="387"/>
      <c r="AC18" s="387"/>
      <c r="AD18" s="387"/>
      <c r="AE18" s="387"/>
      <c r="AF18" s="387"/>
      <c r="AG18" s="387"/>
      <c r="AH18" s="387"/>
      <c r="AI18" s="387"/>
      <c r="AJ18" s="387"/>
      <c r="AK18" s="387"/>
      <c r="AL18" s="387"/>
      <c r="AM18" s="387"/>
      <c r="AN18" s="387"/>
      <c r="AO18" s="387"/>
      <c r="AP18" s="387"/>
      <c r="AQ18" s="387"/>
      <c r="AR18" s="387"/>
      <c r="AS18" s="387"/>
      <c r="AT18" s="387"/>
      <c r="AU18" s="387"/>
      <c r="AV18" s="387"/>
      <c r="AW18" s="387"/>
      <c r="AX18" s="387"/>
      <c r="AY18" s="387"/>
      <c r="AZ18" s="387"/>
      <c r="BA18" s="387"/>
      <c r="BB18" s="387"/>
      <c r="BC18" s="387"/>
      <c r="BD18" s="387"/>
      <c r="BE18" s="387"/>
      <c r="BF18" s="387"/>
      <c r="BG18" s="387"/>
      <c r="BH18" s="387"/>
      <c r="BI18" s="387"/>
      <c r="BJ18" s="387"/>
      <c r="BK18" s="387"/>
      <c r="BL18" s="387"/>
      <c r="BM18" s="387"/>
      <c r="BN18" s="387"/>
      <c r="BO18" s="387"/>
      <c r="BP18" s="387"/>
      <c r="BQ18" s="387"/>
      <c r="BR18" s="387"/>
      <c r="BS18" s="387"/>
      <c r="BT18" s="387"/>
      <c r="BU18" s="387"/>
      <c r="BV18" s="387"/>
      <c r="BW18" s="387"/>
      <c r="BX18" s="387"/>
      <c r="BY18" s="387"/>
      <c r="BZ18" s="387"/>
      <c r="CA18" s="387"/>
      <c r="CB18" s="387"/>
      <c r="CC18" s="387"/>
      <c r="CD18" s="387"/>
      <c r="CE18" s="387"/>
      <c r="CF18" s="387"/>
      <c r="CG18" s="387"/>
      <c r="CH18" s="387"/>
      <c r="CI18" s="387"/>
      <c r="CJ18" s="387"/>
      <c r="CK18" s="387"/>
      <c r="CL18" s="387"/>
      <c r="CM18" s="387"/>
      <c r="CN18" s="387"/>
      <c r="CO18" s="387"/>
      <c r="CP18" s="387"/>
      <c r="CQ18" s="387"/>
      <c r="CR18" s="387"/>
      <c r="CS18" s="387"/>
      <c r="CT18" s="387"/>
      <c r="CU18" s="387"/>
      <c r="CV18" s="387"/>
      <c r="CW18" s="387"/>
      <c r="CX18" s="387"/>
      <c r="CY18" s="387"/>
      <c r="CZ18" s="387"/>
      <c r="DA18" s="387"/>
      <c r="DB18" s="387"/>
      <c r="DC18" s="387"/>
      <c r="DD18" s="387"/>
      <c r="DE18" s="387"/>
      <c r="DF18" s="387"/>
      <c r="DG18" s="387"/>
      <c r="DH18" s="387"/>
      <c r="DI18" s="387"/>
      <c r="DJ18" s="387"/>
      <c r="DK18" s="387"/>
      <c r="DL18" s="387"/>
      <c r="DM18" s="387"/>
      <c r="DN18" s="387"/>
      <c r="DO18" s="387"/>
      <c r="DP18" s="387"/>
      <c r="DQ18" s="387"/>
      <c r="DR18" s="387"/>
      <c r="DS18" s="387"/>
      <c r="DT18" s="387"/>
      <c r="DU18" s="387"/>
      <c r="DV18" s="387"/>
      <c r="DW18" s="387"/>
      <c r="DX18" s="387"/>
      <c r="DY18" s="387"/>
      <c r="DZ18" s="387"/>
      <c r="EA18" s="387"/>
      <c r="EB18" s="387"/>
      <c r="EC18" s="387"/>
      <c r="ED18" s="387"/>
      <c r="EE18" s="387"/>
      <c r="EF18" s="387"/>
      <c r="EG18" s="387"/>
      <c r="EH18" s="387"/>
      <c r="EI18" s="387"/>
      <c r="EJ18" s="387"/>
      <c r="EK18" s="387"/>
      <c r="EL18" s="387"/>
      <c r="EM18" s="387"/>
      <c r="EN18" s="387"/>
      <c r="EO18" s="387"/>
      <c r="EP18" s="387"/>
      <c r="EQ18" s="387"/>
      <c r="ER18" s="387"/>
      <c r="ES18" s="387"/>
      <c r="ET18" s="387"/>
      <c r="EU18" s="387"/>
      <c r="EV18" s="387"/>
      <c r="EW18" s="387"/>
      <c r="EX18" s="387"/>
      <c r="EY18" s="387"/>
      <c r="EZ18" s="387"/>
      <c r="FA18" s="387"/>
      <c r="FB18" s="387"/>
      <c r="FC18" s="387"/>
      <c r="FD18" s="387"/>
      <c r="FE18" s="387"/>
      <c r="FF18" s="387"/>
      <c r="FG18" s="387"/>
      <c r="FH18" s="387"/>
      <c r="FI18" s="387"/>
      <c r="FJ18" s="387"/>
      <c r="FK18" s="387"/>
      <c r="FL18" s="387"/>
      <c r="FM18" s="387"/>
      <c r="FN18" s="387"/>
      <c r="FO18" s="387"/>
      <c r="FP18" s="387"/>
      <c r="FQ18" s="387"/>
      <c r="FR18" s="387"/>
      <c r="FS18" s="387"/>
      <c r="FT18" s="387"/>
      <c r="FU18" s="387"/>
      <c r="FV18" s="387"/>
      <c r="FW18" s="387"/>
      <c r="FX18" s="387"/>
      <c r="FY18" s="387"/>
      <c r="FZ18" s="387"/>
      <c r="GA18" s="387"/>
      <c r="GB18" s="387"/>
      <c r="GC18" s="387"/>
      <c r="GD18" s="387"/>
      <c r="GE18" s="387"/>
      <c r="GF18" s="387"/>
      <c r="GG18" s="387"/>
      <c r="GH18" s="387"/>
      <c r="GI18" s="387"/>
      <c r="GJ18" s="387"/>
      <c r="GK18" s="387"/>
      <c r="GL18" s="387"/>
      <c r="GM18" s="387"/>
      <c r="GN18" s="387"/>
      <c r="GO18" s="387"/>
      <c r="GP18" s="387"/>
      <c r="GQ18" s="387"/>
      <c r="GR18" s="387"/>
      <c r="GS18" s="387"/>
      <c r="GT18" s="387"/>
      <c r="GU18" s="387"/>
      <c r="GV18" s="387"/>
      <c r="GW18" s="387"/>
      <c r="GX18" s="387"/>
      <c r="GY18" s="387"/>
      <c r="GZ18" s="387"/>
      <c r="HA18" s="387"/>
      <c r="HB18" s="387"/>
      <c r="HC18" s="387"/>
      <c r="HD18" s="387"/>
      <c r="HE18" s="387"/>
      <c r="HF18" s="387"/>
      <c r="HG18" s="387"/>
      <c r="HH18" s="387"/>
      <c r="HI18" s="387"/>
      <c r="HJ18" s="387"/>
      <c r="HK18" s="387"/>
      <c r="HL18" s="387"/>
      <c r="HM18" s="387"/>
      <c r="HN18" s="387"/>
      <c r="HO18" s="387"/>
      <c r="HP18" s="387"/>
      <c r="HQ18" s="387"/>
      <c r="HR18" s="387"/>
      <c r="HS18" s="387"/>
      <c r="HT18" s="387"/>
      <c r="HU18" s="387"/>
      <c r="HV18" s="387"/>
      <c r="HW18" s="387"/>
      <c r="HX18" s="387"/>
      <c r="HY18" s="387"/>
      <c r="HZ18" s="387"/>
      <c r="IA18" s="387"/>
      <c r="IB18" s="387"/>
      <c r="IC18" s="387"/>
      <c r="ID18" s="387"/>
      <c r="IE18" s="387"/>
      <c r="IF18" s="387"/>
      <c r="IG18" s="387"/>
      <c r="IH18" s="387"/>
      <c r="II18" s="387"/>
      <c r="IJ18" s="387"/>
      <c r="IK18" s="387"/>
      <c r="IL18" s="387"/>
      <c r="IM18" s="387"/>
      <c r="IN18" s="387"/>
      <c r="IO18" s="387"/>
      <c r="IP18" s="387"/>
      <c r="IQ18" s="387"/>
      <c r="IR18" s="387"/>
      <c r="IS18" s="387"/>
      <c r="IT18" s="387"/>
      <c r="IU18" s="387"/>
      <c r="IV18" s="387"/>
      <c r="IW18" s="387"/>
      <c r="IX18" s="387"/>
      <c r="IY18" s="387"/>
      <c r="IZ18" s="387"/>
      <c r="JA18" s="387"/>
      <c r="JB18" s="387"/>
      <c r="JC18" s="387"/>
      <c r="JD18" s="387"/>
      <c r="JE18" s="387"/>
      <c r="JF18" s="387"/>
      <c r="JG18" s="387"/>
      <c r="JH18" s="387"/>
      <c r="JI18" s="387"/>
      <c r="JJ18" s="387"/>
      <c r="JK18" s="387"/>
      <c r="JL18" s="387"/>
      <c r="JM18" s="387"/>
      <c r="JN18" s="387"/>
      <c r="JO18" s="387"/>
      <c r="JP18" s="387"/>
      <c r="JQ18" s="387"/>
      <c r="JR18" s="387"/>
      <c r="JS18" s="387"/>
      <c r="JT18" s="387"/>
      <c r="JU18" s="387"/>
      <c r="JV18" s="387"/>
      <c r="JW18" s="387"/>
      <c r="JX18" s="387"/>
      <c r="JY18" s="387"/>
      <c r="JZ18" s="387"/>
      <c r="KA18" s="387"/>
      <c r="KB18" s="387"/>
      <c r="KC18" s="387"/>
      <c r="KD18" s="387"/>
      <c r="KE18" s="387"/>
      <c r="KF18" s="387"/>
      <c r="KG18" s="387"/>
      <c r="KH18" s="387"/>
      <c r="KI18" s="387"/>
      <c r="KJ18" s="387"/>
      <c r="KK18" s="387"/>
      <c r="KL18" s="387"/>
      <c r="KM18" s="387"/>
      <c r="KN18" s="387"/>
      <c r="KO18" s="387"/>
      <c r="KP18" s="387"/>
      <c r="KQ18" s="387"/>
      <c r="KR18" s="387"/>
      <c r="KS18" s="387"/>
      <c r="KT18" s="387"/>
      <c r="KU18" s="387"/>
      <c r="KV18" s="387"/>
      <c r="KW18" s="387"/>
      <c r="KX18" s="387"/>
      <c r="KY18" s="387"/>
      <c r="KZ18" s="387"/>
      <c r="LA18" s="387"/>
      <c r="LB18" s="387"/>
      <c r="LC18" s="387"/>
      <c r="LD18" s="387"/>
      <c r="LE18" s="387"/>
      <c r="LF18" s="387"/>
      <c r="LG18" s="387"/>
      <c r="LH18" s="387"/>
      <c r="LI18" s="387"/>
      <c r="LJ18" s="387"/>
      <c r="LK18" s="387"/>
      <c r="LL18" s="387"/>
      <c r="LM18" s="387"/>
      <c r="LN18" s="387"/>
      <c r="LO18" s="387"/>
      <c r="LP18" s="387"/>
      <c r="LQ18" s="387"/>
      <c r="LR18" s="387"/>
      <c r="LS18" s="387"/>
      <c r="LT18" s="387"/>
      <c r="LU18" s="387"/>
      <c r="LV18" s="387"/>
      <c r="LW18" s="387"/>
      <c r="LX18" s="387"/>
      <c r="LY18" s="387"/>
      <c r="LZ18" s="387"/>
      <c r="MA18" s="387"/>
      <c r="MB18" s="387"/>
      <c r="MC18" s="387"/>
      <c r="MD18" s="387"/>
      <c r="ME18" s="387"/>
      <c r="MF18" s="387"/>
      <c r="MG18" s="387"/>
      <c r="MH18" s="387"/>
      <c r="MI18" s="387"/>
      <c r="MJ18" s="387"/>
      <c r="MK18" s="387"/>
      <c r="ML18" s="387"/>
      <c r="MM18" s="387"/>
      <c r="MN18" s="387"/>
      <c r="MO18" s="387"/>
      <c r="MP18" s="387"/>
      <c r="MQ18" s="387"/>
      <c r="MR18" s="387"/>
      <c r="MS18" s="387"/>
      <c r="MT18" s="387"/>
      <c r="MU18" s="387"/>
      <c r="MV18" s="387"/>
      <c r="MW18" s="387"/>
      <c r="MX18" s="387"/>
      <c r="MY18" s="387"/>
      <c r="MZ18" s="387"/>
      <c r="NA18" s="387"/>
      <c r="NB18" s="387"/>
      <c r="NC18" s="387"/>
      <c r="ND18" s="387"/>
      <c r="NE18" s="387"/>
      <c r="NF18" s="387"/>
      <c r="NG18" s="387"/>
      <c r="NH18" s="387"/>
      <c r="NI18" s="387"/>
      <c r="NJ18" s="387"/>
      <c r="NK18" s="387"/>
      <c r="NL18" s="387"/>
      <c r="NM18" s="387"/>
      <c r="NN18" s="387"/>
      <c r="NO18" s="387"/>
      <c r="NP18" s="387"/>
      <c r="NQ18" s="387"/>
      <c r="NR18" s="387"/>
      <c r="NS18" s="387"/>
      <c r="NT18" s="387"/>
      <c r="NU18" s="387"/>
      <c r="NV18" s="387"/>
      <c r="NW18" s="387"/>
      <c r="NX18" s="387"/>
      <c r="NY18" s="387"/>
      <c r="NZ18" s="387"/>
      <c r="OA18" s="387"/>
      <c r="OB18" s="387"/>
      <c r="OC18" s="387"/>
      <c r="OD18" s="387"/>
      <c r="OE18" s="387"/>
      <c r="OF18" s="387"/>
      <c r="OG18" s="387"/>
      <c r="OH18" s="387"/>
      <c r="OI18" s="387"/>
      <c r="OJ18" s="387"/>
      <c r="OK18" s="387"/>
      <c r="OL18" s="387"/>
      <c r="OM18" s="387"/>
      <c r="ON18" s="387"/>
      <c r="OO18" s="387"/>
      <c r="OP18" s="387"/>
      <c r="OQ18" s="387"/>
      <c r="OR18" s="387"/>
      <c r="OS18" s="387"/>
      <c r="OT18" s="387"/>
      <c r="OU18" s="387"/>
      <c r="OV18" s="387"/>
      <c r="OW18" s="387"/>
      <c r="OX18" s="387"/>
      <c r="OY18" s="387"/>
      <c r="OZ18" s="387"/>
      <c r="PA18" s="387"/>
      <c r="PB18" s="387"/>
      <c r="PC18" s="387"/>
      <c r="PD18" s="387"/>
      <c r="PE18" s="387"/>
      <c r="PF18" s="387"/>
      <c r="PG18" s="387"/>
      <c r="PH18" s="387"/>
      <c r="PI18" s="387"/>
      <c r="PJ18" s="387"/>
      <c r="PK18" s="387"/>
      <c r="PL18" s="387"/>
      <c r="PM18" s="387"/>
      <c r="PN18" s="387"/>
      <c r="PO18" s="387"/>
      <c r="PP18" s="387"/>
      <c r="PQ18" s="387"/>
      <c r="PR18" s="387"/>
      <c r="PS18" s="387"/>
      <c r="PT18" s="387"/>
      <c r="PU18" s="387"/>
      <c r="PV18" s="387"/>
      <c r="PW18" s="387"/>
      <c r="PX18" s="387"/>
      <c r="PY18" s="387"/>
      <c r="PZ18" s="387"/>
      <c r="QA18" s="387"/>
      <c r="QB18" s="387"/>
      <c r="QC18" s="387"/>
      <c r="QD18" s="387"/>
      <c r="QE18" s="387"/>
      <c r="QF18" s="387"/>
      <c r="QG18" s="387"/>
      <c r="QH18" s="387"/>
      <c r="QI18" s="387"/>
      <c r="QJ18" s="387"/>
      <c r="QK18" s="387"/>
      <c r="QL18" s="387"/>
      <c r="QM18" s="387"/>
      <c r="QN18" s="387"/>
      <c r="QO18" s="387"/>
      <c r="QP18" s="387"/>
      <c r="QQ18" s="387"/>
      <c r="QR18" s="387"/>
      <c r="QS18" s="387"/>
      <c r="QT18" s="387"/>
      <c r="QU18" s="387"/>
      <c r="QV18" s="387"/>
      <c r="QW18" s="387"/>
      <c r="QX18" s="387"/>
      <c r="QY18" s="387"/>
      <c r="QZ18" s="387"/>
      <c r="RA18" s="387"/>
      <c r="RB18" s="387"/>
      <c r="RC18" s="387"/>
      <c r="RD18" s="387"/>
      <c r="RE18" s="387"/>
      <c r="RF18" s="387"/>
      <c r="RG18" s="387"/>
      <c r="RH18" s="387"/>
      <c r="RI18" s="387"/>
      <c r="RJ18" s="387"/>
      <c r="RK18" s="387"/>
      <c r="RL18" s="387"/>
      <c r="RM18" s="387"/>
      <c r="RN18" s="387"/>
      <c r="RO18" s="387"/>
      <c r="RP18" s="387"/>
      <c r="RQ18" s="387"/>
      <c r="RR18" s="387"/>
      <c r="RS18" s="387"/>
      <c r="RT18" s="387"/>
      <c r="RU18" s="387"/>
      <c r="RV18" s="387"/>
      <c r="RW18" s="387"/>
      <c r="RX18" s="387"/>
      <c r="RY18" s="387"/>
      <c r="RZ18" s="387"/>
      <c r="SA18" s="387"/>
      <c r="SB18" s="387"/>
      <c r="SC18" s="387"/>
      <c r="SD18" s="387"/>
      <c r="SE18" s="387"/>
      <c r="SF18" s="387"/>
      <c r="SG18" s="387"/>
      <c r="SH18" s="387"/>
      <c r="SI18" s="387"/>
      <c r="SJ18" s="387"/>
      <c r="SK18" s="387"/>
      <c r="SL18" s="387"/>
      <c r="SM18" s="387"/>
      <c r="SN18" s="387"/>
      <c r="SO18" s="387"/>
      <c r="SP18" s="387"/>
      <c r="SQ18" s="387"/>
      <c r="SR18" s="387"/>
      <c r="SS18" s="387"/>
      <c r="ST18" s="387"/>
      <c r="SU18" s="387"/>
      <c r="SV18" s="387"/>
      <c r="SW18" s="387"/>
      <c r="SX18" s="387"/>
      <c r="SY18" s="387"/>
      <c r="SZ18" s="387"/>
      <c r="TA18" s="387"/>
      <c r="TB18" s="387"/>
      <c r="TC18" s="387"/>
      <c r="TD18" s="387"/>
      <c r="TE18" s="387"/>
      <c r="TF18" s="387"/>
      <c r="TG18" s="387"/>
      <c r="TH18" s="387"/>
      <c r="TI18" s="387"/>
      <c r="TJ18" s="387"/>
      <c r="TK18" s="387"/>
      <c r="TL18" s="387"/>
      <c r="TM18" s="387"/>
      <c r="TN18" s="387"/>
      <c r="TO18" s="387"/>
      <c r="TP18" s="387"/>
      <c r="TQ18" s="387"/>
      <c r="TR18" s="387"/>
      <c r="TS18" s="387"/>
      <c r="TT18" s="387"/>
      <c r="TU18" s="387"/>
      <c r="TV18" s="387"/>
      <c r="TW18" s="387"/>
      <c r="TX18" s="387"/>
      <c r="TY18" s="387"/>
      <c r="TZ18" s="387"/>
      <c r="UA18" s="387"/>
      <c r="UB18" s="387"/>
      <c r="UC18" s="387"/>
      <c r="UD18" s="387"/>
      <c r="UE18" s="387"/>
      <c r="UF18" s="387"/>
      <c r="UG18" s="387"/>
      <c r="UH18" s="387"/>
      <c r="UI18" s="387"/>
      <c r="UJ18" s="387"/>
      <c r="UK18" s="387"/>
      <c r="UL18" s="387"/>
      <c r="UM18" s="387"/>
      <c r="UN18" s="387"/>
      <c r="UO18" s="387"/>
      <c r="UP18" s="387"/>
      <c r="UQ18" s="387"/>
      <c r="UR18" s="387"/>
      <c r="US18" s="387"/>
      <c r="UT18" s="387"/>
      <c r="UU18" s="387"/>
      <c r="UV18" s="387"/>
      <c r="UW18" s="387"/>
      <c r="UX18" s="387"/>
      <c r="UY18" s="387"/>
      <c r="UZ18" s="387"/>
      <c r="VA18" s="387"/>
      <c r="VB18" s="387"/>
      <c r="VC18" s="387"/>
      <c r="VD18" s="387"/>
      <c r="VE18" s="387"/>
      <c r="VF18" s="387"/>
      <c r="VG18" s="387"/>
      <c r="VH18" s="387"/>
      <c r="VI18" s="387"/>
      <c r="VJ18" s="387"/>
      <c r="VK18" s="387"/>
      <c r="VL18" s="387"/>
      <c r="VM18" s="387"/>
      <c r="VN18" s="387"/>
      <c r="VO18" s="387"/>
      <c r="VP18" s="387"/>
      <c r="VQ18" s="387"/>
      <c r="VR18" s="387"/>
      <c r="VS18" s="387"/>
      <c r="VT18" s="387"/>
      <c r="VU18" s="387"/>
      <c r="VV18" s="387"/>
      <c r="VW18" s="387"/>
      <c r="VX18" s="387"/>
      <c r="VY18" s="387"/>
      <c r="VZ18" s="387"/>
      <c r="WA18" s="387"/>
      <c r="WB18" s="387"/>
      <c r="WC18" s="387"/>
      <c r="WD18" s="387"/>
      <c r="WE18" s="387"/>
      <c r="WF18" s="387"/>
      <c r="WG18" s="387"/>
      <c r="WH18" s="387"/>
      <c r="WI18" s="387"/>
      <c r="WJ18" s="387"/>
      <c r="WK18" s="387"/>
      <c r="WL18" s="387"/>
      <c r="WM18" s="387"/>
      <c r="WN18" s="387"/>
      <c r="WO18" s="387"/>
      <c r="WP18" s="387"/>
      <c r="WQ18" s="387"/>
      <c r="WR18" s="387"/>
      <c r="WS18" s="387"/>
      <c r="WT18" s="387"/>
      <c r="WU18" s="387"/>
      <c r="WV18" s="387"/>
      <c r="WW18" s="387"/>
      <c r="WX18" s="387"/>
      <c r="WY18" s="387"/>
      <c r="WZ18" s="387"/>
      <c r="XA18" s="387"/>
      <c r="XB18" s="387"/>
      <c r="XC18" s="387"/>
      <c r="XD18" s="387"/>
      <c r="XE18" s="387"/>
      <c r="XF18" s="387"/>
      <c r="XG18" s="387"/>
      <c r="XH18" s="387"/>
      <c r="XI18" s="387"/>
      <c r="XJ18" s="387"/>
      <c r="XK18" s="387"/>
      <c r="XL18" s="387"/>
      <c r="XM18" s="387"/>
      <c r="XN18" s="387"/>
      <c r="XO18" s="387"/>
      <c r="XP18" s="387"/>
      <c r="XQ18" s="387"/>
      <c r="XR18" s="387"/>
      <c r="XS18" s="387"/>
      <c r="XT18" s="387"/>
      <c r="XU18" s="387"/>
      <c r="XV18" s="387"/>
      <c r="XW18" s="387"/>
      <c r="XX18" s="387"/>
      <c r="XY18" s="387"/>
      <c r="XZ18" s="387"/>
      <c r="YA18" s="387"/>
      <c r="YB18" s="387"/>
      <c r="YC18" s="387"/>
      <c r="YD18" s="387"/>
      <c r="YE18" s="387"/>
      <c r="YF18" s="387"/>
      <c r="YG18" s="387"/>
      <c r="YH18" s="387"/>
      <c r="YI18" s="387"/>
      <c r="YJ18" s="387"/>
      <c r="YK18" s="387"/>
      <c r="YL18" s="387"/>
      <c r="YM18" s="387"/>
      <c r="YN18" s="387"/>
      <c r="YO18" s="387"/>
      <c r="YP18" s="387"/>
      <c r="YQ18" s="387"/>
      <c r="YR18" s="387"/>
      <c r="YS18" s="387"/>
      <c r="YT18" s="387"/>
      <c r="YU18" s="387"/>
      <c r="YV18" s="387"/>
      <c r="YW18" s="387"/>
      <c r="YX18" s="387"/>
      <c r="YY18" s="387"/>
      <c r="YZ18" s="387"/>
      <c r="ZA18" s="387"/>
      <c r="ZB18" s="387"/>
      <c r="ZC18" s="387"/>
      <c r="ZD18" s="387"/>
      <c r="ZE18" s="387"/>
      <c r="ZF18" s="387"/>
      <c r="ZG18" s="387"/>
      <c r="ZH18" s="387"/>
      <c r="ZI18" s="387"/>
      <c r="ZJ18" s="387"/>
      <c r="ZK18" s="387"/>
      <c r="ZL18" s="387"/>
      <c r="ZM18" s="387"/>
      <c r="ZN18" s="387"/>
      <c r="ZO18" s="387"/>
      <c r="ZP18" s="387"/>
      <c r="ZQ18" s="387"/>
      <c r="ZR18" s="387"/>
      <c r="ZS18" s="387"/>
      <c r="ZT18" s="387"/>
      <c r="ZU18" s="387"/>
      <c r="ZV18" s="387"/>
      <c r="ZW18" s="387"/>
      <c r="ZX18" s="387"/>
      <c r="ZY18" s="387"/>
      <c r="ZZ18" s="387"/>
      <c r="AAA18" s="387"/>
      <c r="AAB18" s="387"/>
      <c r="AAC18" s="387"/>
      <c r="AAD18" s="387"/>
      <c r="AAE18" s="387"/>
      <c r="AAF18" s="387"/>
      <c r="AAG18" s="387"/>
      <c r="AAH18" s="387"/>
      <c r="AAI18" s="387"/>
      <c r="AAJ18" s="387"/>
      <c r="AAK18" s="387"/>
      <c r="AAL18" s="387"/>
      <c r="AAM18" s="387"/>
      <c r="AAN18" s="387"/>
      <c r="AAO18" s="387"/>
      <c r="AAP18" s="387"/>
      <c r="AAQ18" s="387"/>
      <c r="AAR18" s="387"/>
      <c r="AAS18" s="387"/>
      <c r="AAT18" s="387"/>
      <c r="AAU18" s="387"/>
      <c r="AAV18" s="387"/>
      <c r="AAW18" s="387"/>
      <c r="AAX18" s="387"/>
      <c r="AAY18" s="387"/>
      <c r="AAZ18" s="387"/>
      <c r="ABA18" s="387"/>
      <c r="ABB18" s="387"/>
      <c r="ABC18" s="387"/>
      <c r="ABD18" s="387"/>
      <c r="ABE18" s="387"/>
      <c r="ABF18" s="387"/>
      <c r="ABG18" s="387"/>
      <c r="ABH18" s="387"/>
      <c r="ABI18" s="387"/>
      <c r="ABJ18" s="387"/>
      <c r="ABK18" s="387"/>
      <c r="ABL18" s="387"/>
      <c r="ABM18" s="387"/>
      <c r="ABN18" s="387"/>
      <c r="ABO18" s="387"/>
      <c r="ABP18" s="387"/>
      <c r="ABQ18" s="387"/>
      <c r="ABR18" s="387"/>
      <c r="ABS18" s="387"/>
      <c r="ABT18" s="387"/>
      <c r="ABU18" s="387"/>
      <c r="ABV18" s="387"/>
      <c r="ABW18" s="387"/>
      <c r="ABX18" s="387"/>
      <c r="ABY18" s="387"/>
      <c r="ABZ18" s="387"/>
      <c r="ACA18" s="387"/>
      <c r="ACB18" s="387"/>
      <c r="ACC18" s="387"/>
      <c r="ACD18" s="387"/>
      <c r="ACE18" s="387"/>
      <c r="ACF18" s="387"/>
      <c r="ACG18" s="387"/>
      <c r="ACH18" s="387"/>
      <c r="ACI18" s="387"/>
      <c r="ACJ18" s="387"/>
      <c r="ACK18" s="387"/>
      <c r="ACL18" s="387"/>
      <c r="ACM18" s="387"/>
      <c r="ACN18" s="387"/>
      <c r="ACO18" s="387"/>
      <c r="ACP18" s="387"/>
      <c r="ACQ18" s="387"/>
      <c r="ACR18" s="387"/>
      <c r="ACS18" s="387"/>
      <c r="ACT18" s="387"/>
      <c r="ACU18" s="387"/>
      <c r="ACV18" s="387"/>
      <c r="ACW18" s="387"/>
      <c r="ACX18" s="387"/>
      <c r="ACY18" s="387"/>
      <c r="ACZ18" s="387"/>
      <c r="ADA18" s="387"/>
      <c r="ADB18" s="387"/>
      <c r="ADC18" s="387"/>
      <c r="ADD18" s="387"/>
      <c r="ADE18" s="387"/>
      <c r="ADF18" s="387"/>
      <c r="ADG18" s="387"/>
      <c r="ADH18" s="387"/>
      <c r="ADI18" s="387"/>
      <c r="ADJ18" s="387"/>
      <c r="ADK18" s="387"/>
      <c r="ADL18" s="387"/>
      <c r="ADM18" s="387"/>
      <c r="ADN18" s="387"/>
      <c r="ADO18" s="387"/>
      <c r="ADP18" s="387"/>
      <c r="ADQ18" s="387"/>
      <c r="ADR18" s="387"/>
      <c r="ADS18" s="387"/>
      <c r="ADT18" s="387"/>
      <c r="ADU18" s="387"/>
      <c r="ADV18" s="387"/>
      <c r="ADW18" s="387"/>
      <c r="ADX18" s="387"/>
      <c r="ADY18" s="387"/>
      <c r="ADZ18" s="387"/>
      <c r="AEA18" s="387"/>
      <c r="AEB18" s="387"/>
      <c r="AEC18" s="387"/>
      <c r="AED18" s="387"/>
      <c r="AEE18" s="387"/>
      <c r="AEF18" s="387"/>
      <c r="AEG18" s="387"/>
      <c r="AEH18" s="387"/>
      <c r="AEI18" s="387"/>
      <c r="AEJ18" s="387"/>
      <c r="AEK18" s="387"/>
      <c r="AEL18" s="387"/>
      <c r="AEM18" s="387"/>
      <c r="AEN18" s="387"/>
      <c r="AEO18" s="387"/>
      <c r="AEP18" s="387"/>
      <c r="AEQ18" s="387"/>
      <c r="AER18" s="387"/>
      <c r="AES18" s="387"/>
      <c r="AET18" s="387"/>
      <c r="AEU18" s="387"/>
      <c r="AEV18" s="387"/>
      <c r="AEW18" s="387"/>
      <c r="AEX18" s="387"/>
      <c r="AEY18" s="387"/>
      <c r="AEZ18" s="387"/>
      <c r="AFA18" s="387"/>
      <c r="AFB18" s="387"/>
      <c r="AFC18" s="387"/>
      <c r="AFD18" s="387"/>
      <c r="AFE18" s="387"/>
      <c r="AFF18" s="387"/>
      <c r="AFG18" s="387"/>
      <c r="AFH18" s="387"/>
      <c r="AFI18" s="387"/>
      <c r="AFJ18" s="387"/>
      <c r="AFK18" s="387"/>
      <c r="AFL18" s="387"/>
      <c r="AFM18" s="387"/>
      <c r="AFN18" s="387"/>
      <c r="AFO18" s="387"/>
      <c r="AFP18" s="387"/>
      <c r="AFQ18" s="387"/>
      <c r="AFR18" s="387"/>
      <c r="AFS18" s="387"/>
      <c r="AFT18" s="387"/>
      <c r="AFU18" s="387"/>
      <c r="AFV18" s="387"/>
      <c r="AFW18" s="387"/>
      <c r="AFX18" s="387"/>
      <c r="AFY18" s="387"/>
      <c r="AFZ18" s="387"/>
      <c r="AGA18" s="387"/>
      <c r="AGB18" s="387"/>
      <c r="AGC18" s="387"/>
      <c r="AGD18" s="387"/>
      <c r="AGE18" s="387"/>
      <c r="AGF18" s="387"/>
      <c r="AGG18" s="387"/>
      <c r="AGH18" s="387"/>
      <c r="AGI18" s="387"/>
      <c r="AGJ18" s="387"/>
      <c r="AGK18" s="387"/>
      <c r="AGL18" s="387"/>
      <c r="AGM18" s="387"/>
      <c r="AGN18" s="387"/>
      <c r="AGO18" s="387"/>
      <c r="AGP18" s="387"/>
      <c r="AGQ18" s="387"/>
      <c r="AGR18" s="387"/>
      <c r="AGS18" s="387"/>
      <c r="AGT18" s="387"/>
      <c r="AGU18" s="387"/>
      <c r="AGV18" s="387"/>
      <c r="AGW18" s="387"/>
      <c r="AGX18" s="387"/>
      <c r="AGY18" s="387"/>
      <c r="AGZ18" s="387"/>
      <c r="AHA18" s="387"/>
      <c r="AHB18" s="387"/>
      <c r="AHC18" s="387"/>
      <c r="AHD18" s="387"/>
      <c r="AHE18" s="387"/>
      <c r="AHF18" s="387"/>
      <c r="AHG18" s="387"/>
      <c r="AHH18" s="387"/>
      <c r="AHI18" s="387"/>
      <c r="AHJ18" s="387"/>
      <c r="AHK18" s="387"/>
      <c r="AHL18" s="387"/>
      <c r="AHM18" s="387"/>
      <c r="AHN18" s="387"/>
      <c r="AHO18" s="387"/>
      <c r="AHP18" s="387"/>
      <c r="AHQ18" s="387"/>
      <c r="AHR18" s="387"/>
      <c r="AHS18" s="387"/>
      <c r="AHT18" s="387"/>
      <c r="AHU18" s="387"/>
      <c r="AHV18" s="387"/>
      <c r="AHW18" s="387"/>
      <c r="AHX18" s="387"/>
      <c r="AHY18" s="387"/>
      <c r="AHZ18" s="387"/>
      <c r="AIA18" s="387"/>
      <c r="AIB18" s="387"/>
      <c r="AIC18" s="387"/>
      <c r="AID18" s="387"/>
      <c r="AIE18" s="387"/>
      <c r="AIF18" s="387"/>
      <c r="AIG18" s="387"/>
      <c r="AIH18" s="387"/>
      <c r="AII18" s="387"/>
      <c r="AIJ18" s="387"/>
      <c r="AIK18" s="387"/>
      <c r="AIL18" s="387"/>
      <c r="AIM18" s="387"/>
      <c r="AIN18" s="387"/>
      <c r="AIO18" s="387"/>
      <c r="AIP18" s="387"/>
      <c r="AIQ18" s="387"/>
      <c r="AIR18" s="387"/>
      <c r="AIS18" s="387"/>
      <c r="AIT18" s="387"/>
      <c r="AIU18" s="387"/>
      <c r="AIV18" s="387"/>
      <c r="AIW18" s="387"/>
      <c r="AIX18" s="387"/>
      <c r="AIY18" s="387"/>
      <c r="AIZ18" s="387"/>
      <c r="AJA18" s="387"/>
      <c r="AJB18" s="387"/>
      <c r="AJC18" s="387"/>
      <c r="AJD18" s="387"/>
      <c r="AJE18" s="387"/>
      <c r="AJF18" s="387"/>
      <c r="AJG18" s="387"/>
      <c r="AJH18" s="387"/>
      <c r="AJI18" s="387"/>
      <c r="AJJ18" s="387"/>
      <c r="AJK18" s="387"/>
      <c r="AJL18" s="387"/>
      <c r="AJM18" s="387"/>
      <c r="AJN18" s="387"/>
      <c r="AJO18" s="387"/>
      <c r="AJP18" s="387"/>
      <c r="AJQ18" s="387"/>
      <c r="AJR18" s="387"/>
      <c r="AJS18" s="387"/>
      <c r="AJT18" s="387"/>
      <c r="AJU18" s="387"/>
      <c r="AJV18" s="387"/>
      <c r="AJW18" s="387"/>
      <c r="AJX18" s="387"/>
      <c r="AJY18" s="387"/>
      <c r="AJZ18" s="387"/>
      <c r="AKA18" s="387"/>
      <c r="AKB18" s="387"/>
      <c r="AKC18" s="387"/>
      <c r="AKD18" s="387"/>
      <c r="AKE18" s="387"/>
      <c r="AKF18" s="387"/>
      <c r="AKG18" s="387"/>
      <c r="AKH18" s="387"/>
      <c r="AKI18" s="387"/>
      <c r="AKJ18" s="387"/>
      <c r="AKK18" s="387"/>
      <c r="AKL18" s="387"/>
      <c r="AKM18" s="387"/>
      <c r="AKN18" s="387"/>
      <c r="AKO18" s="387"/>
      <c r="AKP18" s="387"/>
      <c r="AKQ18" s="387"/>
      <c r="AKR18" s="387"/>
      <c r="AKS18" s="387"/>
      <c r="AKT18" s="387"/>
      <c r="AKU18" s="387"/>
      <c r="AKV18" s="387"/>
      <c r="AKW18" s="387"/>
      <c r="AKX18" s="387"/>
      <c r="AKY18" s="387"/>
      <c r="AKZ18" s="387"/>
      <c r="ALA18" s="387"/>
      <c r="ALB18" s="387"/>
      <c r="ALC18" s="387"/>
      <c r="ALD18" s="387"/>
      <c r="ALE18" s="387"/>
      <c r="ALF18" s="387"/>
      <c r="ALG18" s="387"/>
      <c r="ALH18" s="387"/>
      <c r="ALI18" s="387"/>
      <c r="ALJ18" s="387"/>
      <c r="ALK18" s="387"/>
      <c r="ALL18" s="387"/>
      <c r="ALM18" s="387"/>
      <c r="ALN18" s="387"/>
      <c r="ALO18" s="387"/>
      <c r="ALP18" s="387"/>
      <c r="ALQ18" s="387"/>
      <c r="ALR18" s="387"/>
      <c r="ALS18" s="387"/>
      <c r="ALT18" s="387"/>
      <c r="ALU18" s="387"/>
      <c r="ALV18" s="387"/>
      <c r="ALW18" s="387"/>
      <c r="ALX18" s="387"/>
      <c r="ALY18" s="387"/>
      <c r="ALZ18" s="387"/>
      <c r="AMA18" s="387"/>
      <c r="AMB18" s="387"/>
      <c r="AMC18" s="387"/>
      <c r="AMD18" s="387"/>
      <c r="AME18" s="387"/>
      <c r="AMF18" s="387"/>
      <c r="AMG18" s="387"/>
      <c r="AMH18" s="387"/>
      <c r="AMI18" s="387"/>
      <c r="AMJ18" s="387"/>
      <c r="AMK18" s="387"/>
      <c r="AML18" s="387"/>
      <c r="AMM18" s="387"/>
      <c r="AMN18" s="387"/>
      <c r="AMO18" s="387"/>
      <c r="AMP18" s="387"/>
      <c r="AMQ18" s="387"/>
      <c r="AMR18" s="387"/>
      <c r="AMS18" s="387"/>
      <c r="AMT18" s="387"/>
      <c r="AMU18" s="387"/>
      <c r="AMV18" s="387"/>
      <c r="AMW18" s="387"/>
      <c r="AMX18" s="387"/>
      <c r="AMY18" s="387"/>
      <c r="AMZ18" s="387"/>
      <c r="ANA18" s="387"/>
      <c r="ANB18" s="387"/>
      <c r="ANC18" s="387"/>
      <c r="AND18" s="387"/>
      <c r="ANE18" s="387"/>
      <c r="ANF18" s="387"/>
      <c r="ANG18" s="387"/>
      <c r="ANH18" s="387"/>
      <c r="ANI18" s="387"/>
      <c r="ANJ18" s="387"/>
      <c r="ANK18" s="387"/>
      <c r="ANL18" s="387"/>
      <c r="ANM18" s="387"/>
      <c r="ANN18" s="387"/>
      <c r="ANO18" s="387"/>
      <c r="ANP18" s="387"/>
      <c r="ANQ18" s="387"/>
      <c r="ANR18" s="387"/>
      <c r="ANS18" s="387"/>
      <c r="ANT18" s="387"/>
      <c r="ANU18" s="387"/>
      <c r="ANV18" s="387"/>
      <c r="ANW18" s="387"/>
      <c r="ANX18" s="387"/>
      <c r="ANY18" s="387"/>
      <c r="ANZ18" s="387"/>
      <c r="AOA18" s="387"/>
      <c r="AOB18" s="387"/>
      <c r="AOC18" s="387"/>
      <c r="AOD18" s="387"/>
      <c r="AOE18" s="387"/>
      <c r="AOF18" s="387"/>
      <c r="AOG18" s="387"/>
      <c r="AOH18" s="387"/>
      <c r="AOI18" s="387"/>
      <c r="AOJ18" s="387"/>
      <c r="AOK18" s="387"/>
      <c r="AOL18" s="387"/>
      <c r="AOM18" s="387"/>
      <c r="AON18" s="387"/>
      <c r="AOO18" s="387"/>
      <c r="AOP18" s="387"/>
      <c r="AOQ18" s="387"/>
      <c r="AOR18" s="387"/>
      <c r="AOS18" s="387"/>
      <c r="AOT18" s="387"/>
      <c r="AOU18" s="387"/>
      <c r="AOV18" s="387"/>
      <c r="AOW18" s="387"/>
      <c r="AOX18" s="387"/>
      <c r="AOY18" s="387"/>
      <c r="AOZ18" s="387"/>
      <c r="APA18" s="387"/>
      <c r="APB18" s="387"/>
      <c r="APC18" s="387"/>
      <c r="APD18" s="387"/>
      <c r="APE18" s="387"/>
      <c r="APF18" s="387"/>
      <c r="APG18" s="387"/>
      <c r="APH18" s="387"/>
      <c r="API18" s="387"/>
      <c r="APJ18" s="387"/>
      <c r="APK18" s="387"/>
      <c r="APL18" s="387"/>
      <c r="APM18" s="387"/>
      <c r="APN18" s="387"/>
      <c r="APO18" s="387"/>
      <c r="APP18" s="387"/>
      <c r="APQ18" s="387"/>
      <c r="APR18" s="387"/>
      <c r="APS18" s="387"/>
      <c r="APT18" s="387"/>
      <c r="APU18" s="387"/>
      <c r="APV18" s="387"/>
      <c r="APW18" s="387"/>
      <c r="APX18" s="387"/>
      <c r="APY18" s="387"/>
      <c r="APZ18" s="387"/>
      <c r="AQA18" s="387"/>
      <c r="AQB18" s="387"/>
      <c r="AQC18" s="387"/>
      <c r="AQD18" s="387"/>
      <c r="AQE18" s="387"/>
      <c r="AQF18" s="387"/>
      <c r="AQG18" s="387"/>
      <c r="AQH18" s="387"/>
      <c r="AQI18" s="387"/>
      <c r="AQJ18" s="387"/>
      <c r="AQK18" s="387"/>
      <c r="AQL18" s="387"/>
      <c r="AQM18" s="387"/>
      <c r="AQN18" s="387"/>
      <c r="AQO18" s="387"/>
      <c r="AQP18" s="387"/>
      <c r="AQQ18" s="387"/>
      <c r="AQR18" s="387"/>
      <c r="AQS18" s="387"/>
      <c r="AQT18" s="387"/>
      <c r="AQU18" s="387"/>
      <c r="AQV18" s="387"/>
      <c r="AQW18" s="387"/>
      <c r="AQX18" s="387"/>
      <c r="AQY18" s="387"/>
      <c r="AQZ18" s="387"/>
      <c r="ARA18" s="387"/>
      <c r="ARB18" s="387"/>
      <c r="ARC18" s="387"/>
      <c r="ARD18" s="387"/>
      <c r="ARE18" s="387"/>
      <c r="ARF18" s="387"/>
      <c r="ARG18" s="387"/>
      <c r="ARH18" s="387"/>
      <c r="ARI18" s="387"/>
      <c r="ARJ18" s="387"/>
      <c r="ARK18" s="387"/>
      <c r="ARL18" s="387"/>
      <c r="ARM18" s="387"/>
      <c r="ARN18" s="387"/>
      <c r="ARO18" s="387"/>
      <c r="ARP18" s="387"/>
      <c r="ARQ18" s="387"/>
      <c r="ARR18" s="387"/>
      <c r="ARS18" s="387"/>
      <c r="ART18" s="387"/>
      <c r="ARU18" s="387"/>
      <c r="ARV18" s="387"/>
      <c r="ARW18" s="387"/>
      <c r="ARX18" s="387"/>
      <c r="ARY18" s="387"/>
      <c r="ARZ18" s="387"/>
      <c r="ASA18" s="387"/>
      <c r="ASB18" s="387"/>
      <c r="ASC18" s="387"/>
      <c r="ASD18" s="387"/>
      <c r="ASE18" s="387"/>
      <c r="ASF18" s="387"/>
      <c r="ASG18" s="387"/>
      <c r="ASH18" s="387"/>
      <c r="ASI18" s="387"/>
      <c r="ASJ18" s="387"/>
      <c r="ASK18" s="387"/>
      <c r="ASL18" s="387"/>
      <c r="ASM18" s="387"/>
      <c r="ASN18" s="387"/>
      <c r="ASO18" s="387"/>
      <c r="ASP18" s="387"/>
      <c r="ASQ18" s="387"/>
      <c r="ASR18" s="387"/>
      <c r="ASS18" s="387"/>
      <c r="AST18" s="387"/>
      <c r="ASU18" s="387"/>
      <c r="ASV18" s="387"/>
      <c r="ASW18" s="387"/>
      <c r="ASX18" s="387"/>
      <c r="ASY18" s="387"/>
      <c r="ASZ18" s="387"/>
      <c r="ATA18" s="387"/>
      <c r="ATB18" s="387"/>
      <c r="ATC18" s="387"/>
      <c r="ATD18" s="387"/>
      <c r="ATE18" s="387"/>
      <c r="ATF18" s="387"/>
      <c r="ATG18" s="387"/>
      <c r="ATH18" s="387"/>
      <c r="ATI18" s="387"/>
      <c r="ATJ18" s="387"/>
      <c r="ATK18" s="387"/>
      <c r="ATL18" s="387"/>
      <c r="ATM18" s="387"/>
      <c r="ATN18" s="387"/>
      <c r="ATO18" s="387"/>
      <c r="ATP18" s="387"/>
      <c r="ATQ18" s="387"/>
      <c r="ATR18" s="387"/>
      <c r="ATS18" s="387"/>
      <c r="ATT18" s="387"/>
      <c r="ATU18" s="387"/>
      <c r="ATV18" s="387"/>
      <c r="ATW18" s="387"/>
      <c r="ATX18" s="387"/>
      <c r="ATY18" s="387"/>
      <c r="ATZ18" s="387"/>
      <c r="AUA18" s="387"/>
      <c r="AUB18" s="387"/>
      <c r="AUC18" s="387"/>
      <c r="AUD18" s="387"/>
      <c r="AUE18" s="387"/>
      <c r="AUF18" s="387"/>
      <c r="AUG18" s="387"/>
      <c r="AUH18" s="387"/>
      <c r="AUI18" s="387"/>
      <c r="AUJ18" s="387"/>
      <c r="AUK18" s="387"/>
      <c r="AUL18" s="387"/>
      <c r="AUM18" s="387"/>
      <c r="AUN18" s="387"/>
      <c r="AUO18" s="387"/>
      <c r="AUP18" s="387"/>
      <c r="AUQ18" s="387"/>
      <c r="AUR18" s="387"/>
      <c r="AUS18" s="387"/>
      <c r="AUT18" s="387"/>
      <c r="AUU18" s="387"/>
      <c r="AUV18" s="387"/>
      <c r="AUW18" s="387"/>
      <c r="AUX18" s="387"/>
      <c r="AUY18" s="387"/>
      <c r="AUZ18" s="387"/>
      <c r="AVA18" s="387"/>
      <c r="AVB18" s="387"/>
      <c r="AVC18" s="387"/>
      <c r="AVD18" s="387"/>
      <c r="AVE18" s="387"/>
      <c r="AVF18" s="387"/>
      <c r="AVG18" s="387"/>
      <c r="AVH18" s="387"/>
      <c r="AVI18" s="387"/>
      <c r="AVJ18" s="387"/>
      <c r="AVK18" s="387"/>
      <c r="AVL18" s="387"/>
      <c r="AVM18" s="387"/>
      <c r="AVN18" s="387"/>
      <c r="AVO18" s="387"/>
      <c r="AVP18" s="387"/>
      <c r="AVQ18" s="387"/>
      <c r="AVR18" s="387"/>
      <c r="AVS18" s="387"/>
      <c r="AVT18" s="387"/>
      <c r="AVU18" s="387"/>
      <c r="AVV18" s="387"/>
      <c r="AVW18" s="387"/>
      <c r="AVX18" s="387"/>
      <c r="AVY18" s="387"/>
      <c r="AVZ18" s="387"/>
      <c r="AWA18" s="387"/>
      <c r="AWB18" s="387"/>
      <c r="AWC18" s="387"/>
      <c r="AWD18" s="387"/>
      <c r="AWE18" s="387"/>
      <c r="AWF18" s="387"/>
      <c r="AWG18" s="387"/>
      <c r="AWH18" s="387"/>
      <c r="AWI18" s="387"/>
      <c r="AWJ18" s="387"/>
      <c r="AWK18" s="387"/>
      <c r="AWL18" s="387"/>
      <c r="AWM18" s="387"/>
      <c r="AWN18" s="387"/>
      <c r="AWO18" s="387"/>
      <c r="AWP18" s="387"/>
      <c r="AWQ18" s="387"/>
      <c r="AWR18" s="387"/>
      <c r="AWS18" s="387"/>
      <c r="AWT18" s="387"/>
      <c r="AWU18" s="387"/>
      <c r="AWV18" s="387"/>
      <c r="AWW18" s="387"/>
      <c r="AWX18" s="387"/>
      <c r="AWY18" s="387"/>
      <c r="AWZ18" s="387"/>
      <c r="AXA18" s="387"/>
      <c r="AXB18" s="387"/>
      <c r="AXC18" s="387"/>
      <c r="AXD18" s="387"/>
      <c r="AXE18" s="387"/>
      <c r="AXF18" s="387"/>
      <c r="AXG18" s="387"/>
      <c r="AXH18" s="387"/>
      <c r="AXI18" s="387"/>
      <c r="AXJ18" s="387"/>
      <c r="AXK18" s="387"/>
      <c r="AXL18" s="387"/>
      <c r="AXM18" s="387"/>
      <c r="AXN18" s="387"/>
      <c r="AXO18" s="387"/>
      <c r="AXP18" s="387"/>
      <c r="AXQ18" s="387"/>
      <c r="AXR18" s="387"/>
      <c r="AXS18" s="387"/>
      <c r="AXT18" s="387"/>
      <c r="AXU18" s="387"/>
      <c r="AXV18" s="387"/>
      <c r="AXW18" s="387"/>
      <c r="AXX18" s="387"/>
      <c r="AXY18" s="387"/>
      <c r="AXZ18" s="387"/>
      <c r="AYA18" s="387"/>
      <c r="AYB18" s="387"/>
      <c r="AYC18" s="387"/>
      <c r="AYD18" s="387"/>
      <c r="AYE18" s="387"/>
      <c r="AYF18" s="387"/>
      <c r="AYG18" s="387"/>
      <c r="AYH18" s="387"/>
      <c r="AYI18" s="387"/>
      <c r="AYJ18" s="387"/>
      <c r="AYK18" s="387"/>
      <c r="AYL18" s="387"/>
      <c r="AYM18" s="387"/>
      <c r="AYN18" s="387"/>
      <c r="AYO18" s="387"/>
      <c r="AYP18" s="387"/>
      <c r="AYQ18" s="387"/>
      <c r="AYR18" s="387"/>
      <c r="AYS18" s="387"/>
      <c r="AYT18" s="387"/>
      <c r="AYU18" s="387"/>
      <c r="AYV18" s="387"/>
      <c r="AYW18" s="387"/>
      <c r="AYX18" s="387"/>
      <c r="AYY18" s="387"/>
      <c r="AYZ18" s="387"/>
      <c r="AZA18" s="387"/>
      <c r="AZB18" s="387"/>
      <c r="AZC18" s="387"/>
      <c r="AZD18" s="387"/>
      <c r="AZE18" s="387"/>
      <c r="AZF18" s="387"/>
      <c r="AZG18" s="387"/>
      <c r="AZH18" s="387"/>
      <c r="AZI18" s="387"/>
      <c r="AZJ18" s="387"/>
      <c r="AZK18" s="387"/>
      <c r="AZL18" s="387"/>
      <c r="AZM18" s="387"/>
      <c r="AZN18" s="387"/>
      <c r="AZO18" s="387"/>
      <c r="AZP18" s="387"/>
      <c r="AZQ18" s="387"/>
      <c r="AZR18" s="387"/>
      <c r="AZS18" s="387"/>
      <c r="AZT18" s="387"/>
      <c r="AZU18" s="387"/>
      <c r="AZV18" s="387"/>
      <c r="AZW18" s="387"/>
      <c r="AZX18" s="387"/>
      <c r="AZY18" s="387"/>
      <c r="AZZ18" s="387"/>
      <c r="BAA18" s="387"/>
      <c r="BAB18" s="387"/>
      <c r="BAC18" s="387"/>
      <c r="BAD18" s="387"/>
      <c r="BAE18" s="387"/>
      <c r="BAF18" s="387"/>
      <c r="BAG18" s="387"/>
      <c r="BAH18" s="387"/>
      <c r="BAI18" s="387"/>
      <c r="BAJ18" s="387"/>
      <c r="BAK18" s="387"/>
      <c r="BAL18" s="387"/>
      <c r="BAM18" s="387"/>
      <c r="BAN18" s="387"/>
      <c r="BAO18" s="387"/>
      <c r="BAP18" s="387"/>
      <c r="BAQ18" s="387"/>
      <c r="BAR18" s="387"/>
      <c r="BAS18" s="387"/>
      <c r="BAT18" s="387"/>
      <c r="BAU18" s="387"/>
      <c r="BAV18" s="387"/>
      <c r="BAW18" s="387"/>
      <c r="BAX18" s="387"/>
      <c r="BAY18" s="387"/>
      <c r="BAZ18" s="387"/>
      <c r="BBA18" s="387"/>
      <c r="BBB18" s="387"/>
      <c r="BBC18" s="387"/>
      <c r="BBD18" s="387"/>
      <c r="BBE18" s="387"/>
      <c r="BBF18" s="387"/>
      <c r="BBG18" s="387"/>
      <c r="BBH18" s="387"/>
      <c r="BBI18" s="387"/>
      <c r="BBJ18" s="387"/>
      <c r="BBK18" s="387"/>
      <c r="BBL18" s="387"/>
      <c r="BBM18" s="387"/>
      <c r="BBN18" s="387"/>
      <c r="BBO18" s="387"/>
      <c r="BBP18" s="387"/>
      <c r="BBQ18" s="387"/>
      <c r="BBR18" s="387"/>
      <c r="BBS18" s="387"/>
      <c r="BBT18" s="387"/>
      <c r="BBU18" s="387"/>
      <c r="BBV18" s="387"/>
      <c r="BBW18" s="387"/>
      <c r="BBX18" s="387"/>
      <c r="BBY18" s="387"/>
      <c r="BBZ18" s="387"/>
      <c r="BCA18" s="387"/>
      <c r="BCB18" s="387"/>
      <c r="BCC18" s="387"/>
      <c r="BCD18" s="387"/>
      <c r="BCE18" s="387"/>
      <c r="BCF18" s="387"/>
      <c r="BCG18" s="387"/>
      <c r="BCH18" s="387"/>
      <c r="BCI18" s="387"/>
      <c r="BCJ18" s="387"/>
      <c r="BCK18" s="387"/>
      <c r="BCL18" s="387"/>
      <c r="BCM18" s="387"/>
      <c r="BCN18" s="387"/>
      <c r="BCO18" s="387"/>
      <c r="BCP18" s="387"/>
      <c r="BCQ18" s="387"/>
      <c r="BCR18" s="387"/>
      <c r="BCS18" s="387"/>
      <c r="BCT18" s="387"/>
      <c r="BCU18" s="387"/>
      <c r="BCV18" s="387"/>
      <c r="BCW18" s="387"/>
      <c r="BCX18" s="387"/>
      <c r="BCY18" s="387"/>
      <c r="BCZ18" s="387"/>
      <c r="BDA18" s="387"/>
      <c r="BDB18" s="387"/>
      <c r="BDC18" s="387"/>
      <c r="BDD18" s="387"/>
      <c r="BDE18" s="387"/>
      <c r="BDF18" s="387"/>
      <c r="BDG18" s="387"/>
      <c r="BDH18" s="387"/>
      <c r="BDI18" s="387"/>
      <c r="BDJ18" s="387"/>
      <c r="BDK18" s="387"/>
      <c r="BDL18" s="387"/>
      <c r="BDM18" s="387"/>
      <c r="BDN18" s="387"/>
      <c r="BDO18" s="387"/>
      <c r="BDP18" s="387"/>
      <c r="BDQ18" s="387"/>
      <c r="BDR18" s="387"/>
      <c r="BDS18" s="387"/>
      <c r="BDT18" s="387"/>
      <c r="BDU18" s="387"/>
      <c r="BDV18" s="387"/>
      <c r="BDW18" s="387"/>
      <c r="BDX18" s="387"/>
      <c r="BDY18" s="387"/>
      <c r="BDZ18" s="387"/>
      <c r="BEA18" s="387"/>
      <c r="BEB18" s="387"/>
      <c r="BEC18" s="387"/>
      <c r="BED18" s="387"/>
      <c r="BEE18" s="387"/>
      <c r="BEF18" s="387"/>
      <c r="BEG18" s="387"/>
      <c r="BEH18" s="387"/>
      <c r="BEI18" s="387"/>
      <c r="BEJ18" s="387"/>
      <c r="BEK18" s="387"/>
      <c r="BEL18" s="387"/>
      <c r="BEM18" s="387"/>
      <c r="BEN18" s="387"/>
      <c r="BEO18" s="387"/>
      <c r="BEP18" s="387"/>
      <c r="BEQ18" s="387"/>
      <c r="BER18" s="387"/>
      <c r="BES18" s="387"/>
      <c r="BET18" s="387"/>
      <c r="BEU18" s="387"/>
      <c r="BEV18" s="387"/>
      <c r="BEW18" s="387"/>
      <c r="BEX18" s="387"/>
      <c r="BEY18" s="387"/>
      <c r="BEZ18" s="387"/>
      <c r="BFA18" s="387"/>
      <c r="BFB18" s="387"/>
      <c r="BFC18" s="387"/>
      <c r="BFD18" s="387"/>
      <c r="BFE18" s="387"/>
      <c r="BFF18" s="387"/>
      <c r="BFG18" s="387"/>
      <c r="BFH18" s="387"/>
      <c r="BFI18" s="387"/>
      <c r="BFJ18" s="387"/>
      <c r="BFK18" s="387"/>
      <c r="BFL18" s="387"/>
      <c r="BFM18" s="387"/>
      <c r="BFN18" s="387"/>
      <c r="BFO18" s="387"/>
      <c r="BFP18" s="387"/>
      <c r="BFQ18" s="387"/>
      <c r="BFR18" s="387"/>
      <c r="BFS18" s="387"/>
      <c r="BFT18" s="387"/>
      <c r="BFU18" s="387"/>
      <c r="BFV18" s="387"/>
      <c r="BFW18" s="387"/>
      <c r="BFX18" s="387"/>
      <c r="BFY18" s="387"/>
      <c r="BFZ18" s="387"/>
      <c r="BGA18" s="387"/>
      <c r="BGB18" s="387"/>
      <c r="BGC18" s="387"/>
      <c r="BGD18" s="387"/>
      <c r="BGE18" s="387"/>
      <c r="BGF18" s="387"/>
      <c r="BGG18" s="387"/>
      <c r="BGH18" s="387"/>
      <c r="BGI18" s="387"/>
      <c r="BGJ18" s="387"/>
      <c r="BGK18" s="387"/>
      <c r="BGL18" s="387"/>
      <c r="BGM18" s="387"/>
      <c r="BGN18" s="387"/>
      <c r="BGO18" s="387"/>
      <c r="BGP18" s="387"/>
      <c r="BGQ18" s="387"/>
      <c r="BGR18" s="387"/>
      <c r="BGS18" s="387"/>
      <c r="BGT18" s="387"/>
      <c r="BGU18" s="387"/>
      <c r="BGV18" s="387"/>
      <c r="BGW18" s="387"/>
      <c r="BGX18" s="387"/>
      <c r="BGY18" s="387"/>
      <c r="BGZ18" s="387"/>
      <c r="BHA18" s="387"/>
      <c r="BHB18" s="387"/>
      <c r="BHC18" s="387"/>
      <c r="BHD18" s="387"/>
      <c r="BHE18" s="387"/>
      <c r="BHF18" s="387"/>
      <c r="BHG18" s="387"/>
      <c r="BHH18" s="387"/>
      <c r="BHI18" s="387"/>
      <c r="BHJ18" s="387"/>
      <c r="BHK18" s="387"/>
      <c r="BHL18" s="387"/>
      <c r="BHM18" s="387"/>
      <c r="BHN18" s="387"/>
      <c r="BHO18" s="387"/>
      <c r="BHP18" s="387"/>
      <c r="BHQ18" s="387"/>
      <c r="BHR18" s="387"/>
      <c r="BHS18" s="387"/>
      <c r="BHT18" s="387"/>
      <c r="BHU18" s="387"/>
      <c r="BHV18" s="387"/>
      <c r="BHW18" s="387"/>
      <c r="BHX18" s="387"/>
      <c r="BHY18" s="387"/>
      <c r="BHZ18" s="387"/>
      <c r="BIA18" s="387"/>
      <c r="BIB18" s="387"/>
      <c r="BIC18" s="387"/>
      <c r="BID18" s="387"/>
      <c r="BIE18" s="387"/>
      <c r="BIF18" s="387"/>
      <c r="BIG18" s="387"/>
      <c r="BIH18" s="387"/>
      <c r="BII18" s="387"/>
      <c r="BIJ18" s="387"/>
      <c r="BIK18" s="387"/>
      <c r="BIL18" s="387"/>
      <c r="BIM18" s="387"/>
      <c r="BIN18" s="387"/>
      <c r="BIO18" s="387"/>
      <c r="BIP18" s="387"/>
      <c r="BIQ18" s="387"/>
      <c r="BIR18" s="387"/>
      <c r="BIS18" s="387"/>
      <c r="BIT18" s="387"/>
      <c r="BIU18" s="387"/>
      <c r="BIV18" s="387"/>
      <c r="BIW18" s="387"/>
      <c r="BIX18" s="387"/>
      <c r="BIY18" s="387"/>
      <c r="BIZ18" s="387"/>
      <c r="BJA18" s="387"/>
      <c r="BJB18" s="387"/>
      <c r="BJC18" s="387"/>
      <c r="BJD18" s="387"/>
      <c r="BJE18" s="387"/>
      <c r="BJF18" s="387"/>
      <c r="BJG18" s="387"/>
      <c r="BJH18" s="387"/>
      <c r="BJI18" s="387"/>
      <c r="BJJ18" s="387"/>
      <c r="BJK18" s="387"/>
      <c r="BJL18" s="387"/>
      <c r="BJM18" s="387"/>
      <c r="BJN18" s="387"/>
      <c r="BJO18" s="387"/>
      <c r="BJP18" s="387"/>
      <c r="BJQ18" s="387"/>
      <c r="BJR18" s="387"/>
      <c r="BJS18" s="387"/>
      <c r="BJT18" s="387"/>
      <c r="BJU18" s="387"/>
      <c r="BJV18" s="387"/>
      <c r="BJW18" s="387"/>
      <c r="BJX18" s="387"/>
      <c r="BJY18" s="387"/>
      <c r="BJZ18" s="387"/>
      <c r="BKA18" s="387"/>
      <c r="BKB18" s="387"/>
      <c r="BKC18" s="387"/>
      <c r="BKD18" s="387"/>
      <c r="BKE18" s="387"/>
      <c r="BKF18" s="387"/>
      <c r="BKG18" s="387"/>
      <c r="BKH18" s="387"/>
      <c r="BKI18" s="387"/>
      <c r="BKJ18" s="387"/>
      <c r="BKK18" s="387"/>
      <c r="BKL18" s="387"/>
      <c r="BKM18" s="387"/>
      <c r="BKN18" s="387"/>
      <c r="BKO18" s="387"/>
      <c r="BKP18" s="387"/>
      <c r="BKQ18" s="387"/>
      <c r="BKR18" s="387"/>
      <c r="BKS18" s="387"/>
      <c r="BKT18" s="387"/>
      <c r="BKU18" s="387"/>
      <c r="BKV18" s="387"/>
      <c r="BKW18" s="387"/>
      <c r="BKX18" s="387"/>
      <c r="BKY18" s="387"/>
      <c r="BKZ18" s="387"/>
      <c r="BLA18" s="387"/>
      <c r="BLB18" s="387"/>
      <c r="BLC18" s="387"/>
      <c r="BLD18" s="387"/>
      <c r="BLE18" s="387"/>
      <c r="BLF18" s="387"/>
      <c r="BLG18" s="387"/>
      <c r="BLH18" s="387"/>
      <c r="BLI18" s="387"/>
      <c r="BLJ18" s="387"/>
      <c r="BLK18" s="387"/>
      <c r="BLL18" s="387"/>
      <c r="BLM18" s="387"/>
      <c r="BLN18" s="387"/>
      <c r="BLO18" s="387"/>
      <c r="BLP18" s="387"/>
      <c r="BLQ18" s="387"/>
      <c r="BLR18" s="387"/>
      <c r="BLS18" s="387"/>
      <c r="BLT18" s="387"/>
      <c r="BLU18" s="387"/>
      <c r="BLV18" s="387"/>
      <c r="BLW18" s="387"/>
      <c r="BLX18" s="387"/>
      <c r="BLY18" s="387"/>
      <c r="BLZ18" s="387"/>
      <c r="BMA18" s="387"/>
      <c r="BMB18" s="387"/>
      <c r="BMC18" s="387"/>
      <c r="BMD18" s="387"/>
      <c r="BME18" s="387"/>
      <c r="BMF18" s="387"/>
      <c r="BMG18" s="387"/>
      <c r="BMH18" s="387"/>
      <c r="BMI18" s="387"/>
      <c r="BMJ18" s="387"/>
      <c r="BMK18" s="387"/>
      <c r="BML18" s="387"/>
      <c r="BMM18" s="387"/>
      <c r="BMN18" s="387"/>
      <c r="BMO18" s="387"/>
      <c r="BMP18" s="387"/>
      <c r="BMQ18" s="387"/>
      <c r="BMR18" s="387"/>
      <c r="BMS18" s="387"/>
      <c r="BMT18" s="387"/>
      <c r="BMU18" s="387"/>
      <c r="BMV18" s="387"/>
      <c r="BMW18" s="387"/>
      <c r="BMX18" s="387"/>
      <c r="BMY18" s="387"/>
      <c r="BMZ18" s="387"/>
      <c r="BNA18" s="387"/>
      <c r="BNB18" s="387"/>
      <c r="BNC18" s="387"/>
      <c r="BND18" s="387"/>
      <c r="BNE18" s="387"/>
      <c r="BNF18" s="387"/>
      <c r="BNG18" s="387"/>
      <c r="BNH18" s="387"/>
      <c r="BNI18" s="387"/>
      <c r="BNJ18" s="387"/>
      <c r="BNK18" s="387"/>
      <c r="BNL18" s="387"/>
      <c r="BNM18" s="387"/>
      <c r="BNN18" s="387"/>
      <c r="BNO18" s="387"/>
      <c r="BNP18" s="387"/>
      <c r="BNQ18" s="387"/>
      <c r="BNR18" s="387"/>
      <c r="BNS18" s="387"/>
      <c r="BNT18" s="387"/>
      <c r="BNU18" s="387"/>
      <c r="BNV18" s="387"/>
      <c r="BNW18" s="387"/>
      <c r="BNX18" s="387"/>
      <c r="BNY18" s="387"/>
      <c r="BNZ18" s="387"/>
      <c r="BOA18" s="387"/>
      <c r="BOB18" s="387"/>
      <c r="BOC18" s="387"/>
      <c r="BOD18" s="387"/>
      <c r="BOE18" s="387"/>
      <c r="BOF18" s="387"/>
      <c r="BOG18" s="387"/>
      <c r="BOH18" s="387"/>
      <c r="BOI18" s="387"/>
      <c r="BOJ18" s="387"/>
      <c r="BOK18" s="387"/>
      <c r="BOL18" s="387"/>
      <c r="BOM18" s="387"/>
      <c r="BON18" s="387"/>
      <c r="BOO18" s="387"/>
      <c r="BOP18" s="387"/>
      <c r="BOQ18" s="387"/>
      <c r="BOR18" s="387"/>
      <c r="BOS18" s="387"/>
      <c r="BOT18" s="387"/>
      <c r="BOU18" s="387"/>
      <c r="BOV18" s="387"/>
      <c r="BOW18" s="387"/>
      <c r="BOX18" s="387"/>
      <c r="BOY18" s="387"/>
      <c r="BOZ18" s="387"/>
      <c r="BPA18" s="387"/>
      <c r="BPB18" s="387"/>
      <c r="BPC18" s="387"/>
      <c r="BPD18" s="387"/>
      <c r="BPE18" s="387"/>
      <c r="BPF18" s="387"/>
      <c r="BPG18" s="387"/>
      <c r="BPH18" s="387"/>
      <c r="BPI18" s="387"/>
      <c r="BPJ18" s="387"/>
      <c r="BPK18" s="387"/>
      <c r="BPL18" s="387"/>
      <c r="BPM18" s="387"/>
      <c r="BPN18" s="387"/>
      <c r="BPO18" s="387"/>
      <c r="BPP18" s="387"/>
      <c r="BPQ18" s="387"/>
      <c r="BPR18" s="387"/>
      <c r="BPS18" s="387"/>
      <c r="BPT18" s="387"/>
      <c r="BPU18" s="387"/>
      <c r="BPV18" s="387"/>
      <c r="BPW18" s="387"/>
      <c r="BPX18" s="387"/>
      <c r="BPY18" s="387"/>
      <c r="BPZ18" s="387"/>
      <c r="BQA18" s="387"/>
      <c r="BQB18" s="387"/>
      <c r="BQC18" s="387"/>
      <c r="BQD18" s="387"/>
      <c r="BQE18" s="387"/>
      <c r="BQF18" s="387"/>
      <c r="BQG18" s="387"/>
      <c r="BQH18" s="387"/>
      <c r="BQI18" s="387"/>
      <c r="BQJ18" s="387"/>
      <c r="BQK18" s="387"/>
      <c r="BQL18" s="387"/>
      <c r="BQM18" s="387"/>
      <c r="BQN18" s="387"/>
      <c r="BQO18" s="387"/>
      <c r="BQP18" s="387"/>
      <c r="BQQ18" s="387"/>
      <c r="BQR18" s="387"/>
      <c r="BQS18" s="387"/>
      <c r="BQT18" s="387"/>
      <c r="BQU18" s="387"/>
      <c r="BQV18" s="387"/>
      <c r="BQW18" s="387"/>
      <c r="BQX18" s="387"/>
      <c r="BQY18" s="387"/>
      <c r="BQZ18" s="387"/>
      <c r="BRA18" s="387"/>
      <c r="BRB18" s="387"/>
      <c r="BRC18" s="387"/>
      <c r="BRD18" s="387"/>
      <c r="BRE18" s="387"/>
      <c r="BRF18" s="387"/>
      <c r="BRG18" s="387"/>
      <c r="BRH18" s="387"/>
      <c r="BRI18" s="387"/>
      <c r="BRJ18" s="387"/>
      <c r="BRK18" s="387"/>
      <c r="BRL18" s="387"/>
      <c r="BRM18" s="387"/>
      <c r="BRN18" s="387"/>
      <c r="BRO18" s="387"/>
      <c r="BRP18" s="387"/>
      <c r="BRQ18" s="387"/>
      <c r="BRR18" s="387"/>
      <c r="BRS18" s="387"/>
      <c r="BRT18" s="387"/>
      <c r="BRU18" s="387"/>
      <c r="BRV18" s="387"/>
      <c r="BRW18" s="387"/>
      <c r="BRX18" s="387"/>
      <c r="BRY18" s="387"/>
      <c r="BRZ18" s="387"/>
      <c r="BSA18" s="387"/>
      <c r="BSB18" s="387"/>
      <c r="BSC18" s="387"/>
      <c r="BSD18" s="387"/>
      <c r="BSE18" s="387"/>
      <c r="BSF18" s="387"/>
      <c r="BSG18" s="387"/>
      <c r="BSH18" s="387"/>
      <c r="BSI18" s="387"/>
      <c r="BSJ18" s="387"/>
      <c r="BSK18" s="387"/>
      <c r="BSL18" s="387"/>
      <c r="BSM18" s="387"/>
      <c r="BSN18" s="387"/>
      <c r="BSO18" s="387"/>
      <c r="BSP18" s="387"/>
      <c r="BSQ18" s="387"/>
      <c r="BSR18" s="387"/>
      <c r="BSS18" s="387"/>
      <c r="BST18" s="387"/>
      <c r="BSU18" s="387"/>
      <c r="BSV18" s="387"/>
      <c r="BSW18" s="387"/>
      <c r="BSX18" s="387"/>
      <c r="BSY18" s="387"/>
      <c r="BSZ18" s="387"/>
      <c r="BTA18" s="387"/>
      <c r="BTB18" s="387"/>
      <c r="BTC18" s="387"/>
      <c r="BTD18" s="387"/>
      <c r="BTE18" s="387"/>
      <c r="BTF18" s="387"/>
      <c r="BTG18" s="387"/>
      <c r="BTH18" s="387"/>
      <c r="BTI18" s="387"/>
    </row>
    <row r="19" spans="1:1881" ht="43.5" x14ac:dyDescent="0.25">
      <c r="A19" s="186">
        <v>338</v>
      </c>
      <c r="B19" s="62" t="s">
        <v>79</v>
      </c>
      <c r="C19" s="180" t="s">
        <v>152</v>
      </c>
      <c r="D19" s="172" t="s">
        <v>155</v>
      </c>
      <c r="E19" s="683" t="e">
        <f>HLOOKUP('Unit Data from Audit Worksheet'!$D$2,'2019 Data(H)'!$D$1:$BB$202,67,FALSE)</f>
        <v>#N/A</v>
      </c>
      <c r="F19" s="686"/>
      <c r="G19" s="577" t="str">
        <f>IF(F12&gt;F19,"Error: Please review accts 626&gt;338","")</f>
        <v/>
      </c>
      <c r="H19" s="14"/>
      <c r="I19" s="293"/>
      <c r="J19" s="362"/>
      <c r="L19" s="674" t="s">
        <v>1018</v>
      </c>
      <c r="M19" s="576"/>
      <c r="N19" s="594"/>
      <c r="S19" s="682"/>
      <c r="X19" s="682"/>
    </row>
    <row r="20" spans="1:1881" ht="102.75" customHeight="1" x14ac:dyDescent="0.25">
      <c r="A20" s="186">
        <v>335</v>
      </c>
      <c r="B20" s="62" t="s">
        <v>79</v>
      </c>
      <c r="C20" s="180" t="s">
        <v>152</v>
      </c>
      <c r="D20" s="139" t="s">
        <v>855</v>
      </c>
      <c r="E20" s="683" t="e">
        <f>HLOOKUP('Unit Data from Audit Worksheet'!$D$2,'2019 Data(H)'!$D$1:$BB$202,64,FALSE)</f>
        <v>#N/A</v>
      </c>
      <c r="F20" s="686"/>
      <c r="G20" s="388">
        <f>IF(F20&lt;0,"Error: Enter as positive.",)</f>
        <v>0</v>
      </c>
      <c r="H20" s="14"/>
      <c r="I20" s="295"/>
      <c r="J20" s="362"/>
      <c r="L20" s="674" t="s">
        <v>925</v>
      </c>
      <c r="M20" s="576"/>
      <c r="N20" s="594"/>
      <c r="S20" s="682"/>
      <c r="X20" s="682"/>
    </row>
    <row r="21" spans="1:1881" ht="57.75" x14ac:dyDescent="0.25">
      <c r="A21" s="186">
        <v>252</v>
      </c>
      <c r="B21" s="62" t="s">
        <v>79</v>
      </c>
      <c r="C21" s="180" t="s">
        <v>152</v>
      </c>
      <c r="D21" s="172" t="s">
        <v>156</v>
      </c>
      <c r="E21" s="683" t="e">
        <f>HLOOKUP('Unit Data from Audit Worksheet'!$D$2,'2019 Data(H)'!$D$1:$BB$202,47,FALSE)</f>
        <v>#N/A</v>
      </c>
      <c r="F21" s="686"/>
      <c r="G21" s="526"/>
      <c r="H21" s="14"/>
      <c r="I21" s="31"/>
      <c r="J21" s="362"/>
      <c r="L21" s="674" t="s">
        <v>926</v>
      </c>
      <c r="M21" s="576"/>
      <c r="N21" s="594"/>
      <c r="S21" s="682"/>
      <c r="X21" s="682"/>
    </row>
    <row r="22" spans="1:1881" ht="43.5" x14ac:dyDescent="0.25">
      <c r="A22" s="186">
        <v>253</v>
      </c>
      <c r="B22" s="62" t="s">
        <v>79</v>
      </c>
      <c r="C22" s="180" t="s">
        <v>152</v>
      </c>
      <c r="D22" s="173" t="s">
        <v>157</v>
      </c>
      <c r="E22" s="683" t="e">
        <f>HLOOKUP('Unit Data from Audit Worksheet'!$D$2,'2019 Data(H)'!$D$1:$BB$202,48,FALSE)</f>
        <v>#N/A</v>
      </c>
      <c r="F22" s="686"/>
      <c r="G22" s="388"/>
      <c r="H22" s="14"/>
      <c r="I22" s="31"/>
      <c r="J22" s="362"/>
      <c r="L22" s="674" t="s">
        <v>927</v>
      </c>
      <c r="M22" s="576"/>
      <c r="N22" s="594"/>
      <c r="S22" s="682"/>
      <c r="X22" s="682"/>
    </row>
    <row r="23" spans="1:1881" ht="131.25" customHeight="1" x14ac:dyDescent="0.25">
      <c r="A23" s="186">
        <v>254</v>
      </c>
      <c r="B23" s="62" t="s">
        <v>79</v>
      </c>
      <c r="C23" s="180" t="s">
        <v>152</v>
      </c>
      <c r="D23" s="173" t="s">
        <v>645</v>
      </c>
      <c r="E23" s="683" t="e">
        <f>HLOOKUP('Unit Data from Audit Worksheet'!$D$2,'2019 Data(H)'!$D$1:$BB$202,49,FALSE)</f>
        <v>#N/A</v>
      </c>
      <c r="F23" s="686"/>
      <c r="G23" s="388">
        <f>IF(H23=0,,"Error: Total assets and deferred outflows less total liabilities and deferred inflows do not equal total net position. Account numbers  385-338-252-253-254 = 0.  The amount the formula is off is located in the cell to the right")</f>
        <v>0</v>
      </c>
      <c r="H23" s="189">
        <f>F9-F19-F21-F22-F23</f>
        <v>0</v>
      </c>
      <c r="I23" s="31"/>
      <c r="J23" s="362"/>
      <c r="L23" s="674" t="s">
        <v>928</v>
      </c>
      <c r="M23" s="576"/>
      <c r="N23" s="594"/>
      <c r="S23" s="682"/>
      <c r="X23" s="682"/>
    </row>
    <row r="24" spans="1:1881" ht="21.75" customHeight="1" x14ac:dyDescent="0.25">
      <c r="A24" s="186"/>
      <c r="B24" s="159" t="s">
        <v>158</v>
      </c>
      <c r="C24" s="158"/>
      <c r="D24" s="152"/>
      <c r="E24" s="141"/>
      <c r="F24" s="745"/>
      <c r="G24" s="151"/>
      <c r="H24" s="14"/>
      <c r="I24" s="31"/>
      <c r="L24" s="674" t="s">
        <v>929</v>
      </c>
      <c r="M24" s="576"/>
      <c r="N24" s="594"/>
      <c r="S24" s="682"/>
      <c r="X24" s="682"/>
    </row>
    <row r="25" spans="1:1881" ht="52.5" customHeight="1" x14ac:dyDescent="0.25">
      <c r="A25" s="186">
        <v>502</v>
      </c>
      <c r="B25" s="62" t="s">
        <v>78</v>
      </c>
      <c r="C25" s="180" t="s">
        <v>161</v>
      </c>
      <c r="D25" s="163" t="s">
        <v>159</v>
      </c>
      <c r="E25" s="683" t="e">
        <f>HLOOKUP('Unit Data from Audit Worksheet'!$D$2,'2019 Data(H)'!$D$1:$BB$202,109,FALSE)</f>
        <v>#N/A</v>
      </c>
      <c r="F25" s="686"/>
      <c r="G25" s="388">
        <f>IF(F25&lt;0,"Note: Number is normally positive.",)</f>
        <v>0</v>
      </c>
      <c r="H25" s="14"/>
      <c r="I25" s="31"/>
      <c r="L25" s="674" t="s">
        <v>930</v>
      </c>
      <c r="M25" s="576"/>
      <c r="N25" s="594"/>
      <c r="S25" s="682"/>
      <c r="X25" s="682"/>
    </row>
    <row r="26" spans="1:1881" ht="75" customHeight="1" x14ac:dyDescent="0.25">
      <c r="A26" s="186">
        <v>503</v>
      </c>
      <c r="B26" s="62" t="s">
        <v>78</v>
      </c>
      <c r="C26" s="180" t="s">
        <v>161</v>
      </c>
      <c r="D26" s="173" t="s">
        <v>160</v>
      </c>
      <c r="E26" s="683" t="e">
        <f>HLOOKUP('Unit Data from Audit Worksheet'!$D$2,'2019 Data(H)'!$D$1:$BB$202,110,FALSE)</f>
        <v>#N/A</v>
      </c>
      <c r="F26" s="686"/>
      <c r="G26" s="388">
        <f>IF(F26&lt;0,"Note: Number is normally positive.",)</f>
        <v>0</v>
      </c>
      <c r="H26" s="14"/>
      <c r="I26" s="31"/>
      <c r="L26" s="674" t="s">
        <v>931</v>
      </c>
      <c r="M26" s="576"/>
      <c r="N26" s="594"/>
      <c r="S26" s="682"/>
      <c r="X26" s="682"/>
    </row>
    <row r="27" spans="1:1881" ht="27" customHeight="1" x14ac:dyDescent="0.25">
      <c r="A27" s="186"/>
      <c r="B27" s="159" t="s">
        <v>162</v>
      </c>
      <c r="C27" s="158"/>
      <c r="D27" s="127"/>
      <c r="E27" s="141"/>
      <c r="F27" s="746"/>
      <c r="G27" s="525"/>
      <c r="H27" s="14"/>
      <c r="I27" s="31"/>
      <c r="L27" s="674" t="s">
        <v>932</v>
      </c>
      <c r="M27" s="576"/>
      <c r="N27" s="594"/>
      <c r="S27" s="682"/>
      <c r="X27" s="682"/>
    </row>
    <row r="28" spans="1:1881" ht="49.5" customHeight="1" x14ac:dyDescent="0.25">
      <c r="A28" s="186">
        <v>344</v>
      </c>
      <c r="B28" s="62" t="s">
        <v>79</v>
      </c>
      <c r="C28" s="157" t="s">
        <v>170</v>
      </c>
      <c r="D28" s="173" t="s">
        <v>163</v>
      </c>
      <c r="E28" s="683" t="e">
        <f>HLOOKUP('Unit Data from Audit Worksheet'!$D$2,'2019 Data(H)'!$D$1:$BB$202,71,FALSE)</f>
        <v>#N/A</v>
      </c>
      <c r="F28" s="686"/>
      <c r="G28" s="388">
        <f t="shared" ref="G28:G36" si="0">IF(F28&lt;0,"Error: Enter as positive.",)</f>
        <v>0</v>
      </c>
      <c r="H28" s="14"/>
      <c r="I28" s="31"/>
      <c r="L28" s="674" t="s">
        <v>933</v>
      </c>
      <c r="M28" s="576"/>
      <c r="N28" s="594"/>
      <c r="S28" s="682"/>
      <c r="X28" s="682"/>
    </row>
    <row r="29" spans="1:1881" ht="49.5" customHeight="1" x14ac:dyDescent="0.25">
      <c r="A29" s="186">
        <v>388</v>
      </c>
      <c r="B29" s="62" t="s">
        <v>83</v>
      </c>
      <c r="C29" s="157" t="s">
        <v>170</v>
      </c>
      <c r="D29" s="173" t="s">
        <v>164</v>
      </c>
      <c r="E29" s="683" t="e">
        <f>HLOOKUP('Unit Data from Audit Worksheet'!$D$2,'2019 Data(H)'!$D$1:$BB$202,105,FALSE)</f>
        <v>#N/A</v>
      </c>
      <c r="F29" s="686"/>
      <c r="G29" s="388">
        <f t="shared" si="0"/>
        <v>0</v>
      </c>
      <c r="H29" s="14"/>
      <c r="I29" s="31"/>
      <c r="J29" s="362"/>
      <c r="L29" s="674" t="s">
        <v>934</v>
      </c>
      <c r="M29" s="576"/>
      <c r="N29" s="594"/>
      <c r="S29" s="682"/>
      <c r="X29" s="682"/>
    </row>
    <row r="30" spans="1:1881" ht="51.75" customHeight="1" x14ac:dyDescent="0.25">
      <c r="A30" s="186">
        <v>339</v>
      </c>
      <c r="B30" s="62" t="s">
        <v>79</v>
      </c>
      <c r="C30" s="157" t="s">
        <v>170</v>
      </c>
      <c r="D30" s="173" t="s">
        <v>165</v>
      </c>
      <c r="E30" s="683" t="e">
        <f>HLOOKUP('Unit Data from Audit Worksheet'!$D$2,'2019 Data(H)'!$D$1:$BB$202,68,FALSE)</f>
        <v>#N/A</v>
      </c>
      <c r="F30" s="686"/>
      <c r="G30" s="388">
        <f t="shared" si="0"/>
        <v>0</v>
      </c>
      <c r="H30" s="14"/>
      <c r="I30" s="31"/>
      <c r="J30" s="362"/>
      <c r="L30" s="674" t="s">
        <v>935</v>
      </c>
      <c r="M30" s="576"/>
      <c r="N30" s="594"/>
      <c r="S30" s="682"/>
      <c r="X30" s="682"/>
    </row>
    <row r="31" spans="1:1881" ht="50.25" customHeight="1" x14ac:dyDescent="0.25">
      <c r="A31" s="186">
        <v>504</v>
      </c>
      <c r="B31" s="62" t="s">
        <v>79</v>
      </c>
      <c r="C31" s="157" t="s">
        <v>170</v>
      </c>
      <c r="D31" s="173" t="s">
        <v>166</v>
      </c>
      <c r="E31" s="683" t="e">
        <f>HLOOKUP('Unit Data from Audit Worksheet'!$D$2,'2019 Data(H)'!$D$1:$BB$202,111,FALSE)</f>
        <v>#N/A</v>
      </c>
      <c r="F31" s="686"/>
      <c r="G31" s="388">
        <f t="shared" si="0"/>
        <v>0</v>
      </c>
      <c r="H31" s="14"/>
      <c r="I31" s="31"/>
      <c r="J31" s="362"/>
      <c r="L31" s="674" t="s">
        <v>936</v>
      </c>
      <c r="M31" s="576"/>
      <c r="N31" s="594"/>
      <c r="S31" s="682"/>
      <c r="X31" s="682"/>
    </row>
    <row r="32" spans="1:1881" ht="60" customHeight="1" x14ac:dyDescent="0.25">
      <c r="A32" s="186">
        <v>505</v>
      </c>
      <c r="B32" s="62" t="s">
        <v>79</v>
      </c>
      <c r="C32" s="157" t="s">
        <v>170</v>
      </c>
      <c r="D32" s="129" t="s">
        <v>167</v>
      </c>
      <c r="E32" s="683" t="e">
        <f>HLOOKUP('Unit Data from Audit Worksheet'!$D$2,'2019 Data(H)'!$D$1:$BB$202,112,FALSE)</f>
        <v>#N/A</v>
      </c>
      <c r="F32" s="686"/>
      <c r="G32" s="388">
        <f t="shared" si="0"/>
        <v>0</v>
      </c>
      <c r="H32" s="14"/>
      <c r="I32" s="31"/>
      <c r="J32" s="362"/>
      <c r="L32" s="674" t="s">
        <v>937</v>
      </c>
      <c r="M32" s="576"/>
      <c r="N32" s="594"/>
      <c r="S32" s="682"/>
      <c r="X32" s="682"/>
    </row>
    <row r="33" spans="1:1881" ht="67.900000000000006" customHeight="1" x14ac:dyDescent="0.25">
      <c r="A33" s="186">
        <v>341</v>
      </c>
      <c r="B33" s="62" t="s">
        <v>79</v>
      </c>
      <c r="C33" s="157" t="s">
        <v>170</v>
      </c>
      <c r="D33" s="128" t="s">
        <v>539</v>
      </c>
      <c r="E33" s="683" t="e">
        <f>HLOOKUP('Unit Data from Audit Worksheet'!$D$2,'2019 Data(H)'!$D$1:$BB$202,69,FALSE)</f>
        <v>#N/A</v>
      </c>
      <c r="F33" s="686"/>
      <c r="G33" s="388">
        <f t="shared" si="0"/>
        <v>0</v>
      </c>
      <c r="H33" s="14"/>
      <c r="I33" s="31"/>
      <c r="J33" s="362"/>
      <c r="L33" s="674" t="s">
        <v>938</v>
      </c>
      <c r="M33" s="576"/>
      <c r="N33" s="594"/>
      <c r="S33" s="682"/>
      <c r="X33" s="682"/>
    </row>
    <row r="34" spans="1:1881" ht="44.25" customHeight="1" x14ac:dyDescent="0.25">
      <c r="A34" s="186">
        <v>386</v>
      </c>
      <c r="B34" s="62" t="s">
        <v>79</v>
      </c>
      <c r="C34" s="157" t="s">
        <v>170</v>
      </c>
      <c r="D34" s="173" t="s">
        <v>171</v>
      </c>
      <c r="E34" s="683" t="e">
        <f>HLOOKUP('Unit Data from Audit Worksheet'!$D$2,'2019 Data(H)'!$D$1:$BB$202,103,FALSE)</f>
        <v>#N/A</v>
      </c>
      <c r="F34" s="686"/>
      <c r="G34" s="388">
        <f t="shared" si="0"/>
        <v>0</v>
      </c>
      <c r="H34" s="14"/>
      <c r="I34" s="31"/>
      <c r="L34" s="674" t="s">
        <v>939</v>
      </c>
      <c r="M34" s="576"/>
      <c r="N34" s="594"/>
      <c r="S34" s="682"/>
      <c r="X34" s="682"/>
    </row>
    <row r="35" spans="1:1881" ht="48.75" customHeight="1" x14ac:dyDescent="0.25">
      <c r="A35" s="186">
        <v>387</v>
      </c>
      <c r="B35" s="62" t="s">
        <v>83</v>
      </c>
      <c r="C35" s="157" t="s">
        <v>170</v>
      </c>
      <c r="D35" s="173" t="s">
        <v>172</v>
      </c>
      <c r="E35" s="683" t="e">
        <f>HLOOKUP('Unit Data from Audit Worksheet'!$D$2,'2019 Data(H)'!$D$1:$BB$202,104,FALSE)</f>
        <v>#N/A</v>
      </c>
      <c r="F35" s="686"/>
      <c r="G35" s="388">
        <f t="shared" si="0"/>
        <v>0</v>
      </c>
      <c r="H35" s="14"/>
      <c r="I35" s="31"/>
      <c r="L35" s="674" t="s">
        <v>940</v>
      </c>
      <c r="M35" s="576"/>
      <c r="N35" s="594"/>
      <c r="S35" s="682"/>
      <c r="X35" s="682"/>
    </row>
    <row r="36" spans="1:1881" ht="75" customHeight="1" x14ac:dyDescent="0.25">
      <c r="A36" s="186">
        <v>389</v>
      </c>
      <c r="B36" s="62" t="s">
        <v>83</v>
      </c>
      <c r="C36" s="157" t="s">
        <v>170</v>
      </c>
      <c r="D36" s="163" t="s">
        <v>261</v>
      </c>
      <c r="E36" s="683" t="e">
        <f>HLOOKUP('Unit Data from Audit Worksheet'!$D$2,'2019 Data(H)'!$D$1:$BB$202,106,FALSE)</f>
        <v>#N/A</v>
      </c>
      <c r="F36" s="686"/>
      <c r="G36" s="388">
        <f t="shared" si="0"/>
        <v>0</v>
      </c>
      <c r="H36" s="14"/>
      <c r="I36" s="31"/>
      <c r="J36" s="362"/>
      <c r="L36" s="674" t="s">
        <v>941</v>
      </c>
      <c r="M36" s="576"/>
      <c r="N36" s="594"/>
      <c r="S36" s="682"/>
      <c r="X36" s="682"/>
    </row>
    <row r="37" spans="1:1881" ht="103.5" customHeight="1" x14ac:dyDescent="0.25">
      <c r="A37" s="186">
        <v>255</v>
      </c>
      <c r="B37" s="62" t="s">
        <v>79</v>
      </c>
      <c r="C37" s="157" t="s">
        <v>170</v>
      </c>
      <c r="D37" s="163" t="s">
        <v>262</v>
      </c>
      <c r="E37" s="683" t="e">
        <f>HLOOKUP('Unit Data from Audit Worksheet'!$D$2,'2019 Data(H)'!$D$1:$BB$202,50,FALSE)</f>
        <v>#N/A</v>
      </c>
      <c r="F37" s="686"/>
      <c r="G37" s="388">
        <f>IF(H37=0,,"Error: Total revenues less total expenses do not equal total change in net position. Account numbers 339+504+505+341+386-387+389-388-255 = 0  The amount the formula is off is located in the cell to the right")</f>
        <v>0</v>
      </c>
      <c r="H37" s="189">
        <f>F30+F31+F32+F33+F34-F35+F36-F29-F37</f>
        <v>0</v>
      </c>
      <c r="I37" s="31"/>
      <c r="J37" s="362"/>
      <c r="L37" s="674" t="s">
        <v>942</v>
      </c>
      <c r="M37" s="576"/>
      <c r="N37" s="594"/>
      <c r="S37" s="682"/>
      <c r="X37" s="682"/>
    </row>
    <row r="38" spans="1:1881" ht="74.25" customHeight="1" x14ac:dyDescent="0.25">
      <c r="A38" s="186">
        <v>376</v>
      </c>
      <c r="B38" s="62" t="s">
        <v>79</v>
      </c>
      <c r="C38" s="157" t="s">
        <v>170</v>
      </c>
      <c r="D38" s="139" t="s">
        <v>540</v>
      </c>
      <c r="E38" s="683" t="e">
        <f>HLOOKUP('Unit Data from Audit Worksheet'!$D$2,'2019 Data(H)'!$D$1:$BB$202,93,FALSE)</f>
        <v>#N/A</v>
      </c>
      <c r="F38" s="672"/>
      <c r="G38" s="388" t="e">
        <f>IF(H38=0,,"Error: Beginning Balance does not agree with our records.  Account numbers  252+253+254-255-376-(PY252+ PY253+ PY254)=0  The amount the formula is off is located in the cell to the right")</f>
        <v>#N/A</v>
      </c>
      <c r="H38" s="284" t="e">
        <f>F21+F22+F23-F37-F38-(E21+E22+E23)</f>
        <v>#N/A</v>
      </c>
      <c r="I38" s="31"/>
      <c r="J38" s="362"/>
      <c r="L38" s="674" t="s">
        <v>924</v>
      </c>
      <c r="M38" s="576"/>
      <c r="N38" s="594"/>
      <c r="S38" s="682"/>
      <c r="X38" s="682"/>
    </row>
    <row r="39" spans="1:1881" s="4" customFormat="1" ht="105" x14ac:dyDescent="0.25">
      <c r="A39" s="186">
        <v>597</v>
      </c>
      <c r="B39" s="148" t="s">
        <v>598</v>
      </c>
      <c r="C39" s="148" t="s">
        <v>627</v>
      </c>
      <c r="D39" s="332" t="s">
        <v>628</v>
      </c>
      <c r="E39" s="683" t="e">
        <f>HLOOKUP('Unit Data from Audit Worksheet'!$D$2,'2019 Data(H)'!$D$1:$BB$202,171,FALSE)</f>
        <v>#N/A</v>
      </c>
      <c r="F39" s="672"/>
      <c r="G39" s="388">
        <f>IF(F39&lt;0,"Note: Number is normally positive.",)</f>
        <v>0</v>
      </c>
      <c r="H39" s="18"/>
      <c r="I39" s="292"/>
      <c r="J39" s="362"/>
      <c r="K39" s="387"/>
      <c r="L39" s="674" t="s">
        <v>943</v>
      </c>
      <c r="M39" s="576"/>
      <c r="N39" s="594"/>
      <c r="O39" s="387"/>
      <c r="P39" s="387"/>
      <c r="Q39" s="387"/>
      <c r="R39"/>
      <c r="S39" s="682"/>
      <c r="T39" s="387"/>
      <c r="U39" s="387"/>
      <c r="V39" s="387"/>
      <c r="W39" s="387"/>
      <c r="X39" s="682"/>
      <c r="Y39" s="387"/>
      <c r="Z39" s="387"/>
      <c r="AA39" s="387"/>
      <c r="AB39" s="387"/>
      <c r="AC39" s="387"/>
      <c r="AD39" s="387"/>
      <c r="AE39" s="387"/>
      <c r="AF39" s="387"/>
      <c r="AG39" s="387"/>
      <c r="AH39" s="387"/>
      <c r="AI39" s="387"/>
      <c r="AJ39" s="387"/>
      <c r="AK39" s="387"/>
      <c r="AL39" s="387"/>
      <c r="AM39" s="387"/>
      <c r="AN39" s="387"/>
      <c r="AO39" s="387"/>
      <c r="AP39" s="387"/>
      <c r="AQ39" s="387"/>
      <c r="AR39" s="387"/>
      <c r="AS39" s="387"/>
      <c r="AT39" s="387"/>
      <c r="AU39" s="387"/>
      <c r="AV39" s="387"/>
      <c r="AW39" s="387"/>
      <c r="AX39" s="387"/>
      <c r="AY39" s="387"/>
      <c r="AZ39" s="387"/>
      <c r="BA39" s="387"/>
      <c r="BB39" s="387"/>
      <c r="BC39" s="387"/>
      <c r="BD39" s="387"/>
      <c r="BE39" s="387"/>
      <c r="BF39" s="387"/>
      <c r="BG39" s="387"/>
      <c r="BH39" s="387"/>
      <c r="BI39" s="387"/>
      <c r="BJ39" s="387"/>
      <c r="BK39" s="387"/>
      <c r="BL39" s="387"/>
      <c r="BM39" s="387"/>
      <c r="BN39" s="387"/>
      <c r="BO39" s="387"/>
      <c r="BP39" s="387"/>
      <c r="BQ39" s="387"/>
      <c r="BR39" s="387"/>
      <c r="BS39" s="387"/>
      <c r="BT39" s="387"/>
      <c r="BU39" s="387"/>
      <c r="BV39" s="387"/>
      <c r="BW39" s="387"/>
      <c r="BX39" s="387"/>
      <c r="BY39" s="387"/>
      <c r="BZ39" s="387"/>
      <c r="CA39" s="387"/>
      <c r="CB39" s="387"/>
      <c r="CC39" s="387"/>
      <c r="CD39" s="387"/>
      <c r="CE39" s="387"/>
      <c r="CF39" s="387"/>
      <c r="CG39" s="387"/>
      <c r="CH39" s="387"/>
      <c r="CI39" s="387"/>
      <c r="CJ39" s="387"/>
      <c r="CK39" s="387"/>
      <c r="CL39" s="387"/>
      <c r="CM39" s="387"/>
      <c r="CN39" s="387"/>
      <c r="CO39" s="387"/>
      <c r="CP39" s="387"/>
      <c r="CQ39" s="387"/>
      <c r="CR39" s="387"/>
      <c r="CS39" s="387"/>
      <c r="CT39" s="387"/>
      <c r="CU39" s="387"/>
      <c r="CV39" s="387"/>
      <c r="CW39" s="387"/>
      <c r="CX39" s="387"/>
      <c r="CY39" s="387"/>
      <c r="CZ39" s="387"/>
      <c r="DA39" s="387"/>
      <c r="DB39" s="387"/>
      <c r="DC39" s="387"/>
      <c r="DD39" s="387"/>
      <c r="DE39" s="387"/>
      <c r="DF39" s="387"/>
      <c r="DG39" s="387"/>
      <c r="DH39" s="387"/>
      <c r="DI39" s="387"/>
      <c r="DJ39" s="387"/>
      <c r="DK39" s="387"/>
      <c r="DL39" s="387"/>
      <c r="DM39" s="387"/>
      <c r="DN39" s="387"/>
      <c r="DO39" s="387"/>
      <c r="DP39" s="387"/>
      <c r="DQ39" s="387"/>
      <c r="DR39" s="387"/>
      <c r="DS39" s="387"/>
      <c r="DT39" s="387"/>
      <c r="DU39" s="387"/>
      <c r="DV39" s="387"/>
      <c r="DW39" s="387"/>
      <c r="DX39" s="387"/>
      <c r="DY39" s="387"/>
      <c r="DZ39" s="387"/>
      <c r="EA39" s="387"/>
      <c r="EB39" s="387"/>
      <c r="EC39" s="387"/>
      <c r="ED39" s="387"/>
      <c r="EE39" s="387"/>
      <c r="EF39" s="387"/>
      <c r="EG39" s="387"/>
      <c r="EH39" s="387"/>
      <c r="EI39" s="387"/>
      <c r="EJ39" s="387"/>
      <c r="EK39" s="387"/>
      <c r="EL39" s="387"/>
      <c r="EM39" s="387"/>
      <c r="EN39" s="387"/>
      <c r="EO39" s="387"/>
      <c r="EP39" s="387"/>
      <c r="EQ39" s="387"/>
      <c r="ER39" s="387"/>
      <c r="ES39" s="387"/>
      <c r="ET39" s="387"/>
      <c r="EU39" s="387"/>
      <c r="EV39" s="387"/>
      <c r="EW39" s="387"/>
      <c r="EX39" s="387"/>
      <c r="EY39" s="387"/>
      <c r="EZ39" s="387"/>
      <c r="FA39" s="387"/>
      <c r="FB39" s="387"/>
      <c r="FC39" s="387"/>
      <c r="FD39" s="387"/>
      <c r="FE39" s="387"/>
      <c r="FF39" s="387"/>
      <c r="FG39" s="387"/>
      <c r="FH39" s="387"/>
      <c r="FI39" s="387"/>
      <c r="FJ39" s="387"/>
      <c r="FK39" s="387"/>
      <c r="FL39" s="387"/>
      <c r="FM39" s="387"/>
      <c r="FN39" s="387"/>
      <c r="FO39" s="387"/>
      <c r="FP39" s="387"/>
      <c r="FQ39" s="387"/>
      <c r="FR39" s="387"/>
      <c r="FS39" s="387"/>
      <c r="FT39" s="387"/>
      <c r="FU39" s="387"/>
      <c r="FV39" s="387"/>
      <c r="FW39" s="387"/>
      <c r="FX39" s="387"/>
      <c r="FY39" s="387"/>
      <c r="FZ39" s="387"/>
      <c r="GA39" s="387"/>
      <c r="GB39" s="387"/>
      <c r="GC39" s="387"/>
      <c r="GD39" s="387"/>
      <c r="GE39" s="387"/>
      <c r="GF39" s="387"/>
      <c r="GG39" s="387"/>
      <c r="GH39" s="387"/>
      <c r="GI39" s="387"/>
      <c r="GJ39" s="387"/>
      <c r="GK39" s="387"/>
      <c r="GL39" s="387"/>
      <c r="GM39" s="387"/>
      <c r="GN39" s="387"/>
      <c r="GO39" s="387"/>
      <c r="GP39" s="387"/>
      <c r="GQ39" s="387"/>
      <c r="GR39" s="387"/>
      <c r="GS39" s="387"/>
      <c r="GT39" s="387"/>
      <c r="GU39" s="387"/>
      <c r="GV39" s="387"/>
      <c r="GW39" s="387"/>
      <c r="GX39" s="387"/>
      <c r="GY39" s="387"/>
      <c r="GZ39" s="387"/>
      <c r="HA39" s="387"/>
      <c r="HB39" s="387"/>
      <c r="HC39" s="387"/>
      <c r="HD39" s="387"/>
      <c r="HE39" s="387"/>
      <c r="HF39" s="387"/>
      <c r="HG39" s="387"/>
      <c r="HH39" s="387"/>
      <c r="HI39" s="387"/>
      <c r="HJ39" s="387"/>
      <c r="HK39" s="387"/>
      <c r="HL39" s="387"/>
      <c r="HM39" s="387"/>
      <c r="HN39" s="387"/>
      <c r="HO39" s="387"/>
      <c r="HP39" s="387"/>
      <c r="HQ39" s="387"/>
      <c r="HR39" s="387"/>
      <c r="HS39" s="387"/>
      <c r="HT39" s="387"/>
      <c r="HU39" s="387"/>
      <c r="HV39" s="387"/>
      <c r="HW39" s="387"/>
      <c r="HX39" s="387"/>
      <c r="HY39" s="387"/>
      <c r="HZ39" s="387"/>
      <c r="IA39" s="387"/>
      <c r="IB39" s="387"/>
      <c r="IC39" s="387"/>
      <c r="ID39" s="387"/>
      <c r="IE39" s="387"/>
      <c r="IF39" s="387"/>
      <c r="IG39" s="387"/>
      <c r="IH39" s="387"/>
      <c r="II39" s="387"/>
      <c r="IJ39" s="387"/>
      <c r="IK39" s="387"/>
      <c r="IL39" s="387"/>
      <c r="IM39" s="387"/>
      <c r="IN39" s="387"/>
      <c r="IO39" s="387"/>
      <c r="IP39" s="387"/>
      <c r="IQ39" s="387"/>
      <c r="IR39" s="387"/>
      <c r="IS39" s="387"/>
      <c r="IT39" s="387"/>
      <c r="IU39" s="387"/>
      <c r="IV39" s="387"/>
      <c r="IW39" s="387"/>
      <c r="IX39" s="387"/>
      <c r="IY39" s="387"/>
      <c r="IZ39" s="387"/>
      <c r="JA39" s="387"/>
      <c r="JB39" s="387"/>
      <c r="JC39" s="387"/>
      <c r="JD39" s="387"/>
      <c r="JE39" s="387"/>
      <c r="JF39" s="387"/>
      <c r="JG39" s="387"/>
      <c r="JH39" s="387"/>
      <c r="JI39" s="387"/>
      <c r="JJ39" s="387"/>
      <c r="JK39" s="387"/>
      <c r="JL39" s="387"/>
      <c r="JM39" s="387"/>
      <c r="JN39" s="387"/>
      <c r="JO39" s="387"/>
      <c r="JP39" s="387"/>
      <c r="JQ39" s="387"/>
      <c r="JR39" s="387"/>
      <c r="JS39" s="387"/>
      <c r="JT39" s="387"/>
      <c r="JU39" s="387"/>
      <c r="JV39" s="387"/>
      <c r="JW39" s="387"/>
      <c r="JX39" s="387"/>
      <c r="JY39" s="387"/>
      <c r="JZ39" s="387"/>
      <c r="KA39" s="387"/>
      <c r="KB39" s="387"/>
      <c r="KC39" s="387"/>
      <c r="KD39" s="387"/>
      <c r="KE39" s="387"/>
      <c r="KF39" s="387"/>
      <c r="KG39" s="387"/>
      <c r="KH39" s="387"/>
      <c r="KI39" s="387"/>
      <c r="KJ39" s="387"/>
      <c r="KK39" s="387"/>
      <c r="KL39" s="387"/>
      <c r="KM39" s="387"/>
      <c r="KN39" s="387"/>
      <c r="KO39" s="387"/>
      <c r="KP39" s="387"/>
      <c r="KQ39" s="387"/>
      <c r="KR39" s="387"/>
      <c r="KS39" s="387"/>
      <c r="KT39" s="387"/>
      <c r="KU39" s="387"/>
      <c r="KV39" s="387"/>
      <c r="KW39" s="387"/>
      <c r="KX39" s="387"/>
      <c r="KY39" s="387"/>
      <c r="KZ39" s="387"/>
      <c r="LA39" s="387"/>
      <c r="LB39" s="387"/>
      <c r="LC39" s="387"/>
      <c r="LD39" s="387"/>
      <c r="LE39" s="387"/>
      <c r="LF39" s="387"/>
      <c r="LG39" s="387"/>
      <c r="LH39" s="387"/>
      <c r="LI39" s="387"/>
      <c r="LJ39" s="387"/>
      <c r="LK39" s="387"/>
      <c r="LL39" s="387"/>
      <c r="LM39" s="387"/>
      <c r="LN39" s="387"/>
      <c r="LO39" s="387"/>
      <c r="LP39" s="387"/>
      <c r="LQ39" s="387"/>
      <c r="LR39" s="387"/>
      <c r="LS39" s="387"/>
      <c r="LT39" s="387"/>
      <c r="LU39" s="387"/>
      <c r="LV39" s="387"/>
      <c r="LW39" s="387"/>
      <c r="LX39" s="387"/>
      <c r="LY39" s="387"/>
      <c r="LZ39" s="387"/>
      <c r="MA39" s="387"/>
      <c r="MB39" s="387"/>
      <c r="MC39" s="387"/>
      <c r="MD39" s="387"/>
      <c r="ME39" s="387"/>
      <c r="MF39" s="387"/>
      <c r="MG39" s="387"/>
      <c r="MH39" s="387"/>
      <c r="MI39" s="387"/>
      <c r="MJ39" s="387"/>
      <c r="MK39" s="387"/>
      <c r="ML39" s="387"/>
      <c r="MM39" s="387"/>
      <c r="MN39" s="387"/>
      <c r="MO39" s="387"/>
      <c r="MP39" s="387"/>
      <c r="MQ39" s="387"/>
      <c r="MR39" s="387"/>
      <c r="MS39" s="387"/>
      <c r="MT39" s="387"/>
      <c r="MU39" s="387"/>
      <c r="MV39" s="387"/>
      <c r="MW39" s="387"/>
      <c r="MX39" s="387"/>
      <c r="MY39" s="387"/>
      <c r="MZ39" s="387"/>
      <c r="NA39" s="387"/>
      <c r="NB39" s="387"/>
      <c r="NC39" s="387"/>
      <c r="ND39" s="387"/>
      <c r="NE39" s="387"/>
      <c r="NF39" s="387"/>
      <c r="NG39" s="387"/>
      <c r="NH39" s="387"/>
      <c r="NI39" s="387"/>
      <c r="NJ39" s="387"/>
      <c r="NK39" s="387"/>
      <c r="NL39" s="387"/>
      <c r="NM39" s="387"/>
      <c r="NN39" s="387"/>
      <c r="NO39" s="387"/>
      <c r="NP39" s="387"/>
      <c r="NQ39" s="387"/>
      <c r="NR39" s="387"/>
      <c r="NS39" s="387"/>
      <c r="NT39" s="387"/>
      <c r="NU39" s="387"/>
      <c r="NV39" s="387"/>
      <c r="NW39" s="387"/>
      <c r="NX39" s="387"/>
      <c r="NY39" s="387"/>
      <c r="NZ39" s="387"/>
      <c r="OA39" s="387"/>
      <c r="OB39" s="387"/>
      <c r="OC39" s="387"/>
      <c r="OD39" s="387"/>
      <c r="OE39" s="387"/>
      <c r="OF39" s="387"/>
      <c r="OG39" s="387"/>
      <c r="OH39" s="387"/>
      <c r="OI39" s="387"/>
      <c r="OJ39" s="387"/>
      <c r="OK39" s="387"/>
      <c r="OL39" s="387"/>
      <c r="OM39" s="387"/>
      <c r="ON39" s="387"/>
      <c r="OO39" s="387"/>
      <c r="OP39" s="387"/>
      <c r="OQ39" s="387"/>
      <c r="OR39" s="387"/>
      <c r="OS39" s="387"/>
      <c r="OT39" s="387"/>
      <c r="OU39" s="387"/>
      <c r="OV39" s="387"/>
      <c r="OW39" s="387"/>
      <c r="OX39" s="387"/>
      <c r="OY39" s="387"/>
      <c r="OZ39" s="387"/>
      <c r="PA39" s="387"/>
      <c r="PB39" s="387"/>
      <c r="PC39" s="387"/>
      <c r="PD39" s="387"/>
      <c r="PE39" s="387"/>
      <c r="PF39" s="387"/>
      <c r="PG39" s="387"/>
      <c r="PH39" s="387"/>
      <c r="PI39" s="387"/>
      <c r="PJ39" s="387"/>
      <c r="PK39" s="387"/>
      <c r="PL39" s="387"/>
      <c r="PM39" s="387"/>
      <c r="PN39" s="387"/>
      <c r="PO39" s="387"/>
      <c r="PP39" s="387"/>
      <c r="PQ39" s="387"/>
      <c r="PR39" s="387"/>
      <c r="PS39" s="387"/>
      <c r="PT39" s="387"/>
      <c r="PU39" s="387"/>
      <c r="PV39" s="387"/>
      <c r="PW39" s="387"/>
      <c r="PX39" s="387"/>
      <c r="PY39" s="387"/>
      <c r="PZ39" s="387"/>
      <c r="QA39" s="387"/>
      <c r="QB39" s="387"/>
      <c r="QC39" s="387"/>
      <c r="QD39" s="387"/>
      <c r="QE39" s="387"/>
      <c r="QF39" s="387"/>
      <c r="QG39" s="387"/>
      <c r="QH39" s="387"/>
      <c r="QI39" s="387"/>
      <c r="QJ39" s="387"/>
      <c r="QK39" s="387"/>
      <c r="QL39" s="387"/>
      <c r="QM39" s="387"/>
      <c r="QN39" s="387"/>
      <c r="QO39" s="387"/>
      <c r="QP39" s="387"/>
      <c r="QQ39" s="387"/>
      <c r="QR39" s="387"/>
      <c r="QS39" s="387"/>
      <c r="QT39" s="387"/>
      <c r="QU39" s="387"/>
      <c r="QV39" s="387"/>
      <c r="QW39" s="387"/>
      <c r="QX39" s="387"/>
      <c r="QY39" s="387"/>
      <c r="QZ39" s="387"/>
      <c r="RA39" s="387"/>
      <c r="RB39" s="387"/>
      <c r="RC39" s="387"/>
      <c r="RD39" s="387"/>
      <c r="RE39" s="387"/>
      <c r="RF39" s="387"/>
      <c r="RG39" s="387"/>
      <c r="RH39" s="387"/>
      <c r="RI39" s="387"/>
      <c r="RJ39" s="387"/>
      <c r="RK39" s="387"/>
      <c r="RL39" s="387"/>
      <c r="RM39" s="387"/>
      <c r="RN39" s="387"/>
      <c r="RO39" s="387"/>
      <c r="RP39" s="387"/>
      <c r="RQ39" s="387"/>
      <c r="RR39" s="387"/>
      <c r="RS39" s="387"/>
      <c r="RT39" s="387"/>
      <c r="RU39" s="387"/>
      <c r="RV39" s="387"/>
      <c r="RW39" s="387"/>
      <c r="RX39" s="387"/>
      <c r="RY39" s="387"/>
      <c r="RZ39" s="387"/>
      <c r="SA39" s="387"/>
      <c r="SB39" s="387"/>
      <c r="SC39" s="387"/>
      <c r="SD39" s="387"/>
      <c r="SE39" s="387"/>
      <c r="SF39" s="387"/>
      <c r="SG39" s="387"/>
      <c r="SH39" s="387"/>
      <c r="SI39" s="387"/>
      <c r="SJ39" s="387"/>
      <c r="SK39" s="387"/>
      <c r="SL39" s="387"/>
      <c r="SM39" s="387"/>
      <c r="SN39" s="387"/>
      <c r="SO39" s="387"/>
      <c r="SP39" s="387"/>
      <c r="SQ39" s="387"/>
      <c r="SR39" s="387"/>
      <c r="SS39" s="387"/>
      <c r="ST39" s="387"/>
      <c r="SU39" s="387"/>
      <c r="SV39" s="387"/>
      <c r="SW39" s="387"/>
      <c r="SX39" s="387"/>
      <c r="SY39" s="387"/>
      <c r="SZ39" s="387"/>
      <c r="TA39" s="387"/>
      <c r="TB39" s="387"/>
      <c r="TC39" s="387"/>
      <c r="TD39" s="387"/>
      <c r="TE39" s="387"/>
      <c r="TF39" s="387"/>
      <c r="TG39" s="387"/>
      <c r="TH39" s="387"/>
      <c r="TI39" s="387"/>
      <c r="TJ39" s="387"/>
      <c r="TK39" s="387"/>
      <c r="TL39" s="387"/>
      <c r="TM39" s="387"/>
      <c r="TN39" s="387"/>
      <c r="TO39" s="387"/>
      <c r="TP39" s="387"/>
      <c r="TQ39" s="387"/>
      <c r="TR39" s="387"/>
      <c r="TS39" s="387"/>
      <c r="TT39" s="387"/>
      <c r="TU39" s="387"/>
      <c r="TV39" s="387"/>
      <c r="TW39" s="387"/>
      <c r="TX39" s="387"/>
      <c r="TY39" s="387"/>
      <c r="TZ39" s="387"/>
      <c r="UA39" s="387"/>
      <c r="UB39" s="387"/>
      <c r="UC39" s="387"/>
      <c r="UD39" s="387"/>
      <c r="UE39" s="387"/>
      <c r="UF39" s="387"/>
      <c r="UG39" s="387"/>
      <c r="UH39" s="387"/>
      <c r="UI39" s="387"/>
      <c r="UJ39" s="387"/>
      <c r="UK39" s="387"/>
      <c r="UL39" s="387"/>
      <c r="UM39" s="387"/>
      <c r="UN39" s="387"/>
      <c r="UO39" s="387"/>
      <c r="UP39" s="387"/>
      <c r="UQ39" s="387"/>
      <c r="UR39" s="387"/>
      <c r="US39" s="387"/>
      <c r="UT39" s="387"/>
      <c r="UU39" s="387"/>
      <c r="UV39" s="387"/>
      <c r="UW39" s="387"/>
      <c r="UX39" s="387"/>
      <c r="UY39" s="387"/>
      <c r="UZ39" s="387"/>
      <c r="VA39" s="387"/>
      <c r="VB39" s="387"/>
      <c r="VC39" s="387"/>
      <c r="VD39" s="387"/>
      <c r="VE39" s="387"/>
      <c r="VF39" s="387"/>
      <c r="VG39" s="387"/>
      <c r="VH39" s="387"/>
      <c r="VI39" s="387"/>
      <c r="VJ39" s="387"/>
      <c r="VK39" s="387"/>
      <c r="VL39" s="387"/>
      <c r="VM39" s="387"/>
      <c r="VN39" s="387"/>
      <c r="VO39" s="387"/>
      <c r="VP39" s="387"/>
      <c r="VQ39" s="387"/>
      <c r="VR39" s="387"/>
      <c r="VS39" s="387"/>
      <c r="VT39" s="387"/>
      <c r="VU39" s="387"/>
      <c r="VV39" s="387"/>
      <c r="VW39" s="387"/>
      <c r="VX39" s="387"/>
      <c r="VY39" s="387"/>
      <c r="VZ39" s="387"/>
      <c r="WA39" s="387"/>
      <c r="WB39" s="387"/>
      <c r="WC39" s="387"/>
      <c r="WD39" s="387"/>
      <c r="WE39" s="387"/>
      <c r="WF39" s="387"/>
      <c r="WG39" s="387"/>
      <c r="WH39" s="387"/>
      <c r="WI39" s="387"/>
      <c r="WJ39" s="387"/>
      <c r="WK39" s="387"/>
      <c r="WL39" s="387"/>
      <c r="WM39" s="387"/>
      <c r="WN39" s="387"/>
      <c r="WO39" s="387"/>
      <c r="WP39" s="387"/>
      <c r="WQ39" s="387"/>
      <c r="WR39" s="387"/>
      <c r="WS39" s="387"/>
      <c r="WT39" s="387"/>
      <c r="WU39" s="387"/>
      <c r="WV39" s="387"/>
      <c r="WW39" s="387"/>
      <c r="WX39" s="387"/>
      <c r="WY39" s="387"/>
      <c r="WZ39" s="387"/>
      <c r="XA39" s="387"/>
      <c r="XB39" s="387"/>
      <c r="XC39" s="387"/>
      <c r="XD39" s="387"/>
      <c r="XE39" s="387"/>
      <c r="XF39" s="387"/>
      <c r="XG39" s="387"/>
      <c r="XH39" s="387"/>
      <c r="XI39" s="387"/>
      <c r="XJ39" s="387"/>
      <c r="XK39" s="387"/>
      <c r="XL39" s="387"/>
      <c r="XM39" s="387"/>
      <c r="XN39" s="387"/>
      <c r="XO39" s="387"/>
      <c r="XP39" s="387"/>
      <c r="XQ39" s="387"/>
      <c r="XR39" s="387"/>
      <c r="XS39" s="387"/>
      <c r="XT39" s="387"/>
      <c r="XU39" s="387"/>
      <c r="XV39" s="387"/>
      <c r="XW39" s="387"/>
      <c r="XX39" s="387"/>
      <c r="XY39" s="387"/>
      <c r="XZ39" s="387"/>
      <c r="YA39" s="387"/>
      <c r="YB39" s="387"/>
      <c r="YC39" s="387"/>
      <c r="YD39" s="387"/>
      <c r="YE39" s="387"/>
      <c r="YF39" s="387"/>
      <c r="YG39" s="387"/>
      <c r="YH39" s="387"/>
      <c r="YI39" s="387"/>
      <c r="YJ39" s="387"/>
      <c r="YK39" s="387"/>
      <c r="YL39" s="387"/>
      <c r="YM39" s="387"/>
      <c r="YN39" s="387"/>
      <c r="YO39" s="387"/>
      <c r="YP39" s="387"/>
      <c r="YQ39" s="387"/>
      <c r="YR39" s="387"/>
      <c r="YS39" s="387"/>
      <c r="YT39" s="387"/>
      <c r="YU39" s="387"/>
      <c r="YV39" s="387"/>
      <c r="YW39" s="387"/>
      <c r="YX39" s="387"/>
      <c r="YY39" s="387"/>
      <c r="YZ39" s="387"/>
      <c r="ZA39" s="387"/>
      <c r="ZB39" s="387"/>
      <c r="ZC39" s="387"/>
      <c r="ZD39" s="387"/>
      <c r="ZE39" s="387"/>
      <c r="ZF39" s="387"/>
      <c r="ZG39" s="387"/>
      <c r="ZH39" s="387"/>
      <c r="ZI39" s="387"/>
      <c r="ZJ39" s="387"/>
      <c r="ZK39" s="387"/>
      <c r="ZL39" s="387"/>
      <c r="ZM39" s="387"/>
      <c r="ZN39" s="387"/>
      <c r="ZO39" s="387"/>
      <c r="ZP39" s="387"/>
      <c r="ZQ39" s="387"/>
      <c r="ZR39" s="387"/>
      <c r="ZS39" s="387"/>
      <c r="ZT39" s="387"/>
      <c r="ZU39" s="387"/>
      <c r="ZV39" s="387"/>
      <c r="ZW39" s="387"/>
      <c r="ZX39" s="387"/>
      <c r="ZY39" s="387"/>
      <c r="ZZ39" s="387"/>
      <c r="AAA39" s="387"/>
      <c r="AAB39" s="387"/>
      <c r="AAC39" s="387"/>
      <c r="AAD39" s="387"/>
      <c r="AAE39" s="387"/>
      <c r="AAF39" s="387"/>
      <c r="AAG39" s="387"/>
      <c r="AAH39" s="387"/>
      <c r="AAI39" s="387"/>
      <c r="AAJ39" s="387"/>
      <c r="AAK39" s="387"/>
      <c r="AAL39" s="387"/>
      <c r="AAM39" s="387"/>
      <c r="AAN39" s="387"/>
      <c r="AAO39" s="387"/>
      <c r="AAP39" s="387"/>
      <c r="AAQ39" s="387"/>
      <c r="AAR39" s="387"/>
      <c r="AAS39" s="387"/>
      <c r="AAT39" s="387"/>
      <c r="AAU39" s="387"/>
      <c r="AAV39" s="387"/>
      <c r="AAW39" s="387"/>
      <c r="AAX39" s="387"/>
      <c r="AAY39" s="387"/>
      <c r="AAZ39" s="387"/>
      <c r="ABA39" s="387"/>
      <c r="ABB39" s="387"/>
      <c r="ABC39" s="387"/>
      <c r="ABD39" s="387"/>
      <c r="ABE39" s="387"/>
      <c r="ABF39" s="387"/>
      <c r="ABG39" s="387"/>
      <c r="ABH39" s="387"/>
      <c r="ABI39" s="387"/>
      <c r="ABJ39" s="387"/>
      <c r="ABK39" s="387"/>
      <c r="ABL39" s="387"/>
      <c r="ABM39" s="387"/>
      <c r="ABN39" s="387"/>
      <c r="ABO39" s="387"/>
      <c r="ABP39" s="387"/>
      <c r="ABQ39" s="387"/>
      <c r="ABR39" s="387"/>
      <c r="ABS39" s="387"/>
      <c r="ABT39" s="387"/>
      <c r="ABU39" s="387"/>
      <c r="ABV39" s="387"/>
      <c r="ABW39" s="387"/>
      <c r="ABX39" s="387"/>
      <c r="ABY39" s="387"/>
      <c r="ABZ39" s="387"/>
      <c r="ACA39" s="387"/>
      <c r="ACB39" s="387"/>
      <c r="ACC39" s="387"/>
      <c r="ACD39" s="387"/>
      <c r="ACE39" s="387"/>
      <c r="ACF39" s="387"/>
      <c r="ACG39" s="387"/>
      <c r="ACH39" s="387"/>
      <c r="ACI39" s="387"/>
      <c r="ACJ39" s="387"/>
      <c r="ACK39" s="387"/>
      <c r="ACL39" s="387"/>
      <c r="ACM39" s="387"/>
      <c r="ACN39" s="387"/>
      <c r="ACO39" s="387"/>
      <c r="ACP39" s="387"/>
      <c r="ACQ39" s="387"/>
      <c r="ACR39" s="387"/>
      <c r="ACS39" s="387"/>
      <c r="ACT39" s="387"/>
      <c r="ACU39" s="387"/>
      <c r="ACV39" s="387"/>
      <c r="ACW39" s="387"/>
      <c r="ACX39" s="387"/>
      <c r="ACY39" s="387"/>
      <c r="ACZ39" s="387"/>
      <c r="ADA39" s="387"/>
      <c r="ADB39" s="387"/>
      <c r="ADC39" s="387"/>
      <c r="ADD39" s="387"/>
      <c r="ADE39" s="387"/>
      <c r="ADF39" s="387"/>
      <c r="ADG39" s="387"/>
      <c r="ADH39" s="387"/>
      <c r="ADI39" s="387"/>
      <c r="ADJ39" s="387"/>
      <c r="ADK39" s="387"/>
      <c r="ADL39" s="387"/>
      <c r="ADM39" s="387"/>
      <c r="ADN39" s="387"/>
      <c r="ADO39" s="387"/>
      <c r="ADP39" s="387"/>
      <c r="ADQ39" s="387"/>
      <c r="ADR39" s="387"/>
      <c r="ADS39" s="387"/>
      <c r="ADT39" s="387"/>
      <c r="ADU39" s="387"/>
      <c r="ADV39" s="387"/>
      <c r="ADW39" s="387"/>
      <c r="ADX39" s="387"/>
      <c r="ADY39" s="387"/>
      <c r="ADZ39" s="387"/>
      <c r="AEA39" s="387"/>
      <c r="AEB39" s="387"/>
      <c r="AEC39" s="387"/>
      <c r="AED39" s="387"/>
      <c r="AEE39" s="387"/>
      <c r="AEF39" s="387"/>
      <c r="AEG39" s="387"/>
      <c r="AEH39" s="387"/>
      <c r="AEI39" s="387"/>
      <c r="AEJ39" s="387"/>
      <c r="AEK39" s="387"/>
      <c r="AEL39" s="387"/>
      <c r="AEM39" s="387"/>
      <c r="AEN39" s="387"/>
      <c r="AEO39" s="387"/>
      <c r="AEP39" s="387"/>
      <c r="AEQ39" s="387"/>
      <c r="AER39" s="387"/>
      <c r="AES39" s="387"/>
      <c r="AET39" s="387"/>
      <c r="AEU39" s="387"/>
      <c r="AEV39" s="387"/>
      <c r="AEW39" s="387"/>
      <c r="AEX39" s="387"/>
      <c r="AEY39" s="387"/>
      <c r="AEZ39" s="387"/>
      <c r="AFA39" s="387"/>
      <c r="AFB39" s="387"/>
      <c r="AFC39" s="387"/>
      <c r="AFD39" s="387"/>
      <c r="AFE39" s="387"/>
      <c r="AFF39" s="387"/>
      <c r="AFG39" s="387"/>
      <c r="AFH39" s="387"/>
      <c r="AFI39" s="387"/>
      <c r="AFJ39" s="387"/>
      <c r="AFK39" s="387"/>
      <c r="AFL39" s="387"/>
      <c r="AFM39" s="387"/>
      <c r="AFN39" s="387"/>
      <c r="AFO39" s="387"/>
      <c r="AFP39" s="387"/>
      <c r="AFQ39" s="387"/>
      <c r="AFR39" s="387"/>
      <c r="AFS39" s="387"/>
      <c r="AFT39" s="387"/>
      <c r="AFU39" s="387"/>
      <c r="AFV39" s="387"/>
      <c r="AFW39" s="387"/>
      <c r="AFX39" s="387"/>
      <c r="AFY39" s="387"/>
      <c r="AFZ39" s="387"/>
      <c r="AGA39" s="387"/>
      <c r="AGB39" s="387"/>
      <c r="AGC39" s="387"/>
      <c r="AGD39" s="387"/>
      <c r="AGE39" s="387"/>
      <c r="AGF39" s="387"/>
      <c r="AGG39" s="387"/>
      <c r="AGH39" s="387"/>
      <c r="AGI39" s="387"/>
      <c r="AGJ39" s="387"/>
      <c r="AGK39" s="387"/>
      <c r="AGL39" s="387"/>
      <c r="AGM39" s="387"/>
      <c r="AGN39" s="387"/>
      <c r="AGO39" s="387"/>
      <c r="AGP39" s="387"/>
      <c r="AGQ39" s="387"/>
      <c r="AGR39" s="387"/>
      <c r="AGS39" s="387"/>
      <c r="AGT39" s="387"/>
      <c r="AGU39" s="387"/>
      <c r="AGV39" s="387"/>
      <c r="AGW39" s="387"/>
      <c r="AGX39" s="387"/>
      <c r="AGY39" s="387"/>
      <c r="AGZ39" s="387"/>
      <c r="AHA39" s="387"/>
      <c r="AHB39" s="387"/>
      <c r="AHC39" s="387"/>
      <c r="AHD39" s="387"/>
      <c r="AHE39" s="387"/>
      <c r="AHF39" s="387"/>
      <c r="AHG39" s="387"/>
      <c r="AHH39" s="387"/>
      <c r="AHI39" s="387"/>
      <c r="AHJ39" s="387"/>
      <c r="AHK39" s="387"/>
      <c r="AHL39" s="387"/>
      <c r="AHM39" s="387"/>
      <c r="AHN39" s="387"/>
      <c r="AHO39" s="387"/>
      <c r="AHP39" s="387"/>
      <c r="AHQ39" s="387"/>
      <c r="AHR39" s="387"/>
      <c r="AHS39" s="387"/>
      <c r="AHT39" s="387"/>
      <c r="AHU39" s="387"/>
      <c r="AHV39" s="387"/>
      <c r="AHW39" s="387"/>
      <c r="AHX39" s="387"/>
      <c r="AHY39" s="387"/>
      <c r="AHZ39" s="387"/>
      <c r="AIA39" s="387"/>
      <c r="AIB39" s="387"/>
      <c r="AIC39" s="387"/>
      <c r="AID39" s="387"/>
      <c r="AIE39" s="387"/>
      <c r="AIF39" s="387"/>
      <c r="AIG39" s="387"/>
      <c r="AIH39" s="387"/>
      <c r="AII39" s="387"/>
      <c r="AIJ39" s="387"/>
      <c r="AIK39" s="387"/>
      <c r="AIL39" s="387"/>
      <c r="AIM39" s="387"/>
      <c r="AIN39" s="387"/>
      <c r="AIO39" s="387"/>
      <c r="AIP39" s="387"/>
      <c r="AIQ39" s="387"/>
      <c r="AIR39" s="387"/>
      <c r="AIS39" s="387"/>
      <c r="AIT39" s="387"/>
      <c r="AIU39" s="387"/>
      <c r="AIV39" s="387"/>
      <c r="AIW39" s="387"/>
      <c r="AIX39" s="387"/>
      <c r="AIY39" s="387"/>
      <c r="AIZ39" s="387"/>
      <c r="AJA39" s="387"/>
      <c r="AJB39" s="387"/>
      <c r="AJC39" s="387"/>
      <c r="AJD39" s="387"/>
      <c r="AJE39" s="387"/>
      <c r="AJF39" s="387"/>
      <c r="AJG39" s="387"/>
      <c r="AJH39" s="387"/>
      <c r="AJI39" s="387"/>
      <c r="AJJ39" s="387"/>
      <c r="AJK39" s="387"/>
      <c r="AJL39" s="387"/>
      <c r="AJM39" s="387"/>
      <c r="AJN39" s="387"/>
      <c r="AJO39" s="387"/>
      <c r="AJP39" s="387"/>
      <c r="AJQ39" s="387"/>
      <c r="AJR39" s="387"/>
      <c r="AJS39" s="387"/>
      <c r="AJT39" s="387"/>
      <c r="AJU39" s="387"/>
      <c r="AJV39" s="387"/>
      <c r="AJW39" s="387"/>
      <c r="AJX39" s="387"/>
      <c r="AJY39" s="387"/>
      <c r="AJZ39" s="387"/>
      <c r="AKA39" s="387"/>
      <c r="AKB39" s="387"/>
      <c r="AKC39" s="387"/>
      <c r="AKD39" s="387"/>
      <c r="AKE39" s="387"/>
      <c r="AKF39" s="387"/>
      <c r="AKG39" s="387"/>
      <c r="AKH39" s="387"/>
      <c r="AKI39" s="387"/>
      <c r="AKJ39" s="387"/>
      <c r="AKK39" s="387"/>
      <c r="AKL39" s="387"/>
      <c r="AKM39" s="387"/>
      <c r="AKN39" s="387"/>
      <c r="AKO39" s="387"/>
      <c r="AKP39" s="387"/>
      <c r="AKQ39" s="387"/>
      <c r="AKR39" s="387"/>
      <c r="AKS39" s="387"/>
      <c r="AKT39" s="387"/>
      <c r="AKU39" s="387"/>
      <c r="AKV39" s="387"/>
      <c r="AKW39" s="387"/>
      <c r="AKX39" s="387"/>
      <c r="AKY39" s="387"/>
      <c r="AKZ39" s="387"/>
      <c r="ALA39" s="387"/>
      <c r="ALB39" s="387"/>
      <c r="ALC39" s="387"/>
      <c r="ALD39" s="387"/>
      <c r="ALE39" s="387"/>
      <c r="ALF39" s="387"/>
      <c r="ALG39" s="387"/>
      <c r="ALH39" s="387"/>
      <c r="ALI39" s="387"/>
      <c r="ALJ39" s="387"/>
      <c r="ALK39" s="387"/>
      <c r="ALL39" s="387"/>
      <c r="ALM39" s="387"/>
      <c r="ALN39" s="387"/>
      <c r="ALO39" s="387"/>
      <c r="ALP39" s="387"/>
      <c r="ALQ39" s="387"/>
      <c r="ALR39" s="387"/>
      <c r="ALS39" s="387"/>
      <c r="ALT39" s="387"/>
      <c r="ALU39" s="387"/>
      <c r="ALV39" s="387"/>
      <c r="ALW39" s="387"/>
      <c r="ALX39" s="387"/>
      <c r="ALY39" s="387"/>
      <c r="ALZ39" s="387"/>
      <c r="AMA39" s="387"/>
      <c r="AMB39" s="387"/>
      <c r="AMC39" s="387"/>
      <c r="AMD39" s="387"/>
      <c r="AME39" s="387"/>
      <c r="AMF39" s="387"/>
      <c r="AMG39" s="387"/>
      <c r="AMH39" s="387"/>
      <c r="AMI39" s="387"/>
      <c r="AMJ39" s="387"/>
      <c r="AMK39" s="387"/>
      <c r="AML39" s="387"/>
      <c r="AMM39" s="387"/>
      <c r="AMN39" s="387"/>
      <c r="AMO39" s="387"/>
      <c r="AMP39" s="387"/>
      <c r="AMQ39" s="387"/>
      <c r="AMR39" s="387"/>
      <c r="AMS39" s="387"/>
      <c r="AMT39" s="387"/>
      <c r="AMU39" s="387"/>
      <c r="AMV39" s="387"/>
      <c r="AMW39" s="387"/>
      <c r="AMX39" s="387"/>
      <c r="AMY39" s="387"/>
      <c r="AMZ39" s="387"/>
      <c r="ANA39" s="387"/>
      <c r="ANB39" s="387"/>
      <c r="ANC39" s="387"/>
      <c r="AND39" s="387"/>
      <c r="ANE39" s="387"/>
      <c r="ANF39" s="387"/>
      <c r="ANG39" s="387"/>
      <c r="ANH39" s="387"/>
      <c r="ANI39" s="387"/>
      <c r="ANJ39" s="387"/>
      <c r="ANK39" s="387"/>
      <c r="ANL39" s="387"/>
      <c r="ANM39" s="387"/>
      <c r="ANN39" s="387"/>
      <c r="ANO39" s="387"/>
      <c r="ANP39" s="387"/>
      <c r="ANQ39" s="387"/>
      <c r="ANR39" s="387"/>
      <c r="ANS39" s="387"/>
      <c r="ANT39" s="387"/>
      <c r="ANU39" s="387"/>
      <c r="ANV39" s="387"/>
      <c r="ANW39" s="387"/>
      <c r="ANX39" s="387"/>
      <c r="ANY39" s="387"/>
      <c r="ANZ39" s="387"/>
      <c r="AOA39" s="387"/>
      <c r="AOB39" s="387"/>
      <c r="AOC39" s="387"/>
      <c r="AOD39" s="387"/>
      <c r="AOE39" s="387"/>
      <c r="AOF39" s="387"/>
      <c r="AOG39" s="387"/>
      <c r="AOH39" s="387"/>
      <c r="AOI39" s="387"/>
      <c r="AOJ39" s="387"/>
      <c r="AOK39" s="387"/>
      <c r="AOL39" s="387"/>
      <c r="AOM39" s="387"/>
      <c r="AON39" s="387"/>
      <c r="AOO39" s="387"/>
      <c r="AOP39" s="387"/>
      <c r="AOQ39" s="387"/>
      <c r="AOR39" s="387"/>
      <c r="AOS39" s="387"/>
      <c r="AOT39" s="387"/>
      <c r="AOU39" s="387"/>
      <c r="AOV39" s="387"/>
      <c r="AOW39" s="387"/>
      <c r="AOX39" s="387"/>
      <c r="AOY39" s="387"/>
      <c r="AOZ39" s="387"/>
      <c r="APA39" s="387"/>
      <c r="APB39" s="387"/>
      <c r="APC39" s="387"/>
      <c r="APD39" s="387"/>
      <c r="APE39" s="387"/>
      <c r="APF39" s="387"/>
      <c r="APG39" s="387"/>
      <c r="APH39" s="387"/>
      <c r="API39" s="387"/>
      <c r="APJ39" s="387"/>
      <c r="APK39" s="387"/>
      <c r="APL39" s="387"/>
      <c r="APM39" s="387"/>
      <c r="APN39" s="387"/>
      <c r="APO39" s="387"/>
      <c r="APP39" s="387"/>
      <c r="APQ39" s="387"/>
      <c r="APR39" s="387"/>
      <c r="APS39" s="387"/>
      <c r="APT39" s="387"/>
      <c r="APU39" s="387"/>
      <c r="APV39" s="387"/>
      <c r="APW39" s="387"/>
      <c r="APX39" s="387"/>
      <c r="APY39" s="387"/>
      <c r="APZ39" s="387"/>
      <c r="AQA39" s="387"/>
      <c r="AQB39" s="387"/>
      <c r="AQC39" s="387"/>
      <c r="AQD39" s="387"/>
      <c r="AQE39" s="387"/>
      <c r="AQF39" s="387"/>
      <c r="AQG39" s="387"/>
      <c r="AQH39" s="387"/>
      <c r="AQI39" s="387"/>
      <c r="AQJ39" s="387"/>
      <c r="AQK39" s="387"/>
      <c r="AQL39" s="387"/>
      <c r="AQM39" s="387"/>
      <c r="AQN39" s="387"/>
      <c r="AQO39" s="387"/>
      <c r="AQP39" s="387"/>
      <c r="AQQ39" s="387"/>
      <c r="AQR39" s="387"/>
      <c r="AQS39" s="387"/>
      <c r="AQT39" s="387"/>
      <c r="AQU39" s="387"/>
      <c r="AQV39" s="387"/>
      <c r="AQW39" s="387"/>
      <c r="AQX39" s="387"/>
      <c r="AQY39" s="387"/>
      <c r="AQZ39" s="387"/>
      <c r="ARA39" s="387"/>
      <c r="ARB39" s="387"/>
      <c r="ARC39" s="387"/>
      <c r="ARD39" s="387"/>
      <c r="ARE39" s="387"/>
      <c r="ARF39" s="387"/>
      <c r="ARG39" s="387"/>
      <c r="ARH39" s="387"/>
      <c r="ARI39" s="387"/>
      <c r="ARJ39" s="387"/>
      <c r="ARK39" s="387"/>
      <c r="ARL39" s="387"/>
      <c r="ARM39" s="387"/>
      <c r="ARN39" s="387"/>
      <c r="ARO39" s="387"/>
      <c r="ARP39" s="387"/>
      <c r="ARQ39" s="387"/>
      <c r="ARR39" s="387"/>
      <c r="ARS39" s="387"/>
      <c r="ART39" s="387"/>
      <c r="ARU39" s="387"/>
      <c r="ARV39" s="387"/>
      <c r="ARW39" s="387"/>
      <c r="ARX39" s="387"/>
      <c r="ARY39" s="387"/>
      <c r="ARZ39" s="387"/>
      <c r="ASA39" s="387"/>
      <c r="ASB39" s="387"/>
      <c r="ASC39" s="387"/>
      <c r="ASD39" s="387"/>
      <c r="ASE39" s="387"/>
      <c r="ASF39" s="387"/>
      <c r="ASG39" s="387"/>
      <c r="ASH39" s="387"/>
      <c r="ASI39" s="387"/>
      <c r="ASJ39" s="387"/>
      <c r="ASK39" s="387"/>
      <c r="ASL39" s="387"/>
      <c r="ASM39" s="387"/>
      <c r="ASN39" s="387"/>
      <c r="ASO39" s="387"/>
      <c r="ASP39" s="387"/>
      <c r="ASQ39" s="387"/>
      <c r="ASR39" s="387"/>
      <c r="ASS39" s="387"/>
      <c r="AST39" s="387"/>
      <c r="ASU39" s="387"/>
      <c r="ASV39" s="387"/>
      <c r="ASW39" s="387"/>
      <c r="ASX39" s="387"/>
      <c r="ASY39" s="387"/>
      <c r="ASZ39" s="387"/>
      <c r="ATA39" s="387"/>
      <c r="ATB39" s="387"/>
      <c r="ATC39" s="387"/>
      <c r="ATD39" s="387"/>
      <c r="ATE39" s="387"/>
      <c r="ATF39" s="387"/>
      <c r="ATG39" s="387"/>
      <c r="ATH39" s="387"/>
      <c r="ATI39" s="387"/>
      <c r="ATJ39" s="387"/>
      <c r="ATK39" s="387"/>
      <c r="ATL39" s="387"/>
      <c r="ATM39" s="387"/>
      <c r="ATN39" s="387"/>
      <c r="ATO39" s="387"/>
      <c r="ATP39" s="387"/>
      <c r="ATQ39" s="387"/>
      <c r="ATR39" s="387"/>
      <c r="ATS39" s="387"/>
      <c r="ATT39" s="387"/>
      <c r="ATU39" s="387"/>
      <c r="ATV39" s="387"/>
      <c r="ATW39" s="387"/>
      <c r="ATX39" s="387"/>
      <c r="ATY39" s="387"/>
      <c r="ATZ39" s="387"/>
      <c r="AUA39" s="387"/>
      <c r="AUB39" s="387"/>
      <c r="AUC39" s="387"/>
      <c r="AUD39" s="387"/>
      <c r="AUE39" s="387"/>
      <c r="AUF39" s="387"/>
      <c r="AUG39" s="387"/>
      <c r="AUH39" s="387"/>
      <c r="AUI39" s="387"/>
      <c r="AUJ39" s="387"/>
      <c r="AUK39" s="387"/>
      <c r="AUL39" s="387"/>
      <c r="AUM39" s="387"/>
      <c r="AUN39" s="387"/>
      <c r="AUO39" s="387"/>
      <c r="AUP39" s="387"/>
      <c r="AUQ39" s="387"/>
      <c r="AUR39" s="387"/>
      <c r="AUS39" s="387"/>
      <c r="AUT39" s="387"/>
      <c r="AUU39" s="387"/>
      <c r="AUV39" s="387"/>
      <c r="AUW39" s="387"/>
      <c r="AUX39" s="387"/>
      <c r="AUY39" s="387"/>
      <c r="AUZ39" s="387"/>
      <c r="AVA39" s="387"/>
      <c r="AVB39" s="387"/>
      <c r="AVC39" s="387"/>
      <c r="AVD39" s="387"/>
      <c r="AVE39" s="387"/>
      <c r="AVF39" s="387"/>
      <c r="AVG39" s="387"/>
      <c r="AVH39" s="387"/>
      <c r="AVI39" s="387"/>
      <c r="AVJ39" s="387"/>
      <c r="AVK39" s="387"/>
      <c r="AVL39" s="387"/>
      <c r="AVM39" s="387"/>
      <c r="AVN39" s="387"/>
      <c r="AVO39" s="387"/>
      <c r="AVP39" s="387"/>
      <c r="AVQ39" s="387"/>
      <c r="AVR39" s="387"/>
      <c r="AVS39" s="387"/>
      <c r="AVT39" s="387"/>
      <c r="AVU39" s="387"/>
      <c r="AVV39" s="387"/>
      <c r="AVW39" s="387"/>
      <c r="AVX39" s="387"/>
      <c r="AVY39" s="387"/>
      <c r="AVZ39" s="387"/>
      <c r="AWA39" s="387"/>
      <c r="AWB39" s="387"/>
      <c r="AWC39" s="387"/>
      <c r="AWD39" s="387"/>
      <c r="AWE39" s="387"/>
      <c r="AWF39" s="387"/>
      <c r="AWG39" s="387"/>
      <c r="AWH39" s="387"/>
      <c r="AWI39" s="387"/>
      <c r="AWJ39" s="387"/>
      <c r="AWK39" s="387"/>
      <c r="AWL39" s="387"/>
      <c r="AWM39" s="387"/>
      <c r="AWN39" s="387"/>
      <c r="AWO39" s="387"/>
      <c r="AWP39" s="387"/>
      <c r="AWQ39" s="387"/>
      <c r="AWR39" s="387"/>
      <c r="AWS39" s="387"/>
      <c r="AWT39" s="387"/>
      <c r="AWU39" s="387"/>
      <c r="AWV39" s="387"/>
      <c r="AWW39" s="387"/>
      <c r="AWX39" s="387"/>
      <c r="AWY39" s="387"/>
      <c r="AWZ39" s="387"/>
      <c r="AXA39" s="387"/>
      <c r="AXB39" s="387"/>
      <c r="AXC39" s="387"/>
      <c r="AXD39" s="387"/>
      <c r="AXE39" s="387"/>
      <c r="AXF39" s="387"/>
      <c r="AXG39" s="387"/>
      <c r="AXH39" s="387"/>
      <c r="AXI39" s="387"/>
      <c r="AXJ39" s="387"/>
      <c r="AXK39" s="387"/>
      <c r="AXL39" s="387"/>
      <c r="AXM39" s="387"/>
      <c r="AXN39" s="387"/>
      <c r="AXO39" s="387"/>
      <c r="AXP39" s="387"/>
      <c r="AXQ39" s="387"/>
      <c r="AXR39" s="387"/>
      <c r="AXS39" s="387"/>
      <c r="AXT39" s="387"/>
      <c r="AXU39" s="387"/>
      <c r="AXV39" s="387"/>
      <c r="AXW39" s="387"/>
      <c r="AXX39" s="387"/>
      <c r="AXY39" s="387"/>
      <c r="AXZ39" s="387"/>
      <c r="AYA39" s="387"/>
      <c r="AYB39" s="387"/>
      <c r="AYC39" s="387"/>
      <c r="AYD39" s="387"/>
      <c r="AYE39" s="387"/>
      <c r="AYF39" s="387"/>
      <c r="AYG39" s="387"/>
      <c r="AYH39" s="387"/>
      <c r="AYI39" s="387"/>
      <c r="AYJ39" s="387"/>
      <c r="AYK39" s="387"/>
      <c r="AYL39" s="387"/>
      <c r="AYM39" s="387"/>
      <c r="AYN39" s="387"/>
      <c r="AYO39" s="387"/>
      <c r="AYP39" s="387"/>
      <c r="AYQ39" s="387"/>
      <c r="AYR39" s="387"/>
      <c r="AYS39" s="387"/>
      <c r="AYT39" s="387"/>
      <c r="AYU39" s="387"/>
      <c r="AYV39" s="387"/>
      <c r="AYW39" s="387"/>
      <c r="AYX39" s="387"/>
      <c r="AYY39" s="387"/>
      <c r="AYZ39" s="387"/>
      <c r="AZA39" s="387"/>
      <c r="AZB39" s="387"/>
      <c r="AZC39" s="387"/>
      <c r="AZD39" s="387"/>
      <c r="AZE39" s="387"/>
      <c r="AZF39" s="387"/>
      <c r="AZG39" s="387"/>
      <c r="AZH39" s="387"/>
      <c r="AZI39" s="387"/>
      <c r="AZJ39" s="387"/>
      <c r="AZK39" s="387"/>
      <c r="AZL39" s="387"/>
      <c r="AZM39" s="387"/>
      <c r="AZN39" s="387"/>
      <c r="AZO39" s="387"/>
      <c r="AZP39" s="387"/>
      <c r="AZQ39" s="387"/>
      <c r="AZR39" s="387"/>
      <c r="AZS39" s="387"/>
      <c r="AZT39" s="387"/>
      <c r="AZU39" s="387"/>
      <c r="AZV39" s="387"/>
      <c r="AZW39" s="387"/>
      <c r="AZX39" s="387"/>
      <c r="AZY39" s="387"/>
      <c r="AZZ39" s="387"/>
      <c r="BAA39" s="387"/>
      <c r="BAB39" s="387"/>
      <c r="BAC39" s="387"/>
      <c r="BAD39" s="387"/>
      <c r="BAE39" s="387"/>
      <c r="BAF39" s="387"/>
      <c r="BAG39" s="387"/>
      <c r="BAH39" s="387"/>
      <c r="BAI39" s="387"/>
      <c r="BAJ39" s="387"/>
      <c r="BAK39" s="387"/>
      <c r="BAL39" s="387"/>
      <c r="BAM39" s="387"/>
      <c r="BAN39" s="387"/>
      <c r="BAO39" s="387"/>
      <c r="BAP39" s="387"/>
      <c r="BAQ39" s="387"/>
      <c r="BAR39" s="387"/>
      <c r="BAS39" s="387"/>
      <c r="BAT39" s="387"/>
      <c r="BAU39" s="387"/>
      <c r="BAV39" s="387"/>
      <c r="BAW39" s="387"/>
      <c r="BAX39" s="387"/>
      <c r="BAY39" s="387"/>
      <c r="BAZ39" s="387"/>
      <c r="BBA39" s="387"/>
      <c r="BBB39" s="387"/>
      <c r="BBC39" s="387"/>
      <c r="BBD39" s="387"/>
      <c r="BBE39" s="387"/>
      <c r="BBF39" s="387"/>
      <c r="BBG39" s="387"/>
      <c r="BBH39" s="387"/>
      <c r="BBI39" s="387"/>
      <c r="BBJ39" s="387"/>
      <c r="BBK39" s="387"/>
      <c r="BBL39" s="387"/>
      <c r="BBM39" s="387"/>
      <c r="BBN39" s="387"/>
      <c r="BBO39" s="387"/>
      <c r="BBP39" s="387"/>
      <c r="BBQ39" s="387"/>
      <c r="BBR39" s="387"/>
      <c r="BBS39" s="387"/>
      <c r="BBT39" s="387"/>
      <c r="BBU39" s="387"/>
      <c r="BBV39" s="387"/>
      <c r="BBW39" s="387"/>
      <c r="BBX39" s="387"/>
      <c r="BBY39" s="387"/>
      <c r="BBZ39" s="387"/>
      <c r="BCA39" s="387"/>
      <c r="BCB39" s="387"/>
      <c r="BCC39" s="387"/>
      <c r="BCD39" s="387"/>
      <c r="BCE39" s="387"/>
      <c r="BCF39" s="387"/>
      <c r="BCG39" s="387"/>
      <c r="BCH39" s="387"/>
      <c r="BCI39" s="387"/>
      <c r="BCJ39" s="387"/>
      <c r="BCK39" s="387"/>
      <c r="BCL39" s="387"/>
      <c r="BCM39" s="387"/>
      <c r="BCN39" s="387"/>
      <c r="BCO39" s="387"/>
      <c r="BCP39" s="387"/>
      <c r="BCQ39" s="387"/>
      <c r="BCR39" s="387"/>
      <c r="BCS39" s="387"/>
      <c r="BCT39" s="387"/>
      <c r="BCU39" s="387"/>
      <c r="BCV39" s="387"/>
      <c r="BCW39" s="387"/>
      <c r="BCX39" s="387"/>
      <c r="BCY39" s="387"/>
      <c r="BCZ39" s="387"/>
      <c r="BDA39" s="387"/>
      <c r="BDB39" s="387"/>
      <c r="BDC39" s="387"/>
      <c r="BDD39" s="387"/>
      <c r="BDE39" s="387"/>
      <c r="BDF39" s="387"/>
      <c r="BDG39" s="387"/>
      <c r="BDH39" s="387"/>
      <c r="BDI39" s="387"/>
      <c r="BDJ39" s="387"/>
      <c r="BDK39" s="387"/>
      <c r="BDL39" s="387"/>
      <c r="BDM39" s="387"/>
      <c r="BDN39" s="387"/>
      <c r="BDO39" s="387"/>
      <c r="BDP39" s="387"/>
      <c r="BDQ39" s="387"/>
      <c r="BDR39" s="387"/>
      <c r="BDS39" s="387"/>
      <c r="BDT39" s="387"/>
      <c r="BDU39" s="387"/>
      <c r="BDV39" s="387"/>
      <c r="BDW39" s="387"/>
      <c r="BDX39" s="387"/>
      <c r="BDY39" s="387"/>
      <c r="BDZ39" s="387"/>
      <c r="BEA39" s="387"/>
      <c r="BEB39" s="387"/>
      <c r="BEC39" s="387"/>
      <c r="BED39" s="387"/>
      <c r="BEE39" s="387"/>
      <c r="BEF39" s="387"/>
      <c r="BEG39" s="387"/>
      <c r="BEH39" s="387"/>
      <c r="BEI39" s="387"/>
      <c r="BEJ39" s="387"/>
      <c r="BEK39" s="387"/>
      <c r="BEL39" s="387"/>
      <c r="BEM39" s="387"/>
      <c r="BEN39" s="387"/>
      <c r="BEO39" s="387"/>
      <c r="BEP39" s="387"/>
      <c r="BEQ39" s="387"/>
      <c r="BER39" s="387"/>
      <c r="BES39" s="387"/>
      <c r="BET39" s="387"/>
      <c r="BEU39" s="387"/>
      <c r="BEV39" s="387"/>
      <c r="BEW39" s="387"/>
      <c r="BEX39" s="387"/>
      <c r="BEY39" s="387"/>
      <c r="BEZ39" s="387"/>
      <c r="BFA39" s="387"/>
      <c r="BFB39" s="387"/>
      <c r="BFC39" s="387"/>
      <c r="BFD39" s="387"/>
      <c r="BFE39" s="387"/>
      <c r="BFF39" s="387"/>
      <c r="BFG39" s="387"/>
      <c r="BFH39" s="387"/>
      <c r="BFI39" s="387"/>
      <c r="BFJ39" s="387"/>
      <c r="BFK39" s="387"/>
      <c r="BFL39" s="387"/>
      <c r="BFM39" s="387"/>
      <c r="BFN39" s="387"/>
      <c r="BFO39" s="387"/>
      <c r="BFP39" s="387"/>
      <c r="BFQ39" s="387"/>
      <c r="BFR39" s="387"/>
      <c r="BFS39" s="387"/>
      <c r="BFT39" s="387"/>
      <c r="BFU39" s="387"/>
      <c r="BFV39" s="387"/>
      <c r="BFW39" s="387"/>
      <c r="BFX39" s="387"/>
      <c r="BFY39" s="387"/>
      <c r="BFZ39" s="387"/>
      <c r="BGA39" s="387"/>
      <c r="BGB39" s="387"/>
      <c r="BGC39" s="387"/>
      <c r="BGD39" s="387"/>
      <c r="BGE39" s="387"/>
      <c r="BGF39" s="387"/>
      <c r="BGG39" s="387"/>
      <c r="BGH39" s="387"/>
      <c r="BGI39" s="387"/>
      <c r="BGJ39" s="387"/>
      <c r="BGK39" s="387"/>
      <c r="BGL39" s="387"/>
      <c r="BGM39" s="387"/>
      <c r="BGN39" s="387"/>
      <c r="BGO39" s="387"/>
      <c r="BGP39" s="387"/>
      <c r="BGQ39" s="387"/>
      <c r="BGR39" s="387"/>
      <c r="BGS39" s="387"/>
      <c r="BGT39" s="387"/>
      <c r="BGU39" s="387"/>
      <c r="BGV39" s="387"/>
      <c r="BGW39" s="387"/>
      <c r="BGX39" s="387"/>
      <c r="BGY39" s="387"/>
      <c r="BGZ39" s="387"/>
      <c r="BHA39" s="387"/>
      <c r="BHB39" s="387"/>
      <c r="BHC39" s="387"/>
      <c r="BHD39" s="387"/>
      <c r="BHE39" s="387"/>
      <c r="BHF39" s="387"/>
      <c r="BHG39" s="387"/>
      <c r="BHH39" s="387"/>
      <c r="BHI39" s="387"/>
      <c r="BHJ39" s="387"/>
      <c r="BHK39" s="387"/>
      <c r="BHL39" s="387"/>
      <c r="BHM39" s="387"/>
      <c r="BHN39" s="387"/>
      <c r="BHO39" s="387"/>
      <c r="BHP39" s="387"/>
      <c r="BHQ39" s="387"/>
      <c r="BHR39" s="387"/>
      <c r="BHS39" s="387"/>
      <c r="BHT39" s="387"/>
      <c r="BHU39" s="387"/>
      <c r="BHV39" s="387"/>
      <c r="BHW39" s="387"/>
      <c r="BHX39" s="387"/>
      <c r="BHY39" s="387"/>
      <c r="BHZ39" s="387"/>
      <c r="BIA39" s="387"/>
      <c r="BIB39" s="387"/>
      <c r="BIC39" s="387"/>
      <c r="BID39" s="387"/>
      <c r="BIE39" s="387"/>
      <c r="BIF39" s="387"/>
      <c r="BIG39" s="387"/>
      <c r="BIH39" s="387"/>
      <c r="BII39" s="387"/>
      <c r="BIJ39" s="387"/>
      <c r="BIK39" s="387"/>
      <c r="BIL39" s="387"/>
      <c r="BIM39" s="387"/>
      <c r="BIN39" s="387"/>
      <c r="BIO39" s="387"/>
      <c r="BIP39" s="387"/>
      <c r="BIQ39" s="387"/>
      <c r="BIR39" s="387"/>
      <c r="BIS39" s="387"/>
      <c r="BIT39" s="387"/>
      <c r="BIU39" s="387"/>
      <c r="BIV39" s="387"/>
      <c r="BIW39" s="387"/>
      <c r="BIX39" s="387"/>
      <c r="BIY39" s="387"/>
      <c r="BIZ39" s="387"/>
      <c r="BJA39" s="387"/>
      <c r="BJB39" s="387"/>
      <c r="BJC39" s="387"/>
      <c r="BJD39" s="387"/>
      <c r="BJE39" s="387"/>
      <c r="BJF39" s="387"/>
      <c r="BJG39" s="387"/>
      <c r="BJH39" s="387"/>
      <c r="BJI39" s="387"/>
      <c r="BJJ39" s="387"/>
      <c r="BJK39" s="387"/>
      <c r="BJL39" s="387"/>
      <c r="BJM39" s="387"/>
      <c r="BJN39" s="387"/>
      <c r="BJO39" s="387"/>
      <c r="BJP39" s="387"/>
      <c r="BJQ39" s="387"/>
      <c r="BJR39" s="387"/>
      <c r="BJS39" s="387"/>
      <c r="BJT39" s="387"/>
      <c r="BJU39" s="387"/>
      <c r="BJV39" s="387"/>
      <c r="BJW39" s="387"/>
      <c r="BJX39" s="387"/>
      <c r="BJY39" s="387"/>
      <c r="BJZ39" s="387"/>
      <c r="BKA39" s="387"/>
      <c r="BKB39" s="387"/>
      <c r="BKC39" s="387"/>
      <c r="BKD39" s="387"/>
      <c r="BKE39" s="387"/>
      <c r="BKF39" s="387"/>
      <c r="BKG39" s="387"/>
      <c r="BKH39" s="387"/>
      <c r="BKI39" s="387"/>
      <c r="BKJ39" s="387"/>
      <c r="BKK39" s="387"/>
      <c r="BKL39" s="387"/>
      <c r="BKM39" s="387"/>
      <c r="BKN39" s="387"/>
      <c r="BKO39" s="387"/>
      <c r="BKP39" s="387"/>
      <c r="BKQ39" s="387"/>
      <c r="BKR39" s="387"/>
      <c r="BKS39" s="387"/>
      <c r="BKT39" s="387"/>
      <c r="BKU39" s="387"/>
      <c r="BKV39" s="387"/>
      <c r="BKW39" s="387"/>
      <c r="BKX39" s="387"/>
      <c r="BKY39" s="387"/>
      <c r="BKZ39" s="387"/>
      <c r="BLA39" s="387"/>
      <c r="BLB39" s="387"/>
      <c r="BLC39" s="387"/>
      <c r="BLD39" s="387"/>
      <c r="BLE39" s="387"/>
      <c r="BLF39" s="387"/>
      <c r="BLG39" s="387"/>
      <c r="BLH39" s="387"/>
      <c r="BLI39" s="387"/>
      <c r="BLJ39" s="387"/>
      <c r="BLK39" s="387"/>
      <c r="BLL39" s="387"/>
      <c r="BLM39" s="387"/>
      <c r="BLN39" s="387"/>
      <c r="BLO39" s="387"/>
      <c r="BLP39" s="387"/>
      <c r="BLQ39" s="387"/>
      <c r="BLR39" s="387"/>
      <c r="BLS39" s="387"/>
      <c r="BLT39" s="387"/>
      <c r="BLU39" s="387"/>
      <c r="BLV39" s="387"/>
      <c r="BLW39" s="387"/>
      <c r="BLX39" s="387"/>
      <c r="BLY39" s="387"/>
      <c r="BLZ39" s="387"/>
      <c r="BMA39" s="387"/>
      <c r="BMB39" s="387"/>
      <c r="BMC39" s="387"/>
      <c r="BMD39" s="387"/>
      <c r="BME39" s="387"/>
      <c r="BMF39" s="387"/>
      <c r="BMG39" s="387"/>
      <c r="BMH39" s="387"/>
      <c r="BMI39" s="387"/>
      <c r="BMJ39" s="387"/>
      <c r="BMK39" s="387"/>
      <c r="BML39" s="387"/>
      <c r="BMM39" s="387"/>
      <c r="BMN39" s="387"/>
      <c r="BMO39" s="387"/>
      <c r="BMP39" s="387"/>
      <c r="BMQ39" s="387"/>
      <c r="BMR39" s="387"/>
      <c r="BMS39" s="387"/>
      <c r="BMT39" s="387"/>
      <c r="BMU39" s="387"/>
      <c r="BMV39" s="387"/>
      <c r="BMW39" s="387"/>
      <c r="BMX39" s="387"/>
      <c r="BMY39" s="387"/>
      <c r="BMZ39" s="387"/>
      <c r="BNA39" s="387"/>
      <c r="BNB39" s="387"/>
      <c r="BNC39" s="387"/>
      <c r="BND39" s="387"/>
      <c r="BNE39" s="387"/>
      <c r="BNF39" s="387"/>
      <c r="BNG39" s="387"/>
      <c r="BNH39" s="387"/>
      <c r="BNI39" s="387"/>
      <c r="BNJ39" s="387"/>
      <c r="BNK39" s="387"/>
      <c r="BNL39" s="387"/>
      <c r="BNM39" s="387"/>
      <c r="BNN39" s="387"/>
      <c r="BNO39" s="387"/>
      <c r="BNP39" s="387"/>
      <c r="BNQ39" s="387"/>
      <c r="BNR39" s="387"/>
      <c r="BNS39" s="387"/>
      <c r="BNT39" s="387"/>
      <c r="BNU39" s="387"/>
      <c r="BNV39" s="387"/>
      <c r="BNW39" s="387"/>
      <c r="BNX39" s="387"/>
      <c r="BNY39" s="387"/>
      <c r="BNZ39" s="387"/>
      <c r="BOA39" s="387"/>
      <c r="BOB39" s="387"/>
      <c r="BOC39" s="387"/>
      <c r="BOD39" s="387"/>
      <c r="BOE39" s="387"/>
      <c r="BOF39" s="387"/>
      <c r="BOG39" s="387"/>
      <c r="BOH39" s="387"/>
      <c r="BOI39" s="387"/>
      <c r="BOJ39" s="387"/>
      <c r="BOK39" s="387"/>
      <c r="BOL39" s="387"/>
      <c r="BOM39" s="387"/>
      <c r="BON39" s="387"/>
      <c r="BOO39" s="387"/>
      <c r="BOP39" s="387"/>
      <c r="BOQ39" s="387"/>
      <c r="BOR39" s="387"/>
      <c r="BOS39" s="387"/>
      <c r="BOT39" s="387"/>
      <c r="BOU39" s="387"/>
      <c r="BOV39" s="387"/>
      <c r="BOW39" s="387"/>
      <c r="BOX39" s="387"/>
      <c r="BOY39" s="387"/>
      <c r="BOZ39" s="387"/>
      <c r="BPA39" s="387"/>
      <c r="BPB39" s="387"/>
      <c r="BPC39" s="387"/>
      <c r="BPD39" s="387"/>
      <c r="BPE39" s="387"/>
      <c r="BPF39" s="387"/>
      <c r="BPG39" s="387"/>
      <c r="BPH39" s="387"/>
      <c r="BPI39" s="387"/>
      <c r="BPJ39" s="387"/>
      <c r="BPK39" s="387"/>
      <c r="BPL39" s="387"/>
      <c r="BPM39" s="387"/>
      <c r="BPN39" s="387"/>
      <c r="BPO39" s="387"/>
      <c r="BPP39" s="387"/>
      <c r="BPQ39" s="387"/>
      <c r="BPR39" s="387"/>
      <c r="BPS39" s="387"/>
      <c r="BPT39" s="387"/>
      <c r="BPU39" s="387"/>
      <c r="BPV39" s="387"/>
      <c r="BPW39" s="387"/>
      <c r="BPX39" s="387"/>
      <c r="BPY39" s="387"/>
      <c r="BPZ39" s="387"/>
      <c r="BQA39" s="387"/>
      <c r="BQB39" s="387"/>
      <c r="BQC39" s="387"/>
      <c r="BQD39" s="387"/>
      <c r="BQE39" s="387"/>
      <c r="BQF39" s="387"/>
      <c r="BQG39" s="387"/>
      <c r="BQH39" s="387"/>
      <c r="BQI39" s="387"/>
      <c r="BQJ39" s="387"/>
      <c r="BQK39" s="387"/>
      <c r="BQL39" s="387"/>
      <c r="BQM39" s="387"/>
      <c r="BQN39" s="387"/>
      <c r="BQO39" s="387"/>
      <c r="BQP39" s="387"/>
      <c r="BQQ39" s="387"/>
      <c r="BQR39" s="387"/>
      <c r="BQS39" s="387"/>
      <c r="BQT39" s="387"/>
      <c r="BQU39" s="387"/>
      <c r="BQV39" s="387"/>
      <c r="BQW39" s="387"/>
      <c r="BQX39" s="387"/>
      <c r="BQY39" s="387"/>
      <c r="BQZ39" s="387"/>
      <c r="BRA39" s="387"/>
      <c r="BRB39" s="387"/>
      <c r="BRC39" s="387"/>
      <c r="BRD39" s="387"/>
      <c r="BRE39" s="387"/>
      <c r="BRF39" s="387"/>
      <c r="BRG39" s="387"/>
      <c r="BRH39" s="387"/>
      <c r="BRI39" s="387"/>
      <c r="BRJ39" s="387"/>
      <c r="BRK39" s="387"/>
      <c r="BRL39" s="387"/>
      <c r="BRM39" s="387"/>
      <c r="BRN39" s="387"/>
      <c r="BRO39" s="387"/>
      <c r="BRP39" s="387"/>
      <c r="BRQ39" s="387"/>
      <c r="BRR39" s="387"/>
      <c r="BRS39" s="387"/>
      <c r="BRT39" s="387"/>
      <c r="BRU39" s="387"/>
      <c r="BRV39" s="387"/>
      <c r="BRW39" s="387"/>
      <c r="BRX39" s="387"/>
      <c r="BRY39" s="387"/>
      <c r="BRZ39" s="387"/>
      <c r="BSA39" s="387"/>
      <c r="BSB39" s="387"/>
      <c r="BSC39" s="387"/>
      <c r="BSD39" s="387"/>
      <c r="BSE39" s="387"/>
      <c r="BSF39" s="387"/>
      <c r="BSG39" s="387"/>
      <c r="BSH39" s="387"/>
      <c r="BSI39" s="387"/>
      <c r="BSJ39" s="387"/>
      <c r="BSK39" s="387"/>
      <c r="BSL39" s="387"/>
      <c r="BSM39" s="387"/>
      <c r="BSN39" s="387"/>
      <c r="BSO39" s="387"/>
      <c r="BSP39" s="387"/>
      <c r="BSQ39" s="387"/>
      <c r="BSR39" s="387"/>
      <c r="BSS39" s="387"/>
      <c r="BST39" s="387"/>
      <c r="BSU39" s="387"/>
      <c r="BSV39" s="387"/>
      <c r="BSW39" s="387"/>
      <c r="BSX39" s="387"/>
      <c r="BSY39" s="387"/>
      <c r="BSZ39" s="387"/>
      <c r="BTA39" s="387"/>
      <c r="BTB39" s="387"/>
      <c r="BTC39" s="387"/>
      <c r="BTD39" s="387"/>
      <c r="BTE39" s="387"/>
      <c r="BTF39" s="387"/>
      <c r="BTG39" s="387"/>
      <c r="BTH39" s="387"/>
      <c r="BTI39" s="387"/>
    </row>
    <row r="40" spans="1:1881" s="219" customFormat="1" ht="25.5" customHeight="1" x14ac:dyDescent="0.25">
      <c r="A40" s="186"/>
      <c r="B40" s="159" t="s">
        <v>597</v>
      </c>
      <c r="C40" s="158"/>
      <c r="D40" s="127"/>
      <c r="E40" s="141"/>
      <c r="F40" s="746"/>
      <c r="G40" s="525"/>
      <c r="H40" s="65"/>
      <c r="I40" s="31"/>
      <c r="J40" s="387"/>
      <c r="K40" s="387"/>
      <c r="L40" s="674" t="s">
        <v>944</v>
      </c>
      <c r="M40" s="576"/>
      <c r="N40" s="594"/>
      <c r="O40" s="387"/>
      <c r="P40" s="387"/>
      <c r="Q40" s="387"/>
      <c r="R40"/>
      <c r="S40" s="682"/>
      <c r="T40" s="387"/>
      <c r="U40" s="387"/>
      <c r="V40" s="387"/>
      <c r="W40" s="387"/>
      <c r="X40" s="682"/>
      <c r="Y40" s="387"/>
      <c r="Z40" s="387"/>
      <c r="AA40" s="387"/>
      <c r="AB40" s="387"/>
      <c r="AC40" s="387"/>
      <c r="AD40" s="387"/>
      <c r="AE40" s="387"/>
      <c r="AF40" s="387"/>
      <c r="AG40" s="387"/>
      <c r="AH40" s="387"/>
      <c r="AI40" s="387"/>
      <c r="AJ40" s="387"/>
      <c r="AK40" s="387"/>
      <c r="AL40" s="387"/>
      <c r="AM40" s="387"/>
      <c r="AN40" s="387"/>
      <c r="AO40" s="387"/>
      <c r="AP40" s="387"/>
      <c r="AQ40" s="387"/>
      <c r="AR40" s="387"/>
      <c r="AS40" s="387"/>
      <c r="AT40" s="387"/>
      <c r="AU40" s="387"/>
      <c r="AV40" s="387"/>
      <c r="AW40" s="387"/>
      <c r="AX40" s="387"/>
      <c r="AY40" s="387"/>
      <c r="AZ40" s="387"/>
      <c r="BA40" s="387"/>
      <c r="BB40" s="387"/>
      <c r="BC40" s="387"/>
      <c r="BD40" s="387"/>
      <c r="BE40" s="387"/>
      <c r="BF40" s="387"/>
      <c r="BG40" s="387"/>
      <c r="BH40" s="387"/>
      <c r="BI40" s="387"/>
      <c r="BJ40" s="387"/>
      <c r="BK40" s="387"/>
      <c r="BL40" s="387"/>
      <c r="BM40" s="387"/>
      <c r="BN40" s="387"/>
      <c r="BO40" s="387"/>
      <c r="BP40" s="387"/>
      <c r="BQ40" s="387"/>
      <c r="BR40" s="387"/>
      <c r="BS40" s="387"/>
      <c r="BT40" s="387"/>
      <c r="BU40" s="387"/>
      <c r="BV40" s="387"/>
      <c r="BW40" s="387"/>
      <c r="BX40" s="387"/>
      <c r="BY40" s="387"/>
      <c r="BZ40" s="387"/>
      <c r="CA40" s="387"/>
      <c r="CB40" s="387"/>
      <c r="CC40" s="387"/>
      <c r="CD40" s="387"/>
      <c r="CE40" s="387"/>
      <c r="CF40" s="387"/>
      <c r="CG40" s="387"/>
      <c r="CH40" s="387"/>
      <c r="CI40" s="387"/>
      <c r="CJ40" s="387"/>
      <c r="CK40" s="387"/>
      <c r="CL40" s="387"/>
      <c r="CM40" s="387"/>
      <c r="CN40" s="387"/>
      <c r="CO40" s="387"/>
      <c r="CP40" s="387"/>
      <c r="CQ40" s="387"/>
      <c r="CR40" s="387"/>
      <c r="CS40" s="387"/>
      <c r="CT40" s="387"/>
      <c r="CU40" s="387"/>
      <c r="CV40" s="387"/>
      <c r="CW40" s="387"/>
      <c r="CX40" s="387"/>
      <c r="CY40" s="387"/>
      <c r="CZ40" s="387"/>
      <c r="DA40" s="387"/>
      <c r="DB40" s="387"/>
      <c r="DC40" s="387"/>
      <c r="DD40" s="387"/>
      <c r="DE40" s="387"/>
      <c r="DF40" s="387"/>
      <c r="DG40" s="387"/>
      <c r="DH40" s="387"/>
      <c r="DI40" s="387"/>
      <c r="DJ40" s="387"/>
      <c r="DK40" s="387"/>
      <c r="DL40" s="387"/>
      <c r="DM40" s="387"/>
      <c r="DN40" s="387"/>
      <c r="DO40" s="387"/>
      <c r="DP40" s="387"/>
      <c r="DQ40" s="387"/>
      <c r="DR40" s="387"/>
      <c r="DS40" s="387"/>
      <c r="DT40" s="387"/>
      <c r="DU40" s="387"/>
      <c r="DV40" s="387"/>
      <c r="DW40" s="387"/>
      <c r="DX40" s="387"/>
      <c r="DY40" s="387"/>
      <c r="DZ40" s="387"/>
      <c r="EA40" s="387"/>
      <c r="EB40" s="387"/>
      <c r="EC40" s="387"/>
      <c r="ED40" s="387"/>
      <c r="EE40" s="387"/>
      <c r="EF40" s="387"/>
      <c r="EG40" s="387"/>
      <c r="EH40" s="387"/>
      <c r="EI40" s="387"/>
      <c r="EJ40" s="387"/>
      <c r="EK40" s="387"/>
      <c r="EL40" s="387"/>
      <c r="EM40" s="387"/>
      <c r="EN40" s="387"/>
      <c r="EO40" s="387"/>
      <c r="EP40" s="387"/>
      <c r="EQ40" s="387"/>
      <c r="ER40" s="387"/>
      <c r="ES40" s="387"/>
      <c r="ET40" s="387"/>
      <c r="EU40" s="387"/>
      <c r="EV40" s="387"/>
      <c r="EW40" s="387"/>
      <c r="EX40" s="387"/>
      <c r="EY40" s="387"/>
      <c r="EZ40" s="387"/>
      <c r="FA40" s="387"/>
      <c r="FB40" s="387"/>
      <c r="FC40" s="387"/>
      <c r="FD40" s="387"/>
      <c r="FE40" s="387"/>
      <c r="FF40" s="387"/>
      <c r="FG40" s="387"/>
      <c r="FH40" s="387"/>
      <c r="FI40" s="387"/>
      <c r="FJ40" s="387"/>
      <c r="FK40" s="387"/>
      <c r="FL40" s="387"/>
      <c r="FM40" s="387"/>
      <c r="FN40" s="387"/>
      <c r="FO40" s="387"/>
      <c r="FP40" s="387"/>
      <c r="FQ40" s="387"/>
      <c r="FR40" s="387"/>
      <c r="FS40" s="387"/>
      <c r="FT40" s="387"/>
      <c r="FU40" s="387"/>
      <c r="FV40" s="387"/>
      <c r="FW40" s="387"/>
      <c r="FX40" s="387"/>
      <c r="FY40" s="387"/>
      <c r="FZ40" s="387"/>
      <c r="GA40" s="387"/>
      <c r="GB40" s="387"/>
      <c r="GC40" s="387"/>
      <c r="GD40" s="387"/>
      <c r="GE40" s="387"/>
      <c r="GF40" s="387"/>
      <c r="GG40" s="387"/>
      <c r="GH40" s="387"/>
      <c r="GI40" s="387"/>
      <c r="GJ40" s="387"/>
      <c r="GK40" s="387"/>
      <c r="GL40" s="387"/>
      <c r="GM40" s="387"/>
      <c r="GN40" s="387"/>
      <c r="GO40" s="387"/>
      <c r="GP40" s="387"/>
      <c r="GQ40" s="387"/>
      <c r="GR40" s="387"/>
      <c r="GS40" s="387"/>
      <c r="GT40" s="387"/>
      <c r="GU40" s="387"/>
      <c r="GV40" s="387"/>
      <c r="GW40" s="387"/>
      <c r="GX40" s="387"/>
      <c r="GY40" s="387"/>
      <c r="GZ40" s="387"/>
      <c r="HA40" s="387"/>
      <c r="HB40" s="387"/>
      <c r="HC40" s="387"/>
      <c r="HD40" s="387"/>
      <c r="HE40" s="387"/>
      <c r="HF40" s="387"/>
      <c r="HG40" s="387"/>
      <c r="HH40" s="387"/>
      <c r="HI40" s="387"/>
      <c r="HJ40" s="387"/>
      <c r="HK40" s="387"/>
      <c r="HL40" s="387"/>
      <c r="HM40" s="387"/>
      <c r="HN40" s="387"/>
      <c r="HO40" s="387"/>
      <c r="HP40" s="387"/>
      <c r="HQ40" s="387"/>
      <c r="HR40" s="387"/>
      <c r="HS40" s="387"/>
      <c r="HT40" s="387"/>
      <c r="HU40" s="387"/>
      <c r="HV40" s="387"/>
      <c r="HW40" s="387"/>
      <c r="HX40" s="387"/>
      <c r="HY40" s="387"/>
      <c r="HZ40" s="387"/>
      <c r="IA40" s="387"/>
      <c r="IB40" s="387"/>
      <c r="IC40" s="387"/>
      <c r="ID40" s="387"/>
      <c r="IE40" s="387"/>
      <c r="IF40" s="387"/>
      <c r="IG40" s="387"/>
      <c r="IH40" s="387"/>
      <c r="II40" s="387"/>
      <c r="IJ40" s="387"/>
      <c r="IK40" s="387"/>
      <c r="IL40" s="387"/>
      <c r="IM40" s="387"/>
      <c r="IN40" s="387"/>
      <c r="IO40" s="387"/>
      <c r="IP40" s="387"/>
      <c r="IQ40" s="387"/>
      <c r="IR40" s="387"/>
      <c r="IS40" s="387"/>
      <c r="IT40" s="387"/>
      <c r="IU40" s="387"/>
      <c r="IV40" s="387"/>
      <c r="IW40" s="387"/>
      <c r="IX40" s="387"/>
      <c r="IY40" s="387"/>
      <c r="IZ40" s="387"/>
      <c r="JA40" s="387"/>
      <c r="JB40" s="387"/>
      <c r="JC40" s="387"/>
      <c r="JD40" s="387"/>
      <c r="JE40" s="387"/>
      <c r="JF40" s="387"/>
      <c r="JG40" s="387"/>
      <c r="JH40" s="387"/>
      <c r="JI40" s="387"/>
      <c r="JJ40" s="387"/>
      <c r="JK40" s="387"/>
      <c r="JL40" s="387"/>
      <c r="JM40" s="387"/>
      <c r="JN40" s="387"/>
      <c r="JO40" s="387"/>
      <c r="JP40" s="387"/>
      <c r="JQ40" s="387"/>
      <c r="JR40" s="387"/>
      <c r="JS40" s="387"/>
      <c r="JT40" s="387"/>
      <c r="JU40" s="387"/>
      <c r="JV40" s="387"/>
      <c r="JW40" s="387"/>
      <c r="JX40" s="387"/>
      <c r="JY40" s="387"/>
      <c r="JZ40" s="387"/>
      <c r="KA40" s="387"/>
      <c r="KB40" s="387"/>
      <c r="KC40" s="387"/>
      <c r="KD40" s="387"/>
      <c r="KE40" s="387"/>
      <c r="KF40" s="387"/>
      <c r="KG40" s="387"/>
      <c r="KH40" s="387"/>
      <c r="KI40" s="387"/>
      <c r="KJ40" s="387"/>
      <c r="KK40" s="387"/>
      <c r="KL40" s="387"/>
      <c r="KM40" s="387"/>
      <c r="KN40" s="387"/>
      <c r="KO40" s="387"/>
      <c r="KP40" s="387"/>
      <c r="KQ40" s="387"/>
      <c r="KR40" s="387"/>
      <c r="KS40" s="387"/>
      <c r="KT40" s="387"/>
      <c r="KU40" s="387"/>
      <c r="KV40" s="387"/>
      <c r="KW40" s="387"/>
      <c r="KX40" s="387"/>
      <c r="KY40" s="387"/>
      <c r="KZ40" s="387"/>
      <c r="LA40" s="387"/>
      <c r="LB40" s="387"/>
      <c r="LC40" s="387"/>
      <c r="LD40" s="387"/>
      <c r="LE40" s="387"/>
      <c r="LF40" s="387"/>
      <c r="LG40" s="387"/>
      <c r="LH40" s="387"/>
      <c r="LI40" s="387"/>
      <c r="LJ40" s="387"/>
      <c r="LK40" s="387"/>
      <c r="LL40" s="387"/>
      <c r="LM40" s="387"/>
      <c r="LN40" s="387"/>
      <c r="LO40" s="387"/>
      <c r="LP40" s="387"/>
      <c r="LQ40" s="387"/>
      <c r="LR40" s="387"/>
      <c r="LS40" s="387"/>
      <c r="LT40" s="387"/>
      <c r="LU40" s="387"/>
      <c r="LV40" s="387"/>
      <c r="LW40" s="387"/>
      <c r="LX40" s="387"/>
      <c r="LY40" s="387"/>
      <c r="LZ40" s="387"/>
      <c r="MA40" s="387"/>
      <c r="MB40" s="387"/>
      <c r="MC40" s="387"/>
      <c r="MD40" s="387"/>
      <c r="ME40" s="387"/>
      <c r="MF40" s="387"/>
      <c r="MG40" s="387"/>
      <c r="MH40" s="387"/>
      <c r="MI40" s="387"/>
      <c r="MJ40" s="387"/>
      <c r="MK40" s="387"/>
      <c r="ML40" s="387"/>
      <c r="MM40" s="387"/>
      <c r="MN40" s="387"/>
      <c r="MO40" s="387"/>
      <c r="MP40" s="387"/>
      <c r="MQ40" s="387"/>
      <c r="MR40" s="387"/>
      <c r="MS40" s="387"/>
      <c r="MT40" s="387"/>
      <c r="MU40" s="387"/>
      <c r="MV40" s="387"/>
      <c r="MW40" s="387"/>
      <c r="MX40" s="387"/>
      <c r="MY40" s="387"/>
      <c r="MZ40" s="387"/>
      <c r="NA40" s="387"/>
      <c r="NB40" s="387"/>
      <c r="NC40" s="387"/>
      <c r="ND40" s="387"/>
      <c r="NE40" s="387"/>
      <c r="NF40" s="387"/>
      <c r="NG40" s="387"/>
      <c r="NH40" s="387"/>
      <c r="NI40" s="387"/>
      <c r="NJ40" s="387"/>
      <c r="NK40" s="387"/>
      <c r="NL40" s="387"/>
      <c r="NM40" s="387"/>
      <c r="NN40" s="387"/>
      <c r="NO40" s="387"/>
      <c r="NP40" s="387"/>
      <c r="NQ40" s="387"/>
      <c r="NR40" s="387"/>
      <c r="NS40" s="387"/>
      <c r="NT40" s="387"/>
      <c r="NU40" s="387"/>
      <c r="NV40" s="387"/>
      <c r="NW40" s="387"/>
      <c r="NX40" s="387"/>
      <c r="NY40" s="387"/>
      <c r="NZ40" s="387"/>
      <c r="OA40" s="387"/>
      <c r="OB40" s="387"/>
      <c r="OC40" s="387"/>
      <c r="OD40" s="387"/>
      <c r="OE40" s="387"/>
      <c r="OF40" s="387"/>
      <c r="OG40" s="387"/>
      <c r="OH40" s="387"/>
      <c r="OI40" s="387"/>
      <c r="OJ40" s="387"/>
      <c r="OK40" s="387"/>
      <c r="OL40" s="387"/>
      <c r="OM40" s="387"/>
      <c r="ON40" s="387"/>
      <c r="OO40" s="387"/>
      <c r="OP40" s="387"/>
      <c r="OQ40" s="387"/>
      <c r="OR40" s="387"/>
      <c r="OS40" s="387"/>
      <c r="OT40" s="387"/>
      <c r="OU40" s="387"/>
      <c r="OV40" s="387"/>
      <c r="OW40" s="387"/>
      <c r="OX40" s="387"/>
      <c r="OY40" s="387"/>
      <c r="OZ40" s="387"/>
      <c r="PA40" s="387"/>
      <c r="PB40" s="387"/>
      <c r="PC40" s="387"/>
      <c r="PD40" s="387"/>
      <c r="PE40" s="387"/>
      <c r="PF40" s="387"/>
      <c r="PG40" s="387"/>
      <c r="PH40" s="387"/>
      <c r="PI40" s="387"/>
      <c r="PJ40" s="387"/>
      <c r="PK40" s="387"/>
      <c r="PL40" s="387"/>
      <c r="PM40" s="387"/>
      <c r="PN40" s="387"/>
      <c r="PO40" s="387"/>
      <c r="PP40" s="387"/>
      <c r="PQ40" s="387"/>
      <c r="PR40" s="387"/>
      <c r="PS40" s="387"/>
      <c r="PT40" s="387"/>
      <c r="PU40" s="387"/>
      <c r="PV40" s="387"/>
      <c r="PW40" s="387"/>
      <c r="PX40" s="387"/>
      <c r="PY40" s="387"/>
      <c r="PZ40" s="387"/>
      <c r="QA40" s="387"/>
      <c r="QB40" s="387"/>
      <c r="QC40" s="387"/>
      <c r="QD40" s="387"/>
      <c r="QE40" s="387"/>
      <c r="QF40" s="387"/>
      <c r="QG40" s="387"/>
      <c r="QH40" s="387"/>
      <c r="QI40" s="387"/>
      <c r="QJ40" s="387"/>
      <c r="QK40" s="387"/>
      <c r="QL40" s="387"/>
      <c r="QM40" s="387"/>
      <c r="QN40" s="387"/>
      <c r="QO40" s="387"/>
      <c r="QP40" s="387"/>
      <c r="QQ40" s="387"/>
      <c r="QR40" s="387"/>
      <c r="QS40" s="387"/>
      <c r="QT40" s="387"/>
      <c r="QU40" s="387"/>
      <c r="QV40" s="387"/>
      <c r="QW40" s="387"/>
      <c r="QX40" s="387"/>
      <c r="QY40" s="387"/>
      <c r="QZ40" s="387"/>
      <c r="RA40" s="387"/>
      <c r="RB40" s="387"/>
      <c r="RC40" s="387"/>
      <c r="RD40" s="387"/>
      <c r="RE40" s="387"/>
      <c r="RF40" s="387"/>
      <c r="RG40" s="387"/>
      <c r="RH40" s="387"/>
      <c r="RI40" s="387"/>
      <c r="RJ40" s="387"/>
      <c r="RK40" s="387"/>
      <c r="RL40" s="387"/>
      <c r="RM40" s="387"/>
      <c r="RN40" s="387"/>
      <c r="RO40" s="387"/>
      <c r="RP40" s="387"/>
      <c r="RQ40" s="387"/>
      <c r="RR40" s="387"/>
      <c r="RS40" s="387"/>
      <c r="RT40" s="387"/>
      <c r="RU40" s="387"/>
      <c r="RV40" s="387"/>
      <c r="RW40" s="387"/>
      <c r="RX40" s="387"/>
      <c r="RY40" s="387"/>
      <c r="RZ40" s="387"/>
      <c r="SA40" s="387"/>
      <c r="SB40" s="387"/>
      <c r="SC40" s="387"/>
      <c r="SD40" s="387"/>
      <c r="SE40" s="387"/>
      <c r="SF40" s="387"/>
      <c r="SG40" s="387"/>
      <c r="SH40" s="387"/>
      <c r="SI40" s="387"/>
      <c r="SJ40" s="387"/>
      <c r="SK40" s="387"/>
      <c r="SL40" s="387"/>
      <c r="SM40" s="387"/>
      <c r="SN40" s="387"/>
      <c r="SO40" s="387"/>
      <c r="SP40" s="387"/>
      <c r="SQ40" s="387"/>
      <c r="SR40" s="387"/>
      <c r="SS40" s="387"/>
      <c r="ST40" s="387"/>
      <c r="SU40" s="387"/>
      <c r="SV40" s="387"/>
      <c r="SW40" s="387"/>
      <c r="SX40" s="387"/>
      <c r="SY40" s="387"/>
      <c r="SZ40" s="387"/>
      <c r="TA40" s="387"/>
      <c r="TB40" s="387"/>
      <c r="TC40" s="387"/>
      <c r="TD40" s="387"/>
      <c r="TE40" s="387"/>
      <c r="TF40" s="387"/>
      <c r="TG40" s="387"/>
      <c r="TH40" s="387"/>
      <c r="TI40" s="387"/>
      <c r="TJ40" s="387"/>
      <c r="TK40" s="387"/>
      <c r="TL40" s="387"/>
      <c r="TM40" s="387"/>
      <c r="TN40" s="387"/>
      <c r="TO40" s="387"/>
      <c r="TP40" s="387"/>
      <c r="TQ40" s="387"/>
      <c r="TR40" s="387"/>
      <c r="TS40" s="387"/>
      <c r="TT40" s="387"/>
      <c r="TU40" s="387"/>
      <c r="TV40" s="387"/>
      <c r="TW40" s="387"/>
      <c r="TX40" s="387"/>
      <c r="TY40" s="387"/>
      <c r="TZ40" s="387"/>
      <c r="UA40" s="387"/>
      <c r="UB40" s="387"/>
      <c r="UC40" s="387"/>
      <c r="UD40" s="387"/>
      <c r="UE40" s="387"/>
      <c r="UF40" s="387"/>
      <c r="UG40" s="387"/>
      <c r="UH40" s="387"/>
      <c r="UI40" s="387"/>
      <c r="UJ40" s="387"/>
      <c r="UK40" s="387"/>
      <c r="UL40" s="387"/>
      <c r="UM40" s="387"/>
      <c r="UN40" s="387"/>
      <c r="UO40" s="387"/>
      <c r="UP40" s="387"/>
      <c r="UQ40" s="387"/>
      <c r="UR40" s="387"/>
      <c r="US40" s="387"/>
      <c r="UT40" s="387"/>
      <c r="UU40" s="387"/>
      <c r="UV40" s="387"/>
      <c r="UW40" s="387"/>
      <c r="UX40" s="387"/>
      <c r="UY40" s="387"/>
      <c r="UZ40" s="387"/>
      <c r="VA40" s="387"/>
      <c r="VB40" s="387"/>
      <c r="VC40" s="387"/>
      <c r="VD40" s="387"/>
      <c r="VE40" s="387"/>
      <c r="VF40" s="387"/>
      <c r="VG40" s="387"/>
      <c r="VH40" s="387"/>
      <c r="VI40" s="387"/>
      <c r="VJ40" s="387"/>
      <c r="VK40" s="387"/>
      <c r="VL40" s="387"/>
      <c r="VM40" s="387"/>
      <c r="VN40" s="387"/>
      <c r="VO40" s="387"/>
      <c r="VP40" s="387"/>
      <c r="VQ40" s="387"/>
      <c r="VR40" s="387"/>
      <c r="VS40" s="387"/>
      <c r="VT40" s="387"/>
      <c r="VU40" s="387"/>
      <c r="VV40" s="387"/>
      <c r="VW40" s="387"/>
      <c r="VX40" s="387"/>
      <c r="VY40" s="387"/>
      <c r="VZ40" s="387"/>
      <c r="WA40" s="387"/>
      <c r="WB40" s="387"/>
      <c r="WC40" s="387"/>
      <c r="WD40" s="387"/>
      <c r="WE40" s="387"/>
      <c r="WF40" s="387"/>
      <c r="WG40" s="387"/>
      <c r="WH40" s="387"/>
      <c r="WI40" s="387"/>
      <c r="WJ40" s="387"/>
      <c r="WK40" s="387"/>
      <c r="WL40" s="387"/>
      <c r="WM40" s="387"/>
      <c r="WN40" s="387"/>
      <c r="WO40" s="387"/>
      <c r="WP40" s="387"/>
      <c r="WQ40" s="387"/>
      <c r="WR40" s="387"/>
      <c r="WS40" s="387"/>
      <c r="WT40" s="387"/>
      <c r="WU40" s="387"/>
      <c r="WV40" s="387"/>
      <c r="WW40" s="387"/>
      <c r="WX40" s="387"/>
      <c r="WY40" s="387"/>
      <c r="WZ40" s="387"/>
      <c r="XA40" s="387"/>
      <c r="XB40" s="387"/>
      <c r="XC40" s="387"/>
      <c r="XD40" s="387"/>
      <c r="XE40" s="387"/>
      <c r="XF40" s="387"/>
      <c r="XG40" s="387"/>
      <c r="XH40" s="387"/>
      <c r="XI40" s="387"/>
      <c r="XJ40" s="387"/>
      <c r="XK40" s="387"/>
      <c r="XL40" s="387"/>
      <c r="XM40" s="387"/>
      <c r="XN40" s="387"/>
      <c r="XO40" s="387"/>
      <c r="XP40" s="387"/>
      <c r="XQ40" s="387"/>
      <c r="XR40" s="387"/>
      <c r="XS40" s="387"/>
      <c r="XT40" s="387"/>
      <c r="XU40" s="387"/>
      <c r="XV40" s="387"/>
      <c r="XW40" s="387"/>
      <c r="XX40" s="387"/>
      <c r="XY40" s="387"/>
      <c r="XZ40" s="387"/>
      <c r="YA40" s="387"/>
      <c r="YB40" s="387"/>
      <c r="YC40" s="387"/>
      <c r="YD40" s="387"/>
      <c r="YE40" s="387"/>
      <c r="YF40" s="387"/>
      <c r="YG40" s="387"/>
      <c r="YH40" s="387"/>
      <c r="YI40" s="387"/>
      <c r="YJ40" s="387"/>
      <c r="YK40" s="387"/>
      <c r="YL40" s="387"/>
      <c r="YM40" s="387"/>
      <c r="YN40" s="387"/>
      <c r="YO40" s="387"/>
      <c r="YP40" s="387"/>
      <c r="YQ40" s="387"/>
      <c r="YR40" s="387"/>
      <c r="YS40" s="387"/>
      <c r="YT40" s="387"/>
      <c r="YU40" s="387"/>
      <c r="YV40" s="387"/>
      <c r="YW40" s="387"/>
      <c r="YX40" s="387"/>
      <c r="YY40" s="387"/>
      <c r="YZ40" s="387"/>
      <c r="ZA40" s="387"/>
      <c r="ZB40" s="387"/>
      <c r="ZC40" s="387"/>
      <c r="ZD40" s="387"/>
      <c r="ZE40" s="387"/>
      <c r="ZF40" s="387"/>
      <c r="ZG40" s="387"/>
      <c r="ZH40" s="387"/>
      <c r="ZI40" s="387"/>
      <c r="ZJ40" s="387"/>
      <c r="ZK40" s="387"/>
      <c r="ZL40" s="387"/>
      <c r="ZM40" s="387"/>
      <c r="ZN40" s="387"/>
      <c r="ZO40" s="387"/>
      <c r="ZP40" s="387"/>
      <c r="ZQ40" s="387"/>
      <c r="ZR40" s="387"/>
      <c r="ZS40" s="387"/>
      <c r="ZT40" s="387"/>
      <c r="ZU40" s="387"/>
      <c r="ZV40" s="387"/>
      <c r="ZW40" s="387"/>
      <c r="ZX40" s="387"/>
      <c r="ZY40" s="387"/>
      <c r="ZZ40" s="387"/>
      <c r="AAA40" s="387"/>
      <c r="AAB40" s="387"/>
      <c r="AAC40" s="387"/>
      <c r="AAD40" s="387"/>
      <c r="AAE40" s="387"/>
      <c r="AAF40" s="387"/>
      <c r="AAG40" s="387"/>
      <c r="AAH40" s="387"/>
      <c r="AAI40" s="387"/>
      <c r="AAJ40" s="387"/>
      <c r="AAK40" s="387"/>
      <c r="AAL40" s="387"/>
      <c r="AAM40" s="387"/>
      <c r="AAN40" s="387"/>
      <c r="AAO40" s="387"/>
      <c r="AAP40" s="387"/>
      <c r="AAQ40" s="387"/>
      <c r="AAR40" s="387"/>
      <c r="AAS40" s="387"/>
      <c r="AAT40" s="387"/>
      <c r="AAU40" s="387"/>
      <c r="AAV40" s="387"/>
      <c r="AAW40" s="387"/>
      <c r="AAX40" s="387"/>
      <c r="AAY40" s="387"/>
      <c r="AAZ40" s="387"/>
      <c r="ABA40" s="387"/>
      <c r="ABB40" s="387"/>
      <c r="ABC40" s="387"/>
      <c r="ABD40" s="387"/>
      <c r="ABE40" s="387"/>
      <c r="ABF40" s="387"/>
      <c r="ABG40" s="387"/>
      <c r="ABH40" s="387"/>
      <c r="ABI40" s="387"/>
      <c r="ABJ40" s="387"/>
      <c r="ABK40" s="387"/>
      <c r="ABL40" s="387"/>
      <c r="ABM40" s="387"/>
      <c r="ABN40" s="387"/>
      <c r="ABO40" s="387"/>
      <c r="ABP40" s="387"/>
      <c r="ABQ40" s="387"/>
      <c r="ABR40" s="387"/>
      <c r="ABS40" s="387"/>
      <c r="ABT40" s="387"/>
      <c r="ABU40" s="387"/>
      <c r="ABV40" s="387"/>
      <c r="ABW40" s="387"/>
      <c r="ABX40" s="387"/>
      <c r="ABY40" s="387"/>
      <c r="ABZ40" s="387"/>
      <c r="ACA40" s="387"/>
      <c r="ACB40" s="387"/>
      <c r="ACC40" s="387"/>
      <c r="ACD40" s="387"/>
      <c r="ACE40" s="387"/>
      <c r="ACF40" s="387"/>
      <c r="ACG40" s="387"/>
      <c r="ACH40" s="387"/>
      <c r="ACI40" s="387"/>
      <c r="ACJ40" s="387"/>
      <c r="ACK40" s="387"/>
      <c r="ACL40" s="387"/>
      <c r="ACM40" s="387"/>
      <c r="ACN40" s="387"/>
      <c r="ACO40" s="387"/>
      <c r="ACP40" s="387"/>
      <c r="ACQ40" s="387"/>
      <c r="ACR40" s="387"/>
      <c r="ACS40" s="387"/>
      <c r="ACT40" s="387"/>
      <c r="ACU40" s="387"/>
      <c r="ACV40" s="387"/>
      <c r="ACW40" s="387"/>
      <c r="ACX40" s="387"/>
      <c r="ACY40" s="387"/>
      <c r="ACZ40" s="387"/>
      <c r="ADA40" s="387"/>
      <c r="ADB40" s="387"/>
      <c r="ADC40" s="387"/>
      <c r="ADD40" s="387"/>
      <c r="ADE40" s="387"/>
      <c r="ADF40" s="387"/>
      <c r="ADG40" s="387"/>
      <c r="ADH40" s="387"/>
      <c r="ADI40" s="387"/>
      <c r="ADJ40" s="387"/>
      <c r="ADK40" s="387"/>
      <c r="ADL40" s="387"/>
      <c r="ADM40" s="387"/>
      <c r="ADN40" s="387"/>
      <c r="ADO40" s="387"/>
      <c r="ADP40" s="387"/>
      <c r="ADQ40" s="387"/>
      <c r="ADR40" s="387"/>
      <c r="ADS40" s="387"/>
      <c r="ADT40" s="387"/>
      <c r="ADU40" s="387"/>
      <c r="ADV40" s="387"/>
      <c r="ADW40" s="387"/>
      <c r="ADX40" s="387"/>
      <c r="ADY40" s="387"/>
      <c r="ADZ40" s="387"/>
      <c r="AEA40" s="387"/>
      <c r="AEB40" s="387"/>
      <c r="AEC40" s="387"/>
      <c r="AED40" s="387"/>
      <c r="AEE40" s="387"/>
      <c r="AEF40" s="387"/>
      <c r="AEG40" s="387"/>
      <c r="AEH40" s="387"/>
      <c r="AEI40" s="387"/>
      <c r="AEJ40" s="387"/>
      <c r="AEK40" s="387"/>
      <c r="AEL40" s="387"/>
      <c r="AEM40" s="387"/>
      <c r="AEN40" s="387"/>
      <c r="AEO40" s="387"/>
      <c r="AEP40" s="387"/>
      <c r="AEQ40" s="387"/>
      <c r="AER40" s="387"/>
      <c r="AES40" s="387"/>
      <c r="AET40" s="387"/>
      <c r="AEU40" s="387"/>
      <c r="AEV40" s="387"/>
      <c r="AEW40" s="387"/>
      <c r="AEX40" s="387"/>
      <c r="AEY40" s="387"/>
      <c r="AEZ40" s="387"/>
      <c r="AFA40" s="387"/>
      <c r="AFB40" s="387"/>
      <c r="AFC40" s="387"/>
      <c r="AFD40" s="387"/>
      <c r="AFE40" s="387"/>
      <c r="AFF40" s="387"/>
      <c r="AFG40" s="387"/>
      <c r="AFH40" s="387"/>
      <c r="AFI40" s="387"/>
      <c r="AFJ40" s="387"/>
      <c r="AFK40" s="387"/>
      <c r="AFL40" s="387"/>
      <c r="AFM40" s="387"/>
      <c r="AFN40" s="387"/>
      <c r="AFO40" s="387"/>
      <c r="AFP40" s="387"/>
      <c r="AFQ40" s="387"/>
      <c r="AFR40" s="387"/>
      <c r="AFS40" s="387"/>
      <c r="AFT40" s="387"/>
      <c r="AFU40" s="387"/>
      <c r="AFV40" s="387"/>
      <c r="AFW40" s="387"/>
      <c r="AFX40" s="387"/>
      <c r="AFY40" s="387"/>
      <c r="AFZ40" s="387"/>
      <c r="AGA40" s="387"/>
      <c r="AGB40" s="387"/>
      <c r="AGC40" s="387"/>
      <c r="AGD40" s="387"/>
      <c r="AGE40" s="387"/>
      <c r="AGF40" s="387"/>
      <c r="AGG40" s="387"/>
      <c r="AGH40" s="387"/>
      <c r="AGI40" s="387"/>
      <c r="AGJ40" s="387"/>
      <c r="AGK40" s="387"/>
      <c r="AGL40" s="387"/>
      <c r="AGM40" s="387"/>
      <c r="AGN40" s="387"/>
      <c r="AGO40" s="387"/>
      <c r="AGP40" s="387"/>
      <c r="AGQ40" s="387"/>
      <c r="AGR40" s="387"/>
      <c r="AGS40" s="387"/>
      <c r="AGT40" s="387"/>
      <c r="AGU40" s="387"/>
      <c r="AGV40" s="387"/>
      <c r="AGW40" s="387"/>
      <c r="AGX40" s="387"/>
      <c r="AGY40" s="387"/>
      <c r="AGZ40" s="387"/>
      <c r="AHA40" s="387"/>
      <c r="AHB40" s="387"/>
      <c r="AHC40" s="387"/>
      <c r="AHD40" s="387"/>
      <c r="AHE40" s="387"/>
      <c r="AHF40" s="387"/>
      <c r="AHG40" s="387"/>
      <c r="AHH40" s="387"/>
      <c r="AHI40" s="387"/>
      <c r="AHJ40" s="387"/>
      <c r="AHK40" s="387"/>
      <c r="AHL40" s="387"/>
      <c r="AHM40" s="387"/>
      <c r="AHN40" s="387"/>
      <c r="AHO40" s="387"/>
      <c r="AHP40" s="387"/>
      <c r="AHQ40" s="387"/>
      <c r="AHR40" s="387"/>
      <c r="AHS40" s="387"/>
      <c r="AHT40" s="387"/>
      <c r="AHU40" s="387"/>
      <c r="AHV40" s="387"/>
      <c r="AHW40" s="387"/>
      <c r="AHX40" s="387"/>
      <c r="AHY40" s="387"/>
      <c r="AHZ40" s="387"/>
      <c r="AIA40" s="387"/>
      <c r="AIB40" s="387"/>
      <c r="AIC40" s="387"/>
      <c r="AID40" s="387"/>
      <c r="AIE40" s="387"/>
      <c r="AIF40" s="387"/>
      <c r="AIG40" s="387"/>
      <c r="AIH40" s="387"/>
      <c r="AII40" s="387"/>
      <c r="AIJ40" s="387"/>
      <c r="AIK40" s="387"/>
      <c r="AIL40" s="387"/>
      <c r="AIM40" s="387"/>
      <c r="AIN40" s="387"/>
      <c r="AIO40" s="387"/>
      <c r="AIP40" s="387"/>
      <c r="AIQ40" s="387"/>
      <c r="AIR40" s="387"/>
      <c r="AIS40" s="387"/>
      <c r="AIT40" s="387"/>
      <c r="AIU40" s="387"/>
      <c r="AIV40" s="387"/>
      <c r="AIW40" s="387"/>
      <c r="AIX40" s="387"/>
      <c r="AIY40" s="387"/>
      <c r="AIZ40" s="387"/>
      <c r="AJA40" s="387"/>
      <c r="AJB40" s="387"/>
      <c r="AJC40" s="387"/>
      <c r="AJD40" s="387"/>
      <c r="AJE40" s="387"/>
      <c r="AJF40" s="387"/>
      <c r="AJG40" s="387"/>
      <c r="AJH40" s="387"/>
      <c r="AJI40" s="387"/>
      <c r="AJJ40" s="387"/>
      <c r="AJK40" s="387"/>
      <c r="AJL40" s="387"/>
      <c r="AJM40" s="387"/>
      <c r="AJN40" s="387"/>
      <c r="AJO40" s="387"/>
      <c r="AJP40" s="387"/>
      <c r="AJQ40" s="387"/>
      <c r="AJR40" s="387"/>
      <c r="AJS40" s="387"/>
      <c r="AJT40" s="387"/>
      <c r="AJU40" s="387"/>
      <c r="AJV40" s="387"/>
      <c r="AJW40" s="387"/>
      <c r="AJX40" s="387"/>
      <c r="AJY40" s="387"/>
      <c r="AJZ40" s="387"/>
      <c r="AKA40" s="387"/>
      <c r="AKB40" s="387"/>
      <c r="AKC40" s="387"/>
      <c r="AKD40" s="387"/>
      <c r="AKE40" s="387"/>
      <c r="AKF40" s="387"/>
      <c r="AKG40" s="387"/>
      <c r="AKH40" s="387"/>
      <c r="AKI40" s="387"/>
      <c r="AKJ40" s="387"/>
      <c r="AKK40" s="387"/>
      <c r="AKL40" s="387"/>
      <c r="AKM40" s="387"/>
      <c r="AKN40" s="387"/>
      <c r="AKO40" s="387"/>
      <c r="AKP40" s="387"/>
      <c r="AKQ40" s="387"/>
      <c r="AKR40" s="387"/>
      <c r="AKS40" s="387"/>
      <c r="AKT40" s="387"/>
      <c r="AKU40" s="387"/>
      <c r="AKV40" s="387"/>
      <c r="AKW40" s="387"/>
      <c r="AKX40" s="387"/>
      <c r="AKY40" s="387"/>
      <c r="AKZ40" s="387"/>
      <c r="ALA40" s="387"/>
      <c r="ALB40" s="387"/>
      <c r="ALC40" s="387"/>
      <c r="ALD40" s="387"/>
      <c r="ALE40" s="387"/>
      <c r="ALF40" s="387"/>
      <c r="ALG40" s="387"/>
      <c r="ALH40" s="387"/>
      <c r="ALI40" s="387"/>
      <c r="ALJ40" s="387"/>
      <c r="ALK40" s="387"/>
      <c r="ALL40" s="387"/>
      <c r="ALM40" s="387"/>
      <c r="ALN40" s="387"/>
      <c r="ALO40" s="387"/>
      <c r="ALP40" s="387"/>
      <c r="ALQ40" s="387"/>
      <c r="ALR40" s="387"/>
      <c r="ALS40" s="387"/>
      <c r="ALT40" s="387"/>
      <c r="ALU40" s="387"/>
      <c r="ALV40" s="387"/>
      <c r="ALW40" s="387"/>
      <c r="ALX40" s="387"/>
      <c r="ALY40" s="387"/>
      <c r="ALZ40" s="387"/>
      <c r="AMA40" s="387"/>
      <c r="AMB40" s="387"/>
      <c r="AMC40" s="387"/>
      <c r="AMD40" s="387"/>
      <c r="AME40" s="387"/>
      <c r="AMF40" s="387"/>
      <c r="AMG40" s="387"/>
      <c r="AMH40" s="387"/>
      <c r="AMI40" s="387"/>
      <c r="AMJ40" s="387"/>
      <c r="AMK40" s="387"/>
      <c r="AML40" s="387"/>
      <c r="AMM40" s="387"/>
      <c r="AMN40" s="387"/>
      <c r="AMO40" s="387"/>
      <c r="AMP40" s="387"/>
      <c r="AMQ40" s="387"/>
      <c r="AMR40" s="387"/>
      <c r="AMS40" s="387"/>
      <c r="AMT40" s="387"/>
      <c r="AMU40" s="387"/>
      <c r="AMV40" s="387"/>
      <c r="AMW40" s="387"/>
      <c r="AMX40" s="387"/>
      <c r="AMY40" s="387"/>
      <c r="AMZ40" s="387"/>
      <c r="ANA40" s="387"/>
      <c r="ANB40" s="387"/>
      <c r="ANC40" s="387"/>
      <c r="AND40" s="387"/>
      <c r="ANE40" s="387"/>
      <c r="ANF40" s="387"/>
      <c r="ANG40" s="387"/>
      <c r="ANH40" s="387"/>
      <c r="ANI40" s="387"/>
      <c r="ANJ40" s="387"/>
      <c r="ANK40" s="387"/>
      <c r="ANL40" s="387"/>
      <c r="ANM40" s="387"/>
      <c r="ANN40" s="387"/>
      <c r="ANO40" s="387"/>
      <c r="ANP40" s="387"/>
      <c r="ANQ40" s="387"/>
      <c r="ANR40" s="387"/>
      <c r="ANS40" s="387"/>
      <c r="ANT40" s="387"/>
      <c r="ANU40" s="387"/>
      <c r="ANV40" s="387"/>
      <c r="ANW40" s="387"/>
      <c r="ANX40" s="387"/>
      <c r="ANY40" s="387"/>
      <c r="ANZ40" s="387"/>
      <c r="AOA40" s="387"/>
      <c r="AOB40" s="387"/>
      <c r="AOC40" s="387"/>
      <c r="AOD40" s="387"/>
      <c r="AOE40" s="387"/>
      <c r="AOF40" s="387"/>
      <c r="AOG40" s="387"/>
      <c r="AOH40" s="387"/>
      <c r="AOI40" s="387"/>
      <c r="AOJ40" s="387"/>
      <c r="AOK40" s="387"/>
      <c r="AOL40" s="387"/>
      <c r="AOM40" s="387"/>
      <c r="AON40" s="387"/>
      <c r="AOO40" s="387"/>
      <c r="AOP40" s="387"/>
      <c r="AOQ40" s="387"/>
      <c r="AOR40" s="387"/>
      <c r="AOS40" s="387"/>
      <c r="AOT40" s="387"/>
      <c r="AOU40" s="387"/>
      <c r="AOV40" s="387"/>
      <c r="AOW40" s="387"/>
      <c r="AOX40" s="387"/>
      <c r="AOY40" s="387"/>
      <c r="AOZ40" s="387"/>
      <c r="APA40" s="387"/>
      <c r="APB40" s="387"/>
      <c r="APC40" s="387"/>
      <c r="APD40" s="387"/>
      <c r="APE40" s="387"/>
      <c r="APF40" s="387"/>
      <c r="APG40" s="387"/>
      <c r="APH40" s="387"/>
      <c r="API40" s="387"/>
      <c r="APJ40" s="387"/>
      <c r="APK40" s="387"/>
      <c r="APL40" s="387"/>
      <c r="APM40" s="387"/>
      <c r="APN40" s="387"/>
      <c r="APO40" s="387"/>
      <c r="APP40" s="387"/>
      <c r="APQ40" s="387"/>
      <c r="APR40" s="387"/>
      <c r="APS40" s="387"/>
      <c r="APT40" s="387"/>
      <c r="APU40" s="387"/>
      <c r="APV40" s="387"/>
      <c r="APW40" s="387"/>
      <c r="APX40" s="387"/>
      <c r="APY40" s="387"/>
      <c r="APZ40" s="387"/>
      <c r="AQA40" s="387"/>
      <c r="AQB40" s="387"/>
      <c r="AQC40" s="387"/>
      <c r="AQD40" s="387"/>
      <c r="AQE40" s="387"/>
      <c r="AQF40" s="387"/>
      <c r="AQG40" s="387"/>
      <c r="AQH40" s="387"/>
      <c r="AQI40" s="387"/>
      <c r="AQJ40" s="387"/>
      <c r="AQK40" s="387"/>
      <c r="AQL40" s="387"/>
      <c r="AQM40" s="387"/>
      <c r="AQN40" s="387"/>
      <c r="AQO40" s="387"/>
      <c r="AQP40" s="387"/>
      <c r="AQQ40" s="387"/>
      <c r="AQR40" s="387"/>
      <c r="AQS40" s="387"/>
      <c r="AQT40" s="387"/>
      <c r="AQU40" s="387"/>
      <c r="AQV40" s="387"/>
      <c r="AQW40" s="387"/>
      <c r="AQX40" s="387"/>
      <c r="AQY40" s="387"/>
      <c r="AQZ40" s="387"/>
      <c r="ARA40" s="387"/>
      <c r="ARB40" s="387"/>
      <c r="ARC40" s="387"/>
      <c r="ARD40" s="387"/>
      <c r="ARE40" s="387"/>
      <c r="ARF40" s="387"/>
      <c r="ARG40" s="387"/>
      <c r="ARH40" s="387"/>
      <c r="ARI40" s="387"/>
      <c r="ARJ40" s="387"/>
      <c r="ARK40" s="387"/>
      <c r="ARL40" s="387"/>
      <c r="ARM40" s="387"/>
      <c r="ARN40" s="387"/>
      <c r="ARO40" s="387"/>
      <c r="ARP40" s="387"/>
      <c r="ARQ40" s="387"/>
      <c r="ARR40" s="387"/>
      <c r="ARS40" s="387"/>
      <c r="ART40" s="387"/>
      <c r="ARU40" s="387"/>
      <c r="ARV40" s="387"/>
      <c r="ARW40" s="387"/>
      <c r="ARX40" s="387"/>
      <c r="ARY40" s="387"/>
      <c r="ARZ40" s="387"/>
      <c r="ASA40" s="387"/>
      <c r="ASB40" s="387"/>
      <c r="ASC40" s="387"/>
      <c r="ASD40" s="387"/>
      <c r="ASE40" s="387"/>
      <c r="ASF40" s="387"/>
      <c r="ASG40" s="387"/>
      <c r="ASH40" s="387"/>
      <c r="ASI40" s="387"/>
      <c r="ASJ40" s="387"/>
      <c r="ASK40" s="387"/>
      <c r="ASL40" s="387"/>
      <c r="ASM40" s="387"/>
      <c r="ASN40" s="387"/>
      <c r="ASO40" s="387"/>
      <c r="ASP40" s="387"/>
      <c r="ASQ40" s="387"/>
      <c r="ASR40" s="387"/>
      <c r="ASS40" s="387"/>
      <c r="AST40" s="387"/>
      <c r="ASU40" s="387"/>
      <c r="ASV40" s="387"/>
      <c r="ASW40" s="387"/>
      <c r="ASX40" s="387"/>
      <c r="ASY40" s="387"/>
      <c r="ASZ40" s="387"/>
      <c r="ATA40" s="387"/>
      <c r="ATB40" s="387"/>
      <c r="ATC40" s="387"/>
      <c r="ATD40" s="387"/>
      <c r="ATE40" s="387"/>
      <c r="ATF40" s="387"/>
      <c r="ATG40" s="387"/>
      <c r="ATH40" s="387"/>
      <c r="ATI40" s="387"/>
      <c r="ATJ40" s="387"/>
      <c r="ATK40" s="387"/>
      <c r="ATL40" s="387"/>
      <c r="ATM40" s="387"/>
      <c r="ATN40" s="387"/>
      <c r="ATO40" s="387"/>
      <c r="ATP40" s="387"/>
      <c r="ATQ40" s="387"/>
      <c r="ATR40" s="387"/>
      <c r="ATS40" s="387"/>
      <c r="ATT40" s="387"/>
      <c r="ATU40" s="387"/>
      <c r="ATV40" s="387"/>
      <c r="ATW40" s="387"/>
      <c r="ATX40" s="387"/>
      <c r="ATY40" s="387"/>
      <c r="ATZ40" s="387"/>
      <c r="AUA40" s="387"/>
      <c r="AUB40" s="387"/>
      <c r="AUC40" s="387"/>
      <c r="AUD40" s="387"/>
      <c r="AUE40" s="387"/>
      <c r="AUF40" s="387"/>
      <c r="AUG40" s="387"/>
      <c r="AUH40" s="387"/>
      <c r="AUI40" s="387"/>
      <c r="AUJ40" s="387"/>
      <c r="AUK40" s="387"/>
      <c r="AUL40" s="387"/>
      <c r="AUM40" s="387"/>
      <c r="AUN40" s="387"/>
      <c r="AUO40" s="387"/>
      <c r="AUP40" s="387"/>
      <c r="AUQ40" s="387"/>
      <c r="AUR40" s="387"/>
      <c r="AUS40" s="387"/>
      <c r="AUT40" s="387"/>
      <c r="AUU40" s="387"/>
      <c r="AUV40" s="387"/>
      <c r="AUW40" s="387"/>
      <c r="AUX40" s="387"/>
      <c r="AUY40" s="387"/>
      <c r="AUZ40" s="387"/>
      <c r="AVA40" s="387"/>
      <c r="AVB40" s="387"/>
      <c r="AVC40" s="387"/>
      <c r="AVD40" s="387"/>
      <c r="AVE40" s="387"/>
      <c r="AVF40" s="387"/>
      <c r="AVG40" s="387"/>
      <c r="AVH40" s="387"/>
      <c r="AVI40" s="387"/>
      <c r="AVJ40" s="387"/>
      <c r="AVK40" s="387"/>
      <c r="AVL40" s="387"/>
      <c r="AVM40" s="387"/>
      <c r="AVN40" s="387"/>
      <c r="AVO40" s="387"/>
      <c r="AVP40" s="387"/>
      <c r="AVQ40" s="387"/>
      <c r="AVR40" s="387"/>
      <c r="AVS40" s="387"/>
      <c r="AVT40" s="387"/>
      <c r="AVU40" s="387"/>
      <c r="AVV40" s="387"/>
      <c r="AVW40" s="387"/>
      <c r="AVX40" s="387"/>
      <c r="AVY40" s="387"/>
      <c r="AVZ40" s="387"/>
      <c r="AWA40" s="387"/>
      <c r="AWB40" s="387"/>
      <c r="AWC40" s="387"/>
      <c r="AWD40" s="387"/>
      <c r="AWE40" s="387"/>
      <c r="AWF40" s="387"/>
      <c r="AWG40" s="387"/>
      <c r="AWH40" s="387"/>
      <c r="AWI40" s="387"/>
      <c r="AWJ40" s="387"/>
      <c r="AWK40" s="387"/>
      <c r="AWL40" s="387"/>
      <c r="AWM40" s="387"/>
      <c r="AWN40" s="387"/>
      <c r="AWO40" s="387"/>
      <c r="AWP40" s="387"/>
      <c r="AWQ40" s="387"/>
      <c r="AWR40" s="387"/>
      <c r="AWS40" s="387"/>
      <c r="AWT40" s="387"/>
      <c r="AWU40" s="387"/>
      <c r="AWV40" s="387"/>
      <c r="AWW40" s="387"/>
      <c r="AWX40" s="387"/>
      <c r="AWY40" s="387"/>
      <c r="AWZ40" s="387"/>
      <c r="AXA40" s="387"/>
      <c r="AXB40" s="387"/>
      <c r="AXC40" s="387"/>
      <c r="AXD40" s="387"/>
      <c r="AXE40" s="387"/>
      <c r="AXF40" s="387"/>
      <c r="AXG40" s="387"/>
      <c r="AXH40" s="387"/>
      <c r="AXI40" s="387"/>
      <c r="AXJ40" s="387"/>
      <c r="AXK40" s="387"/>
      <c r="AXL40" s="387"/>
      <c r="AXM40" s="387"/>
      <c r="AXN40" s="387"/>
      <c r="AXO40" s="387"/>
      <c r="AXP40" s="387"/>
      <c r="AXQ40" s="387"/>
      <c r="AXR40" s="387"/>
      <c r="AXS40" s="387"/>
      <c r="AXT40" s="387"/>
      <c r="AXU40" s="387"/>
      <c r="AXV40" s="387"/>
      <c r="AXW40" s="387"/>
      <c r="AXX40" s="387"/>
      <c r="AXY40" s="387"/>
      <c r="AXZ40" s="387"/>
      <c r="AYA40" s="387"/>
      <c r="AYB40" s="387"/>
      <c r="AYC40" s="387"/>
      <c r="AYD40" s="387"/>
      <c r="AYE40" s="387"/>
      <c r="AYF40" s="387"/>
      <c r="AYG40" s="387"/>
      <c r="AYH40" s="387"/>
      <c r="AYI40" s="387"/>
      <c r="AYJ40" s="387"/>
      <c r="AYK40" s="387"/>
      <c r="AYL40" s="387"/>
      <c r="AYM40" s="387"/>
      <c r="AYN40" s="387"/>
      <c r="AYO40" s="387"/>
      <c r="AYP40" s="387"/>
      <c r="AYQ40" s="387"/>
      <c r="AYR40" s="387"/>
      <c r="AYS40" s="387"/>
      <c r="AYT40" s="387"/>
      <c r="AYU40" s="387"/>
      <c r="AYV40" s="387"/>
      <c r="AYW40" s="387"/>
      <c r="AYX40" s="387"/>
      <c r="AYY40" s="387"/>
      <c r="AYZ40" s="387"/>
      <c r="AZA40" s="387"/>
      <c r="AZB40" s="387"/>
      <c r="AZC40" s="387"/>
      <c r="AZD40" s="387"/>
      <c r="AZE40" s="387"/>
      <c r="AZF40" s="387"/>
      <c r="AZG40" s="387"/>
      <c r="AZH40" s="387"/>
      <c r="AZI40" s="387"/>
      <c r="AZJ40" s="387"/>
      <c r="AZK40" s="387"/>
      <c r="AZL40" s="387"/>
      <c r="AZM40" s="387"/>
      <c r="AZN40" s="387"/>
      <c r="AZO40" s="387"/>
      <c r="AZP40" s="387"/>
      <c r="AZQ40" s="387"/>
      <c r="AZR40" s="387"/>
      <c r="AZS40" s="387"/>
      <c r="AZT40" s="387"/>
      <c r="AZU40" s="387"/>
      <c r="AZV40" s="387"/>
      <c r="AZW40" s="387"/>
      <c r="AZX40" s="387"/>
      <c r="AZY40" s="387"/>
      <c r="AZZ40" s="387"/>
      <c r="BAA40" s="387"/>
      <c r="BAB40" s="387"/>
      <c r="BAC40" s="387"/>
      <c r="BAD40" s="387"/>
      <c r="BAE40" s="387"/>
      <c r="BAF40" s="387"/>
      <c r="BAG40" s="387"/>
      <c r="BAH40" s="387"/>
      <c r="BAI40" s="387"/>
      <c r="BAJ40" s="387"/>
      <c r="BAK40" s="387"/>
      <c r="BAL40" s="387"/>
      <c r="BAM40" s="387"/>
      <c r="BAN40" s="387"/>
      <c r="BAO40" s="387"/>
      <c r="BAP40" s="387"/>
      <c r="BAQ40" s="387"/>
      <c r="BAR40" s="387"/>
      <c r="BAS40" s="387"/>
      <c r="BAT40" s="387"/>
      <c r="BAU40" s="387"/>
      <c r="BAV40" s="387"/>
      <c r="BAW40" s="387"/>
      <c r="BAX40" s="387"/>
      <c r="BAY40" s="387"/>
      <c r="BAZ40" s="387"/>
      <c r="BBA40" s="387"/>
      <c r="BBB40" s="387"/>
      <c r="BBC40" s="387"/>
      <c r="BBD40" s="387"/>
      <c r="BBE40" s="387"/>
      <c r="BBF40" s="387"/>
      <c r="BBG40" s="387"/>
      <c r="BBH40" s="387"/>
      <c r="BBI40" s="387"/>
      <c r="BBJ40" s="387"/>
      <c r="BBK40" s="387"/>
      <c r="BBL40" s="387"/>
      <c r="BBM40" s="387"/>
      <c r="BBN40" s="387"/>
      <c r="BBO40" s="387"/>
      <c r="BBP40" s="387"/>
      <c r="BBQ40" s="387"/>
      <c r="BBR40" s="387"/>
      <c r="BBS40" s="387"/>
      <c r="BBT40" s="387"/>
      <c r="BBU40" s="387"/>
      <c r="BBV40" s="387"/>
      <c r="BBW40" s="387"/>
      <c r="BBX40" s="387"/>
      <c r="BBY40" s="387"/>
      <c r="BBZ40" s="387"/>
      <c r="BCA40" s="387"/>
      <c r="BCB40" s="387"/>
      <c r="BCC40" s="387"/>
      <c r="BCD40" s="387"/>
      <c r="BCE40" s="387"/>
      <c r="BCF40" s="387"/>
      <c r="BCG40" s="387"/>
      <c r="BCH40" s="387"/>
      <c r="BCI40" s="387"/>
      <c r="BCJ40" s="387"/>
      <c r="BCK40" s="387"/>
      <c r="BCL40" s="387"/>
      <c r="BCM40" s="387"/>
      <c r="BCN40" s="387"/>
      <c r="BCO40" s="387"/>
      <c r="BCP40" s="387"/>
      <c r="BCQ40" s="387"/>
      <c r="BCR40" s="387"/>
      <c r="BCS40" s="387"/>
      <c r="BCT40" s="387"/>
      <c r="BCU40" s="387"/>
      <c r="BCV40" s="387"/>
      <c r="BCW40" s="387"/>
      <c r="BCX40" s="387"/>
      <c r="BCY40" s="387"/>
      <c r="BCZ40" s="387"/>
      <c r="BDA40" s="387"/>
      <c r="BDB40" s="387"/>
      <c r="BDC40" s="387"/>
      <c r="BDD40" s="387"/>
      <c r="BDE40" s="387"/>
      <c r="BDF40" s="387"/>
      <c r="BDG40" s="387"/>
      <c r="BDH40" s="387"/>
      <c r="BDI40" s="387"/>
      <c r="BDJ40" s="387"/>
      <c r="BDK40" s="387"/>
      <c r="BDL40" s="387"/>
      <c r="BDM40" s="387"/>
      <c r="BDN40" s="387"/>
      <c r="BDO40" s="387"/>
      <c r="BDP40" s="387"/>
      <c r="BDQ40" s="387"/>
      <c r="BDR40" s="387"/>
      <c r="BDS40" s="387"/>
      <c r="BDT40" s="387"/>
      <c r="BDU40" s="387"/>
      <c r="BDV40" s="387"/>
      <c r="BDW40" s="387"/>
      <c r="BDX40" s="387"/>
      <c r="BDY40" s="387"/>
      <c r="BDZ40" s="387"/>
      <c r="BEA40" s="387"/>
      <c r="BEB40" s="387"/>
      <c r="BEC40" s="387"/>
      <c r="BED40" s="387"/>
      <c r="BEE40" s="387"/>
      <c r="BEF40" s="387"/>
      <c r="BEG40" s="387"/>
      <c r="BEH40" s="387"/>
      <c r="BEI40" s="387"/>
      <c r="BEJ40" s="387"/>
      <c r="BEK40" s="387"/>
      <c r="BEL40" s="387"/>
      <c r="BEM40" s="387"/>
      <c r="BEN40" s="387"/>
      <c r="BEO40" s="387"/>
      <c r="BEP40" s="387"/>
      <c r="BEQ40" s="387"/>
      <c r="BER40" s="387"/>
      <c r="BES40" s="387"/>
      <c r="BET40" s="387"/>
      <c r="BEU40" s="387"/>
      <c r="BEV40" s="387"/>
      <c r="BEW40" s="387"/>
      <c r="BEX40" s="387"/>
      <c r="BEY40" s="387"/>
      <c r="BEZ40" s="387"/>
      <c r="BFA40" s="387"/>
      <c r="BFB40" s="387"/>
      <c r="BFC40" s="387"/>
      <c r="BFD40" s="387"/>
      <c r="BFE40" s="387"/>
      <c r="BFF40" s="387"/>
      <c r="BFG40" s="387"/>
      <c r="BFH40" s="387"/>
      <c r="BFI40" s="387"/>
      <c r="BFJ40" s="387"/>
      <c r="BFK40" s="387"/>
      <c r="BFL40" s="387"/>
      <c r="BFM40" s="387"/>
      <c r="BFN40" s="387"/>
      <c r="BFO40" s="387"/>
      <c r="BFP40" s="387"/>
      <c r="BFQ40" s="387"/>
      <c r="BFR40" s="387"/>
      <c r="BFS40" s="387"/>
      <c r="BFT40" s="387"/>
      <c r="BFU40" s="387"/>
      <c r="BFV40" s="387"/>
      <c r="BFW40" s="387"/>
      <c r="BFX40" s="387"/>
      <c r="BFY40" s="387"/>
      <c r="BFZ40" s="387"/>
      <c r="BGA40" s="387"/>
      <c r="BGB40" s="387"/>
      <c r="BGC40" s="387"/>
      <c r="BGD40" s="387"/>
      <c r="BGE40" s="387"/>
      <c r="BGF40" s="387"/>
      <c r="BGG40" s="387"/>
      <c r="BGH40" s="387"/>
      <c r="BGI40" s="387"/>
      <c r="BGJ40" s="387"/>
      <c r="BGK40" s="387"/>
      <c r="BGL40" s="387"/>
      <c r="BGM40" s="387"/>
      <c r="BGN40" s="387"/>
      <c r="BGO40" s="387"/>
      <c r="BGP40" s="387"/>
      <c r="BGQ40" s="387"/>
      <c r="BGR40" s="387"/>
      <c r="BGS40" s="387"/>
      <c r="BGT40" s="387"/>
      <c r="BGU40" s="387"/>
      <c r="BGV40" s="387"/>
      <c r="BGW40" s="387"/>
      <c r="BGX40" s="387"/>
      <c r="BGY40" s="387"/>
      <c r="BGZ40" s="387"/>
      <c r="BHA40" s="387"/>
      <c r="BHB40" s="387"/>
      <c r="BHC40" s="387"/>
      <c r="BHD40" s="387"/>
      <c r="BHE40" s="387"/>
      <c r="BHF40" s="387"/>
      <c r="BHG40" s="387"/>
      <c r="BHH40" s="387"/>
      <c r="BHI40" s="387"/>
      <c r="BHJ40" s="387"/>
      <c r="BHK40" s="387"/>
      <c r="BHL40" s="387"/>
      <c r="BHM40" s="387"/>
      <c r="BHN40" s="387"/>
      <c r="BHO40" s="387"/>
      <c r="BHP40" s="387"/>
      <c r="BHQ40" s="387"/>
      <c r="BHR40" s="387"/>
      <c r="BHS40" s="387"/>
      <c r="BHT40" s="387"/>
      <c r="BHU40" s="387"/>
      <c r="BHV40" s="387"/>
      <c r="BHW40" s="387"/>
      <c r="BHX40" s="387"/>
      <c r="BHY40" s="387"/>
      <c r="BHZ40" s="387"/>
      <c r="BIA40" s="387"/>
      <c r="BIB40" s="387"/>
      <c r="BIC40" s="387"/>
      <c r="BID40" s="387"/>
      <c r="BIE40" s="387"/>
      <c r="BIF40" s="387"/>
      <c r="BIG40" s="387"/>
      <c r="BIH40" s="387"/>
      <c r="BII40" s="387"/>
      <c r="BIJ40" s="387"/>
      <c r="BIK40" s="387"/>
      <c r="BIL40" s="387"/>
      <c r="BIM40" s="387"/>
      <c r="BIN40" s="387"/>
      <c r="BIO40" s="387"/>
      <c r="BIP40" s="387"/>
      <c r="BIQ40" s="387"/>
      <c r="BIR40" s="387"/>
      <c r="BIS40" s="387"/>
      <c r="BIT40" s="387"/>
      <c r="BIU40" s="387"/>
      <c r="BIV40" s="387"/>
      <c r="BIW40" s="387"/>
      <c r="BIX40" s="387"/>
      <c r="BIY40" s="387"/>
      <c r="BIZ40" s="387"/>
      <c r="BJA40" s="387"/>
      <c r="BJB40" s="387"/>
      <c r="BJC40" s="387"/>
      <c r="BJD40" s="387"/>
      <c r="BJE40" s="387"/>
      <c r="BJF40" s="387"/>
      <c r="BJG40" s="387"/>
      <c r="BJH40" s="387"/>
      <c r="BJI40" s="387"/>
      <c r="BJJ40" s="387"/>
      <c r="BJK40" s="387"/>
      <c r="BJL40" s="387"/>
      <c r="BJM40" s="387"/>
      <c r="BJN40" s="387"/>
      <c r="BJO40" s="387"/>
      <c r="BJP40" s="387"/>
      <c r="BJQ40" s="387"/>
      <c r="BJR40" s="387"/>
      <c r="BJS40" s="387"/>
      <c r="BJT40" s="387"/>
      <c r="BJU40" s="387"/>
      <c r="BJV40" s="387"/>
      <c r="BJW40" s="387"/>
      <c r="BJX40" s="387"/>
      <c r="BJY40" s="387"/>
      <c r="BJZ40" s="387"/>
      <c r="BKA40" s="387"/>
      <c r="BKB40" s="387"/>
      <c r="BKC40" s="387"/>
      <c r="BKD40" s="387"/>
      <c r="BKE40" s="387"/>
      <c r="BKF40" s="387"/>
      <c r="BKG40" s="387"/>
      <c r="BKH40" s="387"/>
      <c r="BKI40" s="387"/>
      <c r="BKJ40" s="387"/>
      <c r="BKK40" s="387"/>
      <c r="BKL40" s="387"/>
      <c r="BKM40" s="387"/>
      <c r="BKN40" s="387"/>
      <c r="BKO40" s="387"/>
      <c r="BKP40" s="387"/>
      <c r="BKQ40" s="387"/>
      <c r="BKR40" s="387"/>
      <c r="BKS40" s="387"/>
      <c r="BKT40" s="387"/>
      <c r="BKU40" s="387"/>
      <c r="BKV40" s="387"/>
      <c r="BKW40" s="387"/>
      <c r="BKX40" s="387"/>
      <c r="BKY40" s="387"/>
      <c r="BKZ40" s="387"/>
      <c r="BLA40" s="387"/>
      <c r="BLB40" s="387"/>
      <c r="BLC40" s="387"/>
      <c r="BLD40" s="387"/>
      <c r="BLE40" s="387"/>
      <c r="BLF40" s="387"/>
      <c r="BLG40" s="387"/>
      <c r="BLH40" s="387"/>
      <c r="BLI40" s="387"/>
      <c r="BLJ40" s="387"/>
      <c r="BLK40" s="387"/>
      <c r="BLL40" s="387"/>
      <c r="BLM40" s="387"/>
      <c r="BLN40" s="387"/>
      <c r="BLO40" s="387"/>
      <c r="BLP40" s="387"/>
      <c r="BLQ40" s="387"/>
      <c r="BLR40" s="387"/>
      <c r="BLS40" s="387"/>
      <c r="BLT40" s="387"/>
      <c r="BLU40" s="387"/>
      <c r="BLV40" s="387"/>
      <c r="BLW40" s="387"/>
      <c r="BLX40" s="387"/>
      <c r="BLY40" s="387"/>
      <c r="BLZ40" s="387"/>
      <c r="BMA40" s="387"/>
      <c r="BMB40" s="387"/>
      <c r="BMC40" s="387"/>
      <c r="BMD40" s="387"/>
      <c r="BME40" s="387"/>
      <c r="BMF40" s="387"/>
      <c r="BMG40" s="387"/>
      <c r="BMH40" s="387"/>
      <c r="BMI40" s="387"/>
      <c r="BMJ40" s="387"/>
      <c r="BMK40" s="387"/>
      <c r="BML40" s="387"/>
      <c r="BMM40" s="387"/>
      <c r="BMN40" s="387"/>
      <c r="BMO40" s="387"/>
      <c r="BMP40" s="387"/>
      <c r="BMQ40" s="387"/>
      <c r="BMR40" s="387"/>
      <c r="BMS40" s="387"/>
      <c r="BMT40" s="387"/>
      <c r="BMU40" s="387"/>
      <c r="BMV40" s="387"/>
      <c r="BMW40" s="387"/>
      <c r="BMX40" s="387"/>
      <c r="BMY40" s="387"/>
      <c r="BMZ40" s="387"/>
      <c r="BNA40" s="387"/>
      <c r="BNB40" s="387"/>
      <c r="BNC40" s="387"/>
      <c r="BND40" s="387"/>
      <c r="BNE40" s="387"/>
      <c r="BNF40" s="387"/>
      <c r="BNG40" s="387"/>
      <c r="BNH40" s="387"/>
      <c r="BNI40" s="387"/>
      <c r="BNJ40" s="387"/>
      <c r="BNK40" s="387"/>
      <c r="BNL40" s="387"/>
      <c r="BNM40" s="387"/>
      <c r="BNN40" s="387"/>
      <c r="BNO40" s="387"/>
      <c r="BNP40" s="387"/>
      <c r="BNQ40" s="387"/>
      <c r="BNR40" s="387"/>
      <c r="BNS40" s="387"/>
      <c r="BNT40" s="387"/>
      <c r="BNU40" s="387"/>
      <c r="BNV40" s="387"/>
      <c r="BNW40" s="387"/>
      <c r="BNX40" s="387"/>
      <c r="BNY40" s="387"/>
      <c r="BNZ40" s="387"/>
      <c r="BOA40" s="387"/>
      <c r="BOB40" s="387"/>
      <c r="BOC40" s="387"/>
      <c r="BOD40" s="387"/>
      <c r="BOE40" s="387"/>
      <c r="BOF40" s="387"/>
      <c r="BOG40" s="387"/>
      <c r="BOH40" s="387"/>
      <c r="BOI40" s="387"/>
      <c r="BOJ40" s="387"/>
      <c r="BOK40" s="387"/>
      <c r="BOL40" s="387"/>
      <c r="BOM40" s="387"/>
      <c r="BON40" s="387"/>
      <c r="BOO40" s="387"/>
      <c r="BOP40" s="387"/>
      <c r="BOQ40" s="387"/>
      <c r="BOR40" s="387"/>
      <c r="BOS40" s="387"/>
      <c r="BOT40" s="387"/>
      <c r="BOU40" s="387"/>
      <c r="BOV40" s="387"/>
      <c r="BOW40" s="387"/>
      <c r="BOX40" s="387"/>
      <c r="BOY40" s="387"/>
      <c r="BOZ40" s="387"/>
      <c r="BPA40" s="387"/>
      <c r="BPB40" s="387"/>
      <c r="BPC40" s="387"/>
      <c r="BPD40" s="387"/>
      <c r="BPE40" s="387"/>
      <c r="BPF40" s="387"/>
      <c r="BPG40" s="387"/>
      <c r="BPH40" s="387"/>
      <c r="BPI40" s="387"/>
      <c r="BPJ40" s="387"/>
      <c r="BPK40" s="387"/>
      <c r="BPL40" s="387"/>
      <c r="BPM40" s="387"/>
      <c r="BPN40" s="387"/>
      <c r="BPO40" s="387"/>
      <c r="BPP40" s="387"/>
      <c r="BPQ40" s="387"/>
      <c r="BPR40" s="387"/>
      <c r="BPS40" s="387"/>
      <c r="BPT40" s="387"/>
      <c r="BPU40" s="387"/>
      <c r="BPV40" s="387"/>
      <c r="BPW40" s="387"/>
      <c r="BPX40" s="387"/>
      <c r="BPY40" s="387"/>
      <c r="BPZ40" s="387"/>
      <c r="BQA40" s="387"/>
      <c r="BQB40" s="387"/>
      <c r="BQC40" s="387"/>
      <c r="BQD40" s="387"/>
      <c r="BQE40" s="387"/>
      <c r="BQF40" s="387"/>
      <c r="BQG40" s="387"/>
      <c r="BQH40" s="387"/>
      <c r="BQI40" s="387"/>
      <c r="BQJ40" s="387"/>
      <c r="BQK40" s="387"/>
      <c r="BQL40" s="387"/>
      <c r="BQM40" s="387"/>
      <c r="BQN40" s="387"/>
      <c r="BQO40" s="387"/>
      <c r="BQP40" s="387"/>
      <c r="BQQ40" s="387"/>
      <c r="BQR40" s="387"/>
      <c r="BQS40" s="387"/>
      <c r="BQT40" s="387"/>
      <c r="BQU40" s="387"/>
      <c r="BQV40" s="387"/>
      <c r="BQW40" s="387"/>
      <c r="BQX40" s="387"/>
      <c r="BQY40" s="387"/>
      <c r="BQZ40" s="387"/>
      <c r="BRA40" s="387"/>
      <c r="BRB40" s="387"/>
      <c r="BRC40" s="387"/>
      <c r="BRD40" s="387"/>
      <c r="BRE40" s="387"/>
      <c r="BRF40" s="387"/>
      <c r="BRG40" s="387"/>
      <c r="BRH40" s="387"/>
      <c r="BRI40" s="387"/>
      <c r="BRJ40" s="387"/>
      <c r="BRK40" s="387"/>
      <c r="BRL40" s="387"/>
      <c r="BRM40" s="387"/>
      <c r="BRN40" s="387"/>
      <c r="BRO40" s="387"/>
      <c r="BRP40" s="387"/>
      <c r="BRQ40" s="387"/>
      <c r="BRR40" s="387"/>
      <c r="BRS40" s="387"/>
      <c r="BRT40" s="387"/>
      <c r="BRU40" s="387"/>
      <c r="BRV40" s="387"/>
      <c r="BRW40" s="387"/>
      <c r="BRX40" s="387"/>
      <c r="BRY40" s="387"/>
      <c r="BRZ40" s="387"/>
      <c r="BSA40" s="387"/>
      <c r="BSB40" s="387"/>
      <c r="BSC40" s="387"/>
      <c r="BSD40" s="387"/>
      <c r="BSE40" s="387"/>
      <c r="BSF40" s="387"/>
      <c r="BSG40" s="387"/>
      <c r="BSH40" s="387"/>
      <c r="BSI40" s="387"/>
      <c r="BSJ40" s="387"/>
      <c r="BSK40" s="387"/>
      <c r="BSL40" s="387"/>
      <c r="BSM40" s="387"/>
      <c r="BSN40" s="387"/>
      <c r="BSO40" s="387"/>
      <c r="BSP40" s="387"/>
      <c r="BSQ40" s="387"/>
      <c r="BSR40" s="387"/>
      <c r="BSS40" s="387"/>
      <c r="BST40" s="387"/>
      <c r="BSU40" s="387"/>
      <c r="BSV40" s="387"/>
      <c r="BSW40" s="387"/>
      <c r="BSX40" s="387"/>
      <c r="BSY40" s="387"/>
      <c r="BSZ40" s="387"/>
      <c r="BTA40" s="387"/>
      <c r="BTB40" s="387"/>
      <c r="BTC40" s="387"/>
      <c r="BTD40" s="387"/>
      <c r="BTE40" s="387"/>
      <c r="BTF40" s="387"/>
      <c r="BTG40" s="387"/>
      <c r="BTH40" s="387"/>
      <c r="BTI40" s="387"/>
    </row>
    <row r="41" spans="1:1881" s="4" customFormat="1" ht="73.5" customHeight="1" x14ac:dyDescent="0.25">
      <c r="A41" s="186">
        <v>592</v>
      </c>
      <c r="B41" s="333" t="s">
        <v>598</v>
      </c>
      <c r="C41" s="334" t="s">
        <v>599</v>
      </c>
      <c r="D41" s="136" t="s">
        <v>601</v>
      </c>
      <c r="E41" s="683" t="e">
        <f>HLOOKUP('Unit Data from Audit Worksheet'!$D$2,'2019 Data(H)'!$D$1:$BB$202,168,FALSE)</f>
        <v>#N/A</v>
      </c>
      <c r="F41" s="559"/>
      <c r="G41" s="388"/>
      <c r="H41" s="147"/>
      <c r="J41" s="362"/>
      <c r="K41" s="387"/>
      <c r="L41" s="674" t="s">
        <v>945</v>
      </c>
      <c r="M41" s="576"/>
      <c r="N41" s="594"/>
      <c r="O41" s="387"/>
      <c r="P41" s="387"/>
      <c r="Q41" s="387"/>
      <c r="R41"/>
      <c r="S41" s="682"/>
      <c r="T41" s="387"/>
      <c r="U41" s="387"/>
      <c r="V41" s="387"/>
      <c r="W41" s="387"/>
      <c r="X41" s="682"/>
      <c r="Y41" s="387"/>
      <c r="Z41" s="387"/>
      <c r="AA41" s="387"/>
      <c r="AB41" s="387"/>
      <c r="AC41" s="387"/>
      <c r="AD41" s="387"/>
      <c r="AE41" s="387"/>
      <c r="AF41" s="387"/>
      <c r="AG41" s="387"/>
      <c r="AH41" s="387"/>
      <c r="AI41" s="387"/>
      <c r="AJ41" s="387"/>
      <c r="AK41" s="387"/>
      <c r="AL41" s="387"/>
      <c r="AM41" s="387"/>
      <c r="AN41" s="387"/>
      <c r="AO41" s="387"/>
      <c r="AP41" s="387"/>
      <c r="AQ41" s="387"/>
      <c r="AR41" s="387"/>
      <c r="AS41" s="387"/>
      <c r="AT41" s="387"/>
      <c r="AU41" s="387"/>
      <c r="AV41" s="387"/>
      <c r="AW41" s="387"/>
      <c r="AX41" s="387"/>
      <c r="AY41" s="387"/>
      <c r="AZ41" s="387"/>
      <c r="BA41" s="387"/>
      <c r="BB41" s="387"/>
      <c r="BC41" s="387"/>
      <c r="BD41" s="387"/>
      <c r="BE41" s="387"/>
      <c r="BF41" s="387"/>
      <c r="BG41" s="387"/>
      <c r="BH41" s="387"/>
      <c r="BI41" s="387"/>
      <c r="BJ41" s="387"/>
      <c r="BK41" s="387"/>
      <c r="BL41" s="387"/>
      <c r="BM41" s="387"/>
      <c r="BN41" s="387"/>
      <c r="BO41" s="387"/>
      <c r="BP41" s="387"/>
      <c r="BQ41" s="387"/>
      <c r="BR41" s="387"/>
      <c r="BS41" s="387"/>
      <c r="BT41" s="387"/>
      <c r="BU41" s="387"/>
      <c r="BV41" s="387"/>
      <c r="BW41" s="387"/>
      <c r="BX41" s="387"/>
      <c r="BY41" s="387"/>
      <c r="BZ41" s="387"/>
      <c r="CA41" s="387"/>
      <c r="CB41" s="387"/>
      <c r="CC41" s="387"/>
      <c r="CD41" s="387"/>
      <c r="CE41" s="387"/>
      <c r="CF41" s="387"/>
      <c r="CG41" s="387"/>
      <c r="CH41" s="387"/>
      <c r="CI41" s="387"/>
      <c r="CJ41" s="387"/>
      <c r="CK41" s="387"/>
      <c r="CL41" s="387"/>
      <c r="CM41" s="387"/>
      <c r="CN41" s="387"/>
      <c r="CO41" s="387"/>
      <c r="CP41" s="387"/>
      <c r="CQ41" s="387"/>
      <c r="CR41" s="387"/>
      <c r="CS41" s="387"/>
      <c r="CT41" s="387"/>
      <c r="CU41" s="387"/>
      <c r="CV41" s="387"/>
      <c r="CW41" s="387"/>
      <c r="CX41" s="387"/>
      <c r="CY41" s="387"/>
      <c r="CZ41" s="387"/>
      <c r="DA41" s="387"/>
      <c r="DB41" s="387"/>
      <c r="DC41" s="387"/>
      <c r="DD41" s="387"/>
      <c r="DE41" s="387"/>
      <c r="DF41" s="387"/>
      <c r="DG41" s="387"/>
      <c r="DH41" s="387"/>
      <c r="DI41" s="387"/>
      <c r="DJ41" s="387"/>
      <c r="DK41" s="387"/>
      <c r="DL41" s="387"/>
      <c r="DM41" s="387"/>
      <c r="DN41" s="387"/>
      <c r="DO41" s="387"/>
      <c r="DP41" s="387"/>
      <c r="DQ41" s="387"/>
      <c r="DR41" s="387"/>
      <c r="DS41" s="387"/>
      <c r="DT41" s="387"/>
      <c r="DU41" s="387"/>
      <c r="DV41" s="387"/>
      <c r="DW41" s="387"/>
      <c r="DX41" s="387"/>
      <c r="DY41" s="387"/>
      <c r="DZ41" s="387"/>
      <c r="EA41" s="387"/>
      <c r="EB41" s="387"/>
      <c r="EC41" s="387"/>
      <c r="ED41" s="387"/>
      <c r="EE41" s="387"/>
      <c r="EF41" s="387"/>
      <c r="EG41" s="387"/>
      <c r="EH41" s="387"/>
      <c r="EI41" s="387"/>
      <c r="EJ41" s="387"/>
      <c r="EK41" s="387"/>
      <c r="EL41" s="387"/>
      <c r="EM41" s="387"/>
      <c r="EN41" s="387"/>
      <c r="EO41" s="387"/>
      <c r="EP41" s="387"/>
      <c r="EQ41" s="387"/>
      <c r="ER41" s="387"/>
      <c r="ES41" s="387"/>
      <c r="ET41" s="387"/>
      <c r="EU41" s="387"/>
      <c r="EV41" s="387"/>
      <c r="EW41" s="387"/>
      <c r="EX41" s="387"/>
      <c r="EY41" s="387"/>
      <c r="EZ41" s="387"/>
      <c r="FA41" s="387"/>
      <c r="FB41" s="387"/>
      <c r="FC41" s="387"/>
      <c r="FD41" s="387"/>
      <c r="FE41" s="387"/>
      <c r="FF41" s="387"/>
      <c r="FG41" s="387"/>
      <c r="FH41" s="387"/>
      <c r="FI41" s="387"/>
      <c r="FJ41" s="387"/>
      <c r="FK41" s="387"/>
      <c r="FL41" s="387"/>
      <c r="FM41" s="387"/>
      <c r="FN41" s="387"/>
      <c r="FO41" s="387"/>
      <c r="FP41" s="387"/>
      <c r="FQ41" s="387"/>
      <c r="FR41" s="387"/>
      <c r="FS41" s="387"/>
      <c r="FT41" s="387"/>
      <c r="FU41" s="387"/>
      <c r="FV41" s="387"/>
      <c r="FW41" s="387"/>
      <c r="FX41" s="387"/>
      <c r="FY41" s="387"/>
      <c r="FZ41" s="387"/>
      <c r="GA41" s="387"/>
      <c r="GB41" s="387"/>
      <c r="GC41" s="387"/>
      <c r="GD41" s="387"/>
      <c r="GE41" s="387"/>
      <c r="GF41" s="387"/>
      <c r="GG41" s="387"/>
      <c r="GH41" s="387"/>
      <c r="GI41" s="387"/>
      <c r="GJ41" s="387"/>
      <c r="GK41" s="387"/>
      <c r="GL41" s="387"/>
      <c r="GM41" s="387"/>
      <c r="GN41" s="387"/>
      <c r="GO41" s="387"/>
      <c r="GP41" s="387"/>
      <c r="GQ41" s="387"/>
      <c r="GR41" s="387"/>
      <c r="GS41" s="387"/>
      <c r="GT41" s="387"/>
      <c r="GU41" s="387"/>
      <c r="GV41" s="387"/>
      <c r="GW41" s="387"/>
      <c r="GX41" s="387"/>
      <c r="GY41" s="387"/>
      <c r="GZ41" s="387"/>
      <c r="HA41" s="387"/>
      <c r="HB41" s="387"/>
      <c r="HC41" s="387"/>
      <c r="HD41" s="387"/>
      <c r="HE41" s="387"/>
      <c r="HF41" s="387"/>
      <c r="HG41" s="387"/>
      <c r="HH41" s="387"/>
      <c r="HI41" s="387"/>
      <c r="HJ41" s="387"/>
      <c r="HK41" s="387"/>
      <c r="HL41" s="387"/>
      <c r="HM41" s="387"/>
      <c r="HN41" s="387"/>
      <c r="HO41" s="387"/>
      <c r="HP41" s="387"/>
      <c r="HQ41" s="387"/>
      <c r="HR41" s="387"/>
      <c r="HS41" s="387"/>
      <c r="HT41" s="387"/>
      <c r="HU41" s="387"/>
      <c r="HV41" s="387"/>
      <c r="HW41" s="387"/>
      <c r="HX41" s="387"/>
      <c r="HY41" s="387"/>
      <c r="HZ41" s="387"/>
      <c r="IA41" s="387"/>
      <c r="IB41" s="387"/>
      <c r="IC41" s="387"/>
      <c r="ID41" s="387"/>
      <c r="IE41" s="387"/>
      <c r="IF41" s="387"/>
      <c r="IG41" s="387"/>
      <c r="IH41" s="387"/>
      <c r="II41" s="387"/>
      <c r="IJ41" s="387"/>
      <c r="IK41" s="387"/>
      <c r="IL41" s="387"/>
      <c r="IM41" s="387"/>
      <c r="IN41" s="387"/>
      <c r="IO41" s="387"/>
      <c r="IP41" s="387"/>
      <c r="IQ41" s="387"/>
      <c r="IR41" s="387"/>
      <c r="IS41" s="387"/>
      <c r="IT41" s="387"/>
      <c r="IU41" s="387"/>
      <c r="IV41" s="387"/>
      <c r="IW41" s="387"/>
      <c r="IX41" s="387"/>
      <c r="IY41" s="387"/>
      <c r="IZ41" s="387"/>
      <c r="JA41" s="387"/>
      <c r="JB41" s="387"/>
      <c r="JC41" s="387"/>
      <c r="JD41" s="387"/>
      <c r="JE41" s="387"/>
      <c r="JF41" s="387"/>
      <c r="JG41" s="387"/>
      <c r="JH41" s="387"/>
      <c r="JI41" s="387"/>
      <c r="JJ41" s="387"/>
      <c r="JK41" s="387"/>
      <c r="JL41" s="387"/>
      <c r="JM41" s="387"/>
      <c r="JN41" s="387"/>
      <c r="JO41" s="387"/>
      <c r="JP41" s="387"/>
      <c r="JQ41" s="387"/>
      <c r="JR41" s="387"/>
      <c r="JS41" s="387"/>
      <c r="JT41" s="387"/>
      <c r="JU41" s="387"/>
      <c r="JV41" s="387"/>
      <c r="JW41" s="387"/>
      <c r="JX41" s="387"/>
      <c r="JY41" s="387"/>
      <c r="JZ41" s="387"/>
      <c r="KA41" s="387"/>
      <c r="KB41" s="387"/>
      <c r="KC41" s="387"/>
      <c r="KD41" s="387"/>
      <c r="KE41" s="387"/>
      <c r="KF41" s="387"/>
      <c r="KG41" s="387"/>
      <c r="KH41" s="387"/>
      <c r="KI41" s="387"/>
      <c r="KJ41" s="387"/>
      <c r="KK41" s="387"/>
      <c r="KL41" s="387"/>
      <c r="KM41" s="387"/>
      <c r="KN41" s="387"/>
      <c r="KO41" s="387"/>
      <c r="KP41" s="387"/>
      <c r="KQ41" s="387"/>
      <c r="KR41" s="387"/>
      <c r="KS41" s="387"/>
      <c r="KT41" s="387"/>
      <c r="KU41" s="387"/>
      <c r="KV41" s="387"/>
      <c r="KW41" s="387"/>
      <c r="KX41" s="387"/>
      <c r="KY41" s="387"/>
      <c r="KZ41" s="387"/>
      <c r="LA41" s="387"/>
      <c r="LB41" s="387"/>
      <c r="LC41" s="387"/>
      <c r="LD41" s="387"/>
      <c r="LE41" s="387"/>
      <c r="LF41" s="387"/>
      <c r="LG41" s="387"/>
      <c r="LH41" s="387"/>
      <c r="LI41" s="387"/>
      <c r="LJ41" s="387"/>
      <c r="LK41" s="387"/>
      <c r="LL41" s="387"/>
      <c r="LM41" s="387"/>
      <c r="LN41" s="387"/>
      <c r="LO41" s="387"/>
      <c r="LP41" s="387"/>
      <c r="LQ41" s="387"/>
      <c r="LR41" s="387"/>
      <c r="LS41" s="387"/>
      <c r="LT41" s="387"/>
      <c r="LU41" s="387"/>
      <c r="LV41" s="387"/>
      <c r="LW41" s="387"/>
      <c r="LX41" s="387"/>
      <c r="LY41" s="387"/>
      <c r="LZ41" s="387"/>
      <c r="MA41" s="387"/>
      <c r="MB41" s="387"/>
      <c r="MC41" s="387"/>
      <c r="MD41" s="387"/>
      <c r="ME41" s="387"/>
      <c r="MF41" s="387"/>
      <c r="MG41" s="387"/>
      <c r="MH41" s="387"/>
      <c r="MI41" s="387"/>
      <c r="MJ41" s="387"/>
      <c r="MK41" s="387"/>
      <c r="ML41" s="387"/>
      <c r="MM41" s="387"/>
      <c r="MN41" s="387"/>
      <c r="MO41" s="387"/>
      <c r="MP41" s="387"/>
      <c r="MQ41" s="387"/>
      <c r="MR41" s="387"/>
      <c r="MS41" s="387"/>
      <c r="MT41" s="387"/>
      <c r="MU41" s="387"/>
      <c r="MV41" s="387"/>
      <c r="MW41" s="387"/>
      <c r="MX41" s="387"/>
      <c r="MY41" s="387"/>
      <c r="MZ41" s="387"/>
      <c r="NA41" s="387"/>
      <c r="NB41" s="387"/>
      <c r="NC41" s="387"/>
      <c r="ND41" s="387"/>
      <c r="NE41" s="387"/>
      <c r="NF41" s="387"/>
      <c r="NG41" s="387"/>
      <c r="NH41" s="387"/>
      <c r="NI41" s="387"/>
      <c r="NJ41" s="387"/>
      <c r="NK41" s="387"/>
      <c r="NL41" s="387"/>
      <c r="NM41" s="387"/>
      <c r="NN41" s="387"/>
      <c r="NO41" s="387"/>
      <c r="NP41" s="387"/>
      <c r="NQ41" s="387"/>
      <c r="NR41" s="387"/>
      <c r="NS41" s="387"/>
      <c r="NT41" s="387"/>
      <c r="NU41" s="387"/>
      <c r="NV41" s="387"/>
      <c r="NW41" s="387"/>
      <c r="NX41" s="387"/>
      <c r="NY41" s="387"/>
      <c r="NZ41" s="387"/>
      <c r="OA41" s="387"/>
      <c r="OB41" s="387"/>
      <c r="OC41" s="387"/>
      <c r="OD41" s="387"/>
      <c r="OE41" s="387"/>
      <c r="OF41" s="387"/>
      <c r="OG41" s="387"/>
      <c r="OH41" s="387"/>
      <c r="OI41" s="387"/>
      <c r="OJ41" s="387"/>
      <c r="OK41" s="387"/>
      <c r="OL41" s="387"/>
      <c r="OM41" s="387"/>
      <c r="ON41" s="387"/>
      <c r="OO41" s="387"/>
      <c r="OP41" s="387"/>
      <c r="OQ41" s="387"/>
      <c r="OR41" s="387"/>
      <c r="OS41" s="387"/>
      <c r="OT41" s="387"/>
      <c r="OU41" s="387"/>
      <c r="OV41" s="387"/>
      <c r="OW41" s="387"/>
      <c r="OX41" s="387"/>
      <c r="OY41" s="387"/>
      <c r="OZ41" s="387"/>
      <c r="PA41" s="387"/>
      <c r="PB41" s="387"/>
      <c r="PC41" s="387"/>
      <c r="PD41" s="387"/>
      <c r="PE41" s="387"/>
      <c r="PF41" s="387"/>
      <c r="PG41" s="387"/>
      <c r="PH41" s="387"/>
      <c r="PI41" s="387"/>
      <c r="PJ41" s="387"/>
      <c r="PK41" s="387"/>
      <c r="PL41" s="387"/>
      <c r="PM41" s="387"/>
      <c r="PN41" s="387"/>
      <c r="PO41" s="387"/>
      <c r="PP41" s="387"/>
      <c r="PQ41" s="387"/>
      <c r="PR41" s="387"/>
      <c r="PS41" s="387"/>
      <c r="PT41" s="387"/>
      <c r="PU41" s="387"/>
      <c r="PV41" s="387"/>
      <c r="PW41" s="387"/>
      <c r="PX41" s="387"/>
      <c r="PY41" s="387"/>
      <c r="PZ41" s="387"/>
      <c r="QA41" s="387"/>
      <c r="QB41" s="387"/>
      <c r="QC41" s="387"/>
      <c r="QD41" s="387"/>
      <c r="QE41" s="387"/>
      <c r="QF41" s="387"/>
      <c r="QG41" s="387"/>
      <c r="QH41" s="387"/>
      <c r="QI41" s="387"/>
      <c r="QJ41" s="387"/>
      <c r="QK41" s="387"/>
      <c r="QL41" s="387"/>
      <c r="QM41" s="387"/>
      <c r="QN41" s="387"/>
      <c r="QO41" s="387"/>
      <c r="QP41" s="387"/>
      <c r="QQ41" s="387"/>
      <c r="QR41" s="387"/>
      <c r="QS41" s="387"/>
      <c r="QT41" s="387"/>
      <c r="QU41" s="387"/>
      <c r="QV41" s="387"/>
      <c r="QW41" s="387"/>
      <c r="QX41" s="387"/>
      <c r="QY41" s="387"/>
      <c r="QZ41" s="387"/>
      <c r="RA41" s="387"/>
      <c r="RB41" s="387"/>
      <c r="RC41" s="387"/>
      <c r="RD41" s="387"/>
      <c r="RE41" s="387"/>
      <c r="RF41" s="387"/>
      <c r="RG41" s="387"/>
      <c r="RH41" s="387"/>
      <c r="RI41" s="387"/>
      <c r="RJ41" s="387"/>
      <c r="RK41" s="387"/>
      <c r="RL41" s="387"/>
      <c r="RM41" s="387"/>
      <c r="RN41" s="387"/>
      <c r="RO41" s="387"/>
      <c r="RP41" s="387"/>
      <c r="RQ41" s="387"/>
      <c r="RR41" s="387"/>
      <c r="RS41" s="387"/>
      <c r="RT41" s="387"/>
      <c r="RU41" s="387"/>
      <c r="RV41" s="387"/>
      <c r="RW41" s="387"/>
      <c r="RX41" s="387"/>
      <c r="RY41" s="387"/>
      <c r="RZ41" s="387"/>
      <c r="SA41" s="387"/>
      <c r="SB41" s="387"/>
      <c r="SC41" s="387"/>
      <c r="SD41" s="387"/>
      <c r="SE41" s="387"/>
      <c r="SF41" s="387"/>
      <c r="SG41" s="387"/>
      <c r="SH41" s="387"/>
      <c r="SI41" s="387"/>
      <c r="SJ41" s="387"/>
      <c r="SK41" s="387"/>
      <c r="SL41" s="387"/>
      <c r="SM41" s="387"/>
      <c r="SN41" s="387"/>
      <c r="SO41" s="387"/>
      <c r="SP41" s="387"/>
      <c r="SQ41" s="387"/>
      <c r="SR41" s="387"/>
      <c r="SS41" s="387"/>
      <c r="ST41" s="387"/>
      <c r="SU41" s="387"/>
      <c r="SV41" s="387"/>
      <c r="SW41" s="387"/>
      <c r="SX41" s="387"/>
      <c r="SY41" s="387"/>
      <c r="SZ41" s="387"/>
      <c r="TA41" s="387"/>
      <c r="TB41" s="387"/>
      <c r="TC41" s="387"/>
      <c r="TD41" s="387"/>
      <c r="TE41" s="387"/>
      <c r="TF41" s="387"/>
      <c r="TG41" s="387"/>
      <c r="TH41" s="387"/>
      <c r="TI41" s="387"/>
      <c r="TJ41" s="387"/>
      <c r="TK41" s="387"/>
      <c r="TL41" s="387"/>
      <c r="TM41" s="387"/>
      <c r="TN41" s="387"/>
      <c r="TO41" s="387"/>
      <c r="TP41" s="387"/>
      <c r="TQ41" s="387"/>
      <c r="TR41" s="387"/>
      <c r="TS41" s="387"/>
      <c r="TT41" s="387"/>
      <c r="TU41" s="387"/>
      <c r="TV41" s="387"/>
      <c r="TW41" s="387"/>
      <c r="TX41" s="387"/>
      <c r="TY41" s="387"/>
      <c r="TZ41" s="387"/>
      <c r="UA41" s="387"/>
      <c r="UB41" s="387"/>
      <c r="UC41" s="387"/>
      <c r="UD41" s="387"/>
      <c r="UE41" s="387"/>
      <c r="UF41" s="387"/>
      <c r="UG41" s="387"/>
      <c r="UH41" s="387"/>
      <c r="UI41" s="387"/>
      <c r="UJ41" s="387"/>
      <c r="UK41" s="387"/>
      <c r="UL41" s="387"/>
      <c r="UM41" s="387"/>
      <c r="UN41" s="387"/>
      <c r="UO41" s="387"/>
      <c r="UP41" s="387"/>
      <c r="UQ41" s="387"/>
      <c r="UR41" s="387"/>
      <c r="US41" s="387"/>
      <c r="UT41" s="387"/>
      <c r="UU41" s="387"/>
      <c r="UV41" s="387"/>
      <c r="UW41" s="387"/>
      <c r="UX41" s="387"/>
      <c r="UY41" s="387"/>
      <c r="UZ41" s="387"/>
      <c r="VA41" s="387"/>
      <c r="VB41" s="387"/>
      <c r="VC41" s="387"/>
      <c r="VD41" s="387"/>
      <c r="VE41" s="387"/>
      <c r="VF41" s="387"/>
      <c r="VG41" s="387"/>
      <c r="VH41" s="387"/>
      <c r="VI41" s="387"/>
      <c r="VJ41" s="387"/>
      <c r="VK41" s="387"/>
      <c r="VL41" s="387"/>
      <c r="VM41" s="387"/>
      <c r="VN41" s="387"/>
      <c r="VO41" s="387"/>
      <c r="VP41" s="387"/>
      <c r="VQ41" s="387"/>
      <c r="VR41" s="387"/>
      <c r="VS41" s="387"/>
      <c r="VT41" s="387"/>
      <c r="VU41" s="387"/>
      <c r="VV41" s="387"/>
      <c r="VW41" s="387"/>
      <c r="VX41" s="387"/>
      <c r="VY41" s="387"/>
      <c r="VZ41" s="387"/>
      <c r="WA41" s="387"/>
      <c r="WB41" s="387"/>
      <c r="WC41" s="387"/>
      <c r="WD41" s="387"/>
      <c r="WE41" s="387"/>
      <c r="WF41" s="387"/>
      <c r="WG41" s="387"/>
      <c r="WH41" s="387"/>
      <c r="WI41" s="387"/>
      <c r="WJ41" s="387"/>
      <c r="WK41" s="387"/>
      <c r="WL41" s="387"/>
      <c r="WM41" s="387"/>
      <c r="WN41" s="387"/>
      <c r="WO41" s="387"/>
      <c r="WP41" s="387"/>
      <c r="WQ41" s="387"/>
      <c r="WR41" s="387"/>
      <c r="WS41" s="387"/>
      <c r="WT41" s="387"/>
      <c r="WU41" s="387"/>
      <c r="WV41" s="387"/>
      <c r="WW41" s="387"/>
      <c r="WX41" s="387"/>
      <c r="WY41" s="387"/>
      <c r="WZ41" s="387"/>
      <c r="XA41" s="387"/>
      <c r="XB41" s="387"/>
      <c r="XC41" s="387"/>
      <c r="XD41" s="387"/>
      <c r="XE41" s="387"/>
      <c r="XF41" s="387"/>
      <c r="XG41" s="387"/>
      <c r="XH41" s="387"/>
      <c r="XI41" s="387"/>
      <c r="XJ41" s="387"/>
      <c r="XK41" s="387"/>
      <c r="XL41" s="387"/>
      <c r="XM41" s="387"/>
      <c r="XN41" s="387"/>
      <c r="XO41" s="387"/>
      <c r="XP41" s="387"/>
      <c r="XQ41" s="387"/>
      <c r="XR41" s="387"/>
      <c r="XS41" s="387"/>
      <c r="XT41" s="387"/>
      <c r="XU41" s="387"/>
      <c r="XV41" s="387"/>
      <c r="XW41" s="387"/>
      <c r="XX41" s="387"/>
      <c r="XY41" s="387"/>
      <c r="XZ41" s="387"/>
      <c r="YA41" s="387"/>
      <c r="YB41" s="387"/>
      <c r="YC41" s="387"/>
      <c r="YD41" s="387"/>
      <c r="YE41" s="387"/>
      <c r="YF41" s="387"/>
      <c r="YG41" s="387"/>
      <c r="YH41" s="387"/>
      <c r="YI41" s="387"/>
      <c r="YJ41" s="387"/>
      <c r="YK41" s="387"/>
      <c r="YL41" s="387"/>
      <c r="YM41" s="387"/>
      <c r="YN41" s="387"/>
      <c r="YO41" s="387"/>
      <c r="YP41" s="387"/>
      <c r="YQ41" s="387"/>
      <c r="YR41" s="387"/>
      <c r="YS41" s="387"/>
      <c r="YT41" s="387"/>
      <c r="YU41" s="387"/>
      <c r="YV41" s="387"/>
      <c r="YW41" s="387"/>
      <c r="YX41" s="387"/>
      <c r="YY41" s="387"/>
      <c r="YZ41" s="387"/>
      <c r="ZA41" s="387"/>
      <c r="ZB41" s="387"/>
      <c r="ZC41" s="387"/>
      <c r="ZD41" s="387"/>
      <c r="ZE41" s="387"/>
      <c r="ZF41" s="387"/>
      <c r="ZG41" s="387"/>
      <c r="ZH41" s="387"/>
      <c r="ZI41" s="387"/>
      <c r="ZJ41" s="387"/>
      <c r="ZK41" s="387"/>
      <c r="ZL41" s="387"/>
      <c r="ZM41" s="387"/>
      <c r="ZN41" s="387"/>
      <c r="ZO41" s="387"/>
      <c r="ZP41" s="387"/>
      <c r="ZQ41" s="387"/>
      <c r="ZR41" s="387"/>
      <c r="ZS41" s="387"/>
      <c r="ZT41" s="387"/>
      <c r="ZU41" s="387"/>
      <c r="ZV41" s="387"/>
      <c r="ZW41" s="387"/>
      <c r="ZX41" s="387"/>
      <c r="ZY41" s="387"/>
      <c r="ZZ41" s="387"/>
      <c r="AAA41" s="387"/>
      <c r="AAB41" s="387"/>
      <c r="AAC41" s="387"/>
      <c r="AAD41" s="387"/>
      <c r="AAE41" s="387"/>
      <c r="AAF41" s="387"/>
      <c r="AAG41" s="387"/>
      <c r="AAH41" s="387"/>
      <c r="AAI41" s="387"/>
      <c r="AAJ41" s="387"/>
      <c r="AAK41" s="387"/>
      <c r="AAL41" s="387"/>
      <c r="AAM41" s="387"/>
      <c r="AAN41" s="387"/>
      <c r="AAO41" s="387"/>
      <c r="AAP41" s="387"/>
      <c r="AAQ41" s="387"/>
      <c r="AAR41" s="387"/>
      <c r="AAS41" s="387"/>
      <c r="AAT41" s="387"/>
      <c r="AAU41" s="387"/>
      <c r="AAV41" s="387"/>
      <c r="AAW41" s="387"/>
      <c r="AAX41" s="387"/>
      <c r="AAY41" s="387"/>
      <c r="AAZ41" s="387"/>
      <c r="ABA41" s="387"/>
      <c r="ABB41" s="387"/>
      <c r="ABC41" s="387"/>
      <c r="ABD41" s="387"/>
      <c r="ABE41" s="387"/>
      <c r="ABF41" s="387"/>
      <c r="ABG41" s="387"/>
      <c r="ABH41" s="387"/>
      <c r="ABI41" s="387"/>
      <c r="ABJ41" s="387"/>
      <c r="ABK41" s="387"/>
      <c r="ABL41" s="387"/>
      <c r="ABM41" s="387"/>
      <c r="ABN41" s="387"/>
      <c r="ABO41" s="387"/>
      <c r="ABP41" s="387"/>
      <c r="ABQ41" s="387"/>
      <c r="ABR41" s="387"/>
      <c r="ABS41" s="387"/>
      <c r="ABT41" s="387"/>
      <c r="ABU41" s="387"/>
      <c r="ABV41" s="387"/>
      <c r="ABW41" s="387"/>
      <c r="ABX41" s="387"/>
      <c r="ABY41" s="387"/>
      <c r="ABZ41" s="387"/>
      <c r="ACA41" s="387"/>
      <c r="ACB41" s="387"/>
      <c r="ACC41" s="387"/>
      <c r="ACD41" s="387"/>
      <c r="ACE41" s="387"/>
      <c r="ACF41" s="387"/>
      <c r="ACG41" s="387"/>
      <c r="ACH41" s="387"/>
      <c r="ACI41" s="387"/>
      <c r="ACJ41" s="387"/>
      <c r="ACK41" s="387"/>
      <c r="ACL41" s="387"/>
      <c r="ACM41" s="387"/>
      <c r="ACN41" s="387"/>
      <c r="ACO41" s="387"/>
      <c r="ACP41" s="387"/>
      <c r="ACQ41" s="387"/>
      <c r="ACR41" s="387"/>
      <c r="ACS41" s="387"/>
      <c r="ACT41" s="387"/>
      <c r="ACU41" s="387"/>
      <c r="ACV41" s="387"/>
      <c r="ACW41" s="387"/>
      <c r="ACX41" s="387"/>
      <c r="ACY41" s="387"/>
      <c r="ACZ41" s="387"/>
      <c r="ADA41" s="387"/>
      <c r="ADB41" s="387"/>
      <c r="ADC41" s="387"/>
      <c r="ADD41" s="387"/>
      <c r="ADE41" s="387"/>
      <c r="ADF41" s="387"/>
      <c r="ADG41" s="387"/>
      <c r="ADH41" s="387"/>
      <c r="ADI41" s="387"/>
      <c r="ADJ41" s="387"/>
      <c r="ADK41" s="387"/>
      <c r="ADL41" s="387"/>
      <c r="ADM41" s="387"/>
      <c r="ADN41" s="387"/>
      <c r="ADO41" s="387"/>
      <c r="ADP41" s="387"/>
      <c r="ADQ41" s="387"/>
      <c r="ADR41" s="387"/>
      <c r="ADS41" s="387"/>
      <c r="ADT41" s="387"/>
      <c r="ADU41" s="387"/>
      <c r="ADV41" s="387"/>
      <c r="ADW41" s="387"/>
      <c r="ADX41" s="387"/>
      <c r="ADY41" s="387"/>
      <c r="ADZ41" s="387"/>
      <c r="AEA41" s="387"/>
      <c r="AEB41" s="387"/>
      <c r="AEC41" s="387"/>
      <c r="AED41" s="387"/>
      <c r="AEE41" s="387"/>
      <c r="AEF41" s="387"/>
      <c r="AEG41" s="387"/>
      <c r="AEH41" s="387"/>
      <c r="AEI41" s="387"/>
      <c r="AEJ41" s="387"/>
      <c r="AEK41" s="387"/>
      <c r="AEL41" s="387"/>
      <c r="AEM41" s="387"/>
      <c r="AEN41" s="387"/>
      <c r="AEO41" s="387"/>
      <c r="AEP41" s="387"/>
      <c r="AEQ41" s="387"/>
      <c r="AER41" s="387"/>
      <c r="AES41" s="387"/>
      <c r="AET41" s="387"/>
      <c r="AEU41" s="387"/>
      <c r="AEV41" s="387"/>
      <c r="AEW41" s="387"/>
      <c r="AEX41" s="387"/>
      <c r="AEY41" s="387"/>
      <c r="AEZ41" s="387"/>
      <c r="AFA41" s="387"/>
      <c r="AFB41" s="387"/>
      <c r="AFC41" s="387"/>
      <c r="AFD41" s="387"/>
      <c r="AFE41" s="387"/>
      <c r="AFF41" s="387"/>
      <c r="AFG41" s="387"/>
      <c r="AFH41" s="387"/>
      <c r="AFI41" s="387"/>
      <c r="AFJ41" s="387"/>
      <c r="AFK41" s="387"/>
      <c r="AFL41" s="387"/>
      <c r="AFM41" s="387"/>
      <c r="AFN41" s="387"/>
      <c r="AFO41" s="387"/>
      <c r="AFP41" s="387"/>
      <c r="AFQ41" s="387"/>
      <c r="AFR41" s="387"/>
      <c r="AFS41" s="387"/>
      <c r="AFT41" s="387"/>
      <c r="AFU41" s="387"/>
      <c r="AFV41" s="387"/>
      <c r="AFW41" s="387"/>
      <c r="AFX41" s="387"/>
      <c r="AFY41" s="387"/>
      <c r="AFZ41" s="387"/>
      <c r="AGA41" s="387"/>
      <c r="AGB41" s="387"/>
      <c r="AGC41" s="387"/>
      <c r="AGD41" s="387"/>
      <c r="AGE41" s="387"/>
      <c r="AGF41" s="387"/>
      <c r="AGG41" s="387"/>
      <c r="AGH41" s="387"/>
      <c r="AGI41" s="387"/>
      <c r="AGJ41" s="387"/>
      <c r="AGK41" s="387"/>
      <c r="AGL41" s="387"/>
      <c r="AGM41" s="387"/>
      <c r="AGN41" s="387"/>
      <c r="AGO41" s="387"/>
      <c r="AGP41" s="387"/>
      <c r="AGQ41" s="387"/>
      <c r="AGR41" s="387"/>
      <c r="AGS41" s="387"/>
      <c r="AGT41" s="387"/>
      <c r="AGU41" s="387"/>
      <c r="AGV41" s="387"/>
      <c r="AGW41" s="387"/>
      <c r="AGX41" s="387"/>
      <c r="AGY41" s="387"/>
      <c r="AGZ41" s="387"/>
      <c r="AHA41" s="387"/>
      <c r="AHB41" s="387"/>
      <c r="AHC41" s="387"/>
      <c r="AHD41" s="387"/>
      <c r="AHE41" s="387"/>
      <c r="AHF41" s="387"/>
      <c r="AHG41" s="387"/>
      <c r="AHH41" s="387"/>
      <c r="AHI41" s="387"/>
      <c r="AHJ41" s="387"/>
      <c r="AHK41" s="387"/>
      <c r="AHL41" s="387"/>
      <c r="AHM41" s="387"/>
      <c r="AHN41" s="387"/>
      <c r="AHO41" s="387"/>
      <c r="AHP41" s="387"/>
      <c r="AHQ41" s="387"/>
      <c r="AHR41" s="387"/>
      <c r="AHS41" s="387"/>
      <c r="AHT41" s="387"/>
      <c r="AHU41" s="387"/>
      <c r="AHV41" s="387"/>
      <c r="AHW41" s="387"/>
      <c r="AHX41" s="387"/>
      <c r="AHY41" s="387"/>
      <c r="AHZ41" s="387"/>
      <c r="AIA41" s="387"/>
      <c r="AIB41" s="387"/>
      <c r="AIC41" s="387"/>
      <c r="AID41" s="387"/>
      <c r="AIE41" s="387"/>
      <c r="AIF41" s="387"/>
      <c r="AIG41" s="387"/>
      <c r="AIH41" s="387"/>
      <c r="AII41" s="387"/>
      <c r="AIJ41" s="387"/>
      <c r="AIK41" s="387"/>
      <c r="AIL41" s="387"/>
      <c r="AIM41" s="387"/>
      <c r="AIN41" s="387"/>
      <c r="AIO41" s="387"/>
      <c r="AIP41" s="387"/>
      <c r="AIQ41" s="387"/>
      <c r="AIR41" s="387"/>
      <c r="AIS41" s="387"/>
      <c r="AIT41" s="387"/>
      <c r="AIU41" s="387"/>
      <c r="AIV41" s="387"/>
      <c r="AIW41" s="387"/>
      <c r="AIX41" s="387"/>
      <c r="AIY41" s="387"/>
      <c r="AIZ41" s="387"/>
      <c r="AJA41" s="387"/>
      <c r="AJB41" s="387"/>
      <c r="AJC41" s="387"/>
      <c r="AJD41" s="387"/>
      <c r="AJE41" s="387"/>
      <c r="AJF41" s="387"/>
      <c r="AJG41" s="387"/>
      <c r="AJH41" s="387"/>
      <c r="AJI41" s="387"/>
      <c r="AJJ41" s="387"/>
      <c r="AJK41" s="387"/>
      <c r="AJL41" s="387"/>
      <c r="AJM41" s="387"/>
      <c r="AJN41" s="387"/>
      <c r="AJO41" s="387"/>
      <c r="AJP41" s="387"/>
      <c r="AJQ41" s="387"/>
      <c r="AJR41" s="387"/>
      <c r="AJS41" s="387"/>
      <c r="AJT41" s="387"/>
      <c r="AJU41" s="387"/>
      <c r="AJV41" s="387"/>
      <c r="AJW41" s="387"/>
      <c r="AJX41" s="387"/>
      <c r="AJY41" s="387"/>
      <c r="AJZ41" s="387"/>
      <c r="AKA41" s="387"/>
      <c r="AKB41" s="387"/>
      <c r="AKC41" s="387"/>
      <c r="AKD41" s="387"/>
      <c r="AKE41" s="387"/>
      <c r="AKF41" s="387"/>
      <c r="AKG41" s="387"/>
      <c r="AKH41" s="387"/>
      <c r="AKI41" s="387"/>
      <c r="AKJ41" s="387"/>
      <c r="AKK41" s="387"/>
      <c r="AKL41" s="387"/>
      <c r="AKM41" s="387"/>
      <c r="AKN41" s="387"/>
      <c r="AKO41" s="387"/>
      <c r="AKP41" s="387"/>
      <c r="AKQ41" s="387"/>
      <c r="AKR41" s="387"/>
      <c r="AKS41" s="387"/>
      <c r="AKT41" s="387"/>
      <c r="AKU41" s="387"/>
      <c r="AKV41" s="387"/>
      <c r="AKW41" s="387"/>
      <c r="AKX41" s="387"/>
      <c r="AKY41" s="387"/>
      <c r="AKZ41" s="387"/>
      <c r="ALA41" s="387"/>
      <c r="ALB41" s="387"/>
      <c r="ALC41" s="387"/>
      <c r="ALD41" s="387"/>
      <c r="ALE41" s="387"/>
      <c r="ALF41" s="387"/>
      <c r="ALG41" s="387"/>
      <c r="ALH41" s="387"/>
      <c r="ALI41" s="387"/>
      <c r="ALJ41" s="387"/>
      <c r="ALK41" s="387"/>
      <c r="ALL41" s="387"/>
      <c r="ALM41" s="387"/>
      <c r="ALN41" s="387"/>
      <c r="ALO41" s="387"/>
      <c r="ALP41" s="387"/>
      <c r="ALQ41" s="387"/>
      <c r="ALR41" s="387"/>
      <c r="ALS41" s="387"/>
      <c r="ALT41" s="387"/>
      <c r="ALU41" s="387"/>
      <c r="ALV41" s="387"/>
      <c r="ALW41" s="387"/>
      <c r="ALX41" s="387"/>
      <c r="ALY41" s="387"/>
      <c r="ALZ41" s="387"/>
      <c r="AMA41" s="387"/>
      <c r="AMB41" s="387"/>
      <c r="AMC41" s="387"/>
      <c r="AMD41" s="387"/>
      <c r="AME41" s="387"/>
      <c r="AMF41" s="387"/>
      <c r="AMG41" s="387"/>
      <c r="AMH41" s="387"/>
      <c r="AMI41" s="387"/>
      <c r="AMJ41" s="387"/>
      <c r="AMK41" s="387"/>
      <c r="AML41" s="387"/>
      <c r="AMM41" s="387"/>
      <c r="AMN41" s="387"/>
      <c r="AMO41" s="387"/>
      <c r="AMP41" s="387"/>
      <c r="AMQ41" s="387"/>
      <c r="AMR41" s="387"/>
      <c r="AMS41" s="387"/>
      <c r="AMT41" s="387"/>
      <c r="AMU41" s="387"/>
      <c r="AMV41" s="387"/>
      <c r="AMW41" s="387"/>
      <c r="AMX41" s="387"/>
      <c r="AMY41" s="387"/>
      <c r="AMZ41" s="387"/>
      <c r="ANA41" s="387"/>
      <c r="ANB41" s="387"/>
      <c r="ANC41" s="387"/>
      <c r="AND41" s="387"/>
      <c r="ANE41" s="387"/>
      <c r="ANF41" s="387"/>
      <c r="ANG41" s="387"/>
      <c r="ANH41" s="387"/>
      <c r="ANI41" s="387"/>
      <c r="ANJ41" s="387"/>
      <c r="ANK41" s="387"/>
      <c r="ANL41" s="387"/>
      <c r="ANM41" s="387"/>
      <c r="ANN41" s="387"/>
      <c r="ANO41" s="387"/>
      <c r="ANP41" s="387"/>
      <c r="ANQ41" s="387"/>
      <c r="ANR41" s="387"/>
      <c r="ANS41" s="387"/>
      <c r="ANT41" s="387"/>
      <c r="ANU41" s="387"/>
      <c r="ANV41" s="387"/>
      <c r="ANW41" s="387"/>
      <c r="ANX41" s="387"/>
      <c r="ANY41" s="387"/>
      <c r="ANZ41" s="387"/>
      <c r="AOA41" s="387"/>
      <c r="AOB41" s="387"/>
      <c r="AOC41" s="387"/>
      <c r="AOD41" s="387"/>
      <c r="AOE41" s="387"/>
      <c r="AOF41" s="387"/>
      <c r="AOG41" s="387"/>
      <c r="AOH41" s="387"/>
      <c r="AOI41" s="387"/>
      <c r="AOJ41" s="387"/>
      <c r="AOK41" s="387"/>
      <c r="AOL41" s="387"/>
      <c r="AOM41" s="387"/>
      <c r="AON41" s="387"/>
      <c r="AOO41" s="387"/>
      <c r="AOP41" s="387"/>
      <c r="AOQ41" s="387"/>
      <c r="AOR41" s="387"/>
      <c r="AOS41" s="387"/>
      <c r="AOT41" s="387"/>
      <c r="AOU41" s="387"/>
      <c r="AOV41" s="387"/>
      <c r="AOW41" s="387"/>
      <c r="AOX41" s="387"/>
      <c r="AOY41" s="387"/>
      <c r="AOZ41" s="387"/>
      <c r="APA41" s="387"/>
      <c r="APB41" s="387"/>
      <c r="APC41" s="387"/>
      <c r="APD41" s="387"/>
      <c r="APE41" s="387"/>
      <c r="APF41" s="387"/>
      <c r="APG41" s="387"/>
      <c r="APH41" s="387"/>
      <c r="API41" s="387"/>
      <c r="APJ41" s="387"/>
      <c r="APK41" s="387"/>
      <c r="APL41" s="387"/>
      <c r="APM41" s="387"/>
      <c r="APN41" s="387"/>
      <c r="APO41" s="387"/>
      <c r="APP41" s="387"/>
      <c r="APQ41" s="387"/>
      <c r="APR41" s="387"/>
      <c r="APS41" s="387"/>
      <c r="APT41" s="387"/>
      <c r="APU41" s="387"/>
      <c r="APV41" s="387"/>
      <c r="APW41" s="387"/>
      <c r="APX41" s="387"/>
      <c r="APY41" s="387"/>
      <c r="APZ41" s="387"/>
      <c r="AQA41" s="387"/>
      <c r="AQB41" s="387"/>
      <c r="AQC41" s="387"/>
      <c r="AQD41" s="387"/>
      <c r="AQE41" s="387"/>
      <c r="AQF41" s="387"/>
      <c r="AQG41" s="387"/>
      <c r="AQH41" s="387"/>
      <c r="AQI41" s="387"/>
      <c r="AQJ41" s="387"/>
      <c r="AQK41" s="387"/>
      <c r="AQL41" s="387"/>
      <c r="AQM41" s="387"/>
      <c r="AQN41" s="387"/>
      <c r="AQO41" s="387"/>
      <c r="AQP41" s="387"/>
      <c r="AQQ41" s="387"/>
      <c r="AQR41" s="387"/>
      <c r="AQS41" s="387"/>
      <c r="AQT41" s="387"/>
      <c r="AQU41" s="387"/>
      <c r="AQV41" s="387"/>
      <c r="AQW41" s="387"/>
      <c r="AQX41" s="387"/>
      <c r="AQY41" s="387"/>
      <c r="AQZ41" s="387"/>
      <c r="ARA41" s="387"/>
      <c r="ARB41" s="387"/>
      <c r="ARC41" s="387"/>
      <c r="ARD41" s="387"/>
      <c r="ARE41" s="387"/>
      <c r="ARF41" s="387"/>
      <c r="ARG41" s="387"/>
      <c r="ARH41" s="387"/>
      <c r="ARI41" s="387"/>
      <c r="ARJ41" s="387"/>
      <c r="ARK41" s="387"/>
      <c r="ARL41" s="387"/>
      <c r="ARM41" s="387"/>
      <c r="ARN41" s="387"/>
      <c r="ARO41" s="387"/>
      <c r="ARP41" s="387"/>
      <c r="ARQ41" s="387"/>
      <c r="ARR41" s="387"/>
      <c r="ARS41" s="387"/>
      <c r="ART41" s="387"/>
      <c r="ARU41" s="387"/>
      <c r="ARV41" s="387"/>
      <c r="ARW41" s="387"/>
      <c r="ARX41" s="387"/>
      <c r="ARY41" s="387"/>
      <c r="ARZ41" s="387"/>
      <c r="ASA41" s="387"/>
      <c r="ASB41" s="387"/>
      <c r="ASC41" s="387"/>
      <c r="ASD41" s="387"/>
      <c r="ASE41" s="387"/>
      <c r="ASF41" s="387"/>
      <c r="ASG41" s="387"/>
      <c r="ASH41" s="387"/>
      <c r="ASI41" s="387"/>
      <c r="ASJ41" s="387"/>
      <c r="ASK41" s="387"/>
      <c r="ASL41" s="387"/>
      <c r="ASM41" s="387"/>
      <c r="ASN41" s="387"/>
      <c r="ASO41" s="387"/>
      <c r="ASP41" s="387"/>
      <c r="ASQ41" s="387"/>
      <c r="ASR41" s="387"/>
      <c r="ASS41" s="387"/>
      <c r="AST41" s="387"/>
      <c r="ASU41" s="387"/>
      <c r="ASV41" s="387"/>
      <c r="ASW41" s="387"/>
      <c r="ASX41" s="387"/>
      <c r="ASY41" s="387"/>
      <c r="ASZ41" s="387"/>
      <c r="ATA41" s="387"/>
      <c r="ATB41" s="387"/>
      <c r="ATC41" s="387"/>
      <c r="ATD41" s="387"/>
      <c r="ATE41" s="387"/>
      <c r="ATF41" s="387"/>
      <c r="ATG41" s="387"/>
      <c r="ATH41" s="387"/>
      <c r="ATI41" s="387"/>
      <c r="ATJ41" s="387"/>
      <c r="ATK41" s="387"/>
      <c r="ATL41" s="387"/>
      <c r="ATM41" s="387"/>
      <c r="ATN41" s="387"/>
      <c r="ATO41" s="387"/>
      <c r="ATP41" s="387"/>
      <c r="ATQ41" s="387"/>
      <c r="ATR41" s="387"/>
      <c r="ATS41" s="387"/>
      <c r="ATT41" s="387"/>
      <c r="ATU41" s="387"/>
      <c r="ATV41" s="387"/>
      <c r="ATW41" s="387"/>
      <c r="ATX41" s="387"/>
      <c r="ATY41" s="387"/>
      <c r="ATZ41" s="387"/>
      <c r="AUA41" s="387"/>
      <c r="AUB41" s="387"/>
      <c r="AUC41" s="387"/>
      <c r="AUD41" s="387"/>
      <c r="AUE41" s="387"/>
      <c r="AUF41" s="387"/>
      <c r="AUG41" s="387"/>
      <c r="AUH41" s="387"/>
      <c r="AUI41" s="387"/>
      <c r="AUJ41" s="387"/>
      <c r="AUK41" s="387"/>
      <c r="AUL41" s="387"/>
      <c r="AUM41" s="387"/>
      <c r="AUN41" s="387"/>
      <c r="AUO41" s="387"/>
      <c r="AUP41" s="387"/>
      <c r="AUQ41" s="387"/>
      <c r="AUR41" s="387"/>
      <c r="AUS41" s="387"/>
      <c r="AUT41" s="387"/>
      <c r="AUU41" s="387"/>
      <c r="AUV41" s="387"/>
      <c r="AUW41" s="387"/>
      <c r="AUX41" s="387"/>
      <c r="AUY41" s="387"/>
      <c r="AUZ41" s="387"/>
      <c r="AVA41" s="387"/>
      <c r="AVB41" s="387"/>
      <c r="AVC41" s="387"/>
      <c r="AVD41" s="387"/>
      <c r="AVE41" s="387"/>
      <c r="AVF41" s="387"/>
      <c r="AVG41" s="387"/>
      <c r="AVH41" s="387"/>
      <c r="AVI41" s="387"/>
      <c r="AVJ41" s="387"/>
      <c r="AVK41" s="387"/>
      <c r="AVL41" s="387"/>
      <c r="AVM41" s="387"/>
      <c r="AVN41" s="387"/>
      <c r="AVO41" s="387"/>
      <c r="AVP41" s="387"/>
      <c r="AVQ41" s="387"/>
      <c r="AVR41" s="387"/>
      <c r="AVS41" s="387"/>
      <c r="AVT41" s="387"/>
      <c r="AVU41" s="387"/>
      <c r="AVV41" s="387"/>
      <c r="AVW41" s="387"/>
      <c r="AVX41" s="387"/>
      <c r="AVY41" s="387"/>
      <c r="AVZ41" s="387"/>
      <c r="AWA41" s="387"/>
      <c r="AWB41" s="387"/>
      <c r="AWC41" s="387"/>
      <c r="AWD41" s="387"/>
      <c r="AWE41" s="387"/>
      <c r="AWF41" s="387"/>
      <c r="AWG41" s="387"/>
      <c r="AWH41" s="387"/>
      <c r="AWI41" s="387"/>
      <c r="AWJ41" s="387"/>
      <c r="AWK41" s="387"/>
      <c r="AWL41" s="387"/>
      <c r="AWM41" s="387"/>
      <c r="AWN41" s="387"/>
      <c r="AWO41" s="387"/>
      <c r="AWP41" s="387"/>
      <c r="AWQ41" s="387"/>
      <c r="AWR41" s="387"/>
      <c r="AWS41" s="387"/>
      <c r="AWT41" s="387"/>
      <c r="AWU41" s="387"/>
      <c r="AWV41" s="387"/>
      <c r="AWW41" s="387"/>
      <c r="AWX41" s="387"/>
      <c r="AWY41" s="387"/>
      <c r="AWZ41" s="387"/>
      <c r="AXA41" s="387"/>
      <c r="AXB41" s="387"/>
      <c r="AXC41" s="387"/>
      <c r="AXD41" s="387"/>
      <c r="AXE41" s="387"/>
      <c r="AXF41" s="387"/>
      <c r="AXG41" s="387"/>
      <c r="AXH41" s="387"/>
      <c r="AXI41" s="387"/>
      <c r="AXJ41" s="387"/>
      <c r="AXK41" s="387"/>
      <c r="AXL41" s="387"/>
      <c r="AXM41" s="387"/>
      <c r="AXN41" s="387"/>
      <c r="AXO41" s="387"/>
      <c r="AXP41" s="387"/>
      <c r="AXQ41" s="387"/>
      <c r="AXR41" s="387"/>
      <c r="AXS41" s="387"/>
      <c r="AXT41" s="387"/>
      <c r="AXU41" s="387"/>
      <c r="AXV41" s="387"/>
      <c r="AXW41" s="387"/>
      <c r="AXX41" s="387"/>
      <c r="AXY41" s="387"/>
      <c r="AXZ41" s="387"/>
      <c r="AYA41" s="387"/>
      <c r="AYB41" s="387"/>
      <c r="AYC41" s="387"/>
      <c r="AYD41" s="387"/>
      <c r="AYE41" s="387"/>
      <c r="AYF41" s="387"/>
      <c r="AYG41" s="387"/>
      <c r="AYH41" s="387"/>
      <c r="AYI41" s="387"/>
      <c r="AYJ41" s="387"/>
      <c r="AYK41" s="387"/>
      <c r="AYL41" s="387"/>
      <c r="AYM41" s="387"/>
      <c r="AYN41" s="387"/>
      <c r="AYO41" s="387"/>
      <c r="AYP41" s="387"/>
      <c r="AYQ41" s="387"/>
      <c r="AYR41" s="387"/>
      <c r="AYS41" s="387"/>
      <c r="AYT41" s="387"/>
      <c r="AYU41" s="387"/>
      <c r="AYV41" s="387"/>
      <c r="AYW41" s="387"/>
      <c r="AYX41" s="387"/>
      <c r="AYY41" s="387"/>
      <c r="AYZ41" s="387"/>
      <c r="AZA41" s="387"/>
      <c r="AZB41" s="387"/>
      <c r="AZC41" s="387"/>
      <c r="AZD41" s="387"/>
      <c r="AZE41" s="387"/>
      <c r="AZF41" s="387"/>
      <c r="AZG41" s="387"/>
      <c r="AZH41" s="387"/>
      <c r="AZI41" s="387"/>
      <c r="AZJ41" s="387"/>
      <c r="AZK41" s="387"/>
      <c r="AZL41" s="387"/>
      <c r="AZM41" s="387"/>
      <c r="AZN41" s="387"/>
      <c r="AZO41" s="387"/>
      <c r="AZP41" s="387"/>
      <c r="AZQ41" s="387"/>
      <c r="AZR41" s="387"/>
      <c r="AZS41" s="387"/>
      <c r="AZT41" s="387"/>
      <c r="AZU41" s="387"/>
      <c r="AZV41" s="387"/>
      <c r="AZW41" s="387"/>
      <c r="AZX41" s="387"/>
      <c r="AZY41" s="387"/>
      <c r="AZZ41" s="387"/>
      <c r="BAA41" s="387"/>
      <c r="BAB41" s="387"/>
      <c r="BAC41" s="387"/>
      <c r="BAD41" s="387"/>
      <c r="BAE41" s="387"/>
      <c r="BAF41" s="387"/>
      <c r="BAG41" s="387"/>
      <c r="BAH41" s="387"/>
      <c r="BAI41" s="387"/>
      <c r="BAJ41" s="387"/>
      <c r="BAK41" s="387"/>
      <c r="BAL41" s="387"/>
      <c r="BAM41" s="387"/>
      <c r="BAN41" s="387"/>
      <c r="BAO41" s="387"/>
      <c r="BAP41" s="387"/>
      <c r="BAQ41" s="387"/>
      <c r="BAR41" s="387"/>
      <c r="BAS41" s="387"/>
      <c r="BAT41" s="387"/>
      <c r="BAU41" s="387"/>
      <c r="BAV41" s="387"/>
      <c r="BAW41" s="387"/>
      <c r="BAX41" s="387"/>
      <c r="BAY41" s="387"/>
      <c r="BAZ41" s="387"/>
      <c r="BBA41" s="387"/>
      <c r="BBB41" s="387"/>
      <c r="BBC41" s="387"/>
      <c r="BBD41" s="387"/>
      <c r="BBE41" s="387"/>
      <c r="BBF41" s="387"/>
      <c r="BBG41" s="387"/>
      <c r="BBH41" s="387"/>
      <c r="BBI41" s="387"/>
      <c r="BBJ41" s="387"/>
      <c r="BBK41" s="387"/>
      <c r="BBL41" s="387"/>
      <c r="BBM41" s="387"/>
      <c r="BBN41" s="387"/>
      <c r="BBO41" s="387"/>
      <c r="BBP41" s="387"/>
      <c r="BBQ41" s="387"/>
      <c r="BBR41" s="387"/>
      <c r="BBS41" s="387"/>
      <c r="BBT41" s="387"/>
      <c r="BBU41" s="387"/>
      <c r="BBV41" s="387"/>
      <c r="BBW41" s="387"/>
      <c r="BBX41" s="387"/>
      <c r="BBY41" s="387"/>
      <c r="BBZ41" s="387"/>
      <c r="BCA41" s="387"/>
      <c r="BCB41" s="387"/>
      <c r="BCC41" s="387"/>
      <c r="BCD41" s="387"/>
      <c r="BCE41" s="387"/>
      <c r="BCF41" s="387"/>
      <c r="BCG41" s="387"/>
      <c r="BCH41" s="387"/>
      <c r="BCI41" s="387"/>
      <c r="BCJ41" s="387"/>
      <c r="BCK41" s="387"/>
      <c r="BCL41" s="387"/>
      <c r="BCM41" s="387"/>
      <c r="BCN41" s="387"/>
      <c r="BCO41" s="387"/>
      <c r="BCP41" s="387"/>
      <c r="BCQ41" s="387"/>
      <c r="BCR41" s="387"/>
      <c r="BCS41" s="387"/>
      <c r="BCT41" s="387"/>
      <c r="BCU41" s="387"/>
      <c r="BCV41" s="387"/>
      <c r="BCW41" s="387"/>
      <c r="BCX41" s="387"/>
      <c r="BCY41" s="387"/>
      <c r="BCZ41" s="387"/>
      <c r="BDA41" s="387"/>
      <c r="BDB41" s="387"/>
      <c r="BDC41" s="387"/>
      <c r="BDD41" s="387"/>
      <c r="BDE41" s="387"/>
      <c r="BDF41" s="387"/>
      <c r="BDG41" s="387"/>
      <c r="BDH41" s="387"/>
      <c r="BDI41" s="387"/>
      <c r="BDJ41" s="387"/>
      <c r="BDK41" s="387"/>
      <c r="BDL41" s="387"/>
      <c r="BDM41" s="387"/>
      <c r="BDN41" s="387"/>
      <c r="BDO41" s="387"/>
      <c r="BDP41" s="387"/>
      <c r="BDQ41" s="387"/>
      <c r="BDR41" s="387"/>
      <c r="BDS41" s="387"/>
      <c r="BDT41" s="387"/>
      <c r="BDU41" s="387"/>
      <c r="BDV41" s="387"/>
      <c r="BDW41" s="387"/>
      <c r="BDX41" s="387"/>
      <c r="BDY41" s="387"/>
      <c r="BDZ41" s="387"/>
      <c r="BEA41" s="387"/>
      <c r="BEB41" s="387"/>
      <c r="BEC41" s="387"/>
      <c r="BED41" s="387"/>
      <c r="BEE41" s="387"/>
      <c r="BEF41" s="387"/>
      <c r="BEG41" s="387"/>
      <c r="BEH41" s="387"/>
      <c r="BEI41" s="387"/>
      <c r="BEJ41" s="387"/>
      <c r="BEK41" s="387"/>
      <c r="BEL41" s="387"/>
      <c r="BEM41" s="387"/>
      <c r="BEN41" s="387"/>
      <c r="BEO41" s="387"/>
      <c r="BEP41" s="387"/>
      <c r="BEQ41" s="387"/>
      <c r="BER41" s="387"/>
      <c r="BES41" s="387"/>
      <c r="BET41" s="387"/>
      <c r="BEU41" s="387"/>
      <c r="BEV41" s="387"/>
      <c r="BEW41" s="387"/>
      <c r="BEX41" s="387"/>
      <c r="BEY41" s="387"/>
      <c r="BEZ41" s="387"/>
      <c r="BFA41" s="387"/>
      <c r="BFB41" s="387"/>
      <c r="BFC41" s="387"/>
      <c r="BFD41" s="387"/>
      <c r="BFE41" s="387"/>
      <c r="BFF41" s="387"/>
      <c r="BFG41" s="387"/>
      <c r="BFH41" s="387"/>
      <c r="BFI41" s="387"/>
      <c r="BFJ41" s="387"/>
      <c r="BFK41" s="387"/>
      <c r="BFL41" s="387"/>
      <c r="BFM41" s="387"/>
      <c r="BFN41" s="387"/>
      <c r="BFO41" s="387"/>
      <c r="BFP41" s="387"/>
      <c r="BFQ41" s="387"/>
      <c r="BFR41" s="387"/>
      <c r="BFS41" s="387"/>
      <c r="BFT41" s="387"/>
      <c r="BFU41" s="387"/>
      <c r="BFV41" s="387"/>
      <c r="BFW41" s="387"/>
      <c r="BFX41" s="387"/>
      <c r="BFY41" s="387"/>
      <c r="BFZ41" s="387"/>
      <c r="BGA41" s="387"/>
      <c r="BGB41" s="387"/>
      <c r="BGC41" s="387"/>
      <c r="BGD41" s="387"/>
      <c r="BGE41" s="387"/>
      <c r="BGF41" s="387"/>
      <c r="BGG41" s="387"/>
      <c r="BGH41" s="387"/>
      <c r="BGI41" s="387"/>
      <c r="BGJ41" s="387"/>
      <c r="BGK41" s="387"/>
      <c r="BGL41" s="387"/>
      <c r="BGM41" s="387"/>
      <c r="BGN41" s="387"/>
      <c r="BGO41" s="387"/>
      <c r="BGP41" s="387"/>
      <c r="BGQ41" s="387"/>
      <c r="BGR41" s="387"/>
      <c r="BGS41" s="387"/>
      <c r="BGT41" s="387"/>
      <c r="BGU41" s="387"/>
      <c r="BGV41" s="387"/>
      <c r="BGW41" s="387"/>
      <c r="BGX41" s="387"/>
      <c r="BGY41" s="387"/>
      <c r="BGZ41" s="387"/>
      <c r="BHA41" s="387"/>
      <c r="BHB41" s="387"/>
      <c r="BHC41" s="387"/>
      <c r="BHD41" s="387"/>
      <c r="BHE41" s="387"/>
      <c r="BHF41" s="387"/>
      <c r="BHG41" s="387"/>
      <c r="BHH41" s="387"/>
      <c r="BHI41" s="387"/>
      <c r="BHJ41" s="387"/>
      <c r="BHK41" s="387"/>
      <c r="BHL41" s="387"/>
      <c r="BHM41" s="387"/>
      <c r="BHN41" s="387"/>
      <c r="BHO41" s="387"/>
      <c r="BHP41" s="387"/>
      <c r="BHQ41" s="387"/>
      <c r="BHR41" s="387"/>
      <c r="BHS41" s="387"/>
      <c r="BHT41" s="387"/>
      <c r="BHU41" s="387"/>
      <c r="BHV41" s="387"/>
      <c r="BHW41" s="387"/>
      <c r="BHX41" s="387"/>
      <c r="BHY41" s="387"/>
      <c r="BHZ41" s="387"/>
      <c r="BIA41" s="387"/>
      <c r="BIB41" s="387"/>
      <c r="BIC41" s="387"/>
      <c r="BID41" s="387"/>
      <c r="BIE41" s="387"/>
      <c r="BIF41" s="387"/>
      <c r="BIG41" s="387"/>
      <c r="BIH41" s="387"/>
      <c r="BII41" s="387"/>
      <c r="BIJ41" s="387"/>
      <c r="BIK41" s="387"/>
      <c r="BIL41" s="387"/>
      <c r="BIM41" s="387"/>
      <c r="BIN41" s="387"/>
      <c r="BIO41" s="387"/>
      <c r="BIP41" s="387"/>
      <c r="BIQ41" s="387"/>
      <c r="BIR41" s="387"/>
      <c r="BIS41" s="387"/>
      <c r="BIT41" s="387"/>
      <c r="BIU41" s="387"/>
      <c r="BIV41" s="387"/>
      <c r="BIW41" s="387"/>
      <c r="BIX41" s="387"/>
      <c r="BIY41" s="387"/>
      <c r="BIZ41" s="387"/>
      <c r="BJA41" s="387"/>
      <c r="BJB41" s="387"/>
      <c r="BJC41" s="387"/>
      <c r="BJD41" s="387"/>
      <c r="BJE41" s="387"/>
      <c r="BJF41" s="387"/>
      <c r="BJG41" s="387"/>
      <c r="BJH41" s="387"/>
      <c r="BJI41" s="387"/>
      <c r="BJJ41" s="387"/>
      <c r="BJK41" s="387"/>
      <c r="BJL41" s="387"/>
      <c r="BJM41" s="387"/>
      <c r="BJN41" s="387"/>
      <c r="BJO41" s="387"/>
      <c r="BJP41" s="387"/>
      <c r="BJQ41" s="387"/>
      <c r="BJR41" s="387"/>
      <c r="BJS41" s="387"/>
      <c r="BJT41" s="387"/>
      <c r="BJU41" s="387"/>
      <c r="BJV41" s="387"/>
      <c r="BJW41" s="387"/>
      <c r="BJX41" s="387"/>
      <c r="BJY41" s="387"/>
      <c r="BJZ41" s="387"/>
      <c r="BKA41" s="387"/>
      <c r="BKB41" s="387"/>
      <c r="BKC41" s="387"/>
      <c r="BKD41" s="387"/>
      <c r="BKE41" s="387"/>
      <c r="BKF41" s="387"/>
      <c r="BKG41" s="387"/>
      <c r="BKH41" s="387"/>
      <c r="BKI41" s="387"/>
      <c r="BKJ41" s="387"/>
      <c r="BKK41" s="387"/>
      <c r="BKL41" s="387"/>
      <c r="BKM41" s="387"/>
      <c r="BKN41" s="387"/>
      <c r="BKO41" s="387"/>
      <c r="BKP41" s="387"/>
      <c r="BKQ41" s="387"/>
      <c r="BKR41" s="387"/>
      <c r="BKS41" s="387"/>
      <c r="BKT41" s="387"/>
      <c r="BKU41" s="387"/>
      <c r="BKV41" s="387"/>
      <c r="BKW41" s="387"/>
      <c r="BKX41" s="387"/>
      <c r="BKY41" s="387"/>
      <c r="BKZ41" s="387"/>
      <c r="BLA41" s="387"/>
      <c r="BLB41" s="387"/>
      <c r="BLC41" s="387"/>
      <c r="BLD41" s="387"/>
      <c r="BLE41" s="387"/>
      <c r="BLF41" s="387"/>
      <c r="BLG41" s="387"/>
      <c r="BLH41" s="387"/>
      <c r="BLI41" s="387"/>
      <c r="BLJ41" s="387"/>
      <c r="BLK41" s="387"/>
      <c r="BLL41" s="387"/>
      <c r="BLM41" s="387"/>
      <c r="BLN41" s="387"/>
      <c r="BLO41" s="387"/>
      <c r="BLP41" s="387"/>
      <c r="BLQ41" s="387"/>
      <c r="BLR41" s="387"/>
      <c r="BLS41" s="387"/>
      <c r="BLT41" s="387"/>
      <c r="BLU41" s="387"/>
      <c r="BLV41" s="387"/>
      <c r="BLW41" s="387"/>
      <c r="BLX41" s="387"/>
      <c r="BLY41" s="387"/>
      <c r="BLZ41" s="387"/>
      <c r="BMA41" s="387"/>
      <c r="BMB41" s="387"/>
      <c r="BMC41" s="387"/>
      <c r="BMD41" s="387"/>
      <c r="BME41" s="387"/>
      <c r="BMF41" s="387"/>
      <c r="BMG41" s="387"/>
      <c r="BMH41" s="387"/>
      <c r="BMI41" s="387"/>
      <c r="BMJ41" s="387"/>
      <c r="BMK41" s="387"/>
      <c r="BML41" s="387"/>
      <c r="BMM41" s="387"/>
      <c r="BMN41" s="387"/>
      <c r="BMO41" s="387"/>
      <c r="BMP41" s="387"/>
      <c r="BMQ41" s="387"/>
      <c r="BMR41" s="387"/>
      <c r="BMS41" s="387"/>
      <c r="BMT41" s="387"/>
      <c r="BMU41" s="387"/>
      <c r="BMV41" s="387"/>
      <c r="BMW41" s="387"/>
      <c r="BMX41" s="387"/>
      <c r="BMY41" s="387"/>
      <c r="BMZ41" s="387"/>
      <c r="BNA41" s="387"/>
      <c r="BNB41" s="387"/>
      <c r="BNC41" s="387"/>
      <c r="BND41" s="387"/>
      <c r="BNE41" s="387"/>
      <c r="BNF41" s="387"/>
      <c r="BNG41" s="387"/>
      <c r="BNH41" s="387"/>
      <c r="BNI41" s="387"/>
      <c r="BNJ41" s="387"/>
      <c r="BNK41" s="387"/>
      <c r="BNL41" s="387"/>
      <c r="BNM41" s="387"/>
      <c r="BNN41" s="387"/>
      <c r="BNO41" s="387"/>
      <c r="BNP41" s="387"/>
      <c r="BNQ41" s="387"/>
      <c r="BNR41" s="387"/>
      <c r="BNS41" s="387"/>
      <c r="BNT41" s="387"/>
      <c r="BNU41" s="387"/>
      <c r="BNV41" s="387"/>
      <c r="BNW41" s="387"/>
      <c r="BNX41" s="387"/>
      <c r="BNY41" s="387"/>
      <c r="BNZ41" s="387"/>
      <c r="BOA41" s="387"/>
      <c r="BOB41" s="387"/>
      <c r="BOC41" s="387"/>
      <c r="BOD41" s="387"/>
      <c r="BOE41" s="387"/>
      <c r="BOF41" s="387"/>
      <c r="BOG41" s="387"/>
      <c r="BOH41" s="387"/>
      <c r="BOI41" s="387"/>
      <c r="BOJ41" s="387"/>
      <c r="BOK41" s="387"/>
      <c r="BOL41" s="387"/>
      <c r="BOM41" s="387"/>
      <c r="BON41" s="387"/>
      <c r="BOO41" s="387"/>
      <c r="BOP41" s="387"/>
      <c r="BOQ41" s="387"/>
      <c r="BOR41" s="387"/>
      <c r="BOS41" s="387"/>
      <c r="BOT41" s="387"/>
      <c r="BOU41" s="387"/>
      <c r="BOV41" s="387"/>
      <c r="BOW41" s="387"/>
      <c r="BOX41" s="387"/>
      <c r="BOY41" s="387"/>
      <c r="BOZ41" s="387"/>
      <c r="BPA41" s="387"/>
      <c r="BPB41" s="387"/>
      <c r="BPC41" s="387"/>
      <c r="BPD41" s="387"/>
      <c r="BPE41" s="387"/>
      <c r="BPF41" s="387"/>
      <c r="BPG41" s="387"/>
      <c r="BPH41" s="387"/>
      <c r="BPI41" s="387"/>
      <c r="BPJ41" s="387"/>
      <c r="BPK41" s="387"/>
      <c r="BPL41" s="387"/>
      <c r="BPM41" s="387"/>
      <c r="BPN41" s="387"/>
      <c r="BPO41" s="387"/>
      <c r="BPP41" s="387"/>
      <c r="BPQ41" s="387"/>
      <c r="BPR41" s="387"/>
      <c r="BPS41" s="387"/>
      <c r="BPT41" s="387"/>
      <c r="BPU41" s="387"/>
      <c r="BPV41" s="387"/>
      <c r="BPW41" s="387"/>
      <c r="BPX41" s="387"/>
      <c r="BPY41" s="387"/>
      <c r="BPZ41" s="387"/>
      <c r="BQA41" s="387"/>
      <c r="BQB41" s="387"/>
      <c r="BQC41" s="387"/>
      <c r="BQD41" s="387"/>
      <c r="BQE41" s="387"/>
      <c r="BQF41" s="387"/>
      <c r="BQG41" s="387"/>
      <c r="BQH41" s="387"/>
      <c r="BQI41" s="387"/>
      <c r="BQJ41" s="387"/>
      <c r="BQK41" s="387"/>
      <c r="BQL41" s="387"/>
      <c r="BQM41" s="387"/>
      <c r="BQN41" s="387"/>
      <c r="BQO41" s="387"/>
      <c r="BQP41" s="387"/>
      <c r="BQQ41" s="387"/>
      <c r="BQR41" s="387"/>
      <c r="BQS41" s="387"/>
      <c r="BQT41" s="387"/>
      <c r="BQU41" s="387"/>
      <c r="BQV41" s="387"/>
      <c r="BQW41" s="387"/>
      <c r="BQX41" s="387"/>
      <c r="BQY41" s="387"/>
      <c r="BQZ41" s="387"/>
      <c r="BRA41" s="387"/>
      <c r="BRB41" s="387"/>
      <c r="BRC41" s="387"/>
      <c r="BRD41" s="387"/>
      <c r="BRE41" s="387"/>
      <c r="BRF41" s="387"/>
      <c r="BRG41" s="387"/>
      <c r="BRH41" s="387"/>
      <c r="BRI41" s="387"/>
      <c r="BRJ41" s="387"/>
      <c r="BRK41" s="387"/>
      <c r="BRL41" s="387"/>
      <c r="BRM41" s="387"/>
      <c r="BRN41" s="387"/>
      <c r="BRO41" s="387"/>
      <c r="BRP41" s="387"/>
      <c r="BRQ41" s="387"/>
      <c r="BRR41" s="387"/>
      <c r="BRS41" s="387"/>
      <c r="BRT41" s="387"/>
      <c r="BRU41" s="387"/>
      <c r="BRV41" s="387"/>
      <c r="BRW41" s="387"/>
      <c r="BRX41" s="387"/>
      <c r="BRY41" s="387"/>
      <c r="BRZ41" s="387"/>
      <c r="BSA41" s="387"/>
      <c r="BSB41" s="387"/>
      <c r="BSC41" s="387"/>
      <c r="BSD41" s="387"/>
      <c r="BSE41" s="387"/>
      <c r="BSF41" s="387"/>
      <c r="BSG41" s="387"/>
      <c r="BSH41" s="387"/>
      <c r="BSI41" s="387"/>
      <c r="BSJ41" s="387"/>
      <c r="BSK41" s="387"/>
      <c r="BSL41" s="387"/>
      <c r="BSM41" s="387"/>
      <c r="BSN41" s="387"/>
      <c r="BSO41" s="387"/>
      <c r="BSP41" s="387"/>
      <c r="BSQ41" s="387"/>
      <c r="BSR41" s="387"/>
      <c r="BSS41" s="387"/>
      <c r="BST41" s="387"/>
      <c r="BSU41" s="387"/>
      <c r="BSV41" s="387"/>
      <c r="BSW41" s="387"/>
      <c r="BSX41" s="387"/>
      <c r="BSY41" s="387"/>
      <c r="BSZ41" s="387"/>
      <c r="BTA41" s="387"/>
      <c r="BTB41" s="387"/>
      <c r="BTC41" s="387"/>
      <c r="BTD41" s="387"/>
      <c r="BTE41" s="387"/>
      <c r="BTF41" s="387"/>
      <c r="BTG41" s="387"/>
      <c r="BTH41" s="387"/>
      <c r="BTI41" s="387"/>
    </row>
    <row r="42" spans="1:1881" s="4" customFormat="1" ht="71.25" customHeight="1" x14ac:dyDescent="0.25">
      <c r="A42" s="186">
        <v>591</v>
      </c>
      <c r="B42" s="333" t="s">
        <v>598</v>
      </c>
      <c r="C42" s="334" t="s">
        <v>599</v>
      </c>
      <c r="D42" s="173" t="s">
        <v>600</v>
      </c>
      <c r="E42" s="683" t="e">
        <f>HLOOKUP('Unit Data from Audit Worksheet'!$D$2,'2019 Data(H)'!$D$1:$BB$202,167,FALSE)</f>
        <v>#N/A</v>
      </c>
      <c r="F42" s="559"/>
      <c r="G42" s="388">
        <f>IF(F42&lt;0,"Error: Enter as positive.",)</f>
        <v>0</v>
      </c>
      <c r="H42" s="147"/>
      <c r="J42" s="362"/>
      <c r="K42" s="387"/>
      <c r="L42" s="674" t="s">
        <v>946</v>
      </c>
      <c r="M42" s="576"/>
      <c r="N42" s="594"/>
      <c r="O42" s="387"/>
      <c r="P42" s="387"/>
      <c r="Q42" s="387"/>
      <c r="R42"/>
      <c r="S42" s="682"/>
      <c r="T42" s="387"/>
      <c r="U42" s="387"/>
      <c r="V42" s="387"/>
      <c r="W42" s="387"/>
      <c r="X42" s="682"/>
      <c r="Y42" s="387"/>
      <c r="Z42" s="387"/>
      <c r="AA42" s="387"/>
      <c r="AB42" s="387"/>
      <c r="AC42" s="387"/>
      <c r="AD42" s="387"/>
      <c r="AE42" s="387"/>
      <c r="AF42" s="387"/>
      <c r="AG42" s="387"/>
      <c r="AH42" s="387"/>
      <c r="AI42" s="387"/>
      <c r="AJ42" s="387"/>
      <c r="AK42" s="387"/>
      <c r="AL42" s="387"/>
      <c r="AM42" s="387"/>
      <c r="AN42" s="387"/>
      <c r="AO42" s="387"/>
      <c r="AP42" s="387"/>
      <c r="AQ42" s="387"/>
      <c r="AR42" s="387"/>
      <c r="AS42" s="387"/>
      <c r="AT42" s="387"/>
      <c r="AU42" s="387"/>
      <c r="AV42" s="387"/>
      <c r="AW42" s="387"/>
      <c r="AX42" s="387"/>
      <c r="AY42" s="387"/>
      <c r="AZ42" s="387"/>
      <c r="BA42" s="387"/>
      <c r="BB42" s="387"/>
      <c r="BC42" s="387"/>
      <c r="BD42" s="387"/>
      <c r="BE42" s="387"/>
      <c r="BF42" s="387"/>
      <c r="BG42" s="387"/>
      <c r="BH42" s="387"/>
      <c r="BI42" s="387"/>
      <c r="BJ42" s="387"/>
      <c r="BK42" s="387"/>
      <c r="BL42" s="387"/>
      <c r="BM42" s="387"/>
      <c r="BN42" s="387"/>
      <c r="BO42" s="387"/>
      <c r="BP42" s="387"/>
      <c r="BQ42" s="387"/>
      <c r="BR42" s="387"/>
      <c r="BS42" s="387"/>
      <c r="BT42" s="387"/>
      <c r="BU42" s="387"/>
      <c r="BV42" s="387"/>
      <c r="BW42" s="387"/>
      <c r="BX42" s="387"/>
      <c r="BY42" s="387"/>
      <c r="BZ42" s="387"/>
      <c r="CA42" s="387"/>
      <c r="CB42" s="387"/>
      <c r="CC42" s="387"/>
      <c r="CD42" s="387"/>
      <c r="CE42" s="387"/>
      <c r="CF42" s="387"/>
      <c r="CG42" s="387"/>
      <c r="CH42" s="387"/>
      <c r="CI42" s="387"/>
      <c r="CJ42" s="387"/>
      <c r="CK42" s="387"/>
      <c r="CL42" s="387"/>
      <c r="CM42" s="387"/>
      <c r="CN42" s="387"/>
      <c r="CO42" s="387"/>
      <c r="CP42" s="387"/>
      <c r="CQ42" s="387"/>
      <c r="CR42" s="387"/>
      <c r="CS42" s="387"/>
      <c r="CT42" s="387"/>
      <c r="CU42" s="387"/>
      <c r="CV42" s="387"/>
      <c r="CW42" s="387"/>
      <c r="CX42" s="387"/>
      <c r="CY42" s="387"/>
      <c r="CZ42" s="387"/>
      <c r="DA42" s="387"/>
      <c r="DB42" s="387"/>
      <c r="DC42" s="387"/>
      <c r="DD42" s="387"/>
      <c r="DE42" s="387"/>
      <c r="DF42" s="387"/>
      <c r="DG42" s="387"/>
      <c r="DH42" s="387"/>
      <c r="DI42" s="387"/>
      <c r="DJ42" s="387"/>
      <c r="DK42" s="387"/>
      <c r="DL42" s="387"/>
      <c r="DM42" s="387"/>
      <c r="DN42" s="387"/>
      <c r="DO42" s="387"/>
      <c r="DP42" s="387"/>
      <c r="DQ42" s="387"/>
      <c r="DR42" s="387"/>
      <c r="DS42" s="387"/>
      <c r="DT42" s="387"/>
      <c r="DU42" s="387"/>
      <c r="DV42" s="387"/>
      <c r="DW42" s="387"/>
      <c r="DX42" s="387"/>
      <c r="DY42" s="387"/>
      <c r="DZ42" s="387"/>
      <c r="EA42" s="387"/>
      <c r="EB42" s="387"/>
      <c r="EC42" s="387"/>
      <c r="ED42" s="387"/>
      <c r="EE42" s="387"/>
      <c r="EF42" s="387"/>
      <c r="EG42" s="387"/>
      <c r="EH42" s="387"/>
      <c r="EI42" s="387"/>
      <c r="EJ42" s="387"/>
      <c r="EK42" s="387"/>
      <c r="EL42" s="387"/>
      <c r="EM42" s="387"/>
      <c r="EN42" s="387"/>
      <c r="EO42" s="387"/>
      <c r="EP42" s="387"/>
      <c r="EQ42" s="387"/>
      <c r="ER42" s="387"/>
      <c r="ES42" s="387"/>
      <c r="ET42" s="387"/>
      <c r="EU42" s="387"/>
      <c r="EV42" s="387"/>
      <c r="EW42" s="387"/>
      <c r="EX42" s="387"/>
      <c r="EY42" s="387"/>
      <c r="EZ42" s="387"/>
      <c r="FA42" s="387"/>
      <c r="FB42" s="387"/>
      <c r="FC42" s="387"/>
      <c r="FD42" s="387"/>
      <c r="FE42" s="387"/>
      <c r="FF42" s="387"/>
      <c r="FG42" s="387"/>
      <c r="FH42" s="387"/>
      <c r="FI42" s="387"/>
      <c r="FJ42" s="387"/>
      <c r="FK42" s="387"/>
      <c r="FL42" s="387"/>
      <c r="FM42" s="387"/>
      <c r="FN42" s="387"/>
      <c r="FO42" s="387"/>
      <c r="FP42" s="387"/>
      <c r="FQ42" s="387"/>
      <c r="FR42" s="387"/>
      <c r="FS42" s="387"/>
      <c r="FT42" s="387"/>
      <c r="FU42" s="387"/>
      <c r="FV42" s="387"/>
      <c r="FW42" s="387"/>
      <c r="FX42" s="387"/>
      <c r="FY42" s="387"/>
      <c r="FZ42" s="387"/>
      <c r="GA42" s="387"/>
      <c r="GB42" s="387"/>
      <c r="GC42" s="387"/>
      <c r="GD42" s="387"/>
      <c r="GE42" s="387"/>
      <c r="GF42" s="387"/>
      <c r="GG42" s="387"/>
      <c r="GH42" s="387"/>
      <c r="GI42" s="387"/>
      <c r="GJ42" s="387"/>
      <c r="GK42" s="387"/>
      <c r="GL42" s="387"/>
      <c r="GM42" s="387"/>
      <c r="GN42" s="387"/>
      <c r="GO42" s="387"/>
      <c r="GP42" s="387"/>
      <c r="GQ42" s="387"/>
      <c r="GR42" s="387"/>
      <c r="GS42" s="387"/>
      <c r="GT42" s="387"/>
      <c r="GU42" s="387"/>
      <c r="GV42" s="387"/>
      <c r="GW42" s="387"/>
      <c r="GX42" s="387"/>
      <c r="GY42" s="387"/>
      <c r="GZ42" s="387"/>
      <c r="HA42" s="387"/>
      <c r="HB42" s="387"/>
      <c r="HC42" s="387"/>
      <c r="HD42" s="387"/>
      <c r="HE42" s="387"/>
      <c r="HF42" s="387"/>
      <c r="HG42" s="387"/>
      <c r="HH42" s="387"/>
      <c r="HI42" s="387"/>
      <c r="HJ42" s="387"/>
      <c r="HK42" s="387"/>
      <c r="HL42" s="387"/>
      <c r="HM42" s="387"/>
      <c r="HN42" s="387"/>
      <c r="HO42" s="387"/>
      <c r="HP42" s="387"/>
      <c r="HQ42" s="387"/>
      <c r="HR42" s="387"/>
      <c r="HS42" s="387"/>
      <c r="HT42" s="387"/>
      <c r="HU42" s="387"/>
      <c r="HV42" s="387"/>
      <c r="HW42" s="387"/>
      <c r="HX42" s="387"/>
      <c r="HY42" s="387"/>
      <c r="HZ42" s="387"/>
      <c r="IA42" s="387"/>
      <c r="IB42" s="387"/>
      <c r="IC42" s="387"/>
      <c r="ID42" s="387"/>
      <c r="IE42" s="387"/>
      <c r="IF42" s="387"/>
      <c r="IG42" s="387"/>
      <c r="IH42" s="387"/>
      <c r="II42" s="387"/>
      <c r="IJ42" s="387"/>
      <c r="IK42" s="387"/>
      <c r="IL42" s="387"/>
      <c r="IM42" s="387"/>
      <c r="IN42" s="387"/>
      <c r="IO42" s="387"/>
      <c r="IP42" s="387"/>
      <c r="IQ42" s="387"/>
      <c r="IR42" s="387"/>
      <c r="IS42" s="387"/>
      <c r="IT42" s="387"/>
      <c r="IU42" s="387"/>
      <c r="IV42" s="387"/>
      <c r="IW42" s="387"/>
      <c r="IX42" s="387"/>
      <c r="IY42" s="387"/>
      <c r="IZ42" s="387"/>
      <c r="JA42" s="387"/>
      <c r="JB42" s="387"/>
      <c r="JC42" s="387"/>
      <c r="JD42" s="387"/>
      <c r="JE42" s="387"/>
      <c r="JF42" s="387"/>
      <c r="JG42" s="387"/>
      <c r="JH42" s="387"/>
      <c r="JI42" s="387"/>
      <c r="JJ42" s="387"/>
      <c r="JK42" s="387"/>
      <c r="JL42" s="387"/>
      <c r="JM42" s="387"/>
      <c r="JN42" s="387"/>
      <c r="JO42" s="387"/>
      <c r="JP42" s="387"/>
      <c r="JQ42" s="387"/>
      <c r="JR42" s="387"/>
      <c r="JS42" s="387"/>
      <c r="JT42" s="387"/>
      <c r="JU42" s="387"/>
      <c r="JV42" s="387"/>
      <c r="JW42" s="387"/>
      <c r="JX42" s="387"/>
      <c r="JY42" s="387"/>
      <c r="JZ42" s="387"/>
      <c r="KA42" s="387"/>
      <c r="KB42" s="387"/>
      <c r="KC42" s="387"/>
      <c r="KD42" s="387"/>
      <c r="KE42" s="387"/>
      <c r="KF42" s="387"/>
      <c r="KG42" s="387"/>
      <c r="KH42" s="387"/>
      <c r="KI42" s="387"/>
      <c r="KJ42" s="387"/>
      <c r="KK42" s="387"/>
      <c r="KL42" s="387"/>
      <c r="KM42" s="387"/>
      <c r="KN42" s="387"/>
      <c r="KO42" s="387"/>
      <c r="KP42" s="387"/>
      <c r="KQ42" s="387"/>
      <c r="KR42" s="387"/>
      <c r="KS42" s="387"/>
      <c r="KT42" s="387"/>
      <c r="KU42" s="387"/>
      <c r="KV42" s="387"/>
      <c r="KW42" s="387"/>
      <c r="KX42" s="387"/>
      <c r="KY42" s="387"/>
      <c r="KZ42" s="387"/>
      <c r="LA42" s="387"/>
      <c r="LB42" s="387"/>
      <c r="LC42" s="387"/>
      <c r="LD42" s="387"/>
      <c r="LE42" s="387"/>
      <c r="LF42" s="387"/>
      <c r="LG42" s="387"/>
      <c r="LH42" s="387"/>
      <c r="LI42" s="387"/>
      <c r="LJ42" s="387"/>
      <c r="LK42" s="387"/>
      <c r="LL42" s="387"/>
      <c r="LM42" s="387"/>
      <c r="LN42" s="387"/>
      <c r="LO42" s="387"/>
      <c r="LP42" s="387"/>
      <c r="LQ42" s="387"/>
      <c r="LR42" s="387"/>
      <c r="LS42" s="387"/>
      <c r="LT42" s="387"/>
      <c r="LU42" s="387"/>
      <c r="LV42" s="387"/>
      <c r="LW42" s="387"/>
      <c r="LX42" s="387"/>
      <c r="LY42" s="387"/>
      <c r="LZ42" s="387"/>
      <c r="MA42" s="387"/>
      <c r="MB42" s="387"/>
      <c r="MC42" s="387"/>
      <c r="MD42" s="387"/>
      <c r="ME42" s="387"/>
      <c r="MF42" s="387"/>
      <c r="MG42" s="387"/>
      <c r="MH42" s="387"/>
      <c r="MI42" s="387"/>
      <c r="MJ42" s="387"/>
      <c r="MK42" s="387"/>
      <c r="ML42" s="387"/>
      <c r="MM42" s="387"/>
      <c r="MN42" s="387"/>
      <c r="MO42" s="387"/>
      <c r="MP42" s="387"/>
      <c r="MQ42" s="387"/>
      <c r="MR42" s="387"/>
      <c r="MS42" s="387"/>
      <c r="MT42" s="387"/>
      <c r="MU42" s="387"/>
      <c r="MV42" s="387"/>
      <c r="MW42" s="387"/>
      <c r="MX42" s="387"/>
      <c r="MY42" s="387"/>
      <c r="MZ42" s="387"/>
      <c r="NA42" s="387"/>
      <c r="NB42" s="387"/>
      <c r="NC42" s="387"/>
      <c r="ND42" s="387"/>
      <c r="NE42" s="387"/>
      <c r="NF42" s="387"/>
      <c r="NG42" s="387"/>
      <c r="NH42" s="387"/>
      <c r="NI42" s="387"/>
      <c r="NJ42" s="387"/>
      <c r="NK42" s="387"/>
      <c r="NL42" s="387"/>
      <c r="NM42" s="387"/>
      <c r="NN42" s="387"/>
      <c r="NO42" s="387"/>
      <c r="NP42" s="387"/>
      <c r="NQ42" s="387"/>
      <c r="NR42" s="387"/>
      <c r="NS42" s="387"/>
      <c r="NT42" s="387"/>
      <c r="NU42" s="387"/>
      <c r="NV42" s="387"/>
      <c r="NW42" s="387"/>
      <c r="NX42" s="387"/>
      <c r="NY42" s="387"/>
      <c r="NZ42" s="387"/>
      <c r="OA42" s="387"/>
      <c r="OB42" s="387"/>
      <c r="OC42" s="387"/>
      <c r="OD42" s="387"/>
      <c r="OE42" s="387"/>
      <c r="OF42" s="387"/>
      <c r="OG42" s="387"/>
      <c r="OH42" s="387"/>
      <c r="OI42" s="387"/>
      <c r="OJ42" s="387"/>
      <c r="OK42" s="387"/>
      <c r="OL42" s="387"/>
      <c r="OM42" s="387"/>
      <c r="ON42" s="387"/>
      <c r="OO42" s="387"/>
      <c r="OP42" s="387"/>
      <c r="OQ42" s="387"/>
      <c r="OR42" s="387"/>
      <c r="OS42" s="387"/>
      <c r="OT42" s="387"/>
      <c r="OU42" s="387"/>
      <c r="OV42" s="387"/>
      <c r="OW42" s="387"/>
      <c r="OX42" s="387"/>
      <c r="OY42" s="387"/>
      <c r="OZ42" s="387"/>
      <c r="PA42" s="387"/>
      <c r="PB42" s="387"/>
      <c r="PC42" s="387"/>
      <c r="PD42" s="387"/>
      <c r="PE42" s="387"/>
      <c r="PF42" s="387"/>
      <c r="PG42" s="387"/>
      <c r="PH42" s="387"/>
      <c r="PI42" s="387"/>
      <c r="PJ42" s="387"/>
      <c r="PK42" s="387"/>
      <c r="PL42" s="387"/>
      <c r="PM42" s="387"/>
      <c r="PN42" s="387"/>
      <c r="PO42" s="387"/>
      <c r="PP42" s="387"/>
      <c r="PQ42" s="387"/>
      <c r="PR42" s="387"/>
      <c r="PS42" s="387"/>
      <c r="PT42" s="387"/>
      <c r="PU42" s="387"/>
      <c r="PV42" s="387"/>
      <c r="PW42" s="387"/>
      <c r="PX42" s="387"/>
      <c r="PY42" s="387"/>
      <c r="PZ42" s="387"/>
      <c r="QA42" s="387"/>
      <c r="QB42" s="387"/>
      <c r="QC42" s="387"/>
      <c r="QD42" s="387"/>
      <c r="QE42" s="387"/>
      <c r="QF42" s="387"/>
      <c r="QG42" s="387"/>
      <c r="QH42" s="387"/>
      <c r="QI42" s="387"/>
      <c r="QJ42" s="387"/>
      <c r="QK42" s="387"/>
      <c r="QL42" s="387"/>
      <c r="QM42" s="387"/>
      <c r="QN42" s="387"/>
      <c r="QO42" s="387"/>
      <c r="QP42" s="387"/>
      <c r="QQ42" s="387"/>
      <c r="QR42" s="387"/>
      <c r="QS42" s="387"/>
      <c r="QT42" s="387"/>
      <c r="QU42" s="387"/>
      <c r="QV42" s="387"/>
      <c r="QW42" s="387"/>
      <c r="QX42" s="387"/>
      <c r="QY42" s="387"/>
      <c r="QZ42" s="387"/>
      <c r="RA42" s="387"/>
      <c r="RB42" s="387"/>
      <c r="RC42" s="387"/>
      <c r="RD42" s="387"/>
      <c r="RE42" s="387"/>
      <c r="RF42" s="387"/>
      <c r="RG42" s="387"/>
      <c r="RH42" s="387"/>
      <c r="RI42" s="387"/>
      <c r="RJ42" s="387"/>
      <c r="RK42" s="387"/>
      <c r="RL42" s="387"/>
      <c r="RM42" s="387"/>
      <c r="RN42" s="387"/>
      <c r="RO42" s="387"/>
      <c r="RP42" s="387"/>
      <c r="RQ42" s="387"/>
      <c r="RR42" s="387"/>
      <c r="RS42" s="387"/>
      <c r="RT42" s="387"/>
      <c r="RU42" s="387"/>
      <c r="RV42" s="387"/>
      <c r="RW42" s="387"/>
      <c r="RX42" s="387"/>
      <c r="RY42" s="387"/>
      <c r="RZ42" s="387"/>
      <c r="SA42" s="387"/>
      <c r="SB42" s="387"/>
      <c r="SC42" s="387"/>
      <c r="SD42" s="387"/>
      <c r="SE42" s="387"/>
      <c r="SF42" s="387"/>
      <c r="SG42" s="387"/>
      <c r="SH42" s="387"/>
      <c r="SI42" s="387"/>
      <c r="SJ42" s="387"/>
      <c r="SK42" s="387"/>
      <c r="SL42" s="387"/>
      <c r="SM42" s="387"/>
      <c r="SN42" s="387"/>
      <c r="SO42" s="387"/>
      <c r="SP42" s="387"/>
      <c r="SQ42" s="387"/>
      <c r="SR42" s="387"/>
      <c r="SS42" s="387"/>
      <c r="ST42" s="387"/>
      <c r="SU42" s="387"/>
      <c r="SV42" s="387"/>
      <c r="SW42" s="387"/>
      <c r="SX42" s="387"/>
      <c r="SY42" s="387"/>
      <c r="SZ42" s="387"/>
      <c r="TA42" s="387"/>
      <c r="TB42" s="387"/>
      <c r="TC42" s="387"/>
      <c r="TD42" s="387"/>
      <c r="TE42" s="387"/>
      <c r="TF42" s="387"/>
      <c r="TG42" s="387"/>
      <c r="TH42" s="387"/>
      <c r="TI42" s="387"/>
      <c r="TJ42" s="387"/>
      <c r="TK42" s="387"/>
      <c r="TL42" s="387"/>
      <c r="TM42" s="387"/>
      <c r="TN42" s="387"/>
      <c r="TO42" s="387"/>
      <c r="TP42" s="387"/>
      <c r="TQ42" s="387"/>
      <c r="TR42" s="387"/>
      <c r="TS42" s="387"/>
      <c r="TT42" s="387"/>
      <c r="TU42" s="387"/>
      <c r="TV42" s="387"/>
      <c r="TW42" s="387"/>
      <c r="TX42" s="387"/>
      <c r="TY42" s="387"/>
      <c r="TZ42" s="387"/>
      <c r="UA42" s="387"/>
      <c r="UB42" s="387"/>
      <c r="UC42" s="387"/>
      <c r="UD42" s="387"/>
      <c r="UE42" s="387"/>
      <c r="UF42" s="387"/>
      <c r="UG42" s="387"/>
      <c r="UH42" s="387"/>
      <c r="UI42" s="387"/>
      <c r="UJ42" s="387"/>
      <c r="UK42" s="387"/>
      <c r="UL42" s="387"/>
      <c r="UM42" s="387"/>
      <c r="UN42" s="387"/>
      <c r="UO42" s="387"/>
      <c r="UP42" s="387"/>
      <c r="UQ42" s="387"/>
      <c r="UR42" s="387"/>
      <c r="US42" s="387"/>
      <c r="UT42" s="387"/>
      <c r="UU42" s="387"/>
      <c r="UV42" s="387"/>
      <c r="UW42" s="387"/>
      <c r="UX42" s="387"/>
      <c r="UY42" s="387"/>
      <c r="UZ42" s="387"/>
      <c r="VA42" s="387"/>
      <c r="VB42" s="387"/>
      <c r="VC42" s="387"/>
      <c r="VD42" s="387"/>
      <c r="VE42" s="387"/>
      <c r="VF42" s="387"/>
      <c r="VG42" s="387"/>
      <c r="VH42" s="387"/>
      <c r="VI42" s="387"/>
      <c r="VJ42" s="387"/>
      <c r="VK42" s="387"/>
      <c r="VL42" s="387"/>
      <c r="VM42" s="387"/>
      <c r="VN42" s="387"/>
      <c r="VO42" s="387"/>
      <c r="VP42" s="387"/>
      <c r="VQ42" s="387"/>
      <c r="VR42" s="387"/>
      <c r="VS42" s="387"/>
      <c r="VT42" s="387"/>
      <c r="VU42" s="387"/>
      <c r="VV42" s="387"/>
      <c r="VW42" s="387"/>
      <c r="VX42" s="387"/>
      <c r="VY42" s="387"/>
      <c r="VZ42" s="387"/>
      <c r="WA42" s="387"/>
      <c r="WB42" s="387"/>
      <c r="WC42" s="387"/>
      <c r="WD42" s="387"/>
      <c r="WE42" s="387"/>
      <c r="WF42" s="387"/>
      <c r="WG42" s="387"/>
      <c r="WH42" s="387"/>
      <c r="WI42" s="387"/>
      <c r="WJ42" s="387"/>
      <c r="WK42" s="387"/>
      <c r="WL42" s="387"/>
      <c r="WM42" s="387"/>
      <c r="WN42" s="387"/>
      <c r="WO42" s="387"/>
      <c r="WP42" s="387"/>
      <c r="WQ42" s="387"/>
      <c r="WR42" s="387"/>
      <c r="WS42" s="387"/>
      <c r="WT42" s="387"/>
      <c r="WU42" s="387"/>
      <c r="WV42" s="387"/>
      <c r="WW42" s="387"/>
      <c r="WX42" s="387"/>
      <c r="WY42" s="387"/>
      <c r="WZ42" s="387"/>
      <c r="XA42" s="387"/>
      <c r="XB42" s="387"/>
      <c r="XC42" s="387"/>
      <c r="XD42" s="387"/>
      <c r="XE42" s="387"/>
      <c r="XF42" s="387"/>
      <c r="XG42" s="387"/>
      <c r="XH42" s="387"/>
      <c r="XI42" s="387"/>
      <c r="XJ42" s="387"/>
      <c r="XK42" s="387"/>
      <c r="XL42" s="387"/>
      <c r="XM42" s="387"/>
      <c r="XN42" s="387"/>
      <c r="XO42" s="387"/>
      <c r="XP42" s="387"/>
      <c r="XQ42" s="387"/>
      <c r="XR42" s="387"/>
      <c r="XS42" s="387"/>
      <c r="XT42" s="387"/>
      <c r="XU42" s="387"/>
      <c r="XV42" s="387"/>
      <c r="XW42" s="387"/>
      <c r="XX42" s="387"/>
      <c r="XY42" s="387"/>
      <c r="XZ42" s="387"/>
      <c r="YA42" s="387"/>
      <c r="YB42" s="387"/>
      <c r="YC42" s="387"/>
      <c r="YD42" s="387"/>
      <c r="YE42" s="387"/>
      <c r="YF42" s="387"/>
      <c r="YG42" s="387"/>
      <c r="YH42" s="387"/>
      <c r="YI42" s="387"/>
      <c r="YJ42" s="387"/>
      <c r="YK42" s="387"/>
      <c r="YL42" s="387"/>
      <c r="YM42" s="387"/>
      <c r="YN42" s="387"/>
      <c r="YO42" s="387"/>
      <c r="YP42" s="387"/>
      <c r="YQ42" s="387"/>
      <c r="YR42" s="387"/>
      <c r="YS42" s="387"/>
      <c r="YT42" s="387"/>
      <c r="YU42" s="387"/>
      <c r="YV42" s="387"/>
      <c r="YW42" s="387"/>
      <c r="YX42" s="387"/>
      <c r="YY42" s="387"/>
      <c r="YZ42" s="387"/>
      <c r="ZA42" s="387"/>
      <c r="ZB42" s="387"/>
      <c r="ZC42" s="387"/>
      <c r="ZD42" s="387"/>
      <c r="ZE42" s="387"/>
      <c r="ZF42" s="387"/>
      <c r="ZG42" s="387"/>
      <c r="ZH42" s="387"/>
      <c r="ZI42" s="387"/>
      <c r="ZJ42" s="387"/>
      <c r="ZK42" s="387"/>
      <c r="ZL42" s="387"/>
      <c r="ZM42" s="387"/>
      <c r="ZN42" s="387"/>
      <c r="ZO42" s="387"/>
      <c r="ZP42" s="387"/>
      <c r="ZQ42" s="387"/>
      <c r="ZR42" s="387"/>
      <c r="ZS42" s="387"/>
      <c r="ZT42" s="387"/>
      <c r="ZU42" s="387"/>
      <c r="ZV42" s="387"/>
      <c r="ZW42" s="387"/>
      <c r="ZX42" s="387"/>
      <c r="ZY42" s="387"/>
      <c r="ZZ42" s="387"/>
      <c r="AAA42" s="387"/>
      <c r="AAB42" s="387"/>
      <c r="AAC42" s="387"/>
      <c r="AAD42" s="387"/>
      <c r="AAE42" s="387"/>
      <c r="AAF42" s="387"/>
      <c r="AAG42" s="387"/>
      <c r="AAH42" s="387"/>
      <c r="AAI42" s="387"/>
      <c r="AAJ42" s="387"/>
      <c r="AAK42" s="387"/>
      <c r="AAL42" s="387"/>
      <c r="AAM42" s="387"/>
      <c r="AAN42" s="387"/>
      <c r="AAO42" s="387"/>
      <c r="AAP42" s="387"/>
      <c r="AAQ42" s="387"/>
      <c r="AAR42" s="387"/>
      <c r="AAS42" s="387"/>
      <c r="AAT42" s="387"/>
      <c r="AAU42" s="387"/>
      <c r="AAV42" s="387"/>
      <c r="AAW42" s="387"/>
      <c r="AAX42" s="387"/>
      <c r="AAY42" s="387"/>
      <c r="AAZ42" s="387"/>
      <c r="ABA42" s="387"/>
      <c r="ABB42" s="387"/>
      <c r="ABC42" s="387"/>
      <c r="ABD42" s="387"/>
      <c r="ABE42" s="387"/>
      <c r="ABF42" s="387"/>
      <c r="ABG42" s="387"/>
      <c r="ABH42" s="387"/>
      <c r="ABI42" s="387"/>
      <c r="ABJ42" s="387"/>
      <c r="ABK42" s="387"/>
      <c r="ABL42" s="387"/>
      <c r="ABM42" s="387"/>
      <c r="ABN42" s="387"/>
      <c r="ABO42" s="387"/>
      <c r="ABP42" s="387"/>
      <c r="ABQ42" s="387"/>
      <c r="ABR42" s="387"/>
      <c r="ABS42" s="387"/>
      <c r="ABT42" s="387"/>
      <c r="ABU42" s="387"/>
      <c r="ABV42" s="387"/>
      <c r="ABW42" s="387"/>
      <c r="ABX42" s="387"/>
      <c r="ABY42" s="387"/>
      <c r="ABZ42" s="387"/>
      <c r="ACA42" s="387"/>
      <c r="ACB42" s="387"/>
      <c r="ACC42" s="387"/>
      <c r="ACD42" s="387"/>
      <c r="ACE42" s="387"/>
      <c r="ACF42" s="387"/>
      <c r="ACG42" s="387"/>
      <c r="ACH42" s="387"/>
      <c r="ACI42" s="387"/>
      <c r="ACJ42" s="387"/>
      <c r="ACK42" s="387"/>
      <c r="ACL42" s="387"/>
      <c r="ACM42" s="387"/>
      <c r="ACN42" s="387"/>
      <c r="ACO42" s="387"/>
      <c r="ACP42" s="387"/>
      <c r="ACQ42" s="387"/>
      <c r="ACR42" s="387"/>
      <c r="ACS42" s="387"/>
      <c r="ACT42" s="387"/>
      <c r="ACU42" s="387"/>
      <c r="ACV42" s="387"/>
      <c r="ACW42" s="387"/>
      <c r="ACX42" s="387"/>
      <c r="ACY42" s="387"/>
      <c r="ACZ42" s="387"/>
      <c r="ADA42" s="387"/>
      <c r="ADB42" s="387"/>
      <c r="ADC42" s="387"/>
      <c r="ADD42" s="387"/>
      <c r="ADE42" s="387"/>
      <c r="ADF42" s="387"/>
      <c r="ADG42" s="387"/>
      <c r="ADH42" s="387"/>
      <c r="ADI42" s="387"/>
      <c r="ADJ42" s="387"/>
      <c r="ADK42" s="387"/>
      <c r="ADL42" s="387"/>
      <c r="ADM42" s="387"/>
      <c r="ADN42" s="387"/>
      <c r="ADO42" s="387"/>
      <c r="ADP42" s="387"/>
      <c r="ADQ42" s="387"/>
      <c r="ADR42" s="387"/>
      <c r="ADS42" s="387"/>
      <c r="ADT42" s="387"/>
      <c r="ADU42" s="387"/>
      <c r="ADV42" s="387"/>
      <c r="ADW42" s="387"/>
      <c r="ADX42" s="387"/>
      <c r="ADY42" s="387"/>
      <c r="ADZ42" s="387"/>
      <c r="AEA42" s="387"/>
      <c r="AEB42" s="387"/>
      <c r="AEC42" s="387"/>
      <c r="AED42" s="387"/>
      <c r="AEE42" s="387"/>
      <c r="AEF42" s="387"/>
      <c r="AEG42" s="387"/>
      <c r="AEH42" s="387"/>
      <c r="AEI42" s="387"/>
      <c r="AEJ42" s="387"/>
      <c r="AEK42" s="387"/>
      <c r="AEL42" s="387"/>
      <c r="AEM42" s="387"/>
      <c r="AEN42" s="387"/>
      <c r="AEO42" s="387"/>
      <c r="AEP42" s="387"/>
      <c r="AEQ42" s="387"/>
      <c r="AER42" s="387"/>
      <c r="AES42" s="387"/>
      <c r="AET42" s="387"/>
      <c r="AEU42" s="387"/>
      <c r="AEV42" s="387"/>
      <c r="AEW42" s="387"/>
      <c r="AEX42" s="387"/>
      <c r="AEY42" s="387"/>
      <c r="AEZ42" s="387"/>
      <c r="AFA42" s="387"/>
      <c r="AFB42" s="387"/>
      <c r="AFC42" s="387"/>
      <c r="AFD42" s="387"/>
      <c r="AFE42" s="387"/>
      <c r="AFF42" s="387"/>
      <c r="AFG42" s="387"/>
      <c r="AFH42" s="387"/>
      <c r="AFI42" s="387"/>
      <c r="AFJ42" s="387"/>
      <c r="AFK42" s="387"/>
      <c r="AFL42" s="387"/>
      <c r="AFM42" s="387"/>
      <c r="AFN42" s="387"/>
      <c r="AFO42" s="387"/>
      <c r="AFP42" s="387"/>
      <c r="AFQ42" s="387"/>
      <c r="AFR42" s="387"/>
      <c r="AFS42" s="387"/>
      <c r="AFT42" s="387"/>
      <c r="AFU42" s="387"/>
      <c r="AFV42" s="387"/>
      <c r="AFW42" s="387"/>
      <c r="AFX42" s="387"/>
      <c r="AFY42" s="387"/>
      <c r="AFZ42" s="387"/>
      <c r="AGA42" s="387"/>
      <c r="AGB42" s="387"/>
      <c r="AGC42" s="387"/>
      <c r="AGD42" s="387"/>
      <c r="AGE42" s="387"/>
      <c r="AGF42" s="387"/>
      <c r="AGG42" s="387"/>
      <c r="AGH42" s="387"/>
      <c r="AGI42" s="387"/>
      <c r="AGJ42" s="387"/>
      <c r="AGK42" s="387"/>
      <c r="AGL42" s="387"/>
      <c r="AGM42" s="387"/>
      <c r="AGN42" s="387"/>
      <c r="AGO42" s="387"/>
      <c r="AGP42" s="387"/>
      <c r="AGQ42" s="387"/>
      <c r="AGR42" s="387"/>
      <c r="AGS42" s="387"/>
      <c r="AGT42" s="387"/>
      <c r="AGU42" s="387"/>
      <c r="AGV42" s="387"/>
      <c r="AGW42" s="387"/>
      <c r="AGX42" s="387"/>
      <c r="AGY42" s="387"/>
      <c r="AGZ42" s="387"/>
      <c r="AHA42" s="387"/>
      <c r="AHB42" s="387"/>
      <c r="AHC42" s="387"/>
      <c r="AHD42" s="387"/>
      <c r="AHE42" s="387"/>
      <c r="AHF42" s="387"/>
      <c r="AHG42" s="387"/>
      <c r="AHH42" s="387"/>
      <c r="AHI42" s="387"/>
      <c r="AHJ42" s="387"/>
      <c r="AHK42" s="387"/>
      <c r="AHL42" s="387"/>
      <c r="AHM42" s="387"/>
      <c r="AHN42" s="387"/>
      <c r="AHO42" s="387"/>
      <c r="AHP42" s="387"/>
      <c r="AHQ42" s="387"/>
      <c r="AHR42" s="387"/>
      <c r="AHS42" s="387"/>
      <c r="AHT42" s="387"/>
      <c r="AHU42" s="387"/>
      <c r="AHV42" s="387"/>
      <c r="AHW42" s="387"/>
      <c r="AHX42" s="387"/>
      <c r="AHY42" s="387"/>
      <c r="AHZ42" s="387"/>
      <c r="AIA42" s="387"/>
      <c r="AIB42" s="387"/>
      <c r="AIC42" s="387"/>
      <c r="AID42" s="387"/>
      <c r="AIE42" s="387"/>
      <c r="AIF42" s="387"/>
      <c r="AIG42" s="387"/>
      <c r="AIH42" s="387"/>
      <c r="AII42" s="387"/>
      <c r="AIJ42" s="387"/>
      <c r="AIK42" s="387"/>
      <c r="AIL42" s="387"/>
      <c r="AIM42" s="387"/>
      <c r="AIN42" s="387"/>
      <c r="AIO42" s="387"/>
      <c r="AIP42" s="387"/>
      <c r="AIQ42" s="387"/>
      <c r="AIR42" s="387"/>
      <c r="AIS42" s="387"/>
      <c r="AIT42" s="387"/>
      <c r="AIU42" s="387"/>
      <c r="AIV42" s="387"/>
      <c r="AIW42" s="387"/>
      <c r="AIX42" s="387"/>
      <c r="AIY42" s="387"/>
      <c r="AIZ42" s="387"/>
      <c r="AJA42" s="387"/>
      <c r="AJB42" s="387"/>
      <c r="AJC42" s="387"/>
      <c r="AJD42" s="387"/>
      <c r="AJE42" s="387"/>
      <c r="AJF42" s="387"/>
      <c r="AJG42" s="387"/>
      <c r="AJH42" s="387"/>
      <c r="AJI42" s="387"/>
      <c r="AJJ42" s="387"/>
      <c r="AJK42" s="387"/>
      <c r="AJL42" s="387"/>
      <c r="AJM42" s="387"/>
      <c r="AJN42" s="387"/>
      <c r="AJO42" s="387"/>
      <c r="AJP42" s="387"/>
      <c r="AJQ42" s="387"/>
      <c r="AJR42" s="387"/>
      <c r="AJS42" s="387"/>
      <c r="AJT42" s="387"/>
      <c r="AJU42" s="387"/>
      <c r="AJV42" s="387"/>
      <c r="AJW42" s="387"/>
      <c r="AJX42" s="387"/>
      <c r="AJY42" s="387"/>
      <c r="AJZ42" s="387"/>
      <c r="AKA42" s="387"/>
      <c r="AKB42" s="387"/>
      <c r="AKC42" s="387"/>
      <c r="AKD42" s="387"/>
      <c r="AKE42" s="387"/>
      <c r="AKF42" s="387"/>
      <c r="AKG42" s="387"/>
      <c r="AKH42" s="387"/>
      <c r="AKI42" s="387"/>
      <c r="AKJ42" s="387"/>
      <c r="AKK42" s="387"/>
      <c r="AKL42" s="387"/>
      <c r="AKM42" s="387"/>
      <c r="AKN42" s="387"/>
      <c r="AKO42" s="387"/>
      <c r="AKP42" s="387"/>
      <c r="AKQ42" s="387"/>
      <c r="AKR42" s="387"/>
      <c r="AKS42" s="387"/>
      <c r="AKT42" s="387"/>
      <c r="AKU42" s="387"/>
      <c r="AKV42" s="387"/>
      <c r="AKW42" s="387"/>
      <c r="AKX42" s="387"/>
      <c r="AKY42" s="387"/>
      <c r="AKZ42" s="387"/>
      <c r="ALA42" s="387"/>
      <c r="ALB42" s="387"/>
      <c r="ALC42" s="387"/>
      <c r="ALD42" s="387"/>
      <c r="ALE42" s="387"/>
      <c r="ALF42" s="387"/>
      <c r="ALG42" s="387"/>
      <c r="ALH42" s="387"/>
      <c r="ALI42" s="387"/>
      <c r="ALJ42" s="387"/>
      <c r="ALK42" s="387"/>
      <c r="ALL42" s="387"/>
      <c r="ALM42" s="387"/>
      <c r="ALN42" s="387"/>
      <c r="ALO42" s="387"/>
      <c r="ALP42" s="387"/>
      <c r="ALQ42" s="387"/>
      <c r="ALR42" s="387"/>
      <c r="ALS42" s="387"/>
      <c r="ALT42" s="387"/>
      <c r="ALU42" s="387"/>
      <c r="ALV42" s="387"/>
      <c r="ALW42" s="387"/>
      <c r="ALX42" s="387"/>
      <c r="ALY42" s="387"/>
      <c r="ALZ42" s="387"/>
      <c r="AMA42" s="387"/>
      <c r="AMB42" s="387"/>
      <c r="AMC42" s="387"/>
      <c r="AMD42" s="387"/>
      <c r="AME42" s="387"/>
      <c r="AMF42" s="387"/>
      <c r="AMG42" s="387"/>
      <c r="AMH42" s="387"/>
      <c r="AMI42" s="387"/>
      <c r="AMJ42" s="387"/>
      <c r="AMK42" s="387"/>
      <c r="AML42" s="387"/>
      <c r="AMM42" s="387"/>
      <c r="AMN42" s="387"/>
      <c r="AMO42" s="387"/>
      <c r="AMP42" s="387"/>
      <c r="AMQ42" s="387"/>
      <c r="AMR42" s="387"/>
      <c r="AMS42" s="387"/>
      <c r="AMT42" s="387"/>
      <c r="AMU42" s="387"/>
      <c r="AMV42" s="387"/>
      <c r="AMW42" s="387"/>
      <c r="AMX42" s="387"/>
      <c r="AMY42" s="387"/>
      <c r="AMZ42" s="387"/>
      <c r="ANA42" s="387"/>
      <c r="ANB42" s="387"/>
      <c r="ANC42" s="387"/>
      <c r="AND42" s="387"/>
      <c r="ANE42" s="387"/>
      <c r="ANF42" s="387"/>
      <c r="ANG42" s="387"/>
      <c r="ANH42" s="387"/>
      <c r="ANI42" s="387"/>
      <c r="ANJ42" s="387"/>
      <c r="ANK42" s="387"/>
      <c r="ANL42" s="387"/>
      <c r="ANM42" s="387"/>
      <c r="ANN42" s="387"/>
      <c r="ANO42" s="387"/>
      <c r="ANP42" s="387"/>
      <c r="ANQ42" s="387"/>
      <c r="ANR42" s="387"/>
      <c r="ANS42" s="387"/>
      <c r="ANT42" s="387"/>
      <c r="ANU42" s="387"/>
      <c r="ANV42" s="387"/>
      <c r="ANW42" s="387"/>
      <c r="ANX42" s="387"/>
      <c r="ANY42" s="387"/>
      <c r="ANZ42" s="387"/>
      <c r="AOA42" s="387"/>
      <c r="AOB42" s="387"/>
      <c r="AOC42" s="387"/>
      <c r="AOD42" s="387"/>
      <c r="AOE42" s="387"/>
      <c r="AOF42" s="387"/>
      <c r="AOG42" s="387"/>
      <c r="AOH42" s="387"/>
      <c r="AOI42" s="387"/>
      <c r="AOJ42" s="387"/>
      <c r="AOK42" s="387"/>
      <c r="AOL42" s="387"/>
      <c r="AOM42" s="387"/>
      <c r="AON42" s="387"/>
      <c r="AOO42" s="387"/>
      <c r="AOP42" s="387"/>
      <c r="AOQ42" s="387"/>
      <c r="AOR42" s="387"/>
      <c r="AOS42" s="387"/>
      <c r="AOT42" s="387"/>
      <c r="AOU42" s="387"/>
      <c r="AOV42" s="387"/>
      <c r="AOW42" s="387"/>
      <c r="AOX42" s="387"/>
      <c r="AOY42" s="387"/>
      <c r="AOZ42" s="387"/>
      <c r="APA42" s="387"/>
      <c r="APB42" s="387"/>
      <c r="APC42" s="387"/>
      <c r="APD42" s="387"/>
      <c r="APE42" s="387"/>
      <c r="APF42" s="387"/>
      <c r="APG42" s="387"/>
      <c r="APH42" s="387"/>
      <c r="API42" s="387"/>
      <c r="APJ42" s="387"/>
      <c r="APK42" s="387"/>
      <c r="APL42" s="387"/>
      <c r="APM42" s="387"/>
      <c r="APN42" s="387"/>
      <c r="APO42" s="387"/>
      <c r="APP42" s="387"/>
      <c r="APQ42" s="387"/>
      <c r="APR42" s="387"/>
      <c r="APS42" s="387"/>
      <c r="APT42" s="387"/>
      <c r="APU42" s="387"/>
      <c r="APV42" s="387"/>
      <c r="APW42" s="387"/>
      <c r="APX42" s="387"/>
      <c r="APY42" s="387"/>
      <c r="APZ42" s="387"/>
      <c r="AQA42" s="387"/>
      <c r="AQB42" s="387"/>
      <c r="AQC42" s="387"/>
      <c r="AQD42" s="387"/>
      <c r="AQE42" s="387"/>
      <c r="AQF42" s="387"/>
      <c r="AQG42" s="387"/>
      <c r="AQH42" s="387"/>
      <c r="AQI42" s="387"/>
      <c r="AQJ42" s="387"/>
      <c r="AQK42" s="387"/>
      <c r="AQL42" s="387"/>
      <c r="AQM42" s="387"/>
      <c r="AQN42" s="387"/>
      <c r="AQO42" s="387"/>
      <c r="AQP42" s="387"/>
      <c r="AQQ42" s="387"/>
      <c r="AQR42" s="387"/>
      <c r="AQS42" s="387"/>
      <c r="AQT42" s="387"/>
      <c r="AQU42" s="387"/>
      <c r="AQV42" s="387"/>
      <c r="AQW42" s="387"/>
      <c r="AQX42" s="387"/>
      <c r="AQY42" s="387"/>
      <c r="AQZ42" s="387"/>
      <c r="ARA42" s="387"/>
      <c r="ARB42" s="387"/>
      <c r="ARC42" s="387"/>
      <c r="ARD42" s="387"/>
      <c r="ARE42" s="387"/>
      <c r="ARF42" s="387"/>
      <c r="ARG42" s="387"/>
      <c r="ARH42" s="387"/>
      <c r="ARI42" s="387"/>
      <c r="ARJ42" s="387"/>
      <c r="ARK42" s="387"/>
      <c r="ARL42" s="387"/>
      <c r="ARM42" s="387"/>
      <c r="ARN42" s="387"/>
      <c r="ARO42" s="387"/>
      <c r="ARP42" s="387"/>
      <c r="ARQ42" s="387"/>
      <c r="ARR42" s="387"/>
      <c r="ARS42" s="387"/>
      <c r="ART42" s="387"/>
      <c r="ARU42" s="387"/>
      <c r="ARV42" s="387"/>
      <c r="ARW42" s="387"/>
      <c r="ARX42" s="387"/>
      <c r="ARY42" s="387"/>
      <c r="ARZ42" s="387"/>
      <c r="ASA42" s="387"/>
      <c r="ASB42" s="387"/>
      <c r="ASC42" s="387"/>
      <c r="ASD42" s="387"/>
      <c r="ASE42" s="387"/>
      <c r="ASF42" s="387"/>
      <c r="ASG42" s="387"/>
      <c r="ASH42" s="387"/>
      <c r="ASI42" s="387"/>
      <c r="ASJ42" s="387"/>
      <c r="ASK42" s="387"/>
      <c r="ASL42" s="387"/>
      <c r="ASM42" s="387"/>
      <c r="ASN42" s="387"/>
      <c r="ASO42" s="387"/>
      <c r="ASP42" s="387"/>
      <c r="ASQ42" s="387"/>
      <c r="ASR42" s="387"/>
      <c r="ASS42" s="387"/>
      <c r="AST42" s="387"/>
      <c r="ASU42" s="387"/>
      <c r="ASV42" s="387"/>
      <c r="ASW42" s="387"/>
      <c r="ASX42" s="387"/>
      <c r="ASY42" s="387"/>
      <c r="ASZ42" s="387"/>
      <c r="ATA42" s="387"/>
      <c r="ATB42" s="387"/>
      <c r="ATC42" s="387"/>
      <c r="ATD42" s="387"/>
      <c r="ATE42" s="387"/>
      <c r="ATF42" s="387"/>
      <c r="ATG42" s="387"/>
      <c r="ATH42" s="387"/>
      <c r="ATI42" s="387"/>
      <c r="ATJ42" s="387"/>
      <c r="ATK42" s="387"/>
      <c r="ATL42" s="387"/>
      <c r="ATM42" s="387"/>
      <c r="ATN42" s="387"/>
      <c r="ATO42" s="387"/>
      <c r="ATP42" s="387"/>
      <c r="ATQ42" s="387"/>
      <c r="ATR42" s="387"/>
      <c r="ATS42" s="387"/>
      <c r="ATT42" s="387"/>
      <c r="ATU42" s="387"/>
      <c r="ATV42" s="387"/>
      <c r="ATW42" s="387"/>
      <c r="ATX42" s="387"/>
      <c r="ATY42" s="387"/>
      <c r="ATZ42" s="387"/>
      <c r="AUA42" s="387"/>
      <c r="AUB42" s="387"/>
      <c r="AUC42" s="387"/>
      <c r="AUD42" s="387"/>
      <c r="AUE42" s="387"/>
      <c r="AUF42" s="387"/>
      <c r="AUG42" s="387"/>
      <c r="AUH42" s="387"/>
      <c r="AUI42" s="387"/>
      <c r="AUJ42" s="387"/>
      <c r="AUK42" s="387"/>
      <c r="AUL42" s="387"/>
      <c r="AUM42" s="387"/>
      <c r="AUN42" s="387"/>
      <c r="AUO42" s="387"/>
      <c r="AUP42" s="387"/>
      <c r="AUQ42" s="387"/>
      <c r="AUR42" s="387"/>
      <c r="AUS42" s="387"/>
      <c r="AUT42" s="387"/>
      <c r="AUU42" s="387"/>
      <c r="AUV42" s="387"/>
      <c r="AUW42" s="387"/>
      <c r="AUX42" s="387"/>
      <c r="AUY42" s="387"/>
      <c r="AUZ42" s="387"/>
      <c r="AVA42" s="387"/>
      <c r="AVB42" s="387"/>
      <c r="AVC42" s="387"/>
      <c r="AVD42" s="387"/>
      <c r="AVE42" s="387"/>
      <c r="AVF42" s="387"/>
      <c r="AVG42" s="387"/>
      <c r="AVH42" s="387"/>
      <c r="AVI42" s="387"/>
      <c r="AVJ42" s="387"/>
      <c r="AVK42" s="387"/>
      <c r="AVL42" s="387"/>
      <c r="AVM42" s="387"/>
      <c r="AVN42" s="387"/>
      <c r="AVO42" s="387"/>
      <c r="AVP42" s="387"/>
      <c r="AVQ42" s="387"/>
      <c r="AVR42" s="387"/>
      <c r="AVS42" s="387"/>
      <c r="AVT42" s="387"/>
      <c r="AVU42" s="387"/>
      <c r="AVV42" s="387"/>
      <c r="AVW42" s="387"/>
      <c r="AVX42" s="387"/>
      <c r="AVY42" s="387"/>
      <c r="AVZ42" s="387"/>
      <c r="AWA42" s="387"/>
      <c r="AWB42" s="387"/>
      <c r="AWC42" s="387"/>
      <c r="AWD42" s="387"/>
      <c r="AWE42" s="387"/>
      <c r="AWF42" s="387"/>
      <c r="AWG42" s="387"/>
      <c r="AWH42" s="387"/>
      <c r="AWI42" s="387"/>
      <c r="AWJ42" s="387"/>
      <c r="AWK42" s="387"/>
      <c r="AWL42" s="387"/>
      <c r="AWM42" s="387"/>
      <c r="AWN42" s="387"/>
      <c r="AWO42" s="387"/>
      <c r="AWP42" s="387"/>
      <c r="AWQ42" s="387"/>
      <c r="AWR42" s="387"/>
      <c r="AWS42" s="387"/>
      <c r="AWT42" s="387"/>
      <c r="AWU42" s="387"/>
      <c r="AWV42" s="387"/>
      <c r="AWW42" s="387"/>
      <c r="AWX42" s="387"/>
      <c r="AWY42" s="387"/>
      <c r="AWZ42" s="387"/>
      <c r="AXA42" s="387"/>
      <c r="AXB42" s="387"/>
      <c r="AXC42" s="387"/>
      <c r="AXD42" s="387"/>
      <c r="AXE42" s="387"/>
      <c r="AXF42" s="387"/>
      <c r="AXG42" s="387"/>
      <c r="AXH42" s="387"/>
      <c r="AXI42" s="387"/>
      <c r="AXJ42" s="387"/>
      <c r="AXK42" s="387"/>
      <c r="AXL42" s="387"/>
      <c r="AXM42" s="387"/>
      <c r="AXN42" s="387"/>
      <c r="AXO42" s="387"/>
      <c r="AXP42" s="387"/>
      <c r="AXQ42" s="387"/>
      <c r="AXR42" s="387"/>
      <c r="AXS42" s="387"/>
      <c r="AXT42" s="387"/>
      <c r="AXU42" s="387"/>
      <c r="AXV42" s="387"/>
      <c r="AXW42" s="387"/>
      <c r="AXX42" s="387"/>
      <c r="AXY42" s="387"/>
      <c r="AXZ42" s="387"/>
      <c r="AYA42" s="387"/>
      <c r="AYB42" s="387"/>
      <c r="AYC42" s="387"/>
      <c r="AYD42" s="387"/>
      <c r="AYE42" s="387"/>
      <c r="AYF42" s="387"/>
      <c r="AYG42" s="387"/>
      <c r="AYH42" s="387"/>
      <c r="AYI42" s="387"/>
      <c r="AYJ42" s="387"/>
      <c r="AYK42" s="387"/>
      <c r="AYL42" s="387"/>
      <c r="AYM42" s="387"/>
      <c r="AYN42" s="387"/>
      <c r="AYO42" s="387"/>
      <c r="AYP42" s="387"/>
      <c r="AYQ42" s="387"/>
      <c r="AYR42" s="387"/>
      <c r="AYS42" s="387"/>
      <c r="AYT42" s="387"/>
      <c r="AYU42" s="387"/>
      <c r="AYV42" s="387"/>
      <c r="AYW42" s="387"/>
      <c r="AYX42" s="387"/>
      <c r="AYY42" s="387"/>
      <c r="AYZ42" s="387"/>
      <c r="AZA42" s="387"/>
      <c r="AZB42" s="387"/>
      <c r="AZC42" s="387"/>
      <c r="AZD42" s="387"/>
      <c r="AZE42" s="387"/>
      <c r="AZF42" s="387"/>
      <c r="AZG42" s="387"/>
      <c r="AZH42" s="387"/>
      <c r="AZI42" s="387"/>
      <c r="AZJ42" s="387"/>
      <c r="AZK42" s="387"/>
      <c r="AZL42" s="387"/>
      <c r="AZM42" s="387"/>
      <c r="AZN42" s="387"/>
      <c r="AZO42" s="387"/>
      <c r="AZP42" s="387"/>
      <c r="AZQ42" s="387"/>
      <c r="AZR42" s="387"/>
      <c r="AZS42" s="387"/>
      <c r="AZT42" s="387"/>
      <c r="AZU42" s="387"/>
      <c r="AZV42" s="387"/>
      <c r="AZW42" s="387"/>
      <c r="AZX42" s="387"/>
      <c r="AZY42" s="387"/>
      <c r="AZZ42" s="387"/>
      <c r="BAA42" s="387"/>
      <c r="BAB42" s="387"/>
      <c r="BAC42" s="387"/>
      <c r="BAD42" s="387"/>
      <c r="BAE42" s="387"/>
      <c r="BAF42" s="387"/>
      <c r="BAG42" s="387"/>
      <c r="BAH42" s="387"/>
      <c r="BAI42" s="387"/>
      <c r="BAJ42" s="387"/>
      <c r="BAK42" s="387"/>
      <c r="BAL42" s="387"/>
      <c r="BAM42" s="387"/>
      <c r="BAN42" s="387"/>
      <c r="BAO42" s="387"/>
      <c r="BAP42" s="387"/>
      <c r="BAQ42" s="387"/>
      <c r="BAR42" s="387"/>
      <c r="BAS42" s="387"/>
      <c r="BAT42" s="387"/>
      <c r="BAU42" s="387"/>
      <c r="BAV42" s="387"/>
      <c r="BAW42" s="387"/>
      <c r="BAX42" s="387"/>
      <c r="BAY42" s="387"/>
      <c r="BAZ42" s="387"/>
      <c r="BBA42" s="387"/>
      <c r="BBB42" s="387"/>
      <c r="BBC42" s="387"/>
      <c r="BBD42" s="387"/>
      <c r="BBE42" s="387"/>
      <c r="BBF42" s="387"/>
      <c r="BBG42" s="387"/>
      <c r="BBH42" s="387"/>
      <c r="BBI42" s="387"/>
      <c r="BBJ42" s="387"/>
      <c r="BBK42" s="387"/>
      <c r="BBL42" s="387"/>
      <c r="BBM42" s="387"/>
      <c r="BBN42" s="387"/>
      <c r="BBO42" s="387"/>
      <c r="BBP42" s="387"/>
      <c r="BBQ42" s="387"/>
      <c r="BBR42" s="387"/>
      <c r="BBS42" s="387"/>
      <c r="BBT42" s="387"/>
      <c r="BBU42" s="387"/>
      <c r="BBV42" s="387"/>
      <c r="BBW42" s="387"/>
      <c r="BBX42" s="387"/>
      <c r="BBY42" s="387"/>
      <c r="BBZ42" s="387"/>
      <c r="BCA42" s="387"/>
      <c r="BCB42" s="387"/>
      <c r="BCC42" s="387"/>
      <c r="BCD42" s="387"/>
      <c r="BCE42" s="387"/>
      <c r="BCF42" s="387"/>
      <c r="BCG42" s="387"/>
      <c r="BCH42" s="387"/>
      <c r="BCI42" s="387"/>
      <c r="BCJ42" s="387"/>
      <c r="BCK42" s="387"/>
      <c r="BCL42" s="387"/>
      <c r="BCM42" s="387"/>
      <c r="BCN42" s="387"/>
      <c r="BCO42" s="387"/>
      <c r="BCP42" s="387"/>
      <c r="BCQ42" s="387"/>
      <c r="BCR42" s="387"/>
      <c r="BCS42" s="387"/>
      <c r="BCT42" s="387"/>
      <c r="BCU42" s="387"/>
      <c r="BCV42" s="387"/>
      <c r="BCW42" s="387"/>
      <c r="BCX42" s="387"/>
      <c r="BCY42" s="387"/>
      <c r="BCZ42" s="387"/>
      <c r="BDA42" s="387"/>
      <c r="BDB42" s="387"/>
      <c r="BDC42" s="387"/>
      <c r="BDD42" s="387"/>
      <c r="BDE42" s="387"/>
      <c r="BDF42" s="387"/>
      <c r="BDG42" s="387"/>
      <c r="BDH42" s="387"/>
      <c r="BDI42" s="387"/>
      <c r="BDJ42" s="387"/>
      <c r="BDK42" s="387"/>
      <c r="BDL42" s="387"/>
      <c r="BDM42" s="387"/>
      <c r="BDN42" s="387"/>
      <c r="BDO42" s="387"/>
      <c r="BDP42" s="387"/>
      <c r="BDQ42" s="387"/>
      <c r="BDR42" s="387"/>
      <c r="BDS42" s="387"/>
      <c r="BDT42" s="387"/>
      <c r="BDU42" s="387"/>
      <c r="BDV42" s="387"/>
      <c r="BDW42" s="387"/>
      <c r="BDX42" s="387"/>
      <c r="BDY42" s="387"/>
      <c r="BDZ42" s="387"/>
      <c r="BEA42" s="387"/>
      <c r="BEB42" s="387"/>
      <c r="BEC42" s="387"/>
      <c r="BED42" s="387"/>
      <c r="BEE42" s="387"/>
      <c r="BEF42" s="387"/>
      <c r="BEG42" s="387"/>
      <c r="BEH42" s="387"/>
      <c r="BEI42" s="387"/>
      <c r="BEJ42" s="387"/>
      <c r="BEK42" s="387"/>
      <c r="BEL42" s="387"/>
      <c r="BEM42" s="387"/>
      <c r="BEN42" s="387"/>
      <c r="BEO42" s="387"/>
      <c r="BEP42" s="387"/>
      <c r="BEQ42" s="387"/>
      <c r="BER42" s="387"/>
      <c r="BES42" s="387"/>
      <c r="BET42" s="387"/>
      <c r="BEU42" s="387"/>
      <c r="BEV42" s="387"/>
      <c r="BEW42" s="387"/>
      <c r="BEX42" s="387"/>
      <c r="BEY42" s="387"/>
      <c r="BEZ42" s="387"/>
      <c r="BFA42" s="387"/>
      <c r="BFB42" s="387"/>
      <c r="BFC42" s="387"/>
      <c r="BFD42" s="387"/>
      <c r="BFE42" s="387"/>
      <c r="BFF42" s="387"/>
      <c r="BFG42" s="387"/>
      <c r="BFH42" s="387"/>
      <c r="BFI42" s="387"/>
      <c r="BFJ42" s="387"/>
      <c r="BFK42" s="387"/>
      <c r="BFL42" s="387"/>
      <c r="BFM42" s="387"/>
      <c r="BFN42" s="387"/>
      <c r="BFO42" s="387"/>
      <c r="BFP42" s="387"/>
      <c r="BFQ42" s="387"/>
      <c r="BFR42" s="387"/>
      <c r="BFS42" s="387"/>
      <c r="BFT42" s="387"/>
      <c r="BFU42" s="387"/>
      <c r="BFV42" s="387"/>
      <c r="BFW42" s="387"/>
      <c r="BFX42" s="387"/>
      <c r="BFY42" s="387"/>
      <c r="BFZ42" s="387"/>
      <c r="BGA42" s="387"/>
      <c r="BGB42" s="387"/>
      <c r="BGC42" s="387"/>
      <c r="BGD42" s="387"/>
      <c r="BGE42" s="387"/>
      <c r="BGF42" s="387"/>
      <c r="BGG42" s="387"/>
      <c r="BGH42" s="387"/>
      <c r="BGI42" s="387"/>
      <c r="BGJ42" s="387"/>
      <c r="BGK42" s="387"/>
      <c r="BGL42" s="387"/>
      <c r="BGM42" s="387"/>
      <c r="BGN42" s="387"/>
      <c r="BGO42" s="387"/>
      <c r="BGP42" s="387"/>
      <c r="BGQ42" s="387"/>
      <c r="BGR42" s="387"/>
      <c r="BGS42" s="387"/>
      <c r="BGT42" s="387"/>
      <c r="BGU42" s="387"/>
      <c r="BGV42" s="387"/>
      <c r="BGW42" s="387"/>
      <c r="BGX42" s="387"/>
      <c r="BGY42" s="387"/>
      <c r="BGZ42" s="387"/>
      <c r="BHA42" s="387"/>
      <c r="BHB42" s="387"/>
      <c r="BHC42" s="387"/>
      <c r="BHD42" s="387"/>
      <c r="BHE42" s="387"/>
      <c r="BHF42" s="387"/>
      <c r="BHG42" s="387"/>
      <c r="BHH42" s="387"/>
      <c r="BHI42" s="387"/>
      <c r="BHJ42" s="387"/>
      <c r="BHK42" s="387"/>
      <c r="BHL42" s="387"/>
      <c r="BHM42" s="387"/>
      <c r="BHN42" s="387"/>
      <c r="BHO42" s="387"/>
      <c r="BHP42" s="387"/>
      <c r="BHQ42" s="387"/>
      <c r="BHR42" s="387"/>
      <c r="BHS42" s="387"/>
      <c r="BHT42" s="387"/>
      <c r="BHU42" s="387"/>
      <c r="BHV42" s="387"/>
      <c r="BHW42" s="387"/>
      <c r="BHX42" s="387"/>
      <c r="BHY42" s="387"/>
      <c r="BHZ42" s="387"/>
      <c r="BIA42" s="387"/>
      <c r="BIB42" s="387"/>
      <c r="BIC42" s="387"/>
      <c r="BID42" s="387"/>
      <c r="BIE42" s="387"/>
      <c r="BIF42" s="387"/>
      <c r="BIG42" s="387"/>
      <c r="BIH42" s="387"/>
      <c r="BII42" s="387"/>
      <c r="BIJ42" s="387"/>
      <c r="BIK42" s="387"/>
      <c r="BIL42" s="387"/>
      <c r="BIM42" s="387"/>
      <c r="BIN42" s="387"/>
      <c r="BIO42" s="387"/>
      <c r="BIP42" s="387"/>
      <c r="BIQ42" s="387"/>
      <c r="BIR42" s="387"/>
      <c r="BIS42" s="387"/>
      <c r="BIT42" s="387"/>
      <c r="BIU42" s="387"/>
      <c r="BIV42" s="387"/>
      <c r="BIW42" s="387"/>
      <c r="BIX42" s="387"/>
      <c r="BIY42" s="387"/>
      <c r="BIZ42" s="387"/>
      <c r="BJA42" s="387"/>
      <c r="BJB42" s="387"/>
      <c r="BJC42" s="387"/>
      <c r="BJD42" s="387"/>
      <c r="BJE42" s="387"/>
      <c r="BJF42" s="387"/>
      <c r="BJG42" s="387"/>
      <c r="BJH42" s="387"/>
      <c r="BJI42" s="387"/>
      <c r="BJJ42" s="387"/>
      <c r="BJK42" s="387"/>
      <c r="BJL42" s="387"/>
      <c r="BJM42" s="387"/>
      <c r="BJN42" s="387"/>
      <c r="BJO42" s="387"/>
      <c r="BJP42" s="387"/>
      <c r="BJQ42" s="387"/>
      <c r="BJR42" s="387"/>
      <c r="BJS42" s="387"/>
      <c r="BJT42" s="387"/>
      <c r="BJU42" s="387"/>
      <c r="BJV42" s="387"/>
      <c r="BJW42" s="387"/>
      <c r="BJX42" s="387"/>
      <c r="BJY42" s="387"/>
      <c r="BJZ42" s="387"/>
      <c r="BKA42" s="387"/>
      <c r="BKB42" s="387"/>
      <c r="BKC42" s="387"/>
      <c r="BKD42" s="387"/>
      <c r="BKE42" s="387"/>
      <c r="BKF42" s="387"/>
      <c r="BKG42" s="387"/>
      <c r="BKH42" s="387"/>
      <c r="BKI42" s="387"/>
      <c r="BKJ42" s="387"/>
      <c r="BKK42" s="387"/>
      <c r="BKL42" s="387"/>
      <c r="BKM42" s="387"/>
      <c r="BKN42" s="387"/>
      <c r="BKO42" s="387"/>
      <c r="BKP42" s="387"/>
      <c r="BKQ42" s="387"/>
      <c r="BKR42" s="387"/>
      <c r="BKS42" s="387"/>
      <c r="BKT42" s="387"/>
      <c r="BKU42" s="387"/>
      <c r="BKV42" s="387"/>
      <c r="BKW42" s="387"/>
      <c r="BKX42" s="387"/>
      <c r="BKY42" s="387"/>
      <c r="BKZ42" s="387"/>
      <c r="BLA42" s="387"/>
      <c r="BLB42" s="387"/>
      <c r="BLC42" s="387"/>
      <c r="BLD42" s="387"/>
      <c r="BLE42" s="387"/>
      <c r="BLF42" s="387"/>
      <c r="BLG42" s="387"/>
      <c r="BLH42" s="387"/>
      <c r="BLI42" s="387"/>
      <c r="BLJ42" s="387"/>
      <c r="BLK42" s="387"/>
      <c r="BLL42" s="387"/>
      <c r="BLM42" s="387"/>
      <c r="BLN42" s="387"/>
      <c r="BLO42" s="387"/>
      <c r="BLP42" s="387"/>
      <c r="BLQ42" s="387"/>
      <c r="BLR42" s="387"/>
      <c r="BLS42" s="387"/>
      <c r="BLT42" s="387"/>
      <c r="BLU42" s="387"/>
      <c r="BLV42" s="387"/>
      <c r="BLW42" s="387"/>
      <c r="BLX42" s="387"/>
      <c r="BLY42" s="387"/>
      <c r="BLZ42" s="387"/>
      <c r="BMA42" s="387"/>
      <c r="BMB42" s="387"/>
      <c r="BMC42" s="387"/>
      <c r="BMD42" s="387"/>
      <c r="BME42" s="387"/>
      <c r="BMF42" s="387"/>
      <c r="BMG42" s="387"/>
      <c r="BMH42" s="387"/>
      <c r="BMI42" s="387"/>
      <c r="BMJ42" s="387"/>
      <c r="BMK42" s="387"/>
      <c r="BML42" s="387"/>
      <c r="BMM42" s="387"/>
      <c r="BMN42" s="387"/>
      <c r="BMO42" s="387"/>
      <c r="BMP42" s="387"/>
      <c r="BMQ42" s="387"/>
      <c r="BMR42" s="387"/>
      <c r="BMS42" s="387"/>
      <c r="BMT42" s="387"/>
      <c r="BMU42" s="387"/>
      <c r="BMV42" s="387"/>
      <c r="BMW42" s="387"/>
      <c r="BMX42" s="387"/>
      <c r="BMY42" s="387"/>
      <c r="BMZ42" s="387"/>
      <c r="BNA42" s="387"/>
      <c r="BNB42" s="387"/>
      <c r="BNC42" s="387"/>
      <c r="BND42" s="387"/>
      <c r="BNE42" s="387"/>
      <c r="BNF42" s="387"/>
      <c r="BNG42" s="387"/>
      <c r="BNH42" s="387"/>
      <c r="BNI42" s="387"/>
      <c r="BNJ42" s="387"/>
      <c r="BNK42" s="387"/>
      <c r="BNL42" s="387"/>
      <c r="BNM42" s="387"/>
      <c r="BNN42" s="387"/>
      <c r="BNO42" s="387"/>
      <c r="BNP42" s="387"/>
      <c r="BNQ42" s="387"/>
      <c r="BNR42" s="387"/>
      <c r="BNS42" s="387"/>
      <c r="BNT42" s="387"/>
      <c r="BNU42" s="387"/>
      <c r="BNV42" s="387"/>
      <c r="BNW42" s="387"/>
      <c r="BNX42" s="387"/>
      <c r="BNY42" s="387"/>
      <c r="BNZ42" s="387"/>
      <c r="BOA42" s="387"/>
      <c r="BOB42" s="387"/>
      <c r="BOC42" s="387"/>
      <c r="BOD42" s="387"/>
      <c r="BOE42" s="387"/>
      <c r="BOF42" s="387"/>
      <c r="BOG42" s="387"/>
      <c r="BOH42" s="387"/>
      <c r="BOI42" s="387"/>
      <c r="BOJ42" s="387"/>
      <c r="BOK42" s="387"/>
      <c r="BOL42" s="387"/>
      <c r="BOM42" s="387"/>
      <c r="BON42" s="387"/>
      <c r="BOO42" s="387"/>
      <c r="BOP42" s="387"/>
      <c r="BOQ42" s="387"/>
      <c r="BOR42" s="387"/>
      <c r="BOS42" s="387"/>
      <c r="BOT42" s="387"/>
      <c r="BOU42" s="387"/>
      <c r="BOV42" s="387"/>
      <c r="BOW42" s="387"/>
      <c r="BOX42" s="387"/>
      <c r="BOY42" s="387"/>
      <c r="BOZ42" s="387"/>
      <c r="BPA42" s="387"/>
      <c r="BPB42" s="387"/>
      <c r="BPC42" s="387"/>
      <c r="BPD42" s="387"/>
      <c r="BPE42" s="387"/>
      <c r="BPF42" s="387"/>
      <c r="BPG42" s="387"/>
      <c r="BPH42" s="387"/>
      <c r="BPI42" s="387"/>
      <c r="BPJ42" s="387"/>
      <c r="BPK42" s="387"/>
      <c r="BPL42" s="387"/>
      <c r="BPM42" s="387"/>
      <c r="BPN42" s="387"/>
      <c r="BPO42" s="387"/>
      <c r="BPP42" s="387"/>
      <c r="BPQ42" s="387"/>
      <c r="BPR42" s="387"/>
      <c r="BPS42" s="387"/>
      <c r="BPT42" s="387"/>
      <c r="BPU42" s="387"/>
      <c r="BPV42" s="387"/>
      <c r="BPW42" s="387"/>
      <c r="BPX42" s="387"/>
      <c r="BPY42" s="387"/>
      <c r="BPZ42" s="387"/>
      <c r="BQA42" s="387"/>
      <c r="BQB42" s="387"/>
      <c r="BQC42" s="387"/>
      <c r="BQD42" s="387"/>
      <c r="BQE42" s="387"/>
      <c r="BQF42" s="387"/>
      <c r="BQG42" s="387"/>
      <c r="BQH42" s="387"/>
      <c r="BQI42" s="387"/>
      <c r="BQJ42" s="387"/>
      <c r="BQK42" s="387"/>
      <c r="BQL42" s="387"/>
      <c r="BQM42" s="387"/>
      <c r="BQN42" s="387"/>
      <c r="BQO42" s="387"/>
      <c r="BQP42" s="387"/>
      <c r="BQQ42" s="387"/>
      <c r="BQR42" s="387"/>
      <c r="BQS42" s="387"/>
      <c r="BQT42" s="387"/>
      <c r="BQU42" s="387"/>
      <c r="BQV42" s="387"/>
      <c r="BQW42" s="387"/>
      <c r="BQX42" s="387"/>
      <c r="BQY42" s="387"/>
      <c r="BQZ42" s="387"/>
      <c r="BRA42" s="387"/>
      <c r="BRB42" s="387"/>
      <c r="BRC42" s="387"/>
      <c r="BRD42" s="387"/>
      <c r="BRE42" s="387"/>
      <c r="BRF42" s="387"/>
      <c r="BRG42" s="387"/>
      <c r="BRH42" s="387"/>
      <c r="BRI42" s="387"/>
      <c r="BRJ42" s="387"/>
      <c r="BRK42" s="387"/>
      <c r="BRL42" s="387"/>
      <c r="BRM42" s="387"/>
      <c r="BRN42" s="387"/>
      <c r="BRO42" s="387"/>
      <c r="BRP42" s="387"/>
      <c r="BRQ42" s="387"/>
      <c r="BRR42" s="387"/>
      <c r="BRS42" s="387"/>
      <c r="BRT42" s="387"/>
      <c r="BRU42" s="387"/>
      <c r="BRV42" s="387"/>
      <c r="BRW42" s="387"/>
      <c r="BRX42" s="387"/>
      <c r="BRY42" s="387"/>
      <c r="BRZ42" s="387"/>
      <c r="BSA42" s="387"/>
      <c r="BSB42" s="387"/>
      <c r="BSC42" s="387"/>
      <c r="BSD42" s="387"/>
      <c r="BSE42" s="387"/>
      <c r="BSF42" s="387"/>
      <c r="BSG42" s="387"/>
      <c r="BSH42" s="387"/>
      <c r="BSI42" s="387"/>
      <c r="BSJ42" s="387"/>
      <c r="BSK42" s="387"/>
      <c r="BSL42" s="387"/>
      <c r="BSM42" s="387"/>
      <c r="BSN42" s="387"/>
      <c r="BSO42" s="387"/>
      <c r="BSP42" s="387"/>
      <c r="BSQ42" s="387"/>
      <c r="BSR42" s="387"/>
      <c r="BSS42" s="387"/>
      <c r="BST42" s="387"/>
      <c r="BSU42" s="387"/>
      <c r="BSV42" s="387"/>
      <c r="BSW42" s="387"/>
      <c r="BSX42" s="387"/>
      <c r="BSY42" s="387"/>
      <c r="BSZ42" s="387"/>
      <c r="BTA42" s="387"/>
      <c r="BTB42" s="387"/>
      <c r="BTC42" s="387"/>
      <c r="BTD42" s="387"/>
      <c r="BTE42" s="387"/>
      <c r="BTF42" s="387"/>
      <c r="BTG42" s="387"/>
      <c r="BTH42" s="387"/>
      <c r="BTI42" s="387"/>
    </row>
    <row r="43" spans="1:1881" ht="27" customHeight="1" x14ac:dyDescent="0.25">
      <c r="A43" s="187"/>
      <c r="B43" s="159" t="s">
        <v>173</v>
      </c>
      <c r="C43" s="158"/>
      <c r="D43" s="131"/>
      <c r="E43" s="141"/>
      <c r="F43" s="747"/>
      <c r="G43" s="527"/>
      <c r="H43" s="14"/>
      <c r="I43" s="31"/>
      <c r="L43" s="674" t="s">
        <v>947</v>
      </c>
      <c r="M43" s="576"/>
      <c r="N43" s="594"/>
      <c r="S43" s="682"/>
      <c r="X43" s="682"/>
    </row>
    <row r="44" spans="1:1881" s="4" customFormat="1" ht="55.5" customHeight="1" x14ac:dyDescent="0.25">
      <c r="A44" s="186">
        <v>506</v>
      </c>
      <c r="B44" s="63" t="s">
        <v>78</v>
      </c>
      <c r="C44" s="132" t="s">
        <v>177</v>
      </c>
      <c r="D44" s="173" t="s">
        <v>528</v>
      </c>
      <c r="E44" s="683" t="e">
        <f>HLOOKUP('Unit Data from Audit Worksheet'!$D$2,'2019 Data(H)'!$D$1:$BB$202,113,FALSE)</f>
        <v>#N/A</v>
      </c>
      <c r="F44" s="686"/>
      <c r="G44" s="388">
        <f>IF(F44&lt;0,"Note: Number is normally positive.",)</f>
        <v>0</v>
      </c>
      <c r="H44" s="18"/>
      <c r="I44" s="31"/>
      <c r="J44" s="362"/>
      <c r="K44" s="387"/>
      <c r="L44" s="674" t="s">
        <v>948</v>
      </c>
      <c r="M44" s="576"/>
      <c r="N44" s="594"/>
      <c r="O44" s="387"/>
      <c r="P44" s="387"/>
      <c r="Q44" s="387"/>
      <c r="R44"/>
      <c r="S44" s="682"/>
      <c r="T44" s="387"/>
      <c r="U44" s="387"/>
      <c r="V44" s="387"/>
      <c r="W44" s="387"/>
      <c r="X44" s="682"/>
      <c r="Y44" s="387"/>
      <c r="Z44" s="387"/>
      <c r="AA44" s="387"/>
      <c r="AB44" s="387"/>
      <c r="AC44" s="387"/>
      <c r="AD44" s="387"/>
      <c r="AE44" s="387"/>
      <c r="AF44" s="387"/>
      <c r="AG44" s="387"/>
      <c r="AH44" s="387"/>
      <c r="AI44" s="387"/>
      <c r="AJ44" s="387"/>
      <c r="AK44" s="387"/>
      <c r="AL44" s="387"/>
      <c r="AM44" s="387"/>
      <c r="AN44" s="387"/>
      <c r="AO44" s="387"/>
      <c r="AP44" s="387"/>
      <c r="AQ44" s="387"/>
      <c r="AR44" s="387"/>
      <c r="AS44" s="387"/>
      <c r="AT44" s="387"/>
      <c r="AU44" s="387"/>
      <c r="AV44" s="387"/>
      <c r="AW44" s="387"/>
      <c r="AX44" s="387"/>
      <c r="AY44" s="387"/>
      <c r="AZ44" s="387"/>
      <c r="BA44" s="387"/>
      <c r="BB44" s="387"/>
      <c r="BC44" s="387"/>
      <c r="BD44" s="387"/>
      <c r="BE44" s="387"/>
      <c r="BF44" s="387"/>
      <c r="BG44" s="387"/>
      <c r="BH44" s="387"/>
      <c r="BI44" s="387"/>
      <c r="BJ44" s="387"/>
      <c r="BK44" s="387"/>
      <c r="BL44" s="387"/>
      <c r="BM44" s="387"/>
      <c r="BN44" s="387"/>
      <c r="BO44" s="387"/>
      <c r="BP44" s="387"/>
      <c r="BQ44" s="387"/>
      <c r="BR44" s="387"/>
      <c r="BS44" s="387"/>
      <c r="BT44" s="387"/>
      <c r="BU44" s="387"/>
      <c r="BV44" s="387"/>
      <c r="BW44" s="387"/>
      <c r="BX44" s="387"/>
      <c r="BY44" s="387"/>
      <c r="BZ44" s="387"/>
      <c r="CA44" s="387"/>
      <c r="CB44" s="387"/>
      <c r="CC44" s="387"/>
      <c r="CD44" s="387"/>
      <c r="CE44" s="387"/>
      <c r="CF44" s="387"/>
      <c r="CG44" s="387"/>
      <c r="CH44" s="387"/>
      <c r="CI44" s="387"/>
      <c r="CJ44" s="387"/>
      <c r="CK44" s="387"/>
      <c r="CL44" s="387"/>
      <c r="CM44" s="387"/>
      <c r="CN44" s="387"/>
      <c r="CO44" s="387"/>
      <c r="CP44" s="387"/>
      <c r="CQ44" s="387"/>
      <c r="CR44" s="387"/>
      <c r="CS44" s="387"/>
      <c r="CT44" s="387"/>
      <c r="CU44" s="387"/>
      <c r="CV44" s="387"/>
      <c r="CW44" s="387"/>
      <c r="CX44" s="387"/>
      <c r="CY44" s="387"/>
      <c r="CZ44" s="387"/>
      <c r="DA44" s="387"/>
      <c r="DB44" s="387"/>
      <c r="DC44" s="387"/>
      <c r="DD44" s="387"/>
      <c r="DE44" s="387"/>
      <c r="DF44" s="387"/>
      <c r="DG44" s="387"/>
      <c r="DH44" s="387"/>
      <c r="DI44" s="387"/>
      <c r="DJ44" s="387"/>
      <c r="DK44" s="387"/>
      <c r="DL44" s="387"/>
      <c r="DM44" s="387"/>
      <c r="DN44" s="387"/>
      <c r="DO44" s="387"/>
      <c r="DP44" s="387"/>
      <c r="DQ44" s="387"/>
      <c r="DR44" s="387"/>
      <c r="DS44" s="387"/>
      <c r="DT44" s="387"/>
      <c r="DU44" s="387"/>
      <c r="DV44" s="387"/>
      <c r="DW44" s="387"/>
      <c r="DX44" s="387"/>
      <c r="DY44" s="387"/>
      <c r="DZ44" s="387"/>
      <c r="EA44" s="387"/>
      <c r="EB44" s="387"/>
      <c r="EC44" s="387"/>
      <c r="ED44" s="387"/>
      <c r="EE44" s="387"/>
      <c r="EF44" s="387"/>
      <c r="EG44" s="387"/>
      <c r="EH44" s="387"/>
      <c r="EI44" s="387"/>
      <c r="EJ44" s="387"/>
      <c r="EK44" s="387"/>
      <c r="EL44" s="387"/>
      <c r="EM44" s="387"/>
      <c r="EN44" s="387"/>
      <c r="EO44" s="387"/>
      <c r="EP44" s="387"/>
      <c r="EQ44" s="387"/>
      <c r="ER44" s="387"/>
      <c r="ES44" s="387"/>
      <c r="ET44" s="387"/>
      <c r="EU44" s="387"/>
      <c r="EV44" s="387"/>
      <c r="EW44" s="387"/>
      <c r="EX44" s="387"/>
      <c r="EY44" s="387"/>
      <c r="EZ44" s="387"/>
      <c r="FA44" s="387"/>
      <c r="FB44" s="387"/>
      <c r="FC44" s="387"/>
      <c r="FD44" s="387"/>
      <c r="FE44" s="387"/>
      <c r="FF44" s="387"/>
      <c r="FG44" s="387"/>
      <c r="FH44" s="387"/>
      <c r="FI44" s="387"/>
      <c r="FJ44" s="387"/>
      <c r="FK44" s="387"/>
      <c r="FL44" s="387"/>
      <c r="FM44" s="387"/>
      <c r="FN44" s="387"/>
      <c r="FO44" s="387"/>
      <c r="FP44" s="387"/>
      <c r="FQ44" s="387"/>
      <c r="FR44" s="387"/>
      <c r="FS44" s="387"/>
      <c r="FT44" s="387"/>
      <c r="FU44" s="387"/>
      <c r="FV44" s="387"/>
      <c r="FW44" s="387"/>
      <c r="FX44" s="387"/>
      <c r="FY44" s="387"/>
      <c r="FZ44" s="387"/>
      <c r="GA44" s="387"/>
      <c r="GB44" s="387"/>
      <c r="GC44" s="387"/>
      <c r="GD44" s="387"/>
      <c r="GE44" s="387"/>
      <c r="GF44" s="387"/>
      <c r="GG44" s="387"/>
      <c r="GH44" s="387"/>
      <c r="GI44" s="387"/>
      <c r="GJ44" s="387"/>
      <c r="GK44" s="387"/>
      <c r="GL44" s="387"/>
      <c r="GM44" s="387"/>
      <c r="GN44" s="387"/>
      <c r="GO44" s="387"/>
      <c r="GP44" s="387"/>
      <c r="GQ44" s="387"/>
      <c r="GR44" s="387"/>
      <c r="GS44" s="387"/>
      <c r="GT44" s="387"/>
      <c r="GU44" s="387"/>
      <c r="GV44" s="387"/>
      <c r="GW44" s="387"/>
      <c r="GX44" s="387"/>
      <c r="GY44" s="387"/>
      <c r="GZ44" s="387"/>
      <c r="HA44" s="387"/>
      <c r="HB44" s="387"/>
      <c r="HC44" s="387"/>
      <c r="HD44" s="387"/>
      <c r="HE44" s="387"/>
      <c r="HF44" s="387"/>
      <c r="HG44" s="387"/>
      <c r="HH44" s="387"/>
      <c r="HI44" s="387"/>
      <c r="HJ44" s="387"/>
      <c r="HK44" s="387"/>
      <c r="HL44" s="387"/>
      <c r="HM44" s="387"/>
      <c r="HN44" s="387"/>
      <c r="HO44" s="387"/>
      <c r="HP44" s="387"/>
      <c r="HQ44" s="387"/>
      <c r="HR44" s="387"/>
      <c r="HS44" s="387"/>
      <c r="HT44" s="387"/>
      <c r="HU44" s="387"/>
      <c r="HV44" s="387"/>
      <c r="HW44" s="387"/>
      <c r="HX44" s="387"/>
      <c r="HY44" s="387"/>
      <c r="HZ44" s="387"/>
      <c r="IA44" s="387"/>
      <c r="IB44" s="387"/>
      <c r="IC44" s="387"/>
      <c r="ID44" s="387"/>
      <c r="IE44" s="387"/>
      <c r="IF44" s="387"/>
      <c r="IG44" s="387"/>
      <c r="IH44" s="387"/>
      <c r="II44" s="387"/>
      <c r="IJ44" s="387"/>
      <c r="IK44" s="387"/>
      <c r="IL44" s="387"/>
      <c r="IM44" s="387"/>
      <c r="IN44" s="387"/>
      <c r="IO44" s="387"/>
      <c r="IP44" s="387"/>
      <c r="IQ44" s="387"/>
      <c r="IR44" s="387"/>
      <c r="IS44" s="387"/>
      <c r="IT44" s="387"/>
      <c r="IU44" s="387"/>
      <c r="IV44" s="387"/>
      <c r="IW44" s="387"/>
      <c r="IX44" s="387"/>
      <c r="IY44" s="387"/>
      <c r="IZ44" s="387"/>
      <c r="JA44" s="387"/>
      <c r="JB44" s="387"/>
      <c r="JC44" s="387"/>
      <c r="JD44" s="387"/>
      <c r="JE44" s="387"/>
      <c r="JF44" s="387"/>
      <c r="JG44" s="387"/>
      <c r="JH44" s="387"/>
      <c r="JI44" s="387"/>
      <c r="JJ44" s="387"/>
      <c r="JK44" s="387"/>
      <c r="JL44" s="387"/>
      <c r="JM44" s="387"/>
      <c r="JN44" s="387"/>
      <c r="JO44" s="387"/>
      <c r="JP44" s="387"/>
      <c r="JQ44" s="387"/>
      <c r="JR44" s="387"/>
      <c r="JS44" s="387"/>
      <c r="JT44" s="387"/>
      <c r="JU44" s="387"/>
      <c r="JV44" s="387"/>
      <c r="JW44" s="387"/>
      <c r="JX44" s="387"/>
      <c r="JY44" s="387"/>
      <c r="JZ44" s="387"/>
      <c r="KA44" s="387"/>
      <c r="KB44" s="387"/>
      <c r="KC44" s="387"/>
      <c r="KD44" s="387"/>
      <c r="KE44" s="387"/>
      <c r="KF44" s="387"/>
      <c r="KG44" s="387"/>
      <c r="KH44" s="387"/>
      <c r="KI44" s="387"/>
      <c r="KJ44" s="387"/>
      <c r="KK44" s="387"/>
      <c r="KL44" s="387"/>
      <c r="KM44" s="387"/>
      <c r="KN44" s="387"/>
      <c r="KO44" s="387"/>
      <c r="KP44" s="387"/>
      <c r="KQ44" s="387"/>
      <c r="KR44" s="387"/>
      <c r="KS44" s="387"/>
      <c r="KT44" s="387"/>
      <c r="KU44" s="387"/>
      <c r="KV44" s="387"/>
      <c r="KW44" s="387"/>
      <c r="KX44" s="387"/>
      <c r="KY44" s="387"/>
      <c r="KZ44" s="387"/>
      <c r="LA44" s="387"/>
      <c r="LB44" s="387"/>
      <c r="LC44" s="387"/>
      <c r="LD44" s="387"/>
      <c r="LE44" s="387"/>
      <c r="LF44" s="387"/>
      <c r="LG44" s="387"/>
      <c r="LH44" s="387"/>
      <c r="LI44" s="387"/>
      <c r="LJ44" s="387"/>
      <c r="LK44" s="387"/>
      <c r="LL44" s="387"/>
      <c r="LM44" s="387"/>
      <c r="LN44" s="387"/>
      <c r="LO44" s="387"/>
      <c r="LP44" s="387"/>
      <c r="LQ44" s="387"/>
      <c r="LR44" s="387"/>
      <c r="LS44" s="387"/>
      <c r="LT44" s="387"/>
      <c r="LU44" s="387"/>
      <c r="LV44" s="387"/>
      <c r="LW44" s="387"/>
      <c r="LX44" s="387"/>
      <c r="LY44" s="387"/>
      <c r="LZ44" s="387"/>
      <c r="MA44" s="387"/>
      <c r="MB44" s="387"/>
      <c r="MC44" s="387"/>
      <c r="MD44" s="387"/>
      <c r="ME44" s="387"/>
      <c r="MF44" s="387"/>
      <c r="MG44" s="387"/>
      <c r="MH44" s="387"/>
      <c r="MI44" s="387"/>
      <c r="MJ44" s="387"/>
      <c r="MK44" s="387"/>
      <c r="ML44" s="387"/>
      <c r="MM44" s="387"/>
      <c r="MN44" s="387"/>
      <c r="MO44" s="387"/>
      <c r="MP44" s="387"/>
      <c r="MQ44" s="387"/>
      <c r="MR44" s="387"/>
      <c r="MS44" s="387"/>
      <c r="MT44" s="387"/>
      <c r="MU44" s="387"/>
      <c r="MV44" s="387"/>
      <c r="MW44" s="387"/>
      <c r="MX44" s="387"/>
      <c r="MY44" s="387"/>
      <c r="MZ44" s="387"/>
      <c r="NA44" s="387"/>
      <c r="NB44" s="387"/>
      <c r="NC44" s="387"/>
      <c r="ND44" s="387"/>
      <c r="NE44" s="387"/>
      <c r="NF44" s="387"/>
      <c r="NG44" s="387"/>
      <c r="NH44" s="387"/>
      <c r="NI44" s="387"/>
      <c r="NJ44" s="387"/>
      <c r="NK44" s="387"/>
      <c r="NL44" s="387"/>
      <c r="NM44" s="387"/>
      <c r="NN44" s="387"/>
      <c r="NO44" s="387"/>
      <c r="NP44" s="387"/>
      <c r="NQ44" s="387"/>
      <c r="NR44" s="387"/>
      <c r="NS44" s="387"/>
      <c r="NT44" s="387"/>
      <c r="NU44" s="387"/>
      <c r="NV44" s="387"/>
      <c r="NW44" s="387"/>
      <c r="NX44" s="387"/>
      <c r="NY44" s="387"/>
      <c r="NZ44" s="387"/>
      <c r="OA44" s="387"/>
      <c r="OB44" s="387"/>
      <c r="OC44" s="387"/>
      <c r="OD44" s="387"/>
      <c r="OE44" s="387"/>
      <c r="OF44" s="387"/>
      <c r="OG44" s="387"/>
      <c r="OH44" s="387"/>
      <c r="OI44" s="387"/>
      <c r="OJ44" s="387"/>
      <c r="OK44" s="387"/>
      <c r="OL44" s="387"/>
      <c r="OM44" s="387"/>
      <c r="ON44" s="387"/>
      <c r="OO44" s="387"/>
      <c r="OP44" s="387"/>
      <c r="OQ44" s="387"/>
      <c r="OR44" s="387"/>
      <c r="OS44" s="387"/>
      <c r="OT44" s="387"/>
      <c r="OU44" s="387"/>
      <c r="OV44" s="387"/>
      <c r="OW44" s="387"/>
      <c r="OX44" s="387"/>
      <c r="OY44" s="387"/>
      <c r="OZ44" s="387"/>
      <c r="PA44" s="387"/>
      <c r="PB44" s="387"/>
      <c r="PC44" s="387"/>
      <c r="PD44" s="387"/>
      <c r="PE44" s="387"/>
      <c r="PF44" s="387"/>
      <c r="PG44" s="387"/>
      <c r="PH44" s="387"/>
      <c r="PI44" s="387"/>
      <c r="PJ44" s="387"/>
      <c r="PK44" s="387"/>
      <c r="PL44" s="387"/>
      <c r="PM44" s="387"/>
      <c r="PN44" s="387"/>
      <c r="PO44" s="387"/>
      <c r="PP44" s="387"/>
      <c r="PQ44" s="387"/>
      <c r="PR44" s="387"/>
      <c r="PS44" s="387"/>
      <c r="PT44" s="387"/>
      <c r="PU44" s="387"/>
      <c r="PV44" s="387"/>
      <c r="PW44" s="387"/>
      <c r="PX44" s="387"/>
      <c r="PY44" s="387"/>
      <c r="PZ44" s="387"/>
      <c r="QA44" s="387"/>
      <c r="QB44" s="387"/>
      <c r="QC44" s="387"/>
      <c r="QD44" s="387"/>
      <c r="QE44" s="387"/>
      <c r="QF44" s="387"/>
      <c r="QG44" s="387"/>
      <c r="QH44" s="387"/>
      <c r="QI44" s="387"/>
      <c r="QJ44" s="387"/>
      <c r="QK44" s="387"/>
      <c r="QL44" s="387"/>
      <c r="QM44" s="387"/>
      <c r="QN44" s="387"/>
      <c r="QO44" s="387"/>
      <c r="QP44" s="387"/>
      <c r="QQ44" s="387"/>
      <c r="QR44" s="387"/>
      <c r="QS44" s="387"/>
      <c r="QT44" s="387"/>
      <c r="QU44" s="387"/>
      <c r="QV44" s="387"/>
      <c r="QW44" s="387"/>
      <c r="QX44" s="387"/>
      <c r="QY44" s="387"/>
      <c r="QZ44" s="387"/>
      <c r="RA44" s="387"/>
      <c r="RB44" s="387"/>
      <c r="RC44" s="387"/>
      <c r="RD44" s="387"/>
      <c r="RE44" s="387"/>
      <c r="RF44" s="387"/>
      <c r="RG44" s="387"/>
      <c r="RH44" s="387"/>
      <c r="RI44" s="387"/>
      <c r="RJ44" s="387"/>
      <c r="RK44" s="387"/>
      <c r="RL44" s="387"/>
      <c r="RM44" s="387"/>
      <c r="RN44" s="387"/>
      <c r="RO44" s="387"/>
      <c r="RP44" s="387"/>
      <c r="RQ44" s="387"/>
      <c r="RR44" s="387"/>
      <c r="RS44" s="387"/>
      <c r="RT44" s="387"/>
      <c r="RU44" s="387"/>
      <c r="RV44" s="387"/>
      <c r="RW44" s="387"/>
      <c r="RX44" s="387"/>
      <c r="RY44" s="387"/>
      <c r="RZ44" s="387"/>
      <c r="SA44" s="387"/>
      <c r="SB44" s="387"/>
      <c r="SC44" s="387"/>
      <c r="SD44" s="387"/>
      <c r="SE44" s="387"/>
      <c r="SF44" s="387"/>
      <c r="SG44" s="387"/>
      <c r="SH44" s="387"/>
      <c r="SI44" s="387"/>
      <c r="SJ44" s="387"/>
      <c r="SK44" s="387"/>
      <c r="SL44" s="387"/>
      <c r="SM44" s="387"/>
      <c r="SN44" s="387"/>
      <c r="SO44" s="387"/>
      <c r="SP44" s="387"/>
      <c r="SQ44" s="387"/>
      <c r="SR44" s="387"/>
      <c r="SS44" s="387"/>
      <c r="ST44" s="387"/>
      <c r="SU44" s="387"/>
      <c r="SV44" s="387"/>
      <c r="SW44" s="387"/>
      <c r="SX44" s="387"/>
      <c r="SY44" s="387"/>
      <c r="SZ44" s="387"/>
      <c r="TA44" s="387"/>
      <c r="TB44" s="387"/>
      <c r="TC44" s="387"/>
      <c r="TD44" s="387"/>
      <c r="TE44" s="387"/>
      <c r="TF44" s="387"/>
      <c r="TG44" s="387"/>
      <c r="TH44" s="387"/>
      <c r="TI44" s="387"/>
      <c r="TJ44" s="387"/>
      <c r="TK44" s="387"/>
      <c r="TL44" s="387"/>
      <c r="TM44" s="387"/>
      <c r="TN44" s="387"/>
      <c r="TO44" s="387"/>
      <c r="TP44" s="387"/>
      <c r="TQ44" s="387"/>
      <c r="TR44" s="387"/>
      <c r="TS44" s="387"/>
      <c r="TT44" s="387"/>
      <c r="TU44" s="387"/>
      <c r="TV44" s="387"/>
      <c r="TW44" s="387"/>
      <c r="TX44" s="387"/>
      <c r="TY44" s="387"/>
      <c r="TZ44" s="387"/>
      <c r="UA44" s="387"/>
      <c r="UB44" s="387"/>
      <c r="UC44" s="387"/>
      <c r="UD44" s="387"/>
      <c r="UE44" s="387"/>
      <c r="UF44" s="387"/>
      <c r="UG44" s="387"/>
      <c r="UH44" s="387"/>
      <c r="UI44" s="387"/>
      <c r="UJ44" s="387"/>
      <c r="UK44" s="387"/>
      <c r="UL44" s="387"/>
      <c r="UM44" s="387"/>
      <c r="UN44" s="387"/>
      <c r="UO44" s="387"/>
      <c r="UP44" s="387"/>
      <c r="UQ44" s="387"/>
      <c r="UR44" s="387"/>
      <c r="US44" s="387"/>
      <c r="UT44" s="387"/>
      <c r="UU44" s="387"/>
      <c r="UV44" s="387"/>
      <c r="UW44" s="387"/>
      <c r="UX44" s="387"/>
      <c r="UY44" s="387"/>
      <c r="UZ44" s="387"/>
      <c r="VA44" s="387"/>
      <c r="VB44" s="387"/>
      <c r="VC44" s="387"/>
      <c r="VD44" s="387"/>
      <c r="VE44" s="387"/>
      <c r="VF44" s="387"/>
      <c r="VG44" s="387"/>
      <c r="VH44" s="387"/>
      <c r="VI44" s="387"/>
      <c r="VJ44" s="387"/>
      <c r="VK44" s="387"/>
      <c r="VL44" s="387"/>
      <c r="VM44" s="387"/>
      <c r="VN44" s="387"/>
      <c r="VO44" s="387"/>
      <c r="VP44" s="387"/>
      <c r="VQ44" s="387"/>
      <c r="VR44" s="387"/>
      <c r="VS44" s="387"/>
      <c r="VT44" s="387"/>
      <c r="VU44" s="387"/>
      <c r="VV44" s="387"/>
      <c r="VW44" s="387"/>
      <c r="VX44" s="387"/>
      <c r="VY44" s="387"/>
      <c r="VZ44" s="387"/>
      <c r="WA44" s="387"/>
      <c r="WB44" s="387"/>
      <c r="WC44" s="387"/>
      <c r="WD44" s="387"/>
      <c r="WE44" s="387"/>
      <c r="WF44" s="387"/>
      <c r="WG44" s="387"/>
      <c r="WH44" s="387"/>
      <c r="WI44" s="387"/>
      <c r="WJ44" s="387"/>
      <c r="WK44" s="387"/>
      <c r="WL44" s="387"/>
      <c r="WM44" s="387"/>
      <c r="WN44" s="387"/>
      <c r="WO44" s="387"/>
      <c r="WP44" s="387"/>
      <c r="WQ44" s="387"/>
      <c r="WR44" s="387"/>
      <c r="WS44" s="387"/>
      <c r="WT44" s="387"/>
      <c r="WU44" s="387"/>
      <c r="WV44" s="387"/>
      <c r="WW44" s="387"/>
      <c r="WX44" s="387"/>
      <c r="WY44" s="387"/>
      <c r="WZ44" s="387"/>
      <c r="XA44" s="387"/>
      <c r="XB44" s="387"/>
      <c r="XC44" s="387"/>
      <c r="XD44" s="387"/>
      <c r="XE44" s="387"/>
      <c r="XF44" s="387"/>
      <c r="XG44" s="387"/>
      <c r="XH44" s="387"/>
      <c r="XI44" s="387"/>
      <c r="XJ44" s="387"/>
      <c r="XK44" s="387"/>
      <c r="XL44" s="387"/>
      <c r="XM44" s="387"/>
      <c r="XN44" s="387"/>
      <c r="XO44" s="387"/>
      <c r="XP44" s="387"/>
      <c r="XQ44" s="387"/>
      <c r="XR44" s="387"/>
      <c r="XS44" s="387"/>
      <c r="XT44" s="387"/>
      <c r="XU44" s="387"/>
      <c r="XV44" s="387"/>
      <c r="XW44" s="387"/>
      <c r="XX44" s="387"/>
      <c r="XY44" s="387"/>
      <c r="XZ44" s="387"/>
      <c r="YA44" s="387"/>
      <c r="YB44" s="387"/>
      <c r="YC44" s="387"/>
      <c r="YD44" s="387"/>
      <c r="YE44" s="387"/>
      <c r="YF44" s="387"/>
      <c r="YG44" s="387"/>
      <c r="YH44" s="387"/>
      <c r="YI44" s="387"/>
      <c r="YJ44" s="387"/>
      <c r="YK44" s="387"/>
      <c r="YL44" s="387"/>
      <c r="YM44" s="387"/>
      <c r="YN44" s="387"/>
      <c r="YO44" s="387"/>
      <c r="YP44" s="387"/>
      <c r="YQ44" s="387"/>
      <c r="YR44" s="387"/>
      <c r="YS44" s="387"/>
      <c r="YT44" s="387"/>
      <c r="YU44" s="387"/>
      <c r="YV44" s="387"/>
      <c r="YW44" s="387"/>
      <c r="YX44" s="387"/>
      <c r="YY44" s="387"/>
      <c r="YZ44" s="387"/>
      <c r="ZA44" s="387"/>
      <c r="ZB44" s="387"/>
      <c r="ZC44" s="387"/>
      <c r="ZD44" s="387"/>
      <c r="ZE44" s="387"/>
      <c r="ZF44" s="387"/>
      <c r="ZG44" s="387"/>
      <c r="ZH44" s="387"/>
      <c r="ZI44" s="387"/>
      <c r="ZJ44" s="387"/>
      <c r="ZK44" s="387"/>
      <c r="ZL44" s="387"/>
      <c r="ZM44" s="387"/>
      <c r="ZN44" s="387"/>
      <c r="ZO44" s="387"/>
      <c r="ZP44" s="387"/>
      <c r="ZQ44" s="387"/>
      <c r="ZR44" s="387"/>
      <c r="ZS44" s="387"/>
      <c r="ZT44" s="387"/>
      <c r="ZU44" s="387"/>
      <c r="ZV44" s="387"/>
      <c r="ZW44" s="387"/>
      <c r="ZX44" s="387"/>
      <c r="ZY44" s="387"/>
      <c r="ZZ44" s="387"/>
      <c r="AAA44" s="387"/>
      <c r="AAB44" s="387"/>
      <c r="AAC44" s="387"/>
      <c r="AAD44" s="387"/>
      <c r="AAE44" s="387"/>
      <c r="AAF44" s="387"/>
      <c r="AAG44" s="387"/>
      <c r="AAH44" s="387"/>
      <c r="AAI44" s="387"/>
      <c r="AAJ44" s="387"/>
      <c r="AAK44" s="387"/>
      <c r="AAL44" s="387"/>
      <c r="AAM44" s="387"/>
      <c r="AAN44" s="387"/>
      <c r="AAO44" s="387"/>
      <c r="AAP44" s="387"/>
      <c r="AAQ44" s="387"/>
      <c r="AAR44" s="387"/>
      <c r="AAS44" s="387"/>
      <c r="AAT44" s="387"/>
      <c r="AAU44" s="387"/>
      <c r="AAV44" s="387"/>
      <c r="AAW44" s="387"/>
      <c r="AAX44" s="387"/>
      <c r="AAY44" s="387"/>
      <c r="AAZ44" s="387"/>
      <c r="ABA44" s="387"/>
      <c r="ABB44" s="387"/>
      <c r="ABC44" s="387"/>
      <c r="ABD44" s="387"/>
      <c r="ABE44" s="387"/>
      <c r="ABF44" s="387"/>
      <c r="ABG44" s="387"/>
      <c r="ABH44" s="387"/>
      <c r="ABI44" s="387"/>
      <c r="ABJ44" s="387"/>
      <c r="ABK44" s="387"/>
      <c r="ABL44" s="387"/>
      <c r="ABM44" s="387"/>
      <c r="ABN44" s="387"/>
      <c r="ABO44" s="387"/>
      <c r="ABP44" s="387"/>
      <c r="ABQ44" s="387"/>
      <c r="ABR44" s="387"/>
      <c r="ABS44" s="387"/>
      <c r="ABT44" s="387"/>
      <c r="ABU44" s="387"/>
      <c r="ABV44" s="387"/>
      <c r="ABW44" s="387"/>
      <c r="ABX44" s="387"/>
      <c r="ABY44" s="387"/>
      <c r="ABZ44" s="387"/>
      <c r="ACA44" s="387"/>
      <c r="ACB44" s="387"/>
      <c r="ACC44" s="387"/>
      <c r="ACD44" s="387"/>
      <c r="ACE44" s="387"/>
      <c r="ACF44" s="387"/>
      <c r="ACG44" s="387"/>
      <c r="ACH44" s="387"/>
      <c r="ACI44" s="387"/>
      <c r="ACJ44" s="387"/>
      <c r="ACK44" s="387"/>
      <c r="ACL44" s="387"/>
      <c r="ACM44" s="387"/>
      <c r="ACN44" s="387"/>
      <c r="ACO44" s="387"/>
      <c r="ACP44" s="387"/>
      <c r="ACQ44" s="387"/>
      <c r="ACR44" s="387"/>
      <c r="ACS44" s="387"/>
      <c r="ACT44" s="387"/>
      <c r="ACU44" s="387"/>
      <c r="ACV44" s="387"/>
      <c r="ACW44" s="387"/>
      <c r="ACX44" s="387"/>
      <c r="ACY44" s="387"/>
      <c r="ACZ44" s="387"/>
      <c r="ADA44" s="387"/>
      <c r="ADB44" s="387"/>
      <c r="ADC44" s="387"/>
      <c r="ADD44" s="387"/>
      <c r="ADE44" s="387"/>
      <c r="ADF44" s="387"/>
      <c r="ADG44" s="387"/>
      <c r="ADH44" s="387"/>
      <c r="ADI44" s="387"/>
      <c r="ADJ44" s="387"/>
      <c r="ADK44" s="387"/>
      <c r="ADL44" s="387"/>
      <c r="ADM44" s="387"/>
      <c r="ADN44" s="387"/>
      <c r="ADO44" s="387"/>
      <c r="ADP44" s="387"/>
      <c r="ADQ44" s="387"/>
      <c r="ADR44" s="387"/>
      <c r="ADS44" s="387"/>
      <c r="ADT44" s="387"/>
      <c r="ADU44" s="387"/>
      <c r="ADV44" s="387"/>
      <c r="ADW44" s="387"/>
      <c r="ADX44" s="387"/>
      <c r="ADY44" s="387"/>
      <c r="ADZ44" s="387"/>
      <c r="AEA44" s="387"/>
      <c r="AEB44" s="387"/>
      <c r="AEC44" s="387"/>
      <c r="AED44" s="387"/>
      <c r="AEE44" s="387"/>
      <c r="AEF44" s="387"/>
      <c r="AEG44" s="387"/>
      <c r="AEH44" s="387"/>
      <c r="AEI44" s="387"/>
      <c r="AEJ44" s="387"/>
      <c r="AEK44" s="387"/>
      <c r="AEL44" s="387"/>
      <c r="AEM44" s="387"/>
      <c r="AEN44" s="387"/>
      <c r="AEO44" s="387"/>
      <c r="AEP44" s="387"/>
      <c r="AEQ44" s="387"/>
      <c r="AER44" s="387"/>
      <c r="AES44" s="387"/>
      <c r="AET44" s="387"/>
      <c r="AEU44" s="387"/>
      <c r="AEV44" s="387"/>
      <c r="AEW44" s="387"/>
      <c r="AEX44" s="387"/>
      <c r="AEY44" s="387"/>
      <c r="AEZ44" s="387"/>
      <c r="AFA44" s="387"/>
      <c r="AFB44" s="387"/>
      <c r="AFC44" s="387"/>
      <c r="AFD44" s="387"/>
      <c r="AFE44" s="387"/>
      <c r="AFF44" s="387"/>
      <c r="AFG44" s="387"/>
      <c r="AFH44" s="387"/>
      <c r="AFI44" s="387"/>
      <c r="AFJ44" s="387"/>
      <c r="AFK44" s="387"/>
      <c r="AFL44" s="387"/>
      <c r="AFM44" s="387"/>
      <c r="AFN44" s="387"/>
      <c r="AFO44" s="387"/>
      <c r="AFP44" s="387"/>
      <c r="AFQ44" s="387"/>
      <c r="AFR44" s="387"/>
      <c r="AFS44" s="387"/>
      <c r="AFT44" s="387"/>
      <c r="AFU44" s="387"/>
      <c r="AFV44" s="387"/>
      <c r="AFW44" s="387"/>
      <c r="AFX44" s="387"/>
      <c r="AFY44" s="387"/>
      <c r="AFZ44" s="387"/>
      <c r="AGA44" s="387"/>
      <c r="AGB44" s="387"/>
      <c r="AGC44" s="387"/>
      <c r="AGD44" s="387"/>
      <c r="AGE44" s="387"/>
      <c r="AGF44" s="387"/>
      <c r="AGG44" s="387"/>
      <c r="AGH44" s="387"/>
      <c r="AGI44" s="387"/>
      <c r="AGJ44" s="387"/>
      <c r="AGK44" s="387"/>
      <c r="AGL44" s="387"/>
      <c r="AGM44" s="387"/>
      <c r="AGN44" s="387"/>
      <c r="AGO44" s="387"/>
      <c r="AGP44" s="387"/>
      <c r="AGQ44" s="387"/>
      <c r="AGR44" s="387"/>
      <c r="AGS44" s="387"/>
      <c r="AGT44" s="387"/>
      <c r="AGU44" s="387"/>
      <c r="AGV44" s="387"/>
      <c r="AGW44" s="387"/>
      <c r="AGX44" s="387"/>
      <c r="AGY44" s="387"/>
      <c r="AGZ44" s="387"/>
      <c r="AHA44" s="387"/>
      <c r="AHB44" s="387"/>
      <c r="AHC44" s="387"/>
      <c r="AHD44" s="387"/>
      <c r="AHE44" s="387"/>
      <c r="AHF44" s="387"/>
      <c r="AHG44" s="387"/>
      <c r="AHH44" s="387"/>
      <c r="AHI44" s="387"/>
      <c r="AHJ44" s="387"/>
      <c r="AHK44" s="387"/>
      <c r="AHL44" s="387"/>
      <c r="AHM44" s="387"/>
      <c r="AHN44" s="387"/>
      <c r="AHO44" s="387"/>
      <c r="AHP44" s="387"/>
      <c r="AHQ44" s="387"/>
      <c r="AHR44" s="387"/>
      <c r="AHS44" s="387"/>
      <c r="AHT44" s="387"/>
      <c r="AHU44" s="387"/>
      <c r="AHV44" s="387"/>
      <c r="AHW44" s="387"/>
      <c r="AHX44" s="387"/>
      <c r="AHY44" s="387"/>
      <c r="AHZ44" s="387"/>
      <c r="AIA44" s="387"/>
      <c r="AIB44" s="387"/>
      <c r="AIC44" s="387"/>
      <c r="AID44" s="387"/>
      <c r="AIE44" s="387"/>
      <c r="AIF44" s="387"/>
      <c r="AIG44" s="387"/>
      <c r="AIH44" s="387"/>
      <c r="AII44" s="387"/>
      <c r="AIJ44" s="387"/>
      <c r="AIK44" s="387"/>
      <c r="AIL44" s="387"/>
      <c r="AIM44" s="387"/>
      <c r="AIN44" s="387"/>
      <c r="AIO44" s="387"/>
      <c r="AIP44" s="387"/>
      <c r="AIQ44" s="387"/>
      <c r="AIR44" s="387"/>
      <c r="AIS44" s="387"/>
      <c r="AIT44" s="387"/>
      <c r="AIU44" s="387"/>
      <c r="AIV44" s="387"/>
      <c r="AIW44" s="387"/>
      <c r="AIX44" s="387"/>
      <c r="AIY44" s="387"/>
      <c r="AIZ44" s="387"/>
      <c r="AJA44" s="387"/>
      <c r="AJB44" s="387"/>
      <c r="AJC44" s="387"/>
      <c r="AJD44" s="387"/>
      <c r="AJE44" s="387"/>
      <c r="AJF44" s="387"/>
      <c r="AJG44" s="387"/>
      <c r="AJH44" s="387"/>
      <c r="AJI44" s="387"/>
      <c r="AJJ44" s="387"/>
      <c r="AJK44" s="387"/>
      <c r="AJL44" s="387"/>
      <c r="AJM44" s="387"/>
      <c r="AJN44" s="387"/>
      <c r="AJO44" s="387"/>
      <c r="AJP44" s="387"/>
      <c r="AJQ44" s="387"/>
      <c r="AJR44" s="387"/>
      <c r="AJS44" s="387"/>
      <c r="AJT44" s="387"/>
      <c r="AJU44" s="387"/>
      <c r="AJV44" s="387"/>
      <c r="AJW44" s="387"/>
      <c r="AJX44" s="387"/>
      <c r="AJY44" s="387"/>
      <c r="AJZ44" s="387"/>
      <c r="AKA44" s="387"/>
      <c r="AKB44" s="387"/>
      <c r="AKC44" s="387"/>
      <c r="AKD44" s="387"/>
      <c r="AKE44" s="387"/>
      <c r="AKF44" s="387"/>
      <c r="AKG44" s="387"/>
      <c r="AKH44" s="387"/>
      <c r="AKI44" s="387"/>
      <c r="AKJ44" s="387"/>
      <c r="AKK44" s="387"/>
      <c r="AKL44" s="387"/>
      <c r="AKM44" s="387"/>
      <c r="AKN44" s="387"/>
      <c r="AKO44" s="387"/>
      <c r="AKP44" s="387"/>
      <c r="AKQ44" s="387"/>
      <c r="AKR44" s="387"/>
      <c r="AKS44" s="387"/>
      <c r="AKT44" s="387"/>
      <c r="AKU44" s="387"/>
      <c r="AKV44" s="387"/>
      <c r="AKW44" s="387"/>
      <c r="AKX44" s="387"/>
      <c r="AKY44" s="387"/>
      <c r="AKZ44" s="387"/>
      <c r="ALA44" s="387"/>
      <c r="ALB44" s="387"/>
      <c r="ALC44" s="387"/>
      <c r="ALD44" s="387"/>
      <c r="ALE44" s="387"/>
      <c r="ALF44" s="387"/>
      <c r="ALG44" s="387"/>
      <c r="ALH44" s="387"/>
      <c r="ALI44" s="387"/>
      <c r="ALJ44" s="387"/>
      <c r="ALK44" s="387"/>
      <c r="ALL44" s="387"/>
      <c r="ALM44" s="387"/>
      <c r="ALN44" s="387"/>
      <c r="ALO44" s="387"/>
      <c r="ALP44" s="387"/>
      <c r="ALQ44" s="387"/>
      <c r="ALR44" s="387"/>
      <c r="ALS44" s="387"/>
      <c r="ALT44" s="387"/>
      <c r="ALU44" s="387"/>
      <c r="ALV44" s="387"/>
      <c r="ALW44" s="387"/>
      <c r="ALX44" s="387"/>
      <c r="ALY44" s="387"/>
      <c r="ALZ44" s="387"/>
      <c r="AMA44" s="387"/>
      <c r="AMB44" s="387"/>
      <c r="AMC44" s="387"/>
      <c r="AMD44" s="387"/>
      <c r="AME44" s="387"/>
      <c r="AMF44" s="387"/>
      <c r="AMG44" s="387"/>
      <c r="AMH44" s="387"/>
      <c r="AMI44" s="387"/>
      <c r="AMJ44" s="387"/>
      <c r="AMK44" s="387"/>
      <c r="AML44" s="387"/>
      <c r="AMM44" s="387"/>
      <c r="AMN44" s="387"/>
      <c r="AMO44" s="387"/>
      <c r="AMP44" s="387"/>
      <c r="AMQ44" s="387"/>
      <c r="AMR44" s="387"/>
      <c r="AMS44" s="387"/>
      <c r="AMT44" s="387"/>
      <c r="AMU44" s="387"/>
      <c r="AMV44" s="387"/>
      <c r="AMW44" s="387"/>
      <c r="AMX44" s="387"/>
      <c r="AMY44" s="387"/>
      <c r="AMZ44" s="387"/>
      <c r="ANA44" s="387"/>
      <c r="ANB44" s="387"/>
      <c r="ANC44" s="387"/>
      <c r="AND44" s="387"/>
      <c r="ANE44" s="387"/>
      <c r="ANF44" s="387"/>
      <c r="ANG44" s="387"/>
      <c r="ANH44" s="387"/>
      <c r="ANI44" s="387"/>
      <c r="ANJ44" s="387"/>
      <c r="ANK44" s="387"/>
      <c r="ANL44" s="387"/>
      <c r="ANM44" s="387"/>
      <c r="ANN44" s="387"/>
      <c r="ANO44" s="387"/>
      <c r="ANP44" s="387"/>
      <c r="ANQ44" s="387"/>
      <c r="ANR44" s="387"/>
      <c r="ANS44" s="387"/>
      <c r="ANT44" s="387"/>
      <c r="ANU44" s="387"/>
      <c r="ANV44" s="387"/>
      <c r="ANW44" s="387"/>
      <c r="ANX44" s="387"/>
      <c r="ANY44" s="387"/>
      <c r="ANZ44" s="387"/>
      <c r="AOA44" s="387"/>
      <c r="AOB44" s="387"/>
      <c r="AOC44" s="387"/>
      <c r="AOD44" s="387"/>
      <c r="AOE44" s="387"/>
      <c r="AOF44" s="387"/>
      <c r="AOG44" s="387"/>
      <c r="AOH44" s="387"/>
      <c r="AOI44" s="387"/>
      <c r="AOJ44" s="387"/>
      <c r="AOK44" s="387"/>
      <c r="AOL44" s="387"/>
      <c r="AOM44" s="387"/>
      <c r="AON44" s="387"/>
      <c r="AOO44" s="387"/>
      <c r="AOP44" s="387"/>
      <c r="AOQ44" s="387"/>
      <c r="AOR44" s="387"/>
      <c r="AOS44" s="387"/>
      <c r="AOT44" s="387"/>
      <c r="AOU44" s="387"/>
      <c r="AOV44" s="387"/>
      <c r="AOW44" s="387"/>
      <c r="AOX44" s="387"/>
      <c r="AOY44" s="387"/>
      <c r="AOZ44" s="387"/>
      <c r="APA44" s="387"/>
      <c r="APB44" s="387"/>
      <c r="APC44" s="387"/>
      <c r="APD44" s="387"/>
      <c r="APE44" s="387"/>
      <c r="APF44" s="387"/>
      <c r="APG44" s="387"/>
      <c r="APH44" s="387"/>
      <c r="API44" s="387"/>
      <c r="APJ44" s="387"/>
      <c r="APK44" s="387"/>
      <c r="APL44" s="387"/>
      <c r="APM44" s="387"/>
      <c r="APN44" s="387"/>
      <c r="APO44" s="387"/>
      <c r="APP44" s="387"/>
      <c r="APQ44" s="387"/>
      <c r="APR44" s="387"/>
      <c r="APS44" s="387"/>
      <c r="APT44" s="387"/>
      <c r="APU44" s="387"/>
      <c r="APV44" s="387"/>
      <c r="APW44" s="387"/>
      <c r="APX44" s="387"/>
      <c r="APY44" s="387"/>
      <c r="APZ44" s="387"/>
      <c r="AQA44" s="387"/>
      <c r="AQB44" s="387"/>
      <c r="AQC44" s="387"/>
      <c r="AQD44" s="387"/>
      <c r="AQE44" s="387"/>
      <c r="AQF44" s="387"/>
      <c r="AQG44" s="387"/>
      <c r="AQH44" s="387"/>
      <c r="AQI44" s="387"/>
      <c r="AQJ44" s="387"/>
      <c r="AQK44" s="387"/>
      <c r="AQL44" s="387"/>
      <c r="AQM44" s="387"/>
      <c r="AQN44" s="387"/>
      <c r="AQO44" s="387"/>
      <c r="AQP44" s="387"/>
      <c r="AQQ44" s="387"/>
      <c r="AQR44" s="387"/>
      <c r="AQS44" s="387"/>
      <c r="AQT44" s="387"/>
      <c r="AQU44" s="387"/>
      <c r="AQV44" s="387"/>
      <c r="AQW44" s="387"/>
      <c r="AQX44" s="387"/>
      <c r="AQY44" s="387"/>
      <c r="AQZ44" s="387"/>
      <c r="ARA44" s="387"/>
      <c r="ARB44" s="387"/>
      <c r="ARC44" s="387"/>
      <c r="ARD44" s="387"/>
      <c r="ARE44" s="387"/>
      <c r="ARF44" s="387"/>
      <c r="ARG44" s="387"/>
      <c r="ARH44" s="387"/>
      <c r="ARI44" s="387"/>
      <c r="ARJ44" s="387"/>
      <c r="ARK44" s="387"/>
      <c r="ARL44" s="387"/>
      <c r="ARM44" s="387"/>
      <c r="ARN44" s="387"/>
      <c r="ARO44" s="387"/>
      <c r="ARP44" s="387"/>
      <c r="ARQ44" s="387"/>
      <c r="ARR44" s="387"/>
      <c r="ARS44" s="387"/>
      <c r="ART44" s="387"/>
      <c r="ARU44" s="387"/>
      <c r="ARV44" s="387"/>
      <c r="ARW44" s="387"/>
      <c r="ARX44" s="387"/>
      <c r="ARY44" s="387"/>
      <c r="ARZ44" s="387"/>
      <c r="ASA44" s="387"/>
      <c r="ASB44" s="387"/>
      <c r="ASC44" s="387"/>
      <c r="ASD44" s="387"/>
      <c r="ASE44" s="387"/>
      <c r="ASF44" s="387"/>
      <c r="ASG44" s="387"/>
      <c r="ASH44" s="387"/>
      <c r="ASI44" s="387"/>
      <c r="ASJ44" s="387"/>
      <c r="ASK44" s="387"/>
      <c r="ASL44" s="387"/>
      <c r="ASM44" s="387"/>
      <c r="ASN44" s="387"/>
      <c r="ASO44" s="387"/>
      <c r="ASP44" s="387"/>
      <c r="ASQ44" s="387"/>
      <c r="ASR44" s="387"/>
      <c r="ASS44" s="387"/>
      <c r="AST44" s="387"/>
      <c r="ASU44" s="387"/>
      <c r="ASV44" s="387"/>
      <c r="ASW44" s="387"/>
      <c r="ASX44" s="387"/>
      <c r="ASY44" s="387"/>
      <c r="ASZ44" s="387"/>
      <c r="ATA44" s="387"/>
      <c r="ATB44" s="387"/>
      <c r="ATC44" s="387"/>
      <c r="ATD44" s="387"/>
      <c r="ATE44" s="387"/>
      <c r="ATF44" s="387"/>
      <c r="ATG44" s="387"/>
      <c r="ATH44" s="387"/>
      <c r="ATI44" s="387"/>
      <c r="ATJ44" s="387"/>
      <c r="ATK44" s="387"/>
      <c r="ATL44" s="387"/>
      <c r="ATM44" s="387"/>
      <c r="ATN44" s="387"/>
      <c r="ATO44" s="387"/>
      <c r="ATP44" s="387"/>
      <c r="ATQ44" s="387"/>
      <c r="ATR44" s="387"/>
      <c r="ATS44" s="387"/>
      <c r="ATT44" s="387"/>
      <c r="ATU44" s="387"/>
      <c r="ATV44" s="387"/>
      <c r="ATW44" s="387"/>
      <c r="ATX44" s="387"/>
      <c r="ATY44" s="387"/>
      <c r="ATZ44" s="387"/>
      <c r="AUA44" s="387"/>
      <c r="AUB44" s="387"/>
      <c r="AUC44" s="387"/>
      <c r="AUD44" s="387"/>
      <c r="AUE44" s="387"/>
      <c r="AUF44" s="387"/>
      <c r="AUG44" s="387"/>
      <c r="AUH44" s="387"/>
      <c r="AUI44" s="387"/>
      <c r="AUJ44" s="387"/>
      <c r="AUK44" s="387"/>
      <c r="AUL44" s="387"/>
      <c r="AUM44" s="387"/>
      <c r="AUN44" s="387"/>
      <c r="AUO44" s="387"/>
      <c r="AUP44" s="387"/>
      <c r="AUQ44" s="387"/>
      <c r="AUR44" s="387"/>
      <c r="AUS44" s="387"/>
      <c r="AUT44" s="387"/>
      <c r="AUU44" s="387"/>
      <c r="AUV44" s="387"/>
      <c r="AUW44" s="387"/>
      <c r="AUX44" s="387"/>
      <c r="AUY44" s="387"/>
      <c r="AUZ44" s="387"/>
      <c r="AVA44" s="387"/>
      <c r="AVB44" s="387"/>
      <c r="AVC44" s="387"/>
      <c r="AVD44" s="387"/>
      <c r="AVE44" s="387"/>
      <c r="AVF44" s="387"/>
      <c r="AVG44" s="387"/>
      <c r="AVH44" s="387"/>
      <c r="AVI44" s="387"/>
      <c r="AVJ44" s="387"/>
      <c r="AVK44" s="387"/>
      <c r="AVL44" s="387"/>
      <c r="AVM44" s="387"/>
      <c r="AVN44" s="387"/>
      <c r="AVO44" s="387"/>
      <c r="AVP44" s="387"/>
      <c r="AVQ44" s="387"/>
      <c r="AVR44" s="387"/>
      <c r="AVS44" s="387"/>
      <c r="AVT44" s="387"/>
      <c r="AVU44" s="387"/>
      <c r="AVV44" s="387"/>
      <c r="AVW44" s="387"/>
      <c r="AVX44" s="387"/>
      <c r="AVY44" s="387"/>
      <c r="AVZ44" s="387"/>
      <c r="AWA44" s="387"/>
      <c r="AWB44" s="387"/>
      <c r="AWC44" s="387"/>
      <c r="AWD44" s="387"/>
      <c r="AWE44" s="387"/>
      <c r="AWF44" s="387"/>
      <c r="AWG44" s="387"/>
      <c r="AWH44" s="387"/>
      <c r="AWI44" s="387"/>
      <c r="AWJ44" s="387"/>
      <c r="AWK44" s="387"/>
      <c r="AWL44" s="387"/>
      <c r="AWM44" s="387"/>
      <c r="AWN44" s="387"/>
      <c r="AWO44" s="387"/>
      <c r="AWP44" s="387"/>
      <c r="AWQ44" s="387"/>
      <c r="AWR44" s="387"/>
      <c r="AWS44" s="387"/>
      <c r="AWT44" s="387"/>
      <c r="AWU44" s="387"/>
      <c r="AWV44" s="387"/>
      <c r="AWW44" s="387"/>
      <c r="AWX44" s="387"/>
      <c r="AWY44" s="387"/>
      <c r="AWZ44" s="387"/>
      <c r="AXA44" s="387"/>
      <c r="AXB44" s="387"/>
      <c r="AXC44" s="387"/>
      <c r="AXD44" s="387"/>
      <c r="AXE44" s="387"/>
      <c r="AXF44" s="387"/>
      <c r="AXG44" s="387"/>
      <c r="AXH44" s="387"/>
      <c r="AXI44" s="387"/>
      <c r="AXJ44" s="387"/>
      <c r="AXK44" s="387"/>
      <c r="AXL44" s="387"/>
      <c r="AXM44" s="387"/>
      <c r="AXN44" s="387"/>
      <c r="AXO44" s="387"/>
      <c r="AXP44" s="387"/>
      <c r="AXQ44" s="387"/>
      <c r="AXR44" s="387"/>
      <c r="AXS44" s="387"/>
      <c r="AXT44" s="387"/>
      <c r="AXU44" s="387"/>
      <c r="AXV44" s="387"/>
      <c r="AXW44" s="387"/>
      <c r="AXX44" s="387"/>
      <c r="AXY44" s="387"/>
      <c r="AXZ44" s="387"/>
      <c r="AYA44" s="387"/>
      <c r="AYB44" s="387"/>
      <c r="AYC44" s="387"/>
      <c r="AYD44" s="387"/>
      <c r="AYE44" s="387"/>
      <c r="AYF44" s="387"/>
      <c r="AYG44" s="387"/>
      <c r="AYH44" s="387"/>
      <c r="AYI44" s="387"/>
      <c r="AYJ44" s="387"/>
      <c r="AYK44" s="387"/>
      <c r="AYL44" s="387"/>
      <c r="AYM44" s="387"/>
      <c r="AYN44" s="387"/>
      <c r="AYO44" s="387"/>
      <c r="AYP44" s="387"/>
      <c r="AYQ44" s="387"/>
      <c r="AYR44" s="387"/>
      <c r="AYS44" s="387"/>
      <c r="AYT44" s="387"/>
      <c r="AYU44" s="387"/>
      <c r="AYV44" s="387"/>
      <c r="AYW44" s="387"/>
      <c r="AYX44" s="387"/>
      <c r="AYY44" s="387"/>
      <c r="AYZ44" s="387"/>
      <c r="AZA44" s="387"/>
      <c r="AZB44" s="387"/>
      <c r="AZC44" s="387"/>
      <c r="AZD44" s="387"/>
      <c r="AZE44" s="387"/>
      <c r="AZF44" s="387"/>
      <c r="AZG44" s="387"/>
      <c r="AZH44" s="387"/>
      <c r="AZI44" s="387"/>
      <c r="AZJ44" s="387"/>
      <c r="AZK44" s="387"/>
      <c r="AZL44" s="387"/>
      <c r="AZM44" s="387"/>
      <c r="AZN44" s="387"/>
      <c r="AZO44" s="387"/>
      <c r="AZP44" s="387"/>
      <c r="AZQ44" s="387"/>
      <c r="AZR44" s="387"/>
      <c r="AZS44" s="387"/>
      <c r="AZT44" s="387"/>
      <c r="AZU44" s="387"/>
      <c r="AZV44" s="387"/>
      <c r="AZW44" s="387"/>
      <c r="AZX44" s="387"/>
      <c r="AZY44" s="387"/>
      <c r="AZZ44" s="387"/>
      <c r="BAA44" s="387"/>
      <c r="BAB44" s="387"/>
      <c r="BAC44" s="387"/>
      <c r="BAD44" s="387"/>
      <c r="BAE44" s="387"/>
      <c r="BAF44" s="387"/>
      <c r="BAG44" s="387"/>
      <c r="BAH44" s="387"/>
      <c r="BAI44" s="387"/>
      <c r="BAJ44" s="387"/>
      <c r="BAK44" s="387"/>
      <c r="BAL44" s="387"/>
      <c r="BAM44" s="387"/>
      <c r="BAN44" s="387"/>
      <c r="BAO44" s="387"/>
      <c r="BAP44" s="387"/>
      <c r="BAQ44" s="387"/>
      <c r="BAR44" s="387"/>
      <c r="BAS44" s="387"/>
      <c r="BAT44" s="387"/>
      <c r="BAU44" s="387"/>
      <c r="BAV44" s="387"/>
      <c r="BAW44" s="387"/>
      <c r="BAX44" s="387"/>
      <c r="BAY44" s="387"/>
      <c r="BAZ44" s="387"/>
      <c r="BBA44" s="387"/>
      <c r="BBB44" s="387"/>
      <c r="BBC44" s="387"/>
      <c r="BBD44" s="387"/>
      <c r="BBE44" s="387"/>
      <c r="BBF44" s="387"/>
      <c r="BBG44" s="387"/>
      <c r="BBH44" s="387"/>
      <c r="BBI44" s="387"/>
      <c r="BBJ44" s="387"/>
      <c r="BBK44" s="387"/>
      <c r="BBL44" s="387"/>
      <c r="BBM44" s="387"/>
      <c r="BBN44" s="387"/>
      <c r="BBO44" s="387"/>
      <c r="BBP44" s="387"/>
      <c r="BBQ44" s="387"/>
      <c r="BBR44" s="387"/>
      <c r="BBS44" s="387"/>
      <c r="BBT44" s="387"/>
      <c r="BBU44" s="387"/>
      <c r="BBV44" s="387"/>
      <c r="BBW44" s="387"/>
      <c r="BBX44" s="387"/>
      <c r="BBY44" s="387"/>
      <c r="BBZ44" s="387"/>
      <c r="BCA44" s="387"/>
      <c r="BCB44" s="387"/>
      <c r="BCC44" s="387"/>
      <c r="BCD44" s="387"/>
      <c r="BCE44" s="387"/>
      <c r="BCF44" s="387"/>
      <c r="BCG44" s="387"/>
      <c r="BCH44" s="387"/>
      <c r="BCI44" s="387"/>
      <c r="BCJ44" s="387"/>
      <c r="BCK44" s="387"/>
      <c r="BCL44" s="387"/>
      <c r="BCM44" s="387"/>
      <c r="BCN44" s="387"/>
      <c r="BCO44" s="387"/>
      <c r="BCP44" s="387"/>
      <c r="BCQ44" s="387"/>
      <c r="BCR44" s="387"/>
      <c r="BCS44" s="387"/>
      <c r="BCT44" s="387"/>
      <c r="BCU44" s="387"/>
      <c r="BCV44" s="387"/>
      <c r="BCW44" s="387"/>
      <c r="BCX44" s="387"/>
      <c r="BCY44" s="387"/>
      <c r="BCZ44" s="387"/>
      <c r="BDA44" s="387"/>
      <c r="BDB44" s="387"/>
      <c r="BDC44" s="387"/>
      <c r="BDD44" s="387"/>
      <c r="BDE44" s="387"/>
      <c r="BDF44" s="387"/>
      <c r="BDG44" s="387"/>
      <c r="BDH44" s="387"/>
      <c r="BDI44" s="387"/>
      <c r="BDJ44" s="387"/>
      <c r="BDK44" s="387"/>
      <c r="BDL44" s="387"/>
      <c r="BDM44" s="387"/>
      <c r="BDN44" s="387"/>
      <c r="BDO44" s="387"/>
      <c r="BDP44" s="387"/>
      <c r="BDQ44" s="387"/>
      <c r="BDR44" s="387"/>
      <c r="BDS44" s="387"/>
      <c r="BDT44" s="387"/>
      <c r="BDU44" s="387"/>
      <c r="BDV44" s="387"/>
      <c r="BDW44" s="387"/>
      <c r="BDX44" s="387"/>
      <c r="BDY44" s="387"/>
      <c r="BDZ44" s="387"/>
      <c r="BEA44" s="387"/>
      <c r="BEB44" s="387"/>
      <c r="BEC44" s="387"/>
      <c r="BED44" s="387"/>
      <c r="BEE44" s="387"/>
      <c r="BEF44" s="387"/>
      <c r="BEG44" s="387"/>
      <c r="BEH44" s="387"/>
      <c r="BEI44" s="387"/>
      <c r="BEJ44" s="387"/>
      <c r="BEK44" s="387"/>
      <c r="BEL44" s="387"/>
      <c r="BEM44" s="387"/>
      <c r="BEN44" s="387"/>
      <c r="BEO44" s="387"/>
      <c r="BEP44" s="387"/>
      <c r="BEQ44" s="387"/>
      <c r="BER44" s="387"/>
      <c r="BES44" s="387"/>
      <c r="BET44" s="387"/>
      <c r="BEU44" s="387"/>
      <c r="BEV44" s="387"/>
      <c r="BEW44" s="387"/>
      <c r="BEX44" s="387"/>
      <c r="BEY44" s="387"/>
      <c r="BEZ44" s="387"/>
      <c r="BFA44" s="387"/>
      <c r="BFB44" s="387"/>
      <c r="BFC44" s="387"/>
      <c r="BFD44" s="387"/>
      <c r="BFE44" s="387"/>
      <c r="BFF44" s="387"/>
      <c r="BFG44" s="387"/>
      <c r="BFH44" s="387"/>
      <c r="BFI44" s="387"/>
      <c r="BFJ44" s="387"/>
      <c r="BFK44" s="387"/>
      <c r="BFL44" s="387"/>
      <c r="BFM44" s="387"/>
      <c r="BFN44" s="387"/>
      <c r="BFO44" s="387"/>
      <c r="BFP44" s="387"/>
      <c r="BFQ44" s="387"/>
      <c r="BFR44" s="387"/>
      <c r="BFS44" s="387"/>
      <c r="BFT44" s="387"/>
      <c r="BFU44" s="387"/>
      <c r="BFV44" s="387"/>
      <c r="BFW44" s="387"/>
      <c r="BFX44" s="387"/>
      <c r="BFY44" s="387"/>
      <c r="BFZ44" s="387"/>
      <c r="BGA44" s="387"/>
      <c r="BGB44" s="387"/>
      <c r="BGC44" s="387"/>
      <c r="BGD44" s="387"/>
      <c r="BGE44" s="387"/>
      <c r="BGF44" s="387"/>
      <c r="BGG44" s="387"/>
      <c r="BGH44" s="387"/>
      <c r="BGI44" s="387"/>
      <c r="BGJ44" s="387"/>
      <c r="BGK44" s="387"/>
      <c r="BGL44" s="387"/>
      <c r="BGM44" s="387"/>
      <c r="BGN44" s="387"/>
      <c r="BGO44" s="387"/>
      <c r="BGP44" s="387"/>
      <c r="BGQ44" s="387"/>
      <c r="BGR44" s="387"/>
      <c r="BGS44" s="387"/>
      <c r="BGT44" s="387"/>
      <c r="BGU44" s="387"/>
      <c r="BGV44" s="387"/>
      <c r="BGW44" s="387"/>
      <c r="BGX44" s="387"/>
      <c r="BGY44" s="387"/>
      <c r="BGZ44" s="387"/>
      <c r="BHA44" s="387"/>
      <c r="BHB44" s="387"/>
      <c r="BHC44" s="387"/>
      <c r="BHD44" s="387"/>
      <c r="BHE44" s="387"/>
      <c r="BHF44" s="387"/>
      <c r="BHG44" s="387"/>
      <c r="BHH44" s="387"/>
      <c r="BHI44" s="387"/>
      <c r="BHJ44" s="387"/>
      <c r="BHK44" s="387"/>
      <c r="BHL44" s="387"/>
      <c r="BHM44" s="387"/>
      <c r="BHN44" s="387"/>
      <c r="BHO44" s="387"/>
      <c r="BHP44" s="387"/>
      <c r="BHQ44" s="387"/>
      <c r="BHR44" s="387"/>
      <c r="BHS44" s="387"/>
      <c r="BHT44" s="387"/>
      <c r="BHU44" s="387"/>
      <c r="BHV44" s="387"/>
      <c r="BHW44" s="387"/>
      <c r="BHX44" s="387"/>
      <c r="BHY44" s="387"/>
      <c r="BHZ44" s="387"/>
      <c r="BIA44" s="387"/>
      <c r="BIB44" s="387"/>
      <c r="BIC44" s="387"/>
      <c r="BID44" s="387"/>
      <c r="BIE44" s="387"/>
      <c r="BIF44" s="387"/>
      <c r="BIG44" s="387"/>
      <c r="BIH44" s="387"/>
      <c r="BII44" s="387"/>
      <c r="BIJ44" s="387"/>
      <c r="BIK44" s="387"/>
      <c r="BIL44" s="387"/>
      <c r="BIM44" s="387"/>
      <c r="BIN44" s="387"/>
      <c r="BIO44" s="387"/>
      <c r="BIP44" s="387"/>
      <c r="BIQ44" s="387"/>
      <c r="BIR44" s="387"/>
      <c r="BIS44" s="387"/>
      <c r="BIT44" s="387"/>
      <c r="BIU44" s="387"/>
      <c r="BIV44" s="387"/>
      <c r="BIW44" s="387"/>
      <c r="BIX44" s="387"/>
      <c r="BIY44" s="387"/>
      <c r="BIZ44" s="387"/>
      <c r="BJA44" s="387"/>
      <c r="BJB44" s="387"/>
      <c r="BJC44" s="387"/>
      <c r="BJD44" s="387"/>
      <c r="BJE44" s="387"/>
      <c r="BJF44" s="387"/>
      <c r="BJG44" s="387"/>
      <c r="BJH44" s="387"/>
      <c r="BJI44" s="387"/>
      <c r="BJJ44" s="387"/>
      <c r="BJK44" s="387"/>
      <c r="BJL44" s="387"/>
      <c r="BJM44" s="387"/>
      <c r="BJN44" s="387"/>
      <c r="BJO44" s="387"/>
      <c r="BJP44" s="387"/>
      <c r="BJQ44" s="387"/>
      <c r="BJR44" s="387"/>
      <c r="BJS44" s="387"/>
      <c r="BJT44" s="387"/>
      <c r="BJU44" s="387"/>
      <c r="BJV44" s="387"/>
      <c r="BJW44" s="387"/>
      <c r="BJX44" s="387"/>
      <c r="BJY44" s="387"/>
      <c r="BJZ44" s="387"/>
      <c r="BKA44" s="387"/>
      <c r="BKB44" s="387"/>
      <c r="BKC44" s="387"/>
      <c r="BKD44" s="387"/>
      <c r="BKE44" s="387"/>
      <c r="BKF44" s="387"/>
      <c r="BKG44" s="387"/>
      <c r="BKH44" s="387"/>
      <c r="BKI44" s="387"/>
      <c r="BKJ44" s="387"/>
      <c r="BKK44" s="387"/>
      <c r="BKL44" s="387"/>
      <c r="BKM44" s="387"/>
      <c r="BKN44" s="387"/>
      <c r="BKO44" s="387"/>
      <c r="BKP44" s="387"/>
      <c r="BKQ44" s="387"/>
      <c r="BKR44" s="387"/>
      <c r="BKS44" s="387"/>
      <c r="BKT44" s="387"/>
      <c r="BKU44" s="387"/>
      <c r="BKV44" s="387"/>
      <c r="BKW44" s="387"/>
      <c r="BKX44" s="387"/>
      <c r="BKY44" s="387"/>
      <c r="BKZ44" s="387"/>
      <c r="BLA44" s="387"/>
      <c r="BLB44" s="387"/>
      <c r="BLC44" s="387"/>
      <c r="BLD44" s="387"/>
      <c r="BLE44" s="387"/>
      <c r="BLF44" s="387"/>
      <c r="BLG44" s="387"/>
      <c r="BLH44" s="387"/>
      <c r="BLI44" s="387"/>
      <c r="BLJ44" s="387"/>
      <c r="BLK44" s="387"/>
      <c r="BLL44" s="387"/>
      <c r="BLM44" s="387"/>
      <c r="BLN44" s="387"/>
      <c r="BLO44" s="387"/>
      <c r="BLP44" s="387"/>
      <c r="BLQ44" s="387"/>
      <c r="BLR44" s="387"/>
      <c r="BLS44" s="387"/>
      <c r="BLT44" s="387"/>
      <c r="BLU44" s="387"/>
      <c r="BLV44" s="387"/>
      <c r="BLW44" s="387"/>
      <c r="BLX44" s="387"/>
      <c r="BLY44" s="387"/>
      <c r="BLZ44" s="387"/>
      <c r="BMA44" s="387"/>
      <c r="BMB44" s="387"/>
      <c r="BMC44" s="387"/>
      <c r="BMD44" s="387"/>
      <c r="BME44" s="387"/>
      <c r="BMF44" s="387"/>
      <c r="BMG44" s="387"/>
      <c r="BMH44" s="387"/>
      <c r="BMI44" s="387"/>
      <c r="BMJ44" s="387"/>
      <c r="BMK44" s="387"/>
      <c r="BML44" s="387"/>
      <c r="BMM44" s="387"/>
      <c r="BMN44" s="387"/>
      <c r="BMO44" s="387"/>
      <c r="BMP44" s="387"/>
      <c r="BMQ44" s="387"/>
      <c r="BMR44" s="387"/>
      <c r="BMS44" s="387"/>
      <c r="BMT44" s="387"/>
      <c r="BMU44" s="387"/>
      <c r="BMV44" s="387"/>
      <c r="BMW44" s="387"/>
      <c r="BMX44" s="387"/>
      <c r="BMY44" s="387"/>
      <c r="BMZ44" s="387"/>
      <c r="BNA44" s="387"/>
      <c r="BNB44" s="387"/>
      <c r="BNC44" s="387"/>
      <c r="BND44" s="387"/>
      <c r="BNE44" s="387"/>
      <c r="BNF44" s="387"/>
      <c r="BNG44" s="387"/>
      <c r="BNH44" s="387"/>
      <c r="BNI44" s="387"/>
      <c r="BNJ44" s="387"/>
      <c r="BNK44" s="387"/>
      <c r="BNL44" s="387"/>
      <c r="BNM44" s="387"/>
      <c r="BNN44" s="387"/>
      <c r="BNO44" s="387"/>
      <c r="BNP44" s="387"/>
      <c r="BNQ44" s="387"/>
      <c r="BNR44" s="387"/>
      <c r="BNS44" s="387"/>
      <c r="BNT44" s="387"/>
      <c r="BNU44" s="387"/>
      <c r="BNV44" s="387"/>
      <c r="BNW44" s="387"/>
      <c r="BNX44" s="387"/>
      <c r="BNY44" s="387"/>
      <c r="BNZ44" s="387"/>
      <c r="BOA44" s="387"/>
      <c r="BOB44" s="387"/>
      <c r="BOC44" s="387"/>
      <c r="BOD44" s="387"/>
      <c r="BOE44" s="387"/>
      <c r="BOF44" s="387"/>
      <c r="BOG44" s="387"/>
      <c r="BOH44" s="387"/>
      <c r="BOI44" s="387"/>
      <c r="BOJ44" s="387"/>
      <c r="BOK44" s="387"/>
      <c r="BOL44" s="387"/>
      <c r="BOM44" s="387"/>
      <c r="BON44" s="387"/>
      <c r="BOO44" s="387"/>
      <c r="BOP44" s="387"/>
      <c r="BOQ44" s="387"/>
      <c r="BOR44" s="387"/>
      <c r="BOS44" s="387"/>
      <c r="BOT44" s="387"/>
      <c r="BOU44" s="387"/>
      <c r="BOV44" s="387"/>
      <c r="BOW44" s="387"/>
      <c r="BOX44" s="387"/>
      <c r="BOY44" s="387"/>
      <c r="BOZ44" s="387"/>
      <c r="BPA44" s="387"/>
      <c r="BPB44" s="387"/>
      <c r="BPC44" s="387"/>
      <c r="BPD44" s="387"/>
      <c r="BPE44" s="387"/>
      <c r="BPF44" s="387"/>
      <c r="BPG44" s="387"/>
      <c r="BPH44" s="387"/>
      <c r="BPI44" s="387"/>
      <c r="BPJ44" s="387"/>
      <c r="BPK44" s="387"/>
      <c r="BPL44" s="387"/>
      <c r="BPM44" s="387"/>
      <c r="BPN44" s="387"/>
      <c r="BPO44" s="387"/>
      <c r="BPP44" s="387"/>
      <c r="BPQ44" s="387"/>
      <c r="BPR44" s="387"/>
      <c r="BPS44" s="387"/>
      <c r="BPT44" s="387"/>
      <c r="BPU44" s="387"/>
      <c r="BPV44" s="387"/>
      <c r="BPW44" s="387"/>
      <c r="BPX44" s="387"/>
      <c r="BPY44" s="387"/>
      <c r="BPZ44" s="387"/>
      <c r="BQA44" s="387"/>
      <c r="BQB44" s="387"/>
      <c r="BQC44" s="387"/>
      <c r="BQD44" s="387"/>
      <c r="BQE44" s="387"/>
      <c r="BQF44" s="387"/>
      <c r="BQG44" s="387"/>
      <c r="BQH44" s="387"/>
      <c r="BQI44" s="387"/>
      <c r="BQJ44" s="387"/>
      <c r="BQK44" s="387"/>
      <c r="BQL44" s="387"/>
      <c r="BQM44" s="387"/>
      <c r="BQN44" s="387"/>
      <c r="BQO44" s="387"/>
      <c r="BQP44" s="387"/>
      <c r="BQQ44" s="387"/>
      <c r="BQR44" s="387"/>
      <c r="BQS44" s="387"/>
      <c r="BQT44" s="387"/>
      <c r="BQU44" s="387"/>
      <c r="BQV44" s="387"/>
      <c r="BQW44" s="387"/>
      <c r="BQX44" s="387"/>
      <c r="BQY44" s="387"/>
      <c r="BQZ44" s="387"/>
      <c r="BRA44" s="387"/>
      <c r="BRB44" s="387"/>
      <c r="BRC44" s="387"/>
      <c r="BRD44" s="387"/>
      <c r="BRE44" s="387"/>
      <c r="BRF44" s="387"/>
      <c r="BRG44" s="387"/>
      <c r="BRH44" s="387"/>
      <c r="BRI44" s="387"/>
      <c r="BRJ44" s="387"/>
      <c r="BRK44" s="387"/>
      <c r="BRL44" s="387"/>
      <c r="BRM44" s="387"/>
      <c r="BRN44" s="387"/>
      <c r="BRO44" s="387"/>
      <c r="BRP44" s="387"/>
      <c r="BRQ44" s="387"/>
      <c r="BRR44" s="387"/>
      <c r="BRS44" s="387"/>
      <c r="BRT44" s="387"/>
      <c r="BRU44" s="387"/>
      <c r="BRV44" s="387"/>
      <c r="BRW44" s="387"/>
      <c r="BRX44" s="387"/>
      <c r="BRY44" s="387"/>
      <c r="BRZ44" s="387"/>
      <c r="BSA44" s="387"/>
      <c r="BSB44" s="387"/>
      <c r="BSC44" s="387"/>
      <c r="BSD44" s="387"/>
      <c r="BSE44" s="387"/>
      <c r="BSF44" s="387"/>
      <c r="BSG44" s="387"/>
      <c r="BSH44" s="387"/>
      <c r="BSI44" s="387"/>
      <c r="BSJ44" s="387"/>
      <c r="BSK44" s="387"/>
      <c r="BSL44" s="387"/>
      <c r="BSM44" s="387"/>
      <c r="BSN44" s="387"/>
      <c r="BSO44" s="387"/>
      <c r="BSP44" s="387"/>
      <c r="BSQ44" s="387"/>
      <c r="BSR44" s="387"/>
      <c r="BSS44" s="387"/>
      <c r="BST44" s="387"/>
      <c r="BSU44" s="387"/>
      <c r="BSV44" s="387"/>
      <c r="BSW44" s="387"/>
      <c r="BSX44" s="387"/>
      <c r="BSY44" s="387"/>
      <c r="BSZ44" s="387"/>
      <c r="BTA44" s="387"/>
      <c r="BTB44" s="387"/>
      <c r="BTC44" s="387"/>
      <c r="BTD44" s="387"/>
      <c r="BTE44" s="387"/>
      <c r="BTF44" s="387"/>
      <c r="BTG44" s="387"/>
      <c r="BTH44" s="387"/>
      <c r="BTI44" s="387"/>
    </row>
    <row r="45" spans="1:1881" s="4" customFormat="1" ht="45.75" customHeight="1" x14ac:dyDescent="0.25">
      <c r="A45" s="186">
        <v>536</v>
      </c>
      <c r="B45" s="63" t="s">
        <v>78</v>
      </c>
      <c r="C45" s="132" t="s">
        <v>177</v>
      </c>
      <c r="D45" s="173" t="s">
        <v>174</v>
      </c>
      <c r="E45" s="683" t="e">
        <f>HLOOKUP('Unit Data from Audit Worksheet'!$D$2,'2019 Data(H)'!$D$1:$BB$202,142,FALSE)</f>
        <v>#N/A</v>
      </c>
      <c r="F45" s="686"/>
      <c r="G45" s="388">
        <f>IF(F45&lt;0,"Note: Number is normally positive.",)</f>
        <v>0</v>
      </c>
      <c r="H45" s="18"/>
      <c r="I45" s="292"/>
      <c r="J45" s="362"/>
      <c r="K45" s="387"/>
      <c r="L45" s="674" t="s">
        <v>949</v>
      </c>
      <c r="M45" s="576"/>
      <c r="N45" s="594"/>
      <c r="O45" s="387"/>
      <c r="P45" s="387"/>
      <c r="Q45" s="387"/>
      <c r="R45"/>
      <c r="S45" s="682"/>
      <c r="T45" s="387"/>
      <c r="U45" s="387"/>
      <c r="V45" s="387"/>
      <c r="W45" s="387"/>
      <c r="X45" s="682"/>
      <c r="Y45" s="387"/>
      <c r="Z45" s="387"/>
      <c r="AA45" s="387"/>
      <c r="AB45" s="387"/>
      <c r="AC45" s="387"/>
      <c r="AD45" s="387"/>
      <c r="AE45" s="387"/>
      <c r="AF45" s="387"/>
      <c r="AG45" s="387"/>
      <c r="AH45" s="387"/>
      <c r="AI45" s="387"/>
      <c r="AJ45" s="387"/>
      <c r="AK45" s="387"/>
      <c r="AL45" s="387"/>
      <c r="AM45" s="387"/>
      <c r="AN45" s="387"/>
      <c r="AO45" s="387"/>
      <c r="AP45" s="387"/>
      <c r="AQ45" s="387"/>
      <c r="AR45" s="387"/>
      <c r="AS45" s="387"/>
      <c r="AT45" s="387"/>
      <c r="AU45" s="387"/>
      <c r="AV45" s="387"/>
      <c r="AW45" s="387"/>
      <c r="AX45" s="387"/>
      <c r="AY45" s="387"/>
      <c r="AZ45" s="387"/>
      <c r="BA45" s="387"/>
      <c r="BB45" s="387"/>
      <c r="BC45" s="387"/>
      <c r="BD45" s="387"/>
      <c r="BE45" s="387"/>
      <c r="BF45" s="387"/>
      <c r="BG45" s="387"/>
      <c r="BH45" s="387"/>
      <c r="BI45" s="387"/>
      <c r="BJ45" s="387"/>
      <c r="BK45" s="387"/>
      <c r="BL45" s="387"/>
      <c r="BM45" s="387"/>
      <c r="BN45" s="387"/>
      <c r="BO45" s="387"/>
      <c r="BP45" s="387"/>
      <c r="BQ45" s="387"/>
      <c r="BR45" s="387"/>
      <c r="BS45" s="387"/>
      <c r="BT45" s="387"/>
      <c r="BU45" s="387"/>
      <c r="BV45" s="387"/>
      <c r="BW45" s="387"/>
      <c r="BX45" s="387"/>
      <c r="BY45" s="387"/>
      <c r="BZ45" s="387"/>
      <c r="CA45" s="387"/>
      <c r="CB45" s="387"/>
      <c r="CC45" s="387"/>
      <c r="CD45" s="387"/>
      <c r="CE45" s="387"/>
      <c r="CF45" s="387"/>
      <c r="CG45" s="387"/>
      <c r="CH45" s="387"/>
      <c r="CI45" s="387"/>
      <c r="CJ45" s="387"/>
      <c r="CK45" s="387"/>
      <c r="CL45" s="387"/>
      <c r="CM45" s="387"/>
      <c r="CN45" s="387"/>
      <c r="CO45" s="387"/>
      <c r="CP45" s="387"/>
      <c r="CQ45" s="387"/>
      <c r="CR45" s="387"/>
      <c r="CS45" s="387"/>
      <c r="CT45" s="387"/>
      <c r="CU45" s="387"/>
      <c r="CV45" s="387"/>
      <c r="CW45" s="387"/>
      <c r="CX45" s="387"/>
      <c r="CY45" s="387"/>
      <c r="CZ45" s="387"/>
      <c r="DA45" s="387"/>
      <c r="DB45" s="387"/>
      <c r="DC45" s="387"/>
      <c r="DD45" s="387"/>
      <c r="DE45" s="387"/>
      <c r="DF45" s="387"/>
      <c r="DG45" s="387"/>
      <c r="DH45" s="387"/>
      <c r="DI45" s="387"/>
      <c r="DJ45" s="387"/>
      <c r="DK45" s="387"/>
      <c r="DL45" s="387"/>
      <c r="DM45" s="387"/>
      <c r="DN45" s="387"/>
      <c r="DO45" s="387"/>
      <c r="DP45" s="387"/>
      <c r="DQ45" s="387"/>
      <c r="DR45" s="387"/>
      <c r="DS45" s="387"/>
      <c r="DT45" s="387"/>
      <c r="DU45" s="387"/>
      <c r="DV45" s="387"/>
      <c r="DW45" s="387"/>
      <c r="DX45" s="387"/>
      <c r="DY45" s="387"/>
      <c r="DZ45" s="387"/>
      <c r="EA45" s="387"/>
      <c r="EB45" s="387"/>
      <c r="EC45" s="387"/>
      <c r="ED45" s="387"/>
      <c r="EE45" s="387"/>
      <c r="EF45" s="387"/>
      <c r="EG45" s="387"/>
      <c r="EH45" s="387"/>
      <c r="EI45" s="387"/>
      <c r="EJ45" s="387"/>
      <c r="EK45" s="387"/>
      <c r="EL45" s="387"/>
      <c r="EM45" s="387"/>
      <c r="EN45" s="387"/>
      <c r="EO45" s="387"/>
      <c r="EP45" s="387"/>
      <c r="EQ45" s="387"/>
      <c r="ER45" s="387"/>
      <c r="ES45" s="387"/>
      <c r="ET45" s="387"/>
      <c r="EU45" s="387"/>
      <c r="EV45" s="387"/>
      <c r="EW45" s="387"/>
      <c r="EX45" s="387"/>
      <c r="EY45" s="387"/>
      <c r="EZ45" s="387"/>
      <c r="FA45" s="387"/>
      <c r="FB45" s="387"/>
      <c r="FC45" s="387"/>
      <c r="FD45" s="387"/>
      <c r="FE45" s="387"/>
      <c r="FF45" s="387"/>
      <c r="FG45" s="387"/>
      <c r="FH45" s="387"/>
      <c r="FI45" s="387"/>
      <c r="FJ45" s="387"/>
      <c r="FK45" s="387"/>
      <c r="FL45" s="387"/>
      <c r="FM45" s="387"/>
      <c r="FN45" s="387"/>
      <c r="FO45" s="387"/>
      <c r="FP45" s="387"/>
      <c r="FQ45" s="387"/>
      <c r="FR45" s="387"/>
      <c r="FS45" s="387"/>
      <c r="FT45" s="387"/>
      <c r="FU45" s="387"/>
      <c r="FV45" s="387"/>
      <c r="FW45" s="387"/>
      <c r="FX45" s="387"/>
      <c r="FY45" s="387"/>
      <c r="FZ45" s="387"/>
      <c r="GA45" s="387"/>
      <c r="GB45" s="387"/>
      <c r="GC45" s="387"/>
      <c r="GD45" s="387"/>
      <c r="GE45" s="387"/>
      <c r="GF45" s="387"/>
      <c r="GG45" s="387"/>
      <c r="GH45" s="387"/>
      <c r="GI45" s="387"/>
      <c r="GJ45" s="387"/>
      <c r="GK45" s="387"/>
      <c r="GL45" s="387"/>
      <c r="GM45" s="387"/>
      <c r="GN45" s="387"/>
      <c r="GO45" s="387"/>
      <c r="GP45" s="387"/>
      <c r="GQ45" s="387"/>
      <c r="GR45" s="387"/>
      <c r="GS45" s="387"/>
      <c r="GT45" s="387"/>
      <c r="GU45" s="387"/>
      <c r="GV45" s="387"/>
      <c r="GW45" s="387"/>
      <c r="GX45" s="387"/>
      <c r="GY45" s="387"/>
      <c r="GZ45" s="387"/>
      <c r="HA45" s="387"/>
      <c r="HB45" s="387"/>
      <c r="HC45" s="387"/>
      <c r="HD45" s="387"/>
      <c r="HE45" s="387"/>
      <c r="HF45" s="387"/>
      <c r="HG45" s="387"/>
      <c r="HH45" s="387"/>
      <c r="HI45" s="387"/>
      <c r="HJ45" s="387"/>
      <c r="HK45" s="387"/>
      <c r="HL45" s="387"/>
      <c r="HM45" s="387"/>
      <c r="HN45" s="387"/>
      <c r="HO45" s="387"/>
      <c r="HP45" s="387"/>
      <c r="HQ45" s="387"/>
      <c r="HR45" s="387"/>
      <c r="HS45" s="387"/>
      <c r="HT45" s="387"/>
      <c r="HU45" s="387"/>
      <c r="HV45" s="387"/>
      <c r="HW45" s="387"/>
      <c r="HX45" s="387"/>
      <c r="HY45" s="387"/>
      <c r="HZ45" s="387"/>
      <c r="IA45" s="387"/>
      <c r="IB45" s="387"/>
      <c r="IC45" s="387"/>
      <c r="ID45" s="387"/>
      <c r="IE45" s="387"/>
      <c r="IF45" s="387"/>
      <c r="IG45" s="387"/>
      <c r="IH45" s="387"/>
      <c r="II45" s="387"/>
      <c r="IJ45" s="387"/>
      <c r="IK45" s="387"/>
      <c r="IL45" s="387"/>
      <c r="IM45" s="387"/>
      <c r="IN45" s="387"/>
      <c r="IO45" s="387"/>
      <c r="IP45" s="387"/>
      <c r="IQ45" s="387"/>
      <c r="IR45" s="387"/>
      <c r="IS45" s="387"/>
      <c r="IT45" s="387"/>
      <c r="IU45" s="387"/>
      <c r="IV45" s="387"/>
      <c r="IW45" s="387"/>
      <c r="IX45" s="387"/>
      <c r="IY45" s="387"/>
      <c r="IZ45" s="387"/>
      <c r="JA45" s="387"/>
      <c r="JB45" s="387"/>
      <c r="JC45" s="387"/>
      <c r="JD45" s="387"/>
      <c r="JE45" s="387"/>
      <c r="JF45" s="387"/>
      <c r="JG45" s="387"/>
      <c r="JH45" s="387"/>
      <c r="JI45" s="387"/>
      <c r="JJ45" s="387"/>
      <c r="JK45" s="387"/>
      <c r="JL45" s="387"/>
      <c r="JM45" s="387"/>
      <c r="JN45" s="387"/>
      <c r="JO45" s="387"/>
      <c r="JP45" s="387"/>
      <c r="JQ45" s="387"/>
      <c r="JR45" s="387"/>
      <c r="JS45" s="387"/>
      <c r="JT45" s="387"/>
      <c r="JU45" s="387"/>
      <c r="JV45" s="387"/>
      <c r="JW45" s="387"/>
      <c r="JX45" s="387"/>
      <c r="JY45" s="387"/>
      <c r="JZ45" s="387"/>
      <c r="KA45" s="387"/>
      <c r="KB45" s="387"/>
      <c r="KC45" s="387"/>
      <c r="KD45" s="387"/>
      <c r="KE45" s="387"/>
      <c r="KF45" s="387"/>
      <c r="KG45" s="387"/>
      <c r="KH45" s="387"/>
      <c r="KI45" s="387"/>
      <c r="KJ45" s="387"/>
      <c r="KK45" s="387"/>
      <c r="KL45" s="387"/>
      <c r="KM45" s="387"/>
      <c r="KN45" s="387"/>
      <c r="KO45" s="387"/>
      <c r="KP45" s="387"/>
      <c r="KQ45" s="387"/>
      <c r="KR45" s="387"/>
      <c r="KS45" s="387"/>
      <c r="KT45" s="387"/>
      <c r="KU45" s="387"/>
      <c r="KV45" s="387"/>
      <c r="KW45" s="387"/>
      <c r="KX45" s="387"/>
      <c r="KY45" s="387"/>
      <c r="KZ45" s="387"/>
      <c r="LA45" s="387"/>
      <c r="LB45" s="387"/>
      <c r="LC45" s="387"/>
      <c r="LD45" s="387"/>
      <c r="LE45" s="387"/>
      <c r="LF45" s="387"/>
      <c r="LG45" s="387"/>
      <c r="LH45" s="387"/>
      <c r="LI45" s="387"/>
      <c r="LJ45" s="387"/>
      <c r="LK45" s="387"/>
      <c r="LL45" s="387"/>
      <c r="LM45" s="387"/>
      <c r="LN45" s="387"/>
      <c r="LO45" s="387"/>
      <c r="LP45" s="387"/>
      <c r="LQ45" s="387"/>
      <c r="LR45" s="387"/>
      <c r="LS45" s="387"/>
      <c r="LT45" s="387"/>
      <c r="LU45" s="387"/>
      <c r="LV45" s="387"/>
      <c r="LW45" s="387"/>
      <c r="LX45" s="387"/>
      <c r="LY45" s="387"/>
      <c r="LZ45" s="387"/>
      <c r="MA45" s="387"/>
      <c r="MB45" s="387"/>
      <c r="MC45" s="387"/>
      <c r="MD45" s="387"/>
      <c r="ME45" s="387"/>
      <c r="MF45" s="387"/>
      <c r="MG45" s="387"/>
      <c r="MH45" s="387"/>
      <c r="MI45" s="387"/>
      <c r="MJ45" s="387"/>
      <c r="MK45" s="387"/>
      <c r="ML45" s="387"/>
      <c r="MM45" s="387"/>
      <c r="MN45" s="387"/>
      <c r="MO45" s="387"/>
      <c r="MP45" s="387"/>
      <c r="MQ45" s="387"/>
      <c r="MR45" s="387"/>
      <c r="MS45" s="387"/>
      <c r="MT45" s="387"/>
      <c r="MU45" s="387"/>
      <c r="MV45" s="387"/>
      <c r="MW45" s="387"/>
      <c r="MX45" s="387"/>
      <c r="MY45" s="387"/>
      <c r="MZ45" s="387"/>
      <c r="NA45" s="387"/>
      <c r="NB45" s="387"/>
      <c r="NC45" s="387"/>
      <c r="ND45" s="387"/>
      <c r="NE45" s="387"/>
      <c r="NF45" s="387"/>
      <c r="NG45" s="387"/>
      <c r="NH45" s="387"/>
      <c r="NI45" s="387"/>
      <c r="NJ45" s="387"/>
      <c r="NK45" s="387"/>
      <c r="NL45" s="387"/>
      <c r="NM45" s="387"/>
      <c r="NN45" s="387"/>
      <c r="NO45" s="387"/>
      <c r="NP45" s="387"/>
      <c r="NQ45" s="387"/>
      <c r="NR45" s="387"/>
      <c r="NS45" s="387"/>
      <c r="NT45" s="387"/>
      <c r="NU45" s="387"/>
      <c r="NV45" s="387"/>
      <c r="NW45" s="387"/>
      <c r="NX45" s="387"/>
      <c r="NY45" s="387"/>
      <c r="NZ45" s="387"/>
      <c r="OA45" s="387"/>
      <c r="OB45" s="387"/>
      <c r="OC45" s="387"/>
      <c r="OD45" s="387"/>
      <c r="OE45" s="387"/>
      <c r="OF45" s="387"/>
      <c r="OG45" s="387"/>
      <c r="OH45" s="387"/>
      <c r="OI45" s="387"/>
      <c r="OJ45" s="387"/>
      <c r="OK45" s="387"/>
      <c r="OL45" s="387"/>
      <c r="OM45" s="387"/>
      <c r="ON45" s="387"/>
      <c r="OO45" s="387"/>
      <c r="OP45" s="387"/>
      <c r="OQ45" s="387"/>
      <c r="OR45" s="387"/>
      <c r="OS45" s="387"/>
      <c r="OT45" s="387"/>
      <c r="OU45" s="387"/>
      <c r="OV45" s="387"/>
      <c r="OW45" s="387"/>
      <c r="OX45" s="387"/>
      <c r="OY45" s="387"/>
      <c r="OZ45" s="387"/>
      <c r="PA45" s="387"/>
      <c r="PB45" s="387"/>
      <c r="PC45" s="387"/>
      <c r="PD45" s="387"/>
      <c r="PE45" s="387"/>
      <c r="PF45" s="387"/>
      <c r="PG45" s="387"/>
      <c r="PH45" s="387"/>
      <c r="PI45" s="387"/>
      <c r="PJ45" s="387"/>
      <c r="PK45" s="387"/>
      <c r="PL45" s="387"/>
      <c r="PM45" s="387"/>
      <c r="PN45" s="387"/>
      <c r="PO45" s="387"/>
      <c r="PP45" s="387"/>
      <c r="PQ45" s="387"/>
      <c r="PR45" s="387"/>
      <c r="PS45" s="387"/>
      <c r="PT45" s="387"/>
      <c r="PU45" s="387"/>
      <c r="PV45" s="387"/>
      <c r="PW45" s="387"/>
      <c r="PX45" s="387"/>
      <c r="PY45" s="387"/>
      <c r="PZ45" s="387"/>
      <c r="QA45" s="387"/>
      <c r="QB45" s="387"/>
      <c r="QC45" s="387"/>
      <c r="QD45" s="387"/>
      <c r="QE45" s="387"/>
      <c r="QF45" s="387"/>
      <c r="QG45" s="387"/>
      <c r="QH45" s="387"/>
      <c r="QI45" s="387"/>
      <c r="QJ45" s="387"/>
      <c r="QK45" s="387"/>
      <c r="QL45" s="387"/>
      <c r="QM45" s="387"/>
      <c r="QN45" s="387"/>
      <c r="QO45" s="387"/>
      <c r="QP45" s="387"/>
      <c r="QQ45" s="387"/>
      <c r="QR45" s="387"/>
      <c r="QS45" s="387"/>
      <c r="QT45" s="387"/>
      <c r="QU45" s="387"/>
      <c r="QV45" s="387"/>
      <c r="QW45" s="387"/>
      <c r="QX45" s="387"/>
      <c r="QY45" s="387"/>
      <c r="QZ45" s="387"/>
      <c r="RA45" s="387"/>
      <c r="RB45" s="387"/>
      <c r="RC45" s="387"/>
      <c r="RD45" s="387"/>
      <c r="RE45" s="387"/>
      <c r="RF45" s="387"/>
      <c r="RG45" s="387"/>
      <c r="RH45" s="387"/>
      <c r="RI45" s="387"/>
      <c r="RJ45" s="387"/>
      <c r="RK45" s="387"/>
      <c r="RL45" s="387"/>
      <c r="RM45" s="387"/>
      <c r="RN45" s="387"/>
      <c r="RO45" s="387"/>
      <c r="RP45" s="387"/>
      <c r="RQ45" s="387"/>
      <c r="RR45" s="387"/>
      <c r="RS45" s="387"/>
      <c r="RT45" s="387"/>
      <c r="RU45" s="387"/>
      <c r="RV45" s="387"/>
      <c r="RW45" s="387"/>
      <c r="RX45" s="387"/>
      <c r="RY45" s="387"/>
      <c r="RZ45" s="387"/>
      <c r="SA45" s="387"/>
      <c r="SB45" s="387"/>
      <c r="SC45" s="387"/>
      <c r="SD45" s="387"/>
      <c r="SE45" s="387"/>
      <c r="SF45" s="387"/>
      <c r="SG45" s="387"/>
      <c r="SH45" s="387"/>
      <c r="SI45" s="387"/>
      <c r="SJ45" s="387"/>
      <c r="SK45" s="387"/>
      <c r="SL45" s="387"/>
      <c r="SM45" s="387"/>
      <c r="SN45" s="387"/>
      <c r="SO45" s="387"/>
      <c r="SP45" s="387"/>
      <c r="SQ45" s="387"/>
      <c r="SR45" s="387"/>
      <c r="SS45" s="387"/>
      <c r="ST45" s="387"/>
      <c r="SU45" s="387"/>
      <c r="SV45" s="387"/>
      <c r="SW45" s="387"/>
      <c r="SX45" s="387"/>
      <c r="SY45" s="387"/>
      <c r="SZ45" s="387"/>
      <c r="TA45" s="387"/>
      <c r="TB45" s="387"/>
      <c r="TC45" s="387"/>
      <c r="TD45" s="387"/>
      <c r="TE45" s="387"/>
      <c r="TF45" s="387"/>
      <c r="TG45" s="387"/>
      <c r="TH45" s="387"/>
      <c r="TI45" s="387"/>
      <c r="TJ45" s="387"/>
      <c r="TK45" s="387"/>
      <c r="TL45" s="387"/>
      <c r="TM45" s="387"/>
      <c r="TN45" s="387"/>
      <c r="TO45" s="387"/>
      <c r="TP45" s="387"/>
      <c r="TQ45" s="387"/>
      <c r="TR45" s="387"/>
      <c r="TS45" s="387"/>
      <c r="TT45" s="387"/>
      <c r="TU45" s="387"/>
      <c r="TV45" s="387"/>
      <c r="TW45" s="387"/>
      <c r="TX45" s="387"/>
      <c r="TY45" s="387"/>
      <c r="TZ45" s="387"/>
      <c r="UA45" s="387"/>
      <c r="UB45" s="387"/>
      <c r="UC45" s="387"/>
      <c r="UD45" s="387"/>
      <c r="UE45" s="387"/>
      <c r="UF45" s="387"/>
      <c r="UG45" s="387"/>
      <c r="UH45" s="387"/>
      <c r="UI45" s="387"/>
      <c r="UJ45" s="387"/>
      <c r="UK45" s="387"/>
      <c r="UL45" s="387"/>
      <c r="UM45" s="387"/>
      <c r="UN45" s="387"/>
      <c r="UO45" s="387"/>
      <c r="UP45" s="387"/>
      <c r="UQ45" s="387"/>
      <c r="UR45" s="387"/>
      <c r="US45" s="387"/>
      <c r="UT45" s="387"/>
      <c r="UU45" s="387"/>
      <c r="UV45" s="387"/>
      <c r="UW45" s="387"/>
      <c r="UX45" s="387"/>
      <c r="UY45" s="387"/>
      <c r="UZ45" s="387"/>
      <c r="VA45" s="387"/>
      <c r="VB45" s="387"/>
      <c r="VC45" s="387"/>
      <c r="VD45" s="387"/>
      <c r="VE45" s="387"/>
      <c r="VF45" s="387"/>
      <c r="VG45" s="387"/>
      <c r="VH45" s="387"/>
      <c r="VI45" s="387"/>
      <c r="VJ45" s="387"/>
      <c r="VK45" s="387"/>
      <c r="VL45" s="387"/>
      <c r="VM45" s="387"/>
      <c r="VN45" s="387"/>
      <c r="VO45" s="387"/>
      <c r="VP45" s="387"/>
      <c r="VQ45" s="387"/>
      <c r="VR45" s="387"/>
      <c r="VS45" s="387"/>
      <c r="VT45" s="387"/>
      <c r="VU45" s="387"/>
      <c r="VV45" s="387"/>
      <c r="VW45" s="387"/>
      <c r="VX45" s="387"/>
      <c r="VY45" s="387"/>
      <c r="VZ45" s="387"/>
      <c r="WA45" s="387"/>
      <c r="WB45" s="387"/>
      <c r="WC45" s="387"/>
      <c r="WD45" s="387"/>
      <c r="WE45" s="387"/>
      <c r="WF45" s="387"/>
      <c r="WG45" s="387"/>
      <c r="WH45" s="387"/>
      <c r="WI45" s="387"/>
      <c r="WJ45" s="387"/>
      <c r="WK45" s="387"/>
      <c r="WL45" s="387"/>
      <c r="WM45" s="387"/>
      <c r="WN45" s="387"/>
      <c r="WO45" s="387"/>
      <c r="WP45" s="387"/>
      <c r="WQ45" s="387"/>
      <c r="WR45" s="387"/>
      <c r="WS45" s="387"/>
      <c r="WT45" s="387"/>
      <c r="WU45" s="387"/>
      <c r="WV45" s="387"/>
      <c r="WW45" s="387"/>
      <c r="WX45" s="387"/>
      <c r="WY45" s="387"/>
      <c r="WZ45" s="387"/>
      <c r="XA45" s="387"/>
      <c r="XB45" s="387"/>
      <c r="XC45" s="387"/>
      <c r="XD45" s="387"/>
      <c r="XE45" s="387"/>
      <c r="XF45" s="387"/>
      <c r="XG45" s="387"/>
      <c r="XH45" s="387"/>
      <c r="XI45" s="387"/>
      <c r="XJ45" s="387"/>
      <c r="XK45" s="387"/>
      <c r="XL45" s="387"/>
      <c r="XM45" s="387"/>
      <c r="XN45" s="387"/>
      <c r="XO45" s="387"/>
      <c r="XP45" s="387"/>
      <c r="XQ45" s="387"/>
      <c r="XR45" s="387"/>
      <c r="XS45" s="387"/>
      <c r="XT45" s="387"/>
      <c r="XU45" s="387"/>
      <c r="XV45" s="387"/>
      <c r="XW45" s="387"/>
      <c r="XX45" s="387"/>
      <c r="XY45" s="387"/>
      <c r="XZ45" s="387"/>
      <c r="YA45" s="387"/>
      <c r="YB45" s="387"/>
      <c r="YC45" s="387"/>
      <c r="YD45" s="387"/>
      <c r="YE45" s="387"/>
      <c r="YF45" s="387"/>
      <c r="YG45" s="387"/>
      <c r="YH45" s="387"/>
      <c r="YI45" s="387"/>
      <c r="YJ45" s="387"/>
      <c r="YK45" s="387"/>
      <c r="YL45" s="387"/>
      <c r="YM45" s="387"/>
      <c r="YN45" s="387"/>
      <c r="YO45" s="387"/>
      <c r="YP45" s="387"/>
      <c r="YQ45" s="387"/>
      <c r="YR45" s="387"/>
      <c r="YS45" s="387"/>
      <c r="YT45" s="387"/>
      <c r="YU45" s="387"/>
      <c r="YV45" s="387"/>
      <c r="YW45" s="387"/>
      <c r="YX45" s="387"/>
      <c r="YY45" s="387"/>
      <c r="YZ45" s="387"/>
      <c r="ZA45" s="387"/>
      <c r="ZB45" s="387"/>
      <c r="ZC45" s="387"/>
      <c r="ZD45" s="387"/>
      <c r="ZE45" s="387"/>
      <c r="ZF45" s="387"/>
      <c r="ZG45" s="387"/>
      <c r="ZH45" s="387"/>
      <c r="ZI45" s="387"/>
      <c r="ZJ45" s="387"/>
      <c r="ZK45" s="387"/>
      <c r="ZL45" s="387"/>
      <c r="ZM45" s="387"/>
      <c r="ZN45" s="387"/>
      <c r="ZO45" s="387"/>
      <c r="ZP45" s="387"/>
      <c r="ZQ45" s="387"/>
      <c r="ZR45" s="387"/>
      <c r="ZS45" s="387"/>
      <c r="ZT45" s="387"/>
      <c r="ZU45" s="387"/>
      <c r="ZV45" s="387"/>
      <c r="ZW45" s="387"/>
      <c r="ZX45" s="387"/>
      <c r="ZY45" s="387"/>
      <c r="ZZ45" s="387"/>
      <c r="AAA45" s="387"/>
      <c r="AAB45" s="387"/>
      <c r="AAC45" s="387"/>
      <c r="AAD45" s="387"/>
      <c r="AAE45" s="387"/>
      <c r="AAF45" s="387"/>
      <c r="AAG45" s="387"/>
      <c r="AAH45" s="387"/>
      <c r="AAI45" s="387"/>
      <c r="AAJ45" s="387"/>
      <c r="AAK45" s="387"/>
      <c r="AAL45" s="387"/>
      <c r="AAM45" s="387"/>
      <c r="AAN45" s="387"/>
      <c r="AAO45" s="387"/>
      <c r="AAP45" s="387"/>
      <c r="AAQ45" s="387"/>
      <c r="AAR45" s="387"/>
      <c r="AAS45" s="387"/>
      <c r="AAT45" s="387"/>
      <c r="AAU45" s="387"/>
      <c r="AAV45" s="387"/>
      <c r="AAW45" s="387"/>
      <c r="AAX45" s="387"/>
      <c r="AAY45" s="387"/>
      <c r="AAZ45" s="387"/>
      <c r="ABA45" s="387"/>
      <c r="ABB45" s="387"/>
      <c r="ABC45" s="387"/>
      <c r="ABD45" s="387"/>
      <c r="ABE45" s="387"/>
      <c r="ABF45" s="387"/>
      <c r="ABG45" s="387"/>
      <c r="ABH45" s="387"/>
      <c r="ABI45" s="387"/>
      <c r="ABJ45" s="387"/>
      <c r="ABK45" s="387"/>
      <c r="ABL45" s="387"/>
      <c r="ABM45" s="387"/>
      <c r="ABN45" s="387"/>
      <c r="ABO45" s="387"/>
      <c r="ABP45" s="387"/>
      <c r="ABQ45" s="387"/>
      <c r="ABR45" s="387"/>
      <c r="ABS45" s="387"/>
      <c r="ABT45" s="387"/>
      <c r="ABU45" s="387"/>
      <c r="ABV45" s="387"/>
      <c r="ABW45" s="387"/>
      <c r="ABX45" s="387"/>
      <c r="ABY45" s="387"/>
      <c r="ABZ45" s="387"/>
      <c r="ACA45" s="387"/>
      <c r="ACB45" s="387"/>
      <c r="ACC45" s="387"/>
      <c r="ACD45" s="387"/>
      <c r="ACE45" s="387"/>
      <c r="ACF45" s="387"/>
      <c r="ACG45" s="387"/>
      <c r="ACH45" s="387"/>
      <c r="ACI45" s="387"/>
      <c r="ACJ45" s="387"/>
      <c r="ACK45" s="387"/>
      <c r="ACL45" s="387"/>
      <c r="ACM45" s="387"/>
      <c r="ACN45" s="387"/>
      <c r="ACO45" s="387"/>
      <c r="ACP45" s="387"/>
      <c r="ACQ45" s="387"/>
      <c r="ACR45" s="387"/>
      <c r="ACS45" s="387"/>
      <c r="ACT45" s="387"/>
      <c r="ACU45" s="387"/>
      <c r="ACV45" s="387"/>
      <c r="ACW45" s="387"/>
      <c r="ACX45" s="387"/>
      <c r="ACY45" s="387"/>
      <c r="ACZ45" s="387"/>
      <c r="ADA45" s="387"/>
      <c r="ADB45" s="387"/>
      <c r="ADC45" s="387"/>
      <c r="ADD45" s="387"/>
      <c r="ADE45" s="387"/>
      <c r="ADF45" s="387"/>
      <c r="ADG45" s="387"/>
      <c r="ADH45" s="387"/>
      <c r="ADI45" s="387"/>
      <c r="ADJ45" s="387"/>
      <c r="ADK45" s="387"/>
      <c r="ADL45" s="387"/>
      <c r="ADM45" s="387"/>
      <c r="ADN45" s="387"/>
      <c r="ADO45" s="387"/>
      <c r="ADP45" s="387"/>
      <c r="ADQ45" s="387"/>
      <c r="ADR45" s="387"/>
      <c r="ADS45" s="387"/>
      <c r="ADT45" s="387"/>
      <c r="ADU45" s="387"/>
      <c r="ADV45" s="387"/>
      <c r="ADW45" s="387"/>
      <c r="ADX45" s="387"/>
      <c r="ADY45" s="387"/>
      <c r="ADZ45" s="387"/>
      <c r="AEA45" s="387"/>
      <c r="AEB45" s="387"/>
      <c r="AEC45" s="387"/>
      <c r="AED45" s="387"/>
      <c r="AEE45" s="387"/>
      <c r="AEF45" s="387"/>
      <c r="AEG45" s="387"/>
      <c r="AEH45" s="387"/>
      <c r="AEI45" s="387"/>
      <c r="AEJ45" s="387"/>
      <c r="AEK45" s="387"/>
      <c r="AEL45" s="387"/>
      <c r="AEM45" s="387"/>
      <c r="AEN45" s="387"/>
      <c r="AEO45" s="387"/>
      <c r="AEP45" s="387"/>
      <c r="AEQ45" s="387"/>
      <c r="AER45" s="387"/>
      <c r="AES45" s="387"/>
      <c r="AET45" s="387"/>
      <c r="AEU45" s="387"/>
      <c r="AEV45" s="387"/>
      <c r="AEW45" s="387"/>
      <c r="AEX45" s="387"/>
      <c r="AEY45" s="387"/>
      <c r="AEZ45" s="387"/>
      <c r="AFA45" s="387"/>
      <c r="AFB45" s="387"/>
      <c r="AFC45" s="387"/>
      <c r="AFD45" s="387"/>
      <c r="AFE45" s="387"/>
      <c r="AFF45" s="387"/>
      <c r="AFG45" s="387"/>
      <c r="AFH45" s="387"/>
      <c r="AFI45" s="387"/>
      <c r="AFJ45" s="387"/>
      <c r="AFK45" s="387"/>
      <c r="AFL45" s="387"/>
      <c r="AFM45" s="387"/>
      <c r="AFN45" s="387"/>
      <c r="AFO45" s="387"/>
      <c r="AFP45" s="387"/>
      <c r="AFQ45" s="387"/>
      <c r="AFR45" s="387"/>
      <c r="AFS45" s="387"/>
      <c r="AFT45" s="387"/>
      <c r="AFU45" s="387"/>
      <c r="AFV45" s="387"/>
      <c r="AFW45" s="387"/>
      <c r="AFX45" s="387"/>
      <c r="AFY45" s="387"/>
      <c r="AFZ45" s="387"/>
      <c r="AGA45" s="387"/>
      <c r="AGB45" s="387"/>
      <c r="AGC45" s="387"/>
      <c r="AGD45" s="387"/>
      <c r="AGE45" s="387"/>
      <c r="AGF45" s="387"/>
      <c r="AGG45" s="387"/>
      <c r="AGH45" s="387"/>
      <c r="AGI45" s="387"/>
      <c r="AGJ45" s="387"/>
      <c r="AGK45" s="387"/>
      <c r="AGL45" s="387"/>
      <c r="AGM45" s="387"/>
      <c r="AGN45" s="387"/>
      <c r="AGO45" s="387"/>
      <c r="AGP45" s="387"/>
      <c r="AGQ45" s="387"/>
      <c r="AGR45" s="387"/>
      <c r="AGS45" s="387"/>
      <c r="AGT45" s="387"/>
      <c r="AGU45" s="387"/>
      <c r="AGV45" s="387"/>
      <c r="AGW45" s="387"/>
      <c r="AGX45" s="387"/>
      <c r="AGY45" s="387"/>
      <c r="AGZ45" s="387"/>
      <c r="AHA45" s="387"/>
      <c r="AHB45" s="387"/>
      <c r="AHC45" s="387"/>
      <c r="AHD45" s="387"/>
      <c r="AHE45" s="387"/>
      <c r="AHF45" s="387"/>
      <c r="AHG45" s="387"/>
      <c r="AHH45" s="387"/>
      <c r="AHI45" s="387"/>
      <c r="AHJ45" s="387"/>
      <c r="AHK45" s="387"/>
      <c r="AHL45" s="387"/>
      <c r="AHM45" s="387"/>
      <c r="AHN45" s="387"/>
      <c r="AHO45" s="387"/>
      <c r="AHP45" s="387"/>
      <c r="AHQ45" s="387"/>
      <c r="AHR45" s="387"/>
      <c r="AHS45" s="387"/>
      <c r="AHT45" s="387"/>
      <c r="AHU45" s="387"/>
      <c r="AHV45" s="387"/>
      <c r="AHW45" s="387"/>
      <c r="AHX45" s="387"/>
      <c r="AHY45" s="387"/>
      <c r="AHZ45" s="387"/>
      <c r="AIA45" s="387"/>
      <c r="AIB45" s="387"/>
      <c r="AIC45" s="387"/>
      <c r="AID45" s="387"/>
      <c r="AIE45" s="387"/>
      <c r="AIF45" s="387"/>
      <c r="AIG45" s="387"/>
      <c r="AIH45" s="387"/>
      <c r="AII45" s="387"/>
      <c r="AIJ45" s="387"/>
      <c r="AIK45" s="387"/>
      <c r="AIL45" s="387"/>
      <c r="AIM45" s="387"/>
      <c r="AIN45" s="387"/>
      <c r="AIO45" s="387"/>
      <c r="AIP45" s="387"/>
      <c r="AIQ45" s="387"/>
      <c r="AIR45" s="387"/>
      <c r="AIS45" s="387"/>
      <c r="AIT45" s="387"/>
      <c r="AIU45" s="387"/>
      <c r="AIV45" s="387"/>
      <c r="AIW45" s="387"/>
      <c r="AIX45" s="387"/>
      <c r="AIY45" s="387"/>
      <c r="AIZ45" s="387"/>
      <c r="AJA45" s="387"/>
      <c r="AJB45" s="387"/>
      <c r="AJC45" s="387"/>
      <c r="AJD45" s="387"/>
      <c r="AJE45" s="387"/>
      <c r="AJF45" s="387"/>
      <c r="AJG45" s="387"/>
      <c r="AJH45" s="387"/>
      <c r="AJI45" s="387"/>
      <c r="AJJ45" s="387"/>
      <c r="AJK45" s="387"/>
      <c r="AJL45" s="387"/>
      <c r="AJM45" s="387"/>
      <c r="AJN45" s="387"/>
      <c r="AJO45" s="387"/>
      <c r="AJP45" s="387"/>
      <c r="AJQ45" s="387"/>
      <c r="AJR45" s="387"/>
      <c r="AJS45" s="387"/>
      <c r="AJT45" s="387"/>
      <c r="AJU45" s="387"/>
      <c r="AJV45" s="387"/>
      <c r="AJW45" s="387"/>
      <c r="AJX45" s="387"/>
      <c r="AJY45" s="387"/>
      <c r="AJZ45" s="387"/>
      <c r="AKA45" s="387"/>
      <c r="AKB45" s="387"/>
      <c r="AKC45" s="387"/>
      <c r="AKD45" s="387"/>
      <c r="AKE45" s="387"/>
      <c r="AKF45" s="387"/>
      <c r="AKG45" s="387"/>
      <c r="AKH45" s="387"/>
      <c r="AKI45" s="387"/>
      <c r="AKJ45" s="387"/>
      <c r="AKK45" s="387"/>
      <c r="AKL45" s="387"/>
      <c r="AKM45" s="387"/>
      <c r="AKN45" s="387"/>
      <c r="AKO45" s="387"/>
      <c r="AKP45" s="387"/>
      <c r="AKQ45" s="387"/>
      <c r="AKR45" s="387"/>
      <c r="AKS45" s="387"/>
      <c r="AKT45" s="387"/>
      <c r="AKU45" s="387"/>
      <c r="AKV45" s="387"/>
      <c r="AKW45" s="387"/>
      <c r="AKX45" s="387"/>
      <c r="AKY45" s="387"/>
      <c r="AKZ45" s="387"/>
      <c r="ALA45" s="387"/>
      <c r="ALB45" s="387"/>
      <c r="ALC45" s="387"/>
      <c r="ALD45" s="387"/>
      <c r="ALE45" s="387"/>
      <c r="ALF45" s="387"/>
      <c r="ALG45" s="387"/>
      <c r="ALH45" s="387"/>
      <c r="ALI45" s="387"/>
      <c r="ALJ45" s="387"/>
      <c r="ALK45" s="387"/>
      <c r="ALL45" s="387"/>
      <c r="ALM45" s="387"/>
      <c r="ALN45" s="387"/>
      <c r="ALO45" s="387"/>
      <c r="ALP45" s="387"/>
      <c r="ALQ45" s="387"/>
      <c r="ALR45" s="387"/>
      <c r="ALS45" s="387"/>
      <c r="ALT45" s="387"/>
      <c r="ALU45" s="387"/>
      <c r="ALV45" s="387"/>
      <c r="ALW45" s="387"/>
      <c r="ALX45" s="387"/>
      <c r="ALY45" s="387"/>
      <c r="ALZ45" s="387"/>
      <c r="AMA45" s="387"/>
      <c r="AMB45" s="387"/>
      <c r="AMC45" s="387"/>
      <c r="AMD45" s="387"/>
      <c r="AME45" s="387"/>
      <c r="AMF45" s="387"/>
      <c r="AMG45" s="387"/>
      <c r="AMH45" s="387"/>
      <c r="AMI45" s="387"/>
      <c r="AMJ45" s="387"/>
      <c r="AMK45" s="387"/>
      <c r="AML45" s="387"/>
      <c r="AMM45" s="387"/>
      <c r="AMN45" s="387"/>
      <c r="AMO45" s="387"/>
      <c r="AMP45" s="387"/>
      <c r="AMQ45" s="387"/>
      <c r="AMR45" s="387"/>
      <c r="AMS45" s="387"/>
      <c r="AMT45" s="387"/>
      <c r="AMU45" s="387"/>
      <c r="AMV45" s="387"/>
      <c r="AMW45" s="387"/>
      <c r="AMX45" s="387"/>
      <c r="AMY45" s="387"/>
      <c r="AMZ45" s="387"/>
      <c r="ANA45" s="387"/>
      <c r="ANB45" s="387"/>
      <c r="ANC45" s="387"/>
      <c r="AND45" s="387"/>
      <c r="ANE45" s="387"/>
      <c r="ANF45" s="387"/>
      <c r="ANG45" s="387"/>
      <c r="ANH45" s="387"/>
      <c r="ANI45" s="387"/>
      <c r="ANJ45" s="387"/>
      <c r="ANK45" s="387"/>
      <c r="ANL45" s="387"/>
      <c r="ANM45" s="387"/>
      <c r="ANN45" s="387"/>
      <c r="ANO45" s="387"/>
      <c r="ANP45" s="387"/>
      <c r="ANQ45" s="387"/>
      <c r="ANR45" s="387"/>
      <c r="ANS45" s="387"/>
      <c r="ANT45" s="387"/>
      <c r="ANU45" s="387"/>
      <c r="ANV45" s="387"/>
      <c r="ANW45" s="387"/>
      <c r="ANX45" s="387"/>
      <c r="ANY45" s="387"/>
      <c r="ANZ45" s="387"/>
      <c r="AOA45" s="387"/>
      <c r="AOB45" s="387"/>
      <c r="AOC45" s="387"/>
      <c r="AOD45" s="387"/>
      <c r="AOE45" s="387"/>
      <c r="AOF45" s="387"/>
      <c r="AOG45" s="387"/>
      <c r="AOH45" s="387"/>
      <c r="AOI45" s="387"/>
      <c r="AOJ45" s="387"/>
      <c r="AOK45" s="387"/>
      <c r="AOL45" s="387"/>
      <c r="AOM45" s="387"/>
      <c r="AON45" s="387"/>
      <c r="AOO45" s="387"/>
      <c r="AOP45" s="387"/>
      <c r="AOQ45" s="387"/>
      <c r="AOR45" s="387"/>
      <c r="AOS45" s="387"/>
      <c r="AOT45" s="387"/>
      <c r="AOU45" s="387"/>
      <c r="AOV45" s="387"/>
      <c r="AOW45" s="387"/>
      <c r="AOX45" s="387"/>
      <c r="AOY45" s="387"/>
      <c r="AOZ45" s="387"/>
      <c r="APA45" s="387"/>
      <c r="APB45" s="387"/>
      <c r="APC45" s="387"/>
      <c r="APD45" s="387"/>
      <c r="APE45" s="387"/>
      <c r="APF45" s="387"/>
      <c r="APG45" s="387"/>
      <c r="APH45" s="387"/>
      <c r="API45" s="387"/>
      <c r="APJ45" s="387"/>
      <c r="APK45" s="387"/>
      <c r="APL45" s="387"/>
      <c r="APM45" s="387"/>
      <c r="APN45" s="387"/>
      <c r="APO45" s="387"/>
      <c r="APP45" s="387"/>
      <c r="APQ45" s="387"/>
      <c r="APR45" s="387"/>
      <c r="APS45" s="387"/>
      <c r="APT45" s="387"/>
      <c r="APU45" s="387"/>
      <c r="APV45" s="387"/>
      <c r="APW45" s="387"/>
      <c r="APX45" s="387"/>
      <c r="APY45" s="387"/>
      <c r="APZ45" s="387"/>
      <c r="AQA45" s="387"/>
      <c r="AQB45" s="387"/>
      <c r="AQC45" s="387"/>
      <c r="AQD45" s="387"/>
      <c r="AQE45" s="387"/>
      <c r="AQF45" s="387"/>
      <c r="AQG45" s="387"/>
      <c r="AQH45" s="387"/>
      <c r="AQI45" s="387"/>
      <c r="AQJ45" s="387"/>
      <c r="AQK45" s="387"/>
      <c r="AQL45" s="387"/>
      <c r="AQM45" s="387"/>
      <c r="AQN45" s="387"/>
      <c r="AQO45" s="387"/>
      <c r="AQP45" s="387"/>
      <c r="AQQ45" s="387"/>
      <c r="AQR45" s="387"/>
      <c r="AQS45" s="387"/>
      <c r="AQT45" s="387"/>
      <c r="AQU45" s="387"/>
      <c r="AQV45" s="387"/>
      <c r="AQW45" s="387"/>
      <c r="AQX45" s="387"/>
      <c r="AQY45" s="387"/>
      <c r="AQZ45" s="387"/>
      <c r="ARA45" s="387"/>
      <c r="ARB45" s="387"/>
      <c r="ARC45" s="387"/>
      <c r="ARD45" s="387"/>
      <c r="ARE45" s="387"/>
      <c r="ARF45" s="387"/>
      <c r="ARG45" s="387"/>
      <c r="ARH45" s="387"/>
      <c r="ARI45" s="387"/>
      <c r="ARJ45" s="387"/>
      <c r="ARK45" s="387"/>
      <c r="ARL45" s="387"/>
      <c r="ARM45" s="387"/>
      <c r="ARN45" s="387"/>
      <c r="ARO45" s="387"/>
      <c r="ARP45" s="387"/>
      <c r="ARQ45" s="387"/>
      <c r="ARR45" s="387"/>
      <c r="ARS45" s="387"/>
      <c r="ART45" s="387"/>
      <c r="ARU45" s="387"/>
      <c r="ARV45" s="387"/>
      <c r="ARW45" s="387"/>
      <c r="ARX45" s="387"/>
      <c r="ARY45" s="387"/>
      <c r="ARZ45" s="387"/>
      <c r="ASA45" s="387"/>
      <c r="ASB45" s="387"/>
      <c r="ASC45" s="387"/>
      <c r="ASD45" s="387"/>
      <c r="ASE45" s="387"/>
      <c r="ASF45" s="387"/>
      <c r="ASG45" s="387"/>
      <c r="ASH45" s="387"/>
      <c r="ASI45" s="387"/>
      <c r="ASJ45" s="387"/>
      <c r="ASK45" s="387"/>
      <c r="ASL45" s="387"/>
      <c r="ASM45" s="387"/>
      <c r="ASN45" s="387"/>
      <c r="ASO45" s="387"/>
      <c r="ASP45" s="387"/>
      <c r="ASQ45" s="387"/>
      <c r="ASR45" s="387"/>
      <c r="ASS45" s="387"/>
      <c r="AST45" s="387"/>
      <c r="ASU45" s="387"/>
      <c r="ASV45" s="387"/>
      <c r="ASW45" s="387"/>
      <c r="ASX45" s="387"/>
      <c r="ASY45" s="387"/>
      <c r="ASZ45" s="387"/>
      <c r="ATA45" s="387"/>
      <c r="ATB45" s="387"/>
      <c r="ATC45" s="387"/>
      <c r="ATD45" s="387"/>
      <c r="ATE45" s="387"/>
      <c r="ATF45" s="387"/>
      <c r="ATG45" s="387"/>
      <c r="ATH45" s="387"/>
      <c r="ATI45" s="387"/>
      <c r="ATJ45" s="387"/>
      <c r="ATK45" s="387"/>
      <c r="ATL45" s="387"/>
      <c r="ATM45" s="387"/>
      <c r="ATN45" s="387"/>
      <c r="ATO45" s="387"/>
      <c r="ATP45" s="387"/>
      <c r="ATQ45" s="387"/>
      <c r="ATR45" s="387"/>
      <c r="ATS45" s="387"/>
      <c r="ATT45" s="387"/>
      <c r="ATU45" s="387"/>
      <c r="ATV45" s="387"/>
      <c r="ATW45" s="387"/>
      <c r="ATX45" s="387"/>
      <c r="ATY45" s="387"/>
      <c r="ATZ45" s="387"/>
      <c r="AUA45" s="387"/>
      <c r="AUB45" s="387"/>
      <c r="AUC45" s="387"/>
      <c r="AUD45" s="387"/>
      <c r="AUE45" s="387"/>
      <c r="AUF45" s="387"/>
      <c r="AUG45" s="387"/>
      <c r="AUH45" s="387"/>
      <c r="AUI45" s="387"/>
      <c r="AUJ45" s="387"/>
      <c r="AUK45" s="387"/>
      <c r="AUL45" s="387"/>
      <c r="AUM45" s="387"/>
      <c r="AUN45" s="387"/>
      <c r="AUO45" s="387"/>
      <c r="AUP45" s="387"/>
      <c r="AUQ45" s="387"/>
      <c r="AUR45" s="387"/>
      <c r="AUS45" s="387"/>
      <c r="AUT45" s="387"/>
      <c r="AUU45" s="387"/>
      <c r="AUV45" s="387"/>
      <c r="AUW45" s="387"/>
      <c r="AUX45" s="387"/>
      <c r="AUY45" s="387"/>
      <c r="AUZ45" s="387"/>
      <c r="AVA45" s="387"/>
      <c r="AVB45" s="387"/>
      <c r="AVC45" s="387"/>
      <c r="AVD45" s="387"/>
      <c r="AVE45" s="387"/>
      <c r="AVF45" s="387"/>
      <c r="AVG45" s="387"/>
      <c r="AVH45" s="387"/>
      <c r="AVI45" s="387"/>
      <c r="AVJ45" s="387"/>
      <c r="AVK45" s="387"/>
      <c r="AVL45" s="387"/>
      <c r="AVM45" s="387"/>
      <c r="AVN45" s="387"/>
      <c r="AVO45" s="387"/>
      <c r="AVP45" s="387"/>
      <c r="AVQ45" s="387"/>
      <c r="AVR45" s="387"/>
      <c r="AVS45" s="387"/>
      <c r="AVT45" s="387"/>
      <c r="AVU45" s="387"/>
      <c r="AVV45" s="387"/>
      <c r="AVW45" s="387"/>
      <c r="AVX45" s="387"/>
      <c r="AVY45" s="387"/>
      <c r="AVZ45" s="387"/>
      <c r="AWA45" s="387"/>
      <c r="AWB45" s="387"/>
      <c r="AWC45" s="387"/>
      <c r="AWD45" s="387"/>
      <c r="AWE45" s="387"/>
      <c r="AWF45" s="387"/>
      <c r="AWG45" s="387"/>
      <c r="AWH45" s="387"/>
      <c r="AWI45" s="387"/>
      <c r="AWJ45" s="387"/>
      <c r="AWK45" s="387"/>
      <c r="AWL45" s="387"/>
      <c r="AWM45" s="387"/>
      <c r="AWN45" s="387"/>
      <c r="AWO45" s="387"/>
      <c r="AWP45" s="387"/>
      <c r="AWQ45" s="387"/>
      <c r="AWR45" s="387"/>
      <c r="AWS45" s="387"/>
      <c r="AWT45" s="387"/>
      <c r="AWU45" s="387"/>
      <c r="AWV45" s="387"/>
      <c r="AWW45" s="387"/>
      <c r="AWX45" s="387"/>
      <c r="AWY45" s="387"/>
      <c r="AWZ45" s="387"/>
      <c r="AXA45" s="387"/>
      <c r="AXB45" s="387"/>
      <c r="AXC45" s="387"/>
      <c r="AXD45" s="387"/>
      <c r="AXE45" s="387"/>
      <c r="AXF45" s="387"/>
      <c r="AXG45" s="387"/>
      <c r="AXH45" s="387"/>
      <c r="AXI45" s="387"/>
      <c r="AXJ45" s="387"/>
      <c r="AXK45" s="387"/>
      <c r="AXL45" s="387"/>
      <c r="AXM45" s="387"/>
      <c r="AXN45" s="387"/>
      <c r="AXO45" s="387"/>
      <c r="AXP45" s="387"/>
      <c r="AXQ45" s="387"/>
      <c r="AXR45" s="387"/>
      <c r="AXS45" s="387"/>
      <c r="AXT45" s="387"/>
      <c r="AXU45" s="387"/>
      <c r="AXV45" s="387"/>
      <c r="AXW45" s="387"/>
      <c r="AXX45" s="387"/>
      <c r="AXY45" s="387"/>
      <c r="AXZ45" s="387"/>
      <c r="AYA45" s="387"/>
      <c r="AYB45" s="387"/>
      <c r="AYC45" s="387"/>
      <c r="AYD45" s="387"/>
      <c r="AYE45" s="387"/>
      <c r="AYF45" s="387"/>
      <c r="AYG45" s="387"/>
      <c r="AYH45" s="387"/>
      <c r="AYI45" s="387"/>
      <c r="AYJ45" s="387"/>
      <c r="AYK45" s="387"/>
      <c r="AYL45" s="387"/>
      <c r="AYM45" s="387"/>
      <c r="AYN45" s="387"/>
      <c r="AYO45" s="387"/>
      <c r="AYP45" s="387"/>
      <c r="AYQ45" s="387"/>
      <c r="AYR45" s="387"/>
      <c r="AYS45" s="387"/>
      <c r="AYT45" s="387"/>
      <c r="AYU45" s="387"/>
      <c r="AYV45" s="387"/>
      <c r="AYW45" s="387"/>
      <c r="AYX45" s="387"/>
      <c r="AYY45" s="387"/>
      <c r="AYZ45" s="387"/>
      <c r="AZA45" s="387"/>
      <c r="AZB45" s="387"/>
      <c r="AZC45" s="387"/>
      <c r="AZD45" s="387"/>
      <c r="AZE45" s="387"/>
      <c r="AZF45" s="387"/>
      <c r="AZG45" s="387"/>
      <c r="AZH45" s="387"/>
      <c r="AZI45" s="387"/>
      <c r="AZJ45" s="387"/>
      <c r="AZK45" s="387"/>
      <c r="AZL45" s="387"/>
      <c r="AZM45" s="387"/>
      <c r="AZN45" s="387"/>
      <c r="AZO45" s="387"/>
      <c r="AZP45" s="387"/>
      <c r="AZQ45" s="387"/>
      <c r="AZR45" s="387"/>
      <c r="AZS45" s="387"/>
      <c r="AZT45" s="387"/>
      <c r="AZU45" s="387"/>
      <c r="AZV45" s="387"/>
      <c r="AZW45" s="387"/>
      <c r="AZX45" s="387"/>
      <c r="AZY45" s="387"/>
      <c r="AZZ45" s="387"/>
      <c r="BAA45" s="387"/>
      <c r="BAB45" s="387"/>
      <c r="BAC45" s="387"/>
      <c r="BAD45" s="387"/>
      <c r="BAE45" s="387"/>
      <c r="BAF45" s="387"/>
      <c r="BAG45" s="387"/>
      <c r="BAH45" s="387"/>
      <c r="BAI45" s="387"/>
      <c r="BAJ45" s="387"/>
      <c r="BAK45" s="387"/>
      <c r="BAL45" s="387"/>
      <c r="BAM45" s="387"/>
      <c r="BAN45" s="387"/>
      <c r="BAO45" s="387"/>
      <c r="BAP45" s="387"/>
      <c r="BAQ45" s="387"/>
      <c r="BAR45" s="387"/>
      <c r="BAS45" s="387"/>
      <c r="BAT45" s="387"/>
      <c r="BAU45" s="387"/>
      <c r="BAV45" s="387"/>
      <c r="BAW45" s="387"/>
      <c r="BAX45" s="387"/>
      <c r="BAY45" s="387"/>
      <c r="BAZ45" s="387"/>
      <c r="BBA45" s="387"/>
      <c r="BBB45" s="387"/>
      <c r="BBC45" s="387"/>
      <c r="BBD45" s="387"/>
      <c r="BBE45" s="387"/>
      <c r="BBF45" s="387"/>
      <c r="BBG45" s="387"/>
      <c r="BBH45" s="387"/>
      <c r="BBI45" s="387"/>
      <c r="BBJ45" s="387"/>
      <c r="BBK45" s="387"/>
      <c r="BBL45" s="387"/>
      <c r="BBM45" s="387"/>
      <c r="BBN45" s="387"/>
      <c r="BBO45" s="387"/>
      <c r="BBP45" s="387"/>
      <c r="BBQ45" s="387"/>
      <c r="BBR45" s="387"/>
      <c r="BBS45" s="387"/>
      <c r="BBT45" s="387"/>
      <c r="BBU45" s="387"/>
      <c r="BBV45" s="387"/>
      <c r="BBW45" s="387"/>
      <c r="BBX45" s="387"/>
      <c r="BBY45" s="387"/>
      <c r="BBZ45" s="387"/>
      <c r="BCA45" s="387"/>
      <c r="BCB45" s="387"/>
      <c r="BCC45" s="387"/>
      <c r="BCD45" s="387"/>
      <c r="BCE45" s="387"/>
      <c r="BCF45" s="387"/>
      <c r="BCG45" s="387"/>
      <c r="BCH45" s="387"/>
      <c r="BCI45" s="387"/>
      <c r="BCJ45" s="387"/>
      <c r="BCK45" s="387"/>
      <c r="BCL45" s="387"/>
      <c r="BCM45" s="387"/>
      <c r="BCN45" s="387"/>
      <c r="BCO45" s="387"/>
      <c r="BCP45" s="387"/>
      <c r="BCQ45" s="387"/>
      <c r="BCR45" s="387"/>
      <c r="BCS45" s="387"/>
      <c r="BCT45" s="387"/>
      <c r="BCU45" s="387"/>
      <c r="BCV45" s="387"/>
      <c r="BCW45" s="387"/>
      <c r="BCX45" s="387"/>
      <c r="BCY45" s="387"/>
      <c r="BCZ45" s="387"/>
      <c r="BDA45" s="387"/>
      <c r="BDB45" s="387"/>
      <c r="BDC45" s="387"/>
      <c r="BDD45" s="387"/>
      <c r="BDE45" s="387"/>
      <c r="BDF45" s="387"/>
      <c r="BDG45" s="387"/>
      <c r="BDH45" s="387"/>
      <c r="BDI45" s="387"/>
      <c r="BDJ45" s="387"/>
      <c r="BDK45" s="387"/>
      <c r="BDL45" s="387"/>
      <c r="BDM45" s="387"/>
      <c r="BDN45" s="387"/>
      <c r="BDO45" s="387"/>
      <c r="BDP45" s="387"/>
      <c r="BDQ45" s="387"/>
      <c r="BDR45" s="387"/>
      <c r="BDS45" s="387"/>
      <c r="BDT45" s="387"/>
      <c r="BDU45" s="387"/>
      <c r="BDV45" s="387"/>
      <c r="BDW45" s="387"/>
      <c r="BDX45" s="387"/>
      <c r="BDY45" s="387"/>
      <c r="BDZ45" s="387"/>
      <c r="BEA45" s="387"/>
      <c r="BEB45" s="387"/>
      <c r="BEC45" s="387"/>
      <c r="BED45" s="387"/>
      <c r="BEE45" s="387"/>
      <c r="BEF45" s="387"/>
      <c r="BEG45" s="387"/>
      <c r="BEH45" s="387"/>
      <c r="BEI45" s="387"/>
      <c r="BEJ45" s="387"/>
      <c r="BEK45" s="387"/>
      <c r="BEL45" s="387"/>
      <c r="BEM45" s="387"/>
      <c r="BEN45" s="387"/>
      <c r="BEO45" s="387"/>
      <c r="BEP45" s="387"/>
      <c r="BEQ45" s="387"/>
      <c r="BER45" s="387"/>
      <c r="BES45" s="387"/>
      <c r="BET45" s="387"/>
      <c r="BEU45" s="387"/>
      <c r="BEV45" s="387"/>
      <c r="BEW45" s="387"/>
      <c r="BEX45" s="387"/>
      <c r="BEY45" s="387"/>
      <c r="BEZ45" s="387"/>
      <c r="BFA45" s="387"/>
      <c r="BFB45" s="387"/>
      <c r="BFC45" s="387"/>
      <c r="BFD45" s="387"/>
      <c r="BFE45" s="387"/>
      <c r="BFF45" s="387"/>
      <c r="BFG45" s="387"/>
      <c r="BFH45" s="387"/>
      <c r="BFI45" s="387"/>
      <c r="BFJ45" s="387"/>
      <c r="BFK45" s="387"/>
      <c r="BFL45" s="387"/>
      <c r="BFM45" s="387"/>
      <c r="BFN45" s="387"/>
      <c r="BFO45" s="387"/>
      <c r="BFP45" s="387"/>
      <c r="BFQ45" s="387"/>
      <c r="BFR45" s="387"/>
      <c r="BFS45" s="387"/>
      <c r="BFT45" s="387"/>
      <c r="BFU45" s="387"/>
      <c r="BFV45" s="387"/>
      <c r="BFW45" s="387"/>
      <c r="BFX45" s="387"/>
      <c r="BFY45" s="387"/>
      <c r="BFZ45" s="387"/>
      <c r="BGA45" s="387"/>
      <c r="BGB45" s="387"/>
      <c r="BGC45" s="387"/>
      <c r="BGD45" s="387"/>
      <c r="BGE45" s="387"/>
      <c r="BGF45" s="387"/>
      <c r="BGG45" s="387"/>
      <c r="BGH45" s="387"/>
      <c r="BGI45" s="387"/>
      <c r="BGJ45" s="387"/>
      <c r="BGK45" s="387"/>
      <c r="BGL45" s="387"/>
      <c r="BGM45" s="387"/>
      <c r="BGN45" s="387"/>
      <c r="BGO45" s="387"/>
      <c r="BGP45" s="387"/>
      <c r="BGQ45" s="387"/>
      <c r="BGR45" s="387"/>
      <c r="BGS45" s="387"/>
      <c r="BGT45" s="387"/>
      <c r="BGU45" s="387"/>
      <c r="BGV45" s="387"/>
      <c r="BGW45" s="387"/>
      <c r="BGX45" s="387"/>
      <c r="BGY45" s="387"/>
      <c r="BGZ45" s="387"/>
      <c r="BHA45" s="387"/>
      <c r="BHB45" s="387"/>
      <c r="BHC45" s="387"/>
      <c r="BHD45" s="387"/>
      <c r="BHE45" s="387"/>
      <c r="BHF45" s="387"/>
      <c r="BHG45" s="387"/>
      <c r="BHH45" s="387"/>
      <c r="BHI45" s="387"/>
      <c r="BHJ45" s="387"/>
      <c r="BHK45" s="387"/>
      <c r="BHL45" s="387"/>
      <c r="BHM45" s="387"/>
      <c r="BHN45" s="387"/>
      <c r="BHO45" s="387"/>
      <c r="BHP45" s="387"/>
      <c r="BHQ45" s="387"/>
      <c r="BHR45" s="387"/>
      <c r="BHS45" s="387"/>
      <c r="BHT45" s="387"/>
      <c r="BHU45" s="387"/>
      <c r="BHV45" s="387"/>
      <c r="BHW45" s="387"/>
      <c r="BHX45" s="387"/>
      <c r="BHY45" s="387"/>
      <c r="BHZ45" s="387"/>
      <c r="BIA45" s="387"/>
      <c r="BIB45" s="387"/>
      <c r="BIC45" s="387"/>
      <c r="BID45" s="387"/>
      <c r="BIE45" s="387"/>
      <c r="BIF45" s="387"/>
      <c r="BIG45" s="387"/>
      <c r="BIH45" s="387"/>
      <c r="BII45" s="387"/>
      <c r="BIJ45" s="387"/>
      <c r="BIK45" s="387"/>
      <c r="BIL45" s="387"/>
      <c r="BIM45" s="387"/>
      <c r="BIN45" s="387"/>
      <c r="BIO45" s="387"/>
      <c r="BIP45" s="387"/>
      <c r="BIQ45" s="387"/>
      <c r="BIR45" s="387"/>
      <c r="BIS45" s="387"/>
      <c r="BIT45" s="387"/>
      <c r="BIU45" s="387"/>
      <c r="BIV45" s="387"/>
      <c r="BIW45" s="387"/>
      <c r="BIX45" s="387"/>
      <c r="BIY45" s="387"/>
      <c r="BIZ45" s="387"/>
      <c r="BJA45" s="387"/>
      <c r="BJB45" s="387"/>
      <c r="BJC45" s="387"/>
      <c r="BJD45" s="387"/>
      <c r="BJE45" s="387"/>
      <c r="BJF45" s="387"/>
      <c r="BJG45" s="387"/>
      <c r="BJH45" s="387"/>
      <c r="BJI45" s="387"/>
      <c r="BJJ45" s="387"/>
      <c r="BJK45" s="387"/>
      <c r="BJL45" s="387"/>
      <c r="BJM45" s="387"/>
      <c r="BJN45" s="387"/>
      <c r="BJO45" s="387"/>
      <c r="BJP45" s="387"/>
      <c r="BJQ45" s="387"/>
      <c r="BJR45" s="387"/>
      <c r="BJS45" s="387"/>
      <c r="BJT45" s="387"/>
      <c r="BJU45" s="387"/>
      <c r="BJV45" s="387"/>
      <c r="BJW45" s="387"/>
      <c r="BJX45" s="387"/>
      <c r="BJY45" s="387"/>
      <c r="BJZ45" s="387"/>
      <c r="BKA45" s="387"/>
      <c r="BKB45" s="387"/>
      <c r="BKC45" s="387"/>
      <c r="BKD45" s="387"/>
      <c r="BKE45" s="387"/>
      <c r="BKF45" s="387"/>
      <c r="BKG45" s="387"/>
      <c r="BKH45" s="387"/>
      <c r="BKI45" s="387"/>
      <c r="BKJ45" s="387"/>
      <c r="BKK45" s="387"/>
      <c r="BKL45" s="387"/>
      <c r="BKM45" s="387"/>
      <c r="BKN45" s="387"/>
      <c r="BKO45" s="387"/>
      <c r="BKP45" s="387"/>
      <c r="BKQ45" s="387"/>
      <c r="BKR45" s="387"/>
      <c r="BKS45" s="387"/>
      <c r="BKT45" s="387"/>
      <c r="BKU45" s="387"/>
      <c r="BKV45" s="387"/>
      <c r="BKW45" s="387"/>
      <c r="BKX45" s="387"/>
      <c r="BKY45" s="387"/>
      <c r="BKZ45" s="387"/>
      <c r="BLA45" s="387"/>
      <c r="BLB45" s="387"/>
      <c r="BLC45" s="387"/>
      <c r="BLD45" s="387"/>
      <c r="BLE45" s="387"/>
      <c r="BLF45" s="387"/>
      <c r="BLG45" s="387"/>
      <c r="BLH45" s="387"/>
      <c r="BLI45" s="387"/>
      <c r="BLJ45" s="387"/>
      <c r="BLK45" s="387"/>
      <c r="BLL45" s="387"/>
      <c r="BLM45" s="387"/>
      <c r="BLN45" s="387"/>
      <c r="BLO45" s="387"/>
      <c r="BLP45" s="387"/>
      <c r="BLQ45" s="387"/>
      <c r="BLR45" s="387"/>
      <c r="BLS45" s="387"/>
      <c r="BLT45" s="387"/>
      <c r="BLU45" s="387"/>
      <c r="BLV45" s="387"/>
      <c r="BLW45" s="387"/>
      <c r="BLX45" s="387"/>
      <c r="BLY45" s="387"/>
      <c r="BLZ45" s="387"/>
      <c r="BMA45" s="387"/>
      <c r="BMB45" s="387"/>
      <c r="BMC45" s="387"/>
      <c r="BMD45" s="387"/>
      <c r="BME45" s="387"/>
      <c r="BMF45" s="387"/>
      <c r="BMG45" s="387"/>
      <c r="BMH45" s="387"/>
      <c r="BMI45" s="387"/>
      <c r="BMJ45" s="387"/>
      <c r="BMK45" s="387"/>
      <c r="BML45" s="387"/>
      <c r="BMM45" s="387"/>
      <c r="BMN45" s="387"/>
      <c r="BMO45" s="387"/>
      <c r="BMP45" s="387"/>
      <c r="BMQ45" s="387"/>
      <c r="BMR45" s="387"/>
      <c r="BMS45" s="387"/>
      <c r="BMT45" s="387"/>
      <c r="BMU45" s="387"/>
      <c r="BMV45" s="387"/>
      <c r="BMW45" s="387"/>
      <c r="BMX45" s="387"/>
      <c r="BMY45" s="387"/>
      <c r="BMZ45" s="387"/>
      <c r="BNA45" s="387"/>
      <c r="BNB45" s="387"/>
      <c r="BNC45" s="387"/>
      <c r="BND45" s="387"/>
      <c r="BNE45" s="387"/>
      <c r="BNF45" s="387"/>
      <c r="BNG45" s="387"/>
      <c r="BNH45" s="387"/>
      <c r="BNI45" s="387"/>
      <c r="BNJ45" s="387"/>
      <c r="BNK45" s="387"/>
      <c r="BNL45" s="387"/>
      <c r="BNM45" s="387"/>
      <c r="BNN45" s="387"/>
      <c r="BNO45" s="387"/>
      <c r="BNP45" s="387"/>
      <c r="BNQ45" s="387"/>
      <c r="BNR45" s="387"/>
      <c r="BNS45" s="387"/>
      <c r="BNT45" s="387"/>
      <c r="BNU45" s="387"/>
      <c r="BNV45" s="387"/>
      <c r="BNW45" s="387"/>
      <c r="BNX45" s="387"/>
      <c r="BNY45" s="387"/>
      <c r="BNZ45" s="387"/>
      <c r="BOA45" s="387"/>
      <c r="BOB45" s="387"/>
      <c r="BOC45" s="387"/>
      <c r="BOD45" s="387"/>
      <c r="BOE45" s="387"/>
      <c r="BOF45" s="387"/>
      <c r="BOG45" s="387"/>
      <c r="BOH45" s="387"/>
      <c r="BOI45" s="387"/>
      <c r="BOJ45" s="387"/>
      <c r="BOK45" s="387"/>
      <c r="BOL45" s="387"/>
      <c r="BOM45" s="387"/>
      <c r="BON45" s="387"/>
      <c r="BOO45" s="387"/>
      <c r="BOP45" s="387"/>
      <c r="BOQ45" s="387"/>
      <c r="BOR45" s="387"/>
      <c r="BOS45" s="387"/>
      <c r="BOT45" s="387"/>
      <c r="BOU45" s="387"/>
      <c r="BOV45" s="387"/>
      <c r="BOW45" s="387"/>
      <c r="BOX45" s="387"/>
      <c r="BOY45" s="387"/>
      <c r="BOZ45" s="387"/>
      <c r="BPA45" s="387"/>
      <c r="BPB45" s="387"/>
      <c r="BPC45" s="387"/>
      <c r="BPD45" s="387"/>
      <c r="BPE45" s="387"/>
      <c r="BPF45" s="387"/>
      <c r="BPG45" s="387"/>
      <c r="BPH45" s="387"/>
      <c r="BPI45" s="387"/>
      <c r="BPJ45" s="387"/>
      <c r="BPK45" s="387"/>
      <c r="BPL45" s="387"/>
      <c r="BPM45" s="387"/>
      <c r="BPN45" s="387"/>
      <c r="BPO45" s="387"/>
      <c r="BPP45" s="387"/>
      <c r="BPQ45" s="387"/>
      <c r="BPR45" s="387"/>
      <c r="BPS45" s="387"/>
      <c r="BPT45" s="387"/>
      <c r="BPU45" s="387"/>
      <c r="BPV45" s="387"/>
      <c r="BPW45" s="387"/>
      <c r="BPX45" s="387"/>
      <c r="BPY45" s="387"/>
      <c r="BPZ45" s="387"/>
      <c r="BQA45" s="387"/>
      <c r="BQB45" s="387"/>
      <c r="BQC45" s="387"/>
      <c r="BQD45" s="387"/>
      <c r="BQE45" s="387"/>
      <c r="BQF45" s="387"/>
      <c r="BQG45" s="387"/>
      <c r="BQH45" s="387"/>
      <c r="BQI45" s="387"/>
      <c r="BQJ45" s="387"/>
      <c r="BQK45" s="387"/>
      <c r="BQL45" s="387"/>
      <c r="BQM45" s="387"/>
      <c r="BQN45" s="387"/>
      <c r="BQO45" s="387"/>
      <c r="BQP45" s="387"/>
      <c r="BQQ45" s="387"/>
      <c r="BQR45" s="387"/>
      <c r="BQS45" s="387"/>
      <c r="BQT45" s="387"/>
      <c r="BQU45" s="387"/>
      <c r="BQV45" s="387"/>
      <c r="BQW45" s="387"/>
      <c r="BQX45" s="387"/>
      <c r="BQY45" s="387"/>
      <c r="BQZ45" s="387"/>
      <c r="BRA45" s="387"/>
      <c r="BRB45" s="387"/>
      <c r="BRC45" s="387"/>
      <c r="BRD45" s="387"/>
      <c r="BRE45" s="387"/>
      <c r="BRF45" s="387"/>
      <c r="BRG45" s="387"/>
      <c r="BRH45" s="387"/>
      <c r="BRI45" s="387"/>
      <c r="BRJ45" s="387"/>
      <c r="BRK45" s="387"/>
      <c r="BRL45" s="387"/>
      <c r="BRM45" s="387"/>
      <c r="BRN45" s="387"/>
      <c r="BRO45" s="387"/>
      <c r="BRP45" s="387"/>
      <c r="BRQ45" s="387"/>
      <c r="BRR45" s="387"/>
      <c r="BRS45" s="387"/>
      <c r="BRT45" s="387"/>
      <c r="BRU45" s="387"/>
      <c r="BRV45" s="387"/>
      <c r="BRW45" s="387"/>
      <c r="BRX45" s="387"/>
      <c r="BRY45" s="387"/>
      <c r="BRZ45" s="387"/>
      <c r="BSA45" s="387"/>
      <c r="BSB45" s="387"/>
      <c r="BSC45" s="387"/>
      <c r="BSD45" s="387"/>
      <c r="BSE45" s="387"/>
      <c r="BSF45" s="387"/>
      <c r="BSG45" s="387"/>
      <c r="BSH45" s="387"/>
      <c r="BSI45" s="387"/>
      <c r="BSJ45" s="387"/>
      <c r="BSK45" s="387"/>
      <c r="BSL45" s="387"/>
      <c r="BSM45" s="387"/>
      <c r="BSN45" s="387"/>
      <c r="BSO45" s="387"/>
      <c r="BSP45" s="387"/>
      <c r="BSQ45" s="387"/>
      <c r="BSR45" s="387"/>
      <c r="BSS45" s="387"/>
      <c r="BST45" s="387"/>
      <c r="BSU45" s="387"/>
      <c r="BSV45" s="387"/>
      <c r="BSW45" s="387"/>
      <c r="BSX45" s="387"/>
      <c r="BSY45" s="387"/>
      <c r="BSZ45" s="387"/>
      <c r="BTA45" s="387"/>
      <c r="BTB45" s="387"/>
      <c r="BTC45" s="387"/>
      <c r="BTD45" s="387"/>
      <c r="BTE45" s="387"/>
      <c r="BTF45" s="387"/>
      <c r="BTG45" s="387"/>
      <c r="BTH45" s="387"/>
      <c r="BTI45" s="387"/>
    </row>
    <row r="46" spans="1:1881" s="4" customFormat="1" ht="51.75" customHeight="1" x14ac:dyDescent="0.25">
      <c r="A46" s="186">
        <v>586</v>
      </c>
      <c r="B46" s="63" t="s">
        <v>82</v>
      </c>
      <c r="C46" s="132" t="s">
        <v>177</v>
      </c>
      <c r="D46" s="301" t="s">
        <v>580</v>
      </c>
      <c r="E46" s="683" t="e">
        <f>HLOOKUP('Unit Data from Audit Worksheet'!$D$2,'2019 Data(H)'!$D$1:$BB$202,116,FALSE)</f>
        <v>#N/A</v>
      </c>
      <c r="F46" s="686"/>
      <c r="G46" s="388">
        <f>IF(F46&lt;0,"Note: Number is normally positive.",)</f>
        <v>0</v>
      </c>
      <c r="H46" s="147"/>
      <c r="I46" s="292"/>
      <c r="J46" s="387"/>
      <c r="K46" s="387"/>
      <c r="L46" s="674" t="s">
        <v>950</v>
      </c>
      <c r="M46" s="576"/>
      <c r="N46" s="594"/>
      <c r="O46" s="387"/>
      <c r="P46" s="387"/>
      <c r="Q46" s="387"/>
      <c r="R46"/>
      <c r="S46" s="682"/>
      <c r="T46" s="387"/>
      <c r="U46" s="387"/>
      <c r="V46" s="387"/>
      <c r="W46" s="387"/>
      <c r="X46" s="682"/>
      <c r="Y46" s="387"/>
      <c r="Z46" s="387"/>
      <c r="AA46" s="387"/>
      <c r="AB46" s="387"/>
      <c r="AC46" s="387"/>
      <c r="AD46" s="387"/>
      <c r="AE46" s="387"/>
      <c r="AF46" s="387"/>
      <c r="AG46" s="387"/>
      <c r="AH46" s="387"/>
      <c r="AI46" s="387"/>
      <c r="AJ46" s="387"/>
      <c r="AK46" s="387"/>
      <c r="AL46" s="387"/>
      <c r="AM46" s="387"/>
      <c r="AN46" s="387"/>
      <c r="AO46" s="387"/>
      <c r="AP46" s="387"/>
      <c r="AQ46" s="387"/>
      <c r="AR46" s="387"/>
      <c r="AS46" s="387"/>
      <c r="AT46" s="387"/>
      <c r="AU46" s="387"/>
      <c r="AV46" s="387"/>
      <c r="AW46" s="387"/>
      <c r="AX46" s="387"/>
      <c r="AY46" s="387"/>
      <c r="AZ46" s="387"/>
      <c r="BA46" s="387"/>
      <c r="BB46" s="387"/>
      <c r="BC46" s="387"/>
      <c r="BD46" s="387"/>
      <c r="BE46" s="387"/>
      <c r="BF46" s="387"/>
      <c r="BG46" s="387"/>
      <c r="BH46" s="387"/>
      <c r="BI46" s="387"/>
      <c r="BJ46" s="387"/>
      <c r="BK46" s="387"/>
      <c r="BL46" s="387"/>
      <c r="BM46" s="387"/>
      <c r="BN46" s="387"/>
      <c r="BO46" s="387"/>
      <c r="BP46" s="387"/>
      <c r="BQ46" s="387"/>
      <c r="BR46" s="387"/>
      <c r="BS46" s="387"/>
      <c r="BT46" s="387"/>
      <c r="BU46" s="387"/>
      <c r="BV46" s="387"/>
      <c r="BW46" s="387"/>
      <c r="BX46" s="387"/>
      <c r="BY46" s="387"/>
      <c r="BZ46" s="387"/>
      <c r="CA46" s="387"/>
      <c r="CB46" s="387"/>
      <c r="CC46" s="387"/>
      <c r="CD46" s="387"/>
      <c r="CE46" s="387"/>
      <c r="CF46" s="387"/>
      <c r="CG46" s="387"/>
      <c r="CH46" s="387"/>
      <c r="CI46" s="387"/>
      <c r="CJ46" s="387"/>
      <c r="CK46" s="387"/>
      <c r="CL46" s="387"/>
      <c r="CM46" s="387"/>
      <c r="CN46" s="387"/>
      <c r="CO46" s="387"/>
      <c r="CP46" s="387"/>
      <c r="CQ46" s="387"/>
      <c r="CR46" s="387"/>
      <c r="CS46" s="387"/>
      <c r="CT46" s="387"/>
      <c r="CU46" s="387"/>
      <c r="CV46" s="387"/>
      <c r="CW46" s="387"/>
      <c r="CX46" s="387"/>
      <c r="CY46" s="387"/>
      <c r="CZ46" s="387"/>
      <c r="DA46" s="387"/>
      <c r="DB46" s="387"/>
      <c r="DC46" s="387"/>
      <c r="DD46" s="387"/>
      <c r="DE46" s="387"/>
      <c r="DF46" s="387"/>
      <c r="DG46" s="387"/>
      <c r="DH46" s="387"/>
      <c r="DI46" s="387"/>
      <c r="DJ46" s="387"/>
      <c r="DK46" s="387"/>
      <c r="DL46" s="387"/>
      <c r="DM46" s="387"/>
      <c r="DN46" s="387"/>
      <c r="DO46" s="387"/>
      <c r="DP46" s="387"/>
      <c r="DQ46" s="387"/>
      <c r="DR46" s="387"/>
      <c r="DS46" s="387"/>
      <c r="DT46" s="387"/>
      <c r="DU46" s="387"/>
      <c r="DV46" s="387"/>
      <c r="DW46" s="387"/>
      <c r="DX46" s="387"/>
      <c r="DY46" s="387"/>
      <c r="DZ46" s="387"/>
      <c r="EA46" s="387"/>
      <c r="EB46" s="387"/>
      <c r="EC46" s="387"/>
      <c r="ED46" s="387"/>
      <c r="EE46" s="387"/>
      <c r="EF46" s="387"/>
      <c r="EG46" s="387"/>
      <c r="EH46" s="387"/>
      <c r="EI46" s="387"/>
      <c r="EJ46" s="387"/>
      <c r="EK46" s="387"/>
      <c r="EL46" s="387"/>
      <c r="EM46" s="387"/>
      <c r="EN46" s="387"/>
      <c r="EO46" s="387"/>
      <c r="EP46" s="387"/>
      <c r="EQ46" s="387"/>
      <c r="ER46" s="387"/>
      <c r="ES46" s="387"/>
      <c r="ET46" s="387"/>
      <c r="EU46" s="387"/>
      <c r="EV46" s="387"/>
      <c r="EW46" s="387"/>
      <c r="EX46" s="387"/>
      <c r="EY46" s="387"/>
      <c r="EZ46" s="387"/>
      <c r="FA46" s="387"/>
      <c r="FB46" s="387"/>
      <c r="FC46" s="387"/>
      <c r="FD46" s="387"/>
      <c r="FE46" s="387"/>
      <c r="FF46" s="387"/>
      <c r="FG46" s="387"/>
      <c r="FH46" s="387"/>
      <c r="FI46" s="387"/>
      <c r="FJ46" s="387"/>
      <c r="FK46" s="387"/>
      <c r="FL46" s="387"/>
      <c r="FM46" s="387"/>
      <c r="FN46" s="387"/>
      <c r="FO46" s="387"/>
      <c r="FP46" s="387"/>
      <c r="FQ46" s="387"/>
      <c r="FR46" s="387"/>
      <c r="FS46" s="387"/>
      <c r="FT46" s="387"/>
      <c r="FU46" s="387"/>
      <c r="FV46" s="387"/>
      <c r="FW46" s="387"/>
      <c r="FX46" s="387"/>
      <c r="FY46" s="387"/>
      <c r="FZ46" s="387"/>
      <c r="GA46" s="387"/>
      <c r="GB46" s="387"/>
      <c r="GC46" s="387"/>
      <c r="GD46" s="387"/>
      <c r="GE46" s="387"/>
      <c r="GF46" s="387"/>
      <c r="GG46" s="387"/>
      <c r="GH46" s="387"/>
      <c r="GI46" s="387"/>
      <c r="GJ46" s="387"/>
      <c r="GK46" s="387"/>
      <c r="GL46" s="387"/>
      <c r="GM46" s="387"/>
      <c r="GN46" s="387"/>
      <c r="GO46" s="387"/>
      <c r="GP46" s="387"/>
      <c r="GQ46" s="387"/>
      <c r="GR46" s="387"/>
      <c r="GS46" s="387"/>
      <c r="GT46" s="387"/>
      <c r="GU46" s="387"/>
      <c r="GV46" s="387"/>
      <c r="GW46" s="387"/>
      <c r="GX46" s="387"/>
      <c r="GY46" s="387"/>
      <c r="GZ46" s="387"/>
      <c r="HA46" s="387"/>
      <c r="HB46" s="387"/>
      <c r="HC46" s="387"/>
      <c r="HD46" s="387"/>
      <c r="HE46" s="387"/>
      <c r="HF46" s="387"/>
      <c r="HG46" s="387"/>
      <c r="HH46" s="387"/>
      <c r="HI46" s="387"/>
      <c r="HJ46" s="387"/>
      <c r="HK46" s="387"/>
      <c r="HL46" s="387"/>
      <c r="HM46" s="387"/>
      <c r="HN46" s="387"/>
      <c r="HO46" s="387"/>
      <c r="HP46" s="387"/>
      <c r="HQ46" s="387"/>
      <c r="HR46" s="387"/>
      <c r="HS46" s="387"/>
      <c r="HT46" s="387"/>
      <c r="HU46" s="387"/>
      <c r="HV46" s="387"/>
      <c r="HW46" s="387"/>
      <c r="HX46" s="387"/>
      <c r="HY46" s="387"/>
      <c r="HZ46" s="387"/>
      <c r="IA46" s="387"/>
      <c r="IB46" s="387"/>
      <c r="IC46" s="387"/>
      <c r="ID46" s="387"/>
      <c r="IE46" s="387"/>
      <c r="IF46" s="387"/>
      <c r="IG46" s="387"/>
      <c r="IH46" s="387"/>
      <c r="II46" s="387"/>
      <c r="IJ46" s="387"/>
      <c r="IK46" s="387"/>
      <c r="IL46" s="387"/>
      <c r="IM46" s="387"/>
      <c r="IN46" s="387"/>
      <c r="IO46" s="387"/>
      <c r="IP46" s="387"/>
      <c r="IQ46" s="387"/>
      <c r="IR46" s="387"/>
      <c r="IS46" s="387"/>
      <c r="IT46" s="387"/>
      <c r="IU46" s="387"/>
      <c r="IV46" s="387"/>
      <c r="IW46" s="387"/>
      <c r="IX46" s="387"/>
      <c r="IY46" s="387"/>
      <c r="IZ46" s="387"/>
      <c r="JA46" s="387"/>
      <c r="JB46" s="387"/>
      <c r="JC46" s="387"/>
      <c r="JD46" s="387"/>
      <c r="JE46" s="387"/>
      <c r="JF46" s="387"/>
      <c r="JG46" s="387"/>
      <c r="JH46" s="387"/>
      <c r="JI46" s="387"/>
      <c r="JJ46" s="387"/>
      <c r="JK46" s="387"/>
      <c r="JL46" s="387"/>
      <c r="JM46" s="387"/>
      <c r="JN46" s="387"/>
      <c r="JO46" s="387"/>
      <c r="JP46" s="387"/>
      <c r="JQ46" s="387"/>
      <c r="JR46" s="387"/>
      <c r="JS46" s="387"/>
      <c r="JT46" s="387"/>
      <c r="JU46" s="387"/>
      <c r="JV46" s="387"/>
      <c r="JW46" s="387"/>
      <c r="JX46" s="387"/>
      <c r="JY46" s="387"/>
      <c r="JZ46" s="387"/>
      <c r="KA46" s="387"/>
      <c r="KB46" s="387"/>
      <c r="KC46" s="387"/>
      <c r="KD46" s="387"/>
      <c r="KE46" s="387"/>
      <c r="KF46" s="387"/>
      <c r="KG46" s="387"/>
      <c r="KH46" s="387"/>
      <c r="KI46" s="387"/>
      <c r="KJ46" s="387"/>
      <c r="KK46" s="387"/>
      <c r="KL46" s="387"/>
      <c r="KM46" s="387"/>
      <c r="KN46" s="387"/>
      <c r="KO46" s="387"/>
      <c r="KP46" s="387"/>
      <c r="KQ46" s="387"/>
      <c r="KR46" s="387"/>
      <c r="KS46" s="387"/>
      <c r="KT46" s="387"/>
      <c r="KU46" s="387"/>
      <c r="KV46" s="387"/>
      <c r="KW46" s="387"/>
      <c r="KX46" s="387"/>
      <c r="KY46" s="387"/>
      <c r="KZ46" s="387"/>
      <c r="LA46" s="387"/>
      <c r="LB46" s="387"/>
      <c r="LC46" s="387"/>
      <c r="LD46" s="387"/>
      <c r="LE46" s="387"/>
      <c r="LF46" s="387"/>
      <c r="LG46" s="387"/>
      <c r="LH46" s="387"/>
      <c r="LI46" s="387"/>
      <c r="LJ46" s="387"/>
      <c r="LK46" s="387"/>
      <c r="LL46" s="387"/>
      <c r="LM46" s="387"/>
      <c r="LN46" s="387"/>
      <c r="LO46" s="387"/>
      <c r="LP46" s="387"/>
      <c r="LQ46" s="387"/>
      <c r="LR46" s="387"/>
      <c r="LS46" s="387"/>
      <c r="LT46" s="387"/>
      <c r="LU46" s="387"/>
      <c r="LV46" s="387"/>
      <c r="LW46" s="387"/>
      <c r="LX46" s="387"/>
      <c r="LY46" s="387"/>
      <c r="LZ46" s="387"/>
      <c r="MA46" s="387"/>
      <c r="MB46" s="387"/>
      <c r="MC46" s="387"/>
      <c r="MD46" s="387"/>
      <c r="ME46" s="387"/>
      <c r="MF46" s="387"/>
      <c r="MG46" s="387"/>
      <c r="MH46" s="387"/>
      <c r="MI46" s="387"/>
      <c r="MJ46" s="387"/>
      <c r="MK46" s="387"/>
      <c r="ML46" s="387"/>
      <c r="MM46" s="387"/>
      <c r="MN46" s="387"/>
      <c r="MO46" s="387"/>
      <c r="MP46" s="387"/>
      <c r="MQ46" s="387"/>
      <c r="MR46" s="387"/>
      <c r="MS46" s="387"/>
      <c r="MT46" s="387"/>
      <c r="MU46" s="387"/>
      <c r="MV46" s="387"/>
      <c r="MW46" s="387"/>
      <c r="MX46" s="387"/>
      <c r="MY46" s="387"/>
      <c r="MZ46" s="387"/>
      <c r="NA46" s="387"/>
      <c r="NB46" s="387"/>
      <c r="NC46" s="387"/>
      <c r="ND46" s="387"/>
      <c r="NE46" s="387"/>
      <c r="NF46" s="387"/>
      <c r="NG46" s="387"/>
      <c r="NH46" s="387"/>
      <c r="NI46" s="387"/>
      <c r="NJ46" s="387"/>
      <c r="NK46" s="387"/>
      <c r="NL46" s="387"/>
      <c r="NM46" s="387"/>
      <c r="NN46" s="387"/>
      <c r="NO46" s="387"/>
      <c r="NP46" s="387"/>
      <c r="NQ46" s="387"/>
      <c r="NR46" s="387"/>
      <c r="NS46" s="387"/>
      <c r="NT46" s="387"/>
      <c r="NU46" s="387"/>
      <c r="NV46" s="387"/>
      <c r="NW46" s="387"/>
      <c r="NX46" s="387"/>
      <c r="NY46" s="387"/>
      <c r="NZ46" s="387"/>
      <c r="OA46" s="387"/>
      <c r="OB46" s="387"/>
      <c r="OC46" s="387"/>
      <c r="OD46" s="387"/>
      <c r="OE46" s="387"/>
      <c r="OF46" s="387"/>
      <c r="OG46" s="387"/>
      <c r="OH46" s="387"/>
      <c r="OI46" s="387"/>
      <c r="OJ46" s="387"/>
      <c r="OK46" s="387"/>
      <c r="OL46" s="387"/>
      <c r="OM46" s="387"/>
      <c r="ON46" s="387"/>
      <c r="OO46" s="387"/>
      <c r="OP46" s="387"/>
      <c r="OQ46" s="387"/>
      <c r="OR46" s="387"/>
      <c r="OS46" s="387"/>
      <c r="OT46" s="387"/>
      <c r="OU46" s="387"/>
      <c r="OV46" s="387"/>
      <c r="OW46" s="387"/>
      <c r="OX46" s="387"/>
      <c r="OY46" s="387"/>
      <c r="OZ46" s="387"/>
      <c r="PA46" s="387"/>
      <c r="PB46" s="387"/>
      <c r="PC46" s="387"/>
      <c r="PD46" s="387"/>
      <c r="PE46" s="387"/>
      <c r="PF46" s="387"/>
      <c r="PG46" s="387"/>
      <c r="PH46" s="387"/>
      <c r="PI46" s="387"/>
      <c r="PJ46" s="387"/>
      <c r="PK46" s="387"/>
      <c r="PL46" s="387"/>
      <c r="PM46" s="387"/>
      <c r="PN46" s="387"/>
      <c r="PO46" s="387"/>
      <c r="PP46" s="387"/>
      <c r="PQ46" s="387"/>
      <c r="PR46" s="387"/>
      <c r="PS46" s="387"/>
      <c r="PT46" s="387"/>
      <c r="PU46" s="387"/>
      <c r="PV46" s="387"/>
      <c r="PW46" s="387"/>
      <c r="PX46" s="387"/>
      <c r="PY46" s="387"/>
      <c r="PZ46" s="387"/>
      <c r="QA46" s="387"/>
      <c r="QB46" s="387"/>
      <c r="QC46" s="387"/>
      <c r="QD46" s="387"/>
      <c r="QE46" s="387"/>
      <c r="QF46" s="387"/>
      <c r="QG46" s="387"/>
      <c r="QH46" s="387"/>
      <c r="QI46" s="387"/>
      <c r="QJ46" s="387"/>
      <c r="QK46" s="387"/>
      <c r="QL46" s="387"/>
      <c r="QM46" s="387"/>
      <c r="QN46" s="387"/>
      <c r="QO46" s="387"/>
      <c r="QP46" s="387"/>
      <c r="QQ46" s="387"/>
      <c r="QR46" s="387"/>
      <c r="QS46" s="387"/>
      <c r="QT46" s="387"/>
      <c r="QU46" s="387"/>
      <c r="QV46" s="387"/>
      <c r="QW46" s="387"/>
      <c r="QX46" s="387"/>
      <c r="QY46" s="387"/>
      <c r="QZ46" s="387"/>
      <c r="RA46" s="387"/>
      <c r="RB46" s="387"/>
      <c r="RC46" s="387"/>
      <c r="RD46" s="387"/>
      <c r="RE46" s="387"/>
      <c r="RF46" s="387"/>
      <c r="RG46" s="387"/>
      <c r="RH46" s="387"/>
      <c r="RI46" s="387"/>
      <c r="RJ46" s="387"/>
      <c r="RK46" s="387"/>
      <c r="RL46" s="387"/>
      <c r="RM46" s="387"/>
      <c r="RN46" s="387"/>
      <c r="RO46" s="387"/>
      <c r="RP46" s="387"/>
      <c r="RQ46" s="387"/>
      <c r="RR46" s="387"/>
      <c r="RS46" s="387"/>
      <c r="RT46" s="387"/>
      <c r="RU46" s="387"/>
      <c r="RV46" s="387"/>
      <c r="RW46" s="387"/>
      <c r="RX46" s="387"/>
      <c r="RY46" s="387"/>
      <c r="RZ46" s="387"/>
      <c r="SA46" s="387"/>
      <c r="SB46" s="387"/>
      <c r="SC46" s="387"/>
      <c r="SD46" s="387"/>
      <c r="SE46" s="387"/>
      <c r="SF46" s="387"/>
      <c r="SG46" s="387"/>
      <c r="SH46" s="387"/>
      <c r="SI46" s="387"/>
      <c r="SJ46" s="387"/>
      <c r="SK46" s="387"/>
      <c r="SL46" s="387"/>
      <c r="SM46" s="387"/>
      <c r="SN46" s="387"/>
      <c r="SO46" s="387"/>
      <c r="SP46" s="387"/>
      <c r="SQ46" s="387"/>
      <c r="SR46" s="387"/>
      <c r="SS46" s="387"/>
      <c r="ST46" s="387"/>
      <c r="SU46" s="387"/>
      <c r="SV46" s="387"/>
      <c r="SW46" s="387"/>
      <c r="SX46" s="387"/>
      <c r="SY46" s="387"/>
      <c r="SZ46" s="387"/>
      <c r="TA46" s="387"/>
      <c r="TB46" s="387"/>
      <c r="TC46" s="387"/>
      <c r="TD46" s="387"/>
      <c r="TE46" s="387"/>
      <c r="TF46" s="387"/>
      <c r="TG46" s="387"/>
      <c r="TH46" s="387"/>
      <c r="TI46" s="387"/>
      <c r="TJ46" s="387"/>
      <c r="TK46" s="387"/>
      <c r="TL46" s="387"/>
      <c r="TM46" s="387"/>
      <c r="TN46" s="387"/>
      <c r="TO46" s="387"/>
      <c r="TP46" s="387"/>
      <c r="TQ46" s="387"/>
      <c r="TR46" s="387"/>
      <c r="TS46" s="387"/>
      <c r="TT46" s="387"/>
      <c r="TU46" s="387"/>
      <c r="TV46" s="387"/>
      <c r="TW46" s="387"/>
      <c r="TX46" s="387"/>
      <c r="TY46" s="387"/>
      <c r="TZ46" s="387"/>
      <c r="UA46" s="387"/>
      <c r="UB46" s="387"/>
      <c r="UC46" s="387"/>
      <c r="UD46" s="387"/>
      <c r="UE46" s="387"/>
      <c r="UF46" s="387"/>
      <c r="UG46" s="387"/>
      <c r="UH46" s="387"/>
      <c r="UI46" s="387"/>
      <c r="UJ46" s="387"/>
      <c r="UK46" s="387"/>
      <c r="UL46" s="387"/>
      <c r="UM46" s="387"/>
      <c r="UN46" s="387"/>
      <c r="UO46" s="387"/>
      <c r="UP46" s="387"/>
      <c r="UQ46" s="387"/>
      <c r="UR46" s="387"/>
      <c r="US46" s="387"/>
      <c r="UT46" s="387"/>
      <c r="UU46" s="387"/>
      <c r="UV46" s="387"/>
      <c r="UW46" s="387"/>
      <c r="UX46" s="387"/>
      <c r="UY46" s="387"/>
      <c r="UZ46" s="387"/>
      <c r="VA46" s="387"/>
      <c r="VB46" s="387"/>
      <c r="VC46" s="387"/>
      <c r="VD46" s="387"/>
      <c r="VE46" s="387"/>
      <c r="VF46" s="387"/>
      <c r="VG46" s="387"/>
      <c r="VH46" s="387"/>
      <c r="VI46" s="387"/>
      <c r="VJ46" s="387"/>
      <c r="VK46" s="387"/>
      <c r="VL46" s="387"/>
      <c r="VM46" s="387"/>
      <c r="VN46" s="387"/>
      <c r="VO46" s="387"/>
      <c r="VP46" s="387"/>
      <c r="VQ46" s="387"/>
      <c r="VR46" s="387"/>
      <c r="VS46" s="387"/>
      <c r="VT46" s="387"/>
      <c r="VU46" s="387"/>
      <c r="VV46" s="387"/>
      <c r="VW46" s="387"/>
      <c r="VX46" s="387"/>
      <c r="VY46" s="387"/>
      <c r="VZ46" s="387"/>
      <c r="WA46" s="387"/>
      <c r="WB46" s="387"/>
      <c r="WC46" s="387"/>
      <c r="WD46" s="387"/>
      <c r="WE46" s="387"/>
      <c r="WF46" s="387"/>
      <c r="WG46" s="387"/>
      <c r="WH46" s="387"/>
      <c r="WI46" s="387"/>
      <c r="WJ46" s="387"/>
      <c r="WK46" s="387"/>
      <c r="WL46" s="387"/>
      <c r="WM46" s="387"/>
      <c r="WN46" s="387"/>
      <c r="WO46" s="387"/>
      <c r="WP46" s="387"/>
      <c r="WQ46" s="387"/>
      <c r="WR46" s="387"/>
      <c r="WS46" s="387"/>
      <c r="WT46" s="387"/>
      <c r="WU46" s="387"/>
      <c r="WV46" s="387"/>
      <c r="WW46" s="387"/>
      <c r="WX46" s="387"/>
      <c r="WY46" s="387"/>
      <c r="WZ46" s="387"/>
      <c r="XA46" s="387"/>
      <c r="XB46" s="387"/>
      <c r="XC46" s="387"/>
      <c r="XD46" s="387"/>
      <c r="XE46" s="387"/>
      <c r="XF46" s="387"/>
      <c r="XG46" s="387"/>
      <c r="XH46" s="387"/>
      <c r="XI46" s="387"/>
      <c r="XJ46" s="387"/>
      <c r="XK46" s="387"/>
      <c r="XL46" s="387"/>
      <c r="XM46" s="387"/>
      <c r="XN46" s="387"/>
      <c r="XO46" s="387"/>
      <c r="XP46" s="387"/>
      <c r="XQ46" s="387"/>
      <c r="XR46" s="387"/>
      <c r="XS46" s="387"/>
      <c r="XT46" s="387"/>
      <c r="XU46" s="387"/>
      <c r="XV46" s="387"/>
      <c r="XW46" s="387"/>
      <c r="XX46" s="387"/>
      <c r="XY46" s="387"/>
      <c r="XZ46" s="387"/>
      <c r="YA46" s="387"/>
      <c r="YB46" s="387"/>
      <c r="YC46" s="387"/>
      <c r="YD46" s="387"/>
      <c r="YE46" s="387"/>
      <c r="YF46" s="387"/>
      <c r="YG46" s="387"/>
      <c r="YH46" s="387"/>
      <c r="YI46" s="387"/>
      <c r="YJ46" s="387"/>
      <c r="YK46" s="387"/>
      <c r="YL46" s="387"/>
      <c r="YM46" s="387"/>
      <c r="YN46" s="387"/>
      <c r="YO46" s="387"/>
      <c r="YP46" s="387"/>
      <c r="YQ46" s="387"/>
      <c r="YR46" s="387"/>
      <c r="YS46" s="387"/>
      <c r="YT46" s="387"/>
      <c r="YU46" s="387"/>
      <c r="YV46" s="387"/>
      <c r="YW46" s="387"/>
      <c r="YX46" s="387"/>
      <c r="YY46" s="387"/>
      <c r="YZ46" s="387"/>
      <c r="ZA46" s="387"/>
      <c r="ZB46" s="387"/>
      <c r="ZC46" s="387"/>
      <c r="ZD46" s="387"/>
      <c r="ZE46" s="387"/>
      <c r="ZF46" s="387"/>
      <c r="ZG46" s="387"/>
      <c r="ZH46" s="387"/>
      <c r="ZI46" s="387"/>
      <c r="ZJ46" s="387"/>
      <c r="ZK46" s="387"/>
      <c r="ZL46" s="387"/>
      <c r="ZM46" s="387"/>
      <c r="ZN46" s="387"/>
      <c r="ZO46" s="387"/>
      <c r="ZP46" s="387"/>
      <c r="ZQ46" s="387"/>
      <c r="ZR46" s="387"/>
      <c r="ZS46" s="387"/>
      <c r="ZT46" s="387"/>
      <c r="ZU46" s="387"/>
      <c r="ZV46" s="387"/>
      <c r="ZW46" s="387"/>
      <c r="ZX46" s="387"/>
      <c r="ZY46" s="387"/>
      <c r="ZZ46" s="387"/>
      <c r="AAA46" s="387"/>
      <c r="AAB46" s="387"/>
      <c r="AAC46" s="387"/>
      <c r="AAD46" s="387"/>
      <c r="AAE46" s="387"/>
      <c r="AAF46" s="387"/>
      <c r="AAG46" s="387"/>
      <c r="AAH46" s="387"/>
      <c r="AAI46" s="387"/>
      <c r="AAJ46" s="387"/>
      <c r="AAK46" s="387"/>
      <c r="AAL46" s="387"/>
      <c r="AAM46" s="387"/>
      <c r="AAN46" s="387"/>
      <c r="AAO46" s="387"/>
      <c r="AAP46" s="387"/>
      <c r="AAQ46" s="387"/>
      <c r="AAR46" s="387"/>
      <c r="AAS46" s="387"/>
      <c r="AAT46" s="387"/>
      <c r="AAU46" s="387"/>
      <c r="AAV46" s="387"/>
      <c r="AAW46" s="387"/>
      <c r="AAX46" s="387"/>
      <c r="AAY46" s="387"/>
      <c r="AAZ46" s="387"/>
      <c r="ABA46" s="387"/>
      <c r="ABB46" s="387"/>
      <c r="ABC46" s="387"/>
      <c r="ABD46" s="387"/>
      <c r="ABE46" s="387"/>
      <c r="ABF46" s="387"/>
      <c r="ABG46" s="387"/>
      <c r="ABH46" s="387"/>
      <c r="ABI46" s="387"/>
      <c r="ABJ46" s="387"/>
      <c r="ABK46" s="387"/>
      <c r="ABL46" s="387"/>
      <c r="ABM46" s="387"/>
      <c r="ABN46" s="387"/>
      <c r="ABO46" s="387"/>
      <c r="ABP46" s="387"/>
      <c r="ABQ46" s="387"/>
      <c r="ABR46" s="387"/>
      <c r="ABS46" s="387"/>
      <c r="ABT46" s="387"/>
      <c r="ABU46" s="387"/>
      <c r="ABV46" s="387"/>
      <c r="ABW46" s="387"/>
      <c r="ABX46" s="387"/>
      <c r="ABY46" s="387"/>
      <c r="ABZ46" s="387"/>
      <c r="ACA46" s="387"/>
      <c r="ACB46" s="387"/>
      <c r="ACC46" s="387"/>
      <c r="ACD46" s="387"/>
      <c r="ACE46" s="387"/>
      <c r="ACF46" s="387"/>
      <c r="ACG46" s="387"/>
      <c r="ACH46" s="387"/>
      <c r="ACI46" s="387"/>
      <c r="ACJ46" s="387"/>
      <c r="ACK46" s="387"/>
      <c r="ACL46" s="387"/>
      <c r="ACM46" s="387"/>
      <c r="ACN46" s="387"/>
      <c r="ACO46" s="387"/>
      <c r="ACP46" s="387"/>
      <c r="ACQ46" s="387"/>
      <c r="ACR46" s="387"/>
      <c r="ACS46" s="387"/>
      <c r="ACT46" s="387"/>
      <c r="ACU46" s="387"/>
      <c r="ACV46" s="387"/>
      <c r="ACW46" s="387"/>
      <c r="ACX46" s="387"/>
      <c r="ACY46" s="387"/>
      <c r="ACZ46" s="387"/>
      <c r="ADA46" s="387"/>
      <c r="ADB46" s="387"/>
      <c r="ADC46" s="387"/>
      <c r="ADD46" s="387"/>
      <c r="ADE46" s="387"/>
      <c r="ADF46" s="387"/>
      <c r="ADG46" s="387"/>
      <c r="ADH46" s="387"/>
      <c r="ADI46" s="387"/>
      <c r="ADJ46" s="387"/>
      <c r="ADK46" s="387"/>
      <c r="ADL46" s="387"/>
      <c r="ADM46" s="387"/>
      <c r="ADN46" s="387"/>
      <c r="ADO46" s="387"/>
      <c r="ADP46" s="387"/>
      <c r="ADQ46" s="387"/>
      <c r="ADR46" s="387"/>
      <c r="ADS46" s="387"/>
      <c r="ADT46" s="387"/>
      <c r="ADU46" s="387"/>
      <c r="ADV46" s="387"/>
      <c r="ADW46" s="387"/>
      <c r="ADX46" s="387"/>
      <c r="ADY46" s="387"/>
      <c r="ADZ46" s="387"/>
      <c r="AEA46" s="387"/>
      <c r="AEB46" s="387"/>
      <c r="AEC46" s="387"/>
      <c r="AED46" s="387"/>
      <c r="AEE46" s="387"/>
      <c r="AEF46" s="387"/>
      <c r="AEG46" s="387"/>
      <c r="AEH46" s="387"/>
      <c r="AEI46" s="387"/>
      <c r="AEJ46" s="387"/>
      <c r="AEK46" s="387"/>
      <c r="AEL46" s="387"/>
      <c r="AEM46" s="387"/>
      <c r="AEN46" s="387"/>
      <c r="AEO46" s="387"/>
      <c r="AEP46" s="387"/>
      <c r="AEQ46" s="387"/>
      <c r="AER46" s="387"/>
      <c r="AES46" s="387"/>
      <c r="AET46" s="387"/>
      <c r="AEU46" s="387"/>
      <c r="AEV46" s="387"/>
      <c r="AEW46" s="387"/>
      <c r="AEX46" s="387"/>
      <c r="AEY46" s="387"/>
      <c r="AEZ46" s="387"/>
      <c r="AFA46" s="387"/>
      <c r="AFB46" s="387"/>
      <c r="AFC46" s="387"/>
      <c r="AFD46" s="387"/>
      <c r="AFE46" s="387"/>
      <c r="AFF46" s="387"/>
      <c r="AFG46" s="387"/>
      <c r="AFH46" s="387"/>
      <c r="AFI46" s="387"/>
      <c r="AFJ46" s="387"/>
      <c r="AFK46" s="387"/>
      <c r="AFL46" s="387"/>
      <c r="AFM46" s="387"/>
      <c r="AFN46" s="387"/>
      <c r="AFO46" s="387"/>
      <c r="AFP46" s="387"/>
      <c r="AFQ46" s="387"/>
      <c r="AFR46" s="387"/>
      <c r="AFS46" s="387"/>
      <c r="AFT46" s="387"/>
      <c r="AFU46" s="387"/>
      <c r="AFV46" s="387"/>
      <c r="AFW46" s="387"/>
      <c r="AFX46" s="387"/>
      <c r="AFY46" s="387"/>
      <c r="AFZ46" s="387"/>
      <c r="AGA46" s="387"/>
      <c r="AGB46" s="387"/>
      <c r="AGC46" s="387"/>
      <c r="AGD46" s="387"/>
      <c r="AGE46" s="387"/>
      <c r="AGF46" s="387"/>
      <c r="AGG46" s="387"/>
      <c r="AGH46" s="387"/>
      <c r="AGI46" s="387"/>
      <c r="AGJ46" s="387"/>
      <c r="AGK46" s="387"/>
      <c r="AGL46" s="387"/>
      <c r="AGM46" s="387"/>
      <c r="AGN46" s="387"/>
      <c r="AGO46" s="387"/>
      <c r="AGP46" s="387"/>
      <c r="AGQ46" s="387"/>
      <c r="AGR46" s="387"/>
      <c r="AGS46" s="387"/>
      <c r="AGT46" s="387"/>
      <c r="AGU46" s="387"/>
      <c r="AGV46" s="387"/>
      <c r="AGW46" s="387"/>
      <c r="AGX46" s="387"/>
      <c r="AGY46" s="387"/>
      <c r="AGZ46" s="387"/>
      <c r="AHA46" s="387"/>
      <c r="AHB46" s="387"/>
      <c r="AHC46" s="387"/>
      <c r="AHD46" s="387"/>
      <c r="AHE46" s="387"/>
      <c r="AHF46" s="387"/>
      <c r="AHG46" s="387"/>
      <c r="AHH46" s="387"/>
      <c r="AHI46" s="387"/>
      <c r="AHJ46" s="387"/>
      <c r="AHK46" s="387"/>
      <c r="AHL46" s="387"/>
      <c r="AHM46" s="387"/>
      <c r="AHN46" s="387"/>
      <c r="AHO46" s="387"/>
      <c r="AHP46" s="387"/>
      <c r="AHQ46" s="387"/>
      <c r="AHR46" s="387"/>
      <c r="AHS46" s="387"/>
      <c r="AHT46" s="387"/>
      <c r="AHU46" s="387"/>
      <c r="AHV46" s="387"/>
      <c r="AHW46" s="387"/>
      <c r="AHX46" s="387"/>
      <c r="AHY46" s="387"/>
      <c r="AHZ46" s="387"/>
      <c r="AIA46" s="387"/>
      <c r="AIB46" s="387"/>
      <c r="AIC46" s="387"/>
      <c r="AID46" s="387"/>
      <c r="AIE46" s="387"/>
      <c r="AIF46" s="387"/>
      <c r="AIG46" s="387"/>
      <c r="AIH46" s="387"/>
      <c r="AII46" s="387"/>
      <c r="AIJ46" s="387"/>
      <c r="AIK46" s="387"/>
      <c r="AIL46" s="387"/>
      <c r="AIM46" s="387"/>
      <c r="AIN46" s="387"/>
      <c r="AIO46" s="387"/>
      <c r="AIP46" s="387"/>
      <c r="AIQ46" s="387"/>
      <c r="AIR46" s="387"/>
      <c r="AIS46" s="387"/>
      <c r="AIT46" s="387"/>
      <c r="AIU46" s="387"/>
      <c r="AIV46" s="387"/>
      <c r="AIW46" s="387"/>
      <c r="AIX46" s="387"/>
      <c r="AIY46" s="387"/>
      <c r="AIZ46" s="387"/>
      <c r="AJA46" s="387"/>
      <c r="AJB46" s="387"/>
      <c r="AJC46" s="387"/>
      <c r="AJD46" s="387"/>
      <c r="AJE46" s="387"/>
      <c r="AJF46" s="387"/>
      <c r="AJG46" s="387"/>
      <c r="AJH46" s="387"/>
      <c r="AJI46" s="387"/>
      <c r="AJJ46" s="387"/>
      <c r="AJK46" s="387"/>
      <c r="AJL46" s="387"/>
      <c r="AJM46" s="387"/>
      <c r="AJN46" s="387"/>
      <c r="AJO46" s="387"/>
      <c r="AJP46" s="387"/>
      <c r="AJQ46" s="387"/>
      <c r="AJR46" s="387"/>
      <c r="AJS46" s="387"/>
      <c r="AJT46" s="387"/>
      <c r="AJU46" s="387"/>
      <c r="AJV46" s="387"/>
      <c r="AJW46" s="387"/>
      <c r="AJX46" s="387"/>
      <c r="AJY46" s="387"/>
      <c r="AJZ46" s="387"/>
      <c r="AKA46" s="387"/>
      <c r="AKB46" s="387"/>
      <c r="AKC46" s="387"/>
      <c r="AKD46" s="387"/>
      <c r="AKE46" s="387"/>
      <c r="AKF46" s="387"/>
      <c r="AKG46" s="387"/>
      <c r="AKH46" s="387"/>
      <c r="AKI46" s="387"/>
      <c r="AKJ46" s="387"/>
      <c r="AKK46" s="387"/>
      <c r="AKL46" s="387"/>
      <c r="AKM46" s="387"/>
      <c r="AKN46" s="387"/>
      <c r="AKO46" s="387"/>
      <c r="AKP46" s="387"/>
      <c r="AKQ46" s="387"/>
      <c r="AKR46" s="387"/>
      <c r="AKS46" s="387"/>
      <c r="AKT46" s="387"/>
      <c r="AKU46" s="387"/>
      <c r="AKV46" s="387"/>
      <c r="AKW46" s="387"/>
      <c r="AKX46" s="387"/>
      <c r="AKY46" s="387"/>
      <c r="AKZ46" s="387"/>
      <c r="ALA46" s="387"/>
      <c r="ALB46" s="387"/>
      <c r="ALC46" s="387"/>
      <c r="ALD46" s="387"/>
      <c r="ALE46" s="387"/>
      <c r="ALF46" s="387"/>
      <c r="ALG46" s="387"/>
      <c r="ALH46" s="387"/>
      <c r="ALI46" s="387"/>
      <c r="ALJ46" s="387"/>
      <c r="ALK46" s="387"/>
      <c r="ALL46" s="387"/>
      <c r="ALM46" s="387"/>
      <c r="ALN46" s="387"/>
      <c r="ALO46" s="387"/>
      <c r="ALP46" s="387"/>
      <c r="ALQ46" s="387"/>
      <c r="ALR46" s="387"/>
      <c r="ALS46" s="387"/>
      <c r="ALT46" s="387"/>
      <c r="ALU46" s="387"/>
      <c r="ALV46" s="387"/>
      <c r="ALW46" s="387"/>
      <c r="ALX46" s="387"/>
      <c r="ALY46" s="387"/>
      <c r="ALZ46" s="387"/>
      <c r="AMA46" s="387"/>
      <c r="AMB46" s="387"/>
      <c r="AMC46" s="387"/>
      <c r="AMD46" s="387"/>
      <c r="AME46" s="387"/>
      <c r="AMF46" s="387"/>
      <c r="AMG46" s="387"/>
      <c r="AMH46" s="387"/>
      <c r="AMI46" s="387"/>
      <c r="AMJ46" s="387"/>
      <c r="AMK46" s="387"/>
      <c r="AML46" s="387"/>
      <c r="AMM46" s="387"/>
      <c r="AMN46" s="387"/>
      <c r="AMO46" s="387"/>
      <c r="AMP46" s="387"/>
      <c r="AMQ46" s="387"/>
      <c r="AMR46" s="387"/>
      <c r="AMS46" s="387"/>
      <c r="AMT46" s="387"/>
      <c r="AMU46" s="387"/>
      <c r="AMV46" s="387"/>
      <c r="AMW46" s="387"/>
      <c r="AMX46" s="387"/>
      <c r="AMY46" s="387"/>
      <c r="AMZ46" s="387"/>
      <c r="ANA46" s="387"/>
      <c r="ANB46" s="387"/>
      <c r="ANC46" s="387"/>
      <c r="AND46" s="387"/>
      <c r="ANE46" s="387"/>
      <c r="ANF46" s="387"/>
      <c r="ANG46" s="387"/>
      <c r="ANH46" s="387"/>
      <c r="ANI46" s="387"/>
      <c r="ANJ46" s="387"/>
      <c r="ANK46" s="387"/>
      <c r="ANL46" s="387"/>
      <c r="ANM46" s="387"/>
      <c r="ANN46" s="387"/>
      <c r="ANO46" s="387"/>
      <c r="ANP46" s="387"/>
      <c r="ANQ46" s="387"/>
      <c r="ANR46" s="387"/>
      <c r="ANS46" s="387"/>
      <c r="ANT46" s="387"/>
      <c r="ANU46" s="387"/>
      <c r="ANV46" s="387"/>
      <c r="ANW46" s="387"/>
      <c r="ANX46" s="387"/>
      <c r="ANY46" s="387"/>
      <c r="ANZ46" s="387"/>
      <c r="AOA46" s="387"/>
      <c r="AOB46" s="387"/>
      <c r="AOC46" s="387"/>
      <c r="AOD46" s="387"/>
      <c r="AOE46" s="387"/>
      <c r="AOF46" s="387"/>
      <c r="AOG46" s="387"/>
      <c r="AOH46" s="387"/>
      <c r="AOI46" s="387"/>
      <c r="AOJ46" s="387"/>
      <c r="AOK46" s="387"/>
      <c r="AOL46" s="387"/>
      <c r="AOM46" s="387"/>
      <c r="AON46" s="387"/>
      <c r="AOO46" s="387"/>
      <c r="AOP46" s="387"/>
      <c r="AOQ46" s="387"/>
      <c r="AOR46" s="387"/>
      <c r="AOS46" s="387"/>
      <c r="AOT46" s="387"/>
      <c r="AOU46" s="387"/>
      <c r="AOV46" s="387"/>
      <c r="AOW46" s="387"/>
      <c r="AOX46" s="387"/>
      <c r="AOY46" s="387"/>
      <c r="AOZ46" s="387"/>
      <c r="APA46" s="387"/>
      <c r="APB46" s="387"/>
      <c r="APC46" s="387"/>
      <c r="APD46" s="387"/>
      <c r="APE46" s="387"/>
      <c r="APF46" s="387"/>
      <c r="APG46" s="387"/>
      <c r="APH46" s="387"/>
      <c r="API46" s="387"/>
      <c r="APJ46" s="387"/>
      <c r="APK46" s="387"/>
      <c r="APL46" s="387"/>
      <c r="APM46" s="387"/>
      <c r="APN46" s="387"/>
      <c r="APO46" s="387"/>
      <c r="APP46" s="387"/>
      <c r="APQ46" s="387"/>
      <c r="APR46" s="387"/>
      <c r="APS46" s="387"/>
      <c r="APT46" s="387"/>
      <c r="APU46" s="387"/>
      <c r="APV46" s="387"/>
      <c r="APW46" s="387"/>
      <c r="APX46" s="387"/>
      <c r="APY46" s="387"/>
      <c r="APZ46" s="387"/>
      <c r="AQA46" s="387"/>
      <c r="AQB46" s="387"/>
      <c r="AQC46" s="387"/>
      <c r="AQD46" s="387"/>
      <c r="AQE46" s="387"/>
      <c r="AQF46" s="387"/>
      <c r="AQG46" s="387"/>
      <c r="AQH46" s="387"/>
      <c r="AQI46" s="387"/>
      <c r="AQJ46" s="387"/>
      <c r="AQK46" s="387"/>
      <c r="AQL46" s="387"/>
      <c r="AQM46" s="387"/>
      <c r="AQN46" s="387"/>
      <c r="AQO46" s="387"/>
      <c r="AQP46" s="387"/>
      <c r="AQQ46" s="387"/>
      <c r="AQR46" s="387"/>
      <c r="AQS46" s="387"/>
      <c r="AQT46" s="387"/>
      <c r="AQU46" s="387"/>
      <c r="AQV46" s="387"/>
      <c r="AQW46" s="387"/>
      <c r="AQX46" s="387"/>
      <c r="AQY46" s="387"/>
      <c r="AQZ46" s="387"/>
      <c r="ARA46" s="387"/>
      <c r="ARB46" s="387"/>
      <c r="ARC46" s="387"/>
      <c r="ARD46" s="387"/>
      <c r="ARE46" s="387"/>
      <c r="ARF46" s="387"/>
      <c r="ARG46" s="387"/>
      <c r="ARH46" s="387"/>
      <c r="ARI46" s="387"/>
      <c r="ARJ46" s="387"/>
      <c r="ARK46" s="387"/>
      <c r="ARL46" s="387"/>
      <c r="ARM46" s="387"/>
      <c r="ARN46" s="387"/>
      <c r="ARO46" s="387"/>
      <c r="ARP46" s="387"/>
      <c r="ARQ46" s="387"/>
      <c r="ARR46" s="387"/>
      <c r="ARS46" s="387"/>
      <c r="ART46" s="387"/>
      <c r="ARU46" s="387"/>
      <c r="ARV46" s="387"/>
      <c r="ARW46" s="387"/>
      <c r="ARX46" s="387"/>
      <c r="ARY46" s="387"/>
      <c r="ARZ46" s="387"/>
      <c r="ASA46" s="387"/>
      <c r="ASB46" s="387"/>
      <c r="ASC46" s="387"/>
      <c r="ASD46" s="387"/>
      <c r="ASE46" s="387"/>
      <c r="ASF46" s="387"/>
      <c r="ASG46" s="387"/>
      <c r="ASH46" s="387"/>
      <c r="ASI46" s="387"/>
      <c r="ASJ46" s="387"/>
      <c r="ASK46" s="387"/>
      <c r="ASL46" s="387"/>
      <c r="ASM46" s="387"/>
      <c r="ASN46" s="387"/>
      <c r="ASO46" s="387"/>
      <c r="ASP46" s="387"/>
      <c r="ASQ46" s="387"/>
      <c r="ASR46" s="387"/>
      <c r="ASS46" s="387"/>
      <c r="AST46" s="387"/>
      <c r="ASU46" s="387"/>
      <c r="ASV46" s="387"/>
      <c r="ASW46" s="387"/>
      <c r="ASX46" s="387"/>
      <c r="ASY46" s="387"/>
      <c r="ASZ46" s="387"/>
      <c r="ATA46" s="387"/>
      <c r="ATB46" s="387"/>
      <c r="ATC46" s="387"/>
      <c r="ATD46" s="387"/>
      <c r="ATE46" s="387"/>
      <c r="ATF46" s="387"/>
      <c r="ATG46" s="387"/>
      <c r="ATH46" s="387"/>
      <c r="ATI46" s="387"/>
      <c r="ATJ46" s="387"/>
      <c r="ATK46" s="387"/>
      <c r="ATL46" s="387"/>
      <c r="ATM46" s="387"/>
      <c r="ATN46" s="387"/>
      <c r="ATO46" s="387"/>
      <c r="ATP46" s="387"/>
      <c r="ATQ46" s="387"/>
      <c r="ATR46" s="387"/>
      <c r="ATS46" s="387"/>
      <c r="ATT46" s="387"/>
      <c r="ATU46" s="387"/>
      <c r="ATV46" s="387"/>
      <c r="ATW46" s="387"/>
      <c r="ATX46" s="387"/>
      <c r="ATY46" s="387"/>
      <c r="ATZ46" s="387"/>
      <c r="AUA46" s="387"/>
      <c r="AUB46" s="387"/>
      <c r="AUC46" s="387"/>
      <c r="AUD46" s="387"/>
      <c r="AUE46" s="387"/>
      <c r="AUF46" s="387"/>
      <c r="AUG46" s="387"/>
      <c r="AUH46" s="387"/>
      <c r="AUI46" s="387"/>
      <c r="AUJ46" s="387"/>
      <c r="AUK46" s="387"/>
      <c r="AUL46" s="387"/>
      <c r="AUM46" s="387"/>
      <c r="AUN46" s="387"/>
      <c r="AUO46" s="387"/>
      <c r="AUP46" s="387"/>
      <c r="AUQ46" s="387"/>
      <c r="AUR46" s="387"/>
      <c r="AUS46" s="387"/>
      <c r="AUT46" s="387"/>
      <c r="AUU46" s="387"/>
      <c r="AUV46" s="387"/>
      <c r="AUW46" s="387"/>
      <c r="AUX46" s="387"/>
      <c r="AUY46" s="387"/>
      <c r="AUZ46" s="387"/>
      <c r="AVA46" s="387"/>
      <c r="AVB46" s="387"/>
      <c r="AVC46" s="387"/>
      <c r="AVD46" s="387"/>
      <c r="AVE46" s="387"/>
      <c r="AVF46" s="387"/>
      <c r="AVG46" s="387"/>
      <c r="AVH46" s="387"/>
      <c r="AVI46" s="387"/>
      <c r="AVJ46" s="387"/>
      <c r="AVK46" s="387"/>
      <c r="AVL46" s="387"/>
      <c r="AVM46" s="387"/>
      <c r="AVN46" s="387"/>
      <c r="AVO46" s="387"/>
      <c r="AVP46" s="387"/>
      <c r="AVQ46" s="387"/>
      <c r="AVR46" s="387"/>
      <c r="AVS46" s="387"/>
      <c r="AVT46" s="387"/>
      <c r="AVU46" s="387"/>
      <c r="AVV46" s="387"/>
      <c r="AVW46" s="387"/>
      <c r="AVX46" s="387"/>
      <c r="AVY46" s="387"/>
      <c r="AVZ46" s="387"/>
      <c r="AWA46" s="387"/>
      <c r="AWB46" s="387"/>
      <c r="AWC46" s="387"/>
      <c r="AWD46" s="387"/>
      <c r="AWE46" s="387"/>
      <c r="AWF46" s="387"/>
      <c r="AWG46" s="387"/>
      <c r="AWH46" s="387"/>
      <c r="AWI46" s="387"/>
      <c r="AWJ46" s="387"/>
      <c r="AWK46" s="387"/>
      <c r="AWL46" s="387"/>
      <c r="AWM46" s="387"/>
      <c r="AWN46" s="387"/>
      <c r="AWO46" s="387"/>
      <c r="AWP46" s="387"/>
      <c r="AWQ46" s="387"/>
      <c r="AWR46" s="387"/>
      <c r="AWS46" s="387"/>
      <c r="AWT46" s="387"/>
      <c r="AWU46" s="387"/>
      <c r="AWV46" s="387"/>
      <c r="AWW46" s="387"/>
      <c r="AWX46" s="387"/>
      <c r="AWY46" s="387"/>
      <c r="AWZ46" s="387"/>
      <c r="AXA46" s="387"/>
      <c r="AXB46" s="387"/>
      <c r="AXC46" s="387"/>
      <c r="AXD46" s="387"/>
      <c r="AXE46" s="387"/>
      <c r="AXF46" s="387"/>
      <c r="AXG46" s="387"/>
      <c r="AXH46" s="387"/>
      <c r="AXI46" s="387"/>
      <c r="AXJ46" s="387"/>
      <c r="AXK46" s="387"/>
      <c r="AXL46" s="387"/>
      <c r="AXM46" s="387"/>
      <c r="AXN46" s="387"/>
      <c r="AXO46" s="387"/>
      <c r="AXP46" s="387"/>
      <c r="AXQ46" s="387"/>
      <c r="AXR46" s="387"/>
      <c r="AXS46" s="387"/>
      <c r="AXT46" s="387"/>
      <c r="AXU46" s="387"/>
      <c r="AXV46" s="387"/>
      <c r="AXW46" s="387"/>
      <c r="AXX46" s="387"/>
      <c r="AXY46" s="387"/>
      <c r="AXZ46" s="387"/>
      <c r="AYA46" s="387"/>
      <c r="AYB46" s="387"/>
      <c r="AYC46" s="387"/>
      <c r="AYD46" s="387"/>
      <c r="AYE46" s="387"/>
      <c r="AYF46" s="387"/>
      <c r="AYG46" s="387"/>
      <c r="AYH46" s="387"/>
      <c r="AYI46" s="387"/>
      <c r="AYJ46" s="387"/>
      <c r="AYK46" s="387"/>
      <c r="AYL46" s="387"/>
      <c r="AYM46" s="387"/>
      <c r="AYN46" s="387"/>
      <c r="AYO46" s="387"/>
      <c r="AYP46" s="387"/>
      <c r="AYQ46" s="387"/>
      <c r="AYR46" s="387"/>
      <c r="AYS46" s="387"/>
      <c r="AYT46" s="387"/>
      <c r="AYU46" s="387"/>
      <c r="AYV46" s="387"/>
      <c r="AYW46" s="387"/>
      <c r="AYX46" s="387"/>
      <c r="AYY46" s="387"/>
      <c r="AYZ46" s="387"/>
      <c r="AZA46" s="387"/>
      <c r="AZB46" s="387"/>
      <c r="AZC46" s="387"/>
      <c r="AZD46" s="387"/>
      <c r="AZE46" s="387"/>
      <c r="AZF46" s="387"/>
      <c r="AZG46" s="387"/>
      <c r="AZH46" s="387"/>
      <c r="AZI46" s="387"/>
      <c r="AZJ46" s="387"/>
      <c r="AZK46" s="387"/>
      <c r="AZL46" s="387"/>
      <c r="AZM46" s="387"/>
      <c r="AZN46" s="387"/>
      <c r="AZO46" s="387"/>
      <c r="AZP46" s="387"/>
      <c r="AZQ46" s="387"/>
      <c r="AZR46" s="387"/>
      <c r="AZS46" s="387"/>
      <c r="AZT46" s="387"/>
      <c r="AZU46" s="387"/>
      <c r="AZV46" s="387"/>
      <c r="AZW46" s="387"/>
      <c r="AZX46" s="387"/>
      <c r="AZY46" s="387"/>
      <c r="AZZ46" s="387"/>
      <c r="BAA46" s="387"/>
      <c r="BAB46" s="387"/>
      <c r="BAC46" s="387"/>
      <c r="BAD46" s="387"/>
      <c r="BAE46" s="387"/>
      <c r="BAF46" s="387"/>
      <c r="BAG46" s="387"/>
      <c r="BAH46" s="387"/>
      <c r="BAI46" s="387"/>
      <c r="BAJ46" s="387"/>
      <c r="BAK46" s="387"/>
      <c r="BAL46" s="387"/>
      <c r="BAM46" s="387"/>
      <c r="BAN46" s="387"/>
      <c r="BAO46" s="387"/>
      <c r="BAP46" s="387"/>
      <c r="BAQ46" s="387"/>
      <c r="BAR46" s="387"/>
      <c r="BAS46" s="387"/>
      <c r="BAT46" s="387"/>
      <c r="BAU46" s="387"/>
      <c r="BAV46" s="387"/>
      <c r="BAW46" s="387"/>
      <c r="BAX46" s="387"/>
      <c r="BAY46" s="387"/>
      <c r="BAZ46" s="387"/>
      <c r="BBA46" s="387"/>
      <c r="BBB46" s="387"/>
      <c r="BBC46" s="387"/>
      <c r="BBD46" s="387"/>
      <c r="BBE46" s="387"/>
      <c r="BBF46" s="387"/>
      <c r="BBG46" s="387"/>
      <c r="BBH46" s="387"/>
      <c r="BBI46" s="387"/>
      <c r="BBJ46" s="387"/>
      <c r="BBK46" s="387"/>
      <c r="BBL46" s="387"/>
      <c r="BBM46" s="387"/>
      <c r="BBN46" s="387"/>
      <c r="BBO46" s="387"/>
      <c r="BBP46" s="387"/>
      <c r="BBQ46" s="387"/>
      <c r="BBR46" s="387"/>
      <c r="BBS46" s="387"/>
      <c r="BBT46" s="387"/>
      <c r="BBU46" s="387"/>
      <c r="BBV46" s="387"/>
      <c r="BBW46" s="387"/>
      <c r="BBX46" s="387"/>
      <c r="BBY46" s="387"/>
      <c r="BBZ46" s="387"/>
      <c r="BCA46" s="387"/>
      <c r="BCB46" s="387"/>
      <c r="BCC46" s="387"/>
      <c r="BCD46" s="387"/>
      <c r="BCE46" s="387"/>
      <c r="BCF46" s="387"/>
      <c r="BCG46" s="387"/>
      <c r="BCH46" s="387"/>
      <c r="BCI46" s="387"/>
      <c r="BCJ46" s="387"/>
      <c r="BCK46" s="387"/>
      <c r="BCL46" s="387"/>
      <c r="BCM46" s="387"/>
      <c r="BCN46" s="387"/>
      <c r="BCO46" s="387"/>
      <c r="BCP46" s="387"/>
      <c r="BCQ46" s="387"/>
      <c r="BCR46" s="387"/>
      <c r="BCS46" s="387"/>
      <c r="BCT46" s="387"/>
      <c r="BCU46" s="387"/>
      <c r="BCV46" s="387"/>
      <c r="BCW46" s="387"/>
      <c r="BCX46" s="387"/>
      <c r="BCY46" s="387"/>
      <c r="BCZ46" s="387"/>
      <c r="BDA46" s="387"/>
      <c r="BDB46" s="387"/>
      <c r="BDC46" s="387"/>
      <c r="BDD46" s="387"/>
      <c r="BDE46" s="387"/>
      <c r="BDF46" s="387"/>
      <c r="BDG46" s="387"/>
      <c r="BDH46" s="387"/>
      <c r="BDI46" s="387"/>
      <c r="BDJ46" s="387"/>
      <c r="BDK46" s="387"/>
      <c r="BDL46" s="387"/>
      <c r="BDM46" s="387"/>
      <c r="BDN46" s="387"/>
      <c r="BDO46" s="387"/>
      <c r="BDP46" s="387"/>
      <c r="BDQ46" s="387"/>
      <c r="BDR46" s="387"/>
      <c r="BDS46" s="387"/>
      <c r="BDT46" s="387"/>
      <c r="BDU46" s="387"/>
      <c r="BDV46" s="387"/>
      <c r="BDW46" s="387"/>
      <c r="BDX46" s="387"/>
      <c r="BDY46" s="387"/>
      <c r="BDZ46" s="387"/>
      <c r="BEA46" s="387"/>
      <c r="BEB46" s="387"/>
      <c r="BEC46" s="387"/>
      <c r="BED46" s="387"/>
      <c r="BEE46" s="387"/>
      <c r="BEF46" s="387"/>
      <c r="BEG46" s="387"/>
      <c r="BEH46" s="387"/>
      <c r="BEI46" s="387"/>
      <c r="BEJ46" s="387"/>
      <c r="BEK46" s="387"/>
      <c r="BEL46" s="387"/>
      <c r="BEM46" s="387"/>
      <c r="BEN46" s="387"/>
      <c r="BEO46" s="387"/>
      <c r="BEP46" s="387"/>
      <c r="BEQ46" s="387"/>
      <c r="BER46" s="387"/>
      <c r="BES46" s="387"/>
      <c r="BET46" s="387"/>
      <c r="BEU46" s="387"/>
      <c r="BEV46" s="387"/>
      <c r="BEW46" s="387"/>
      <c r="BEX46" s="387"/>
      <c r="BEY46" s="387"/>
      <c r="BEZ46" s="387"/>
      <c r="BFA46" s="387"/>
      <c r="BFB46" s="387"/>
      <c r="BFC46" s="387"/>
      <c r="BFD46" s="387"/>
      <c r="BFE46" s="387"/>
      <c r="BFF46" s="387"/>
      <c r="BFG46" s="387"/>
      <c r="BFH46" s="387"/>
      <c r="BFI46" s="387"/>
      <c r="BFJ46" s="387"/>
      <c r="BFK46" s="387"/>
      <c r="BFL46" s="387"/>
      <c r="BFM46" s="387"/>
      <c r="BFN46" s="387"/>
      <c r="BFO46" s="387"/>
      <c r="BFP46" s="387"/>
      <c r="BFQ46" s="387"/>
      <c r="BFR46" s="387"/>
      <c r="BFS46" s="387"/>
      <c r="BFT46" s="387"/>
      <c r="BFU46" s="387"/>
      <c r="BFV46" s="387"/>
      <c r="BFW46" s="387"/>
      <c r="BFX46" s="387"/>
      <c r="BFY46" s="387"/>
      <c r="BFZ46" s="387"/>
      <c r="BGA46" s="387"/>
      <c r="BGB46" s="387"/>
      <c r="BGC46" s="387"/>
      <c r="BGD46" s="387"/>
      <c r="BGE46" s="387"/>
      <c r="BGF46" s="387"/>
      <c r="BGG46" s="387"/>
      <c r="BGH46" s="387"/>
      <c r="BGI46" s="387"/>
      <c r="BGJ46" s="387"/>
      <c r="BGK46" s="387"/>
      <c r="BGL46" s="387"/>
      <c r="BGM46" s="387"/>
      <c r="BGN46" s="387"/>
      <c r="BGO46" s="387"/>
      <c r="BGP46" s="387"/>
      <c r="BGQ46" s="387"/>
      <c r="BGR46" s="387"/>
      <c r="BGS46" s="387"/>
      <c r="BGT46" s="387"/>
      <c r="BGU46" s="387"/>
      <c r="BGV46" s="387"/>
      <c r="BGW46" s="387"/>
      <c r="BGX46" s="387"/>
      <c r="BGY46" s="387"/>
      <c r="BGZ46" s="387"/>
      <c r="BHA46" s="387"/>
      <c r="BHB46" s="387"/>
      <c r="BHC46" s="387"/>
      <c r="BHD46" s="387"/>
      <c r="BHE46" s="387"/>
      <c r="BHF46" s="387"/>
      <c r="BHG46" s="387"/>
      <c r="BHH46" s="387"/>
      <c r="BHI46" s="387"/>
      <c r="BHJ46" s="387"/>
      <c r="BHK46" s="387"/>
      <c r="BHL46" s="387"/>
      <c r="BHM46" s="387"/>
      <c r="BHN46" s="387"/>
      <c r="BHO46" s="387"/>
      <c r="BHP46" s="387"/>
      <c r="BHQ46" s="387"/>
      <c r="BHR46" s="387"/>
      <c r="BHS46" s="387"/>
      <c r="BHT46" s="387"/>
      <c r="BHU46" s="387"/>
      <c r="BHV46" s="387"/>
      <c r="BHW46" s="387"/>
      <c r="BHX46" s="387"/>
      <c r="BHY46" s="387"/>
      <c r="BHZ46" s="387"/>
      <c r="BIA46" s="387"/>
      <c r="BIB46" s="387"/>
      <c r="BIC46" s="387"/>
      <c r="BID46" s="387"/>
      <c r="BIE46" s="387"/>
      <c r="BIF46" s="387"/>
      <c r="BIG46" s="387"/>
      <c r="BIH46" s="387"/>
      <c r="BII46" s="387"/>
      <c r="BIJ46" s="387"/>
      <c r="BIK46" s="387"/>
      <c r="BIL46" s="387"/>
      <c r="BIM46" s="387"/>
      <c r="BIN46" s="387"/>
      <c r="BIO46" s="387"/>
      <c r="BIP46" s="387"/>
      <c r="BIQ46" s="387"/>
      <c r="BIR46" s="387"/>
      <c r="BIS46" s="387"/>
      <c r="BIT46" s="387"/>
      <c r="BIU46" s="387"/>
      <c r="BIV46" s="387"/>
      <c r="BIW46" s="387"/>
      <c r="BIX46" s="387"/>
      <c r="BIY46" s="387"/>
      <c r="BIZ46" s="387"/>
      <c r="BJA46" s="387"/>
      <c r="BJB46" s="387"/>
      <c r="BJC46" s="387"/>
      <c r="BJD46" s="387"/>
      <c r="BJE46" s="387"/>
      <c r="BJF46" s="387"/>
      <c r="BJG46" s="387"/>
      <c r="BJH46" s="387"/>
      <c r="BJI46" s="387"/>
      <c r="BJJ46" s="387"/>
      <c r="BJK46" s="387"/>
      <c r="BJL46" s="387"/>
      <c r="BJM46" s="387"/>
      <c r="BJN46" s="387"/>
      <c r="BJO46" s="387"/>
      <c r="BJP46" s="387"/>
      <c r="BJQ46" s="387"/>
      <c r="BJR46" s="387"/>
      <c r="BJS46" s="387"/>
      <c r="BJT46" s="387"/>
      <c r="BJU46" s="387"/>
      <c r="BJV46" s="387"/>
      <c r="BJW46" s="387"/>
      <c r="BJX46" s="387"/>
      <c r="BJY46" s="387"/>
      <c r="BJZ46" s="387"/>
      <c r="BKA46" s="387"/>
      <c r="BKB46" s="387"/>
      <c r="BKC46" s="387"/>
      <c r="BKD46" s="387"/>
      <c r="BKE46" s="387"/>
      <c r="BKF46" s="387"/>
      <c r="BKG46" s="387"/>
      <c r="BKH46" s="387"/>
      <c r="BKI46" s="387"/>
      <c r="BKJ46" s="387"/>
      <c r="BKK46" s="387"/>
      <c r="BKL46" s="387"/>
      <c r="BKM46" s="387"/>
      <c r="BKN46" s="387"/>
      <c r="BKO46" s="387"/>
      <c r="BKP46" s="387"/>
      <c r="BKQ46" s="387"/>
      <c r="BKR46" s="387"/>
      <c r="BKS46" s="387"/>
      <c r="BKT46" s="387"/>
      <c r="BKU46" s="387"/>
      <c r="BKV46" s="387"/>
      <c r="BKW46" s="387"/>
      <c r="BKX46" s="387"/>
      <c r="BKY46" s="387"/>
      <c r="BKZ46" s="387"/>
      <c r="BLA46" s="387"/>
      <c r="BLB46" s="387"/>
      <c r="BLC46" s="387"/>
      <c r="BLD46" s="387"/>
      <c r="BLE46" s="387"/>
      <c r="BLF46" s="387"/>
      <c r="BLG46" s="387"/>
      <c r="BLH46" s="387"/>
      <c r="BLI46" s="387"/>
      <c r="BLJ46" s="387"/>
      <c r="BLK46" s="387"/>
      <c r="BLL46" s="387"/>
      <c r="BLM46" s="387"/>
      <c r="BLN46" s="387"/>
      <c r="BLO46" s="387"/>
      <c r="BLP46" s="387"/>
      <c r="BLQ46" s="387"/>
      <c r="BLR46" s="387"/>
      <c r="BLS46" s="387"/>
      <c r="BLT46" s="387"/>
      <c r="BLU46" s="387"/>
      <c r="BLV46" s="387"/>
      <c r="BLW46" s="387"/>
      <c r="BLX46" s="387"/>
      <c r="BLY46" s="387"/>
      <c r="BLZ46" s="387"/>
      <c r="BMA46" s="387"/>
      <c r="BMB46" s="387"/>
      <c r="BMC46" s="387"/>
      <c r="BMD46" s="387"/>
      <c r="BME46" s="387"/>
      <c r="BMF46" s="387"/>
      <c r="BMG46" s="387"/>
      <c r="BMH46" s="387"/>
      <c r="BMI46" s="387"/>
      <c r="BMJ46" s="387"/>
      <c r="BMK46" s="387"/>
      <c r="BML46" s="387"/>
      <c r="BMM46" s="387"/>
      <c r="BMN46" s="387"/>
      <c r="BMO46" s="387"/>
      <c r="BMP46" s="387"/>
      <c r="BMQ46" s="387"/>
      <c r="BMR46" s="387"/>
      <c r="BMS46" s="387"/>
      <c r="BMT46" s="387"/>
      <c r="BMU46" s="387"/>
      <c r="BMV46" s="387"/>
      <c r="BMW46" s="387"/>
      <c r="BMX46" s="387"/>
      <c r="BMY46" s="387"/>
      <c r="BMZ46" s="387"/>
      <c r="BNA46" s="387"/>
      <c r="BNB46" s="387"/>
      <c r="BNC46" s="387"/>
      <c r="BND46" s="387"/>
      <c r="BNE46" s="387"/>
      <c r="BNF46" s="387"/>
      <c r="BNG46" s="387"/>
      <c r="BNH46" s="387"/>
      <c r="BNI46" s="387"/>
      <c r="BNJ46" s="387"/>
      <c r="BNK46" s="387"/>
      <c r="BNL46" s="387"/>
      <c r="BNM46" s="387"/>
      <c r="BNN46" s="387"/>
      <c r="BNO46" s="387"/>
      <c r="BNP46" s="387"/>
      <c r="BNQ46" s="387"/>
      <c r="BNR46" s="387"/>
      <c r="BNS46" s="387"/>
      <c r="BNT46" s="387"/>
      <c r="BNU46" s="387"/>
      <c r="BNV46" s="387"/>
      <c r="BNW46" s="387"/>
      <c r="BNX46" s="387"/>
      <c r="BNY46" s="387"/>
      <c r="BNZ46" s="387"/>
      <c r="BOA46" s="387"/>
      <c r="BOB46" s="387"/>
      <c r="BOC46" s="387"/>
      <c r="BOD46" s="387"/>
      <c r="BOE46" s="387"/>
      <c r="BOF46" s="387"/>
      <c r="BOG46" s="387"/>
      <c r="BOH46" s="387"/>
      <c r="BOI46" s="387"/>
      <c r="BOJ46" s="387"/>
      <c r="BOK46" s="387"/>
      <c r="BOL46" s="387"/>
      <c r="BOM46" s="387"/>
      <c r="BON46" s="387"/>
      <c r="BOO46" s="387"/>
      <c r="BOP46" s="387"/>
      <c r="BOQ46" s="387"/>
      <c r="BOR46" s="387"/>
      <c r="BOS46" s="387"/>
      <c r="BOT46" s="387"/>
      <c r="BOU46" s="387"/>
      <c r="BOV46" s="387"/>
      <c r="BOW46" s="387"/>
      <c r="BOX46" s="387"/>
      <c r="BOY46" s="387"/>
      <c r="BOZ46" s="387"/>
      <c r="BPA46" s="387"/>
      <c r="BPB46" s="387"/>
      <c r="BPC46" s="387"/>
      <c r="BPD46" s="387"/>
      <c r="BPE46" s="387"/>
      <c r="BPF46" s="387"/>
      <c r="BPG46" s="387"/>
      <c r="BPH46" s="387"/>
      <c r="BPI46" s="387"/>
      <c r="BPJ46" s="387"/>
      <c r="BPK46" s="387"/>
      <c r="BPL46" s="387"/>
      <c r="BPM46" s="387"/>
      <c r="BPN46" s="387"/>
      <c r="BPO46" s="387"/>
      <c r="BPP46" s="387"/>
      <c r="BPQ46" s="387"/>
      <c r="BPR46" s="387"/>
      <c r="BPS46" s="387"/>
      <c r="BPT46" s="387"/>
      <c r="BPU46" s="387"/>
      <c r="BPV46" s="387"/>
      <c r="BPW46" s="387"/>
      <c r="BPX46" s="387"/>
      <c r="BPY46" s="387"/>
      <c r="BPZ46" s="387"/>
      <c r="BQA46" s="387"/>
      <c r="BQB46" s="387"/>
      <c r="BQC46" s="387"/>
      <c r="BQD46" s="387"/>
      <c r="BQE46" s="387"/>
      <c r="BQF46" s="387"/>
      <c r="BQG46" s="387"/>
      <c r="BQH46" s="387"/>
      <c r="BQI46" s="387"/>
      <c r="BQJ46" s="387"/>
      <c r="BQK46" s="387"/>
      <c r="BQL46" s="387"/>
      <c r="BQM46" s="387"/>
      <c r="BQN46" s="387"/>
      <c r="BQO46" s="387"/>
      <c r="BQP46" s="387"/>
      <c r="BQQ46" s="387"/>
      <c r="BQR46" s="387"/>
      <c r="BQS46" s="387"/>
      <c r="BQT46" s="387"/>
      <c r="BQU46" s="387"/>
      <c r="BQV46" s="387"/>
      <c r="BQW46" s="387"/>
      <c r="BQX46" s="387"/>
      <c r="BQY46" s="387"/>
      <c r="BQZ46" s="387"/>
      <c r="BRA46" s="387"/>
      <c r="BRB46" s="387"/>
      <c r="BRC46" s="387"/>
      <c r="BRD46" s="387"/>
      <c r="BRE46" s="387"/>
      <c r="BRF46" s="387"/>
      <c r="BRG46" s="387"/>
      <c r="BRH46" s="387"/>
      <c r="BRI46" s="387"/>
      <c r="BRJ46" s="387"/>
      <c r="BRK46" s="387"/>
      <c r="BRL46" s="387"/>
      <c r="BRM46" s="387"/>
      <c r="BRN46" s="387"/>
      <c r="BRO46" s="387"/>
      <c r="BRP46" s="387"/>
      <c r="BRQ46" s="387"/>
      <c r="BRR46" s="387"/>
      <c r="BRS46" s="387"/>
      <c r="BRT46" s="387"/>
      <c r="BRU46" s="387"/>
      <c r="BRV46" s="387"/>
      <c r="BRW46" s="387"/>
      <c r="BRX46" s="387"/>
      <c r="BRY46" s="387"/>
      <c r="BRZ46" s="387"/>
      <c r="BSA46" s="387"/>
      <c r="BSB46" s="387"/>
      <c r="BSC46" s="387"/>
      <c r="BSD46" s="387"/>
      <c r="BSE46" s="387"/>
      <c r="BSF46" s="387"/>
      <c r="BSG46" s="387"/>
      <c r="BSH46" s="387"/>
      <c r="BSI46" s="387"/>
      <c r="BSJ46" s="387"/>
      <c r="BSK46" s="387"/>
      <c r="BSL46" s="387"/>
      <c r="BSM46" s="387"/>
      <c r="BSN46" s="387"/>
      <c r="BSO46" s="387"/>
      <c r="BSP46" s="387"/>
      <c r="BSQ46" s="387"/>
      <c r="BSR46" s="387"/>
      <c r="BSS46" s="387"/>
      <c r="BST46" s="387"/>
      <c r="BSU46" s="387"/>
      <c r="BSV46" s="387"/>
      <c r="BSW46" s="387"/>
      <c r="BSX46" s="387"/>
      <c r="BSY46" s="387"/>
      <c r="BSZ46" s="387"/>
      <c r="BTA46" s="387"/>
      <c r="BTB46" s="387"/>
      <c r="BTC46" s="387"/>
      <c r="BTD46" s="387"/>
      <c r="BTE46" s="387"/>
      <c r="BTF46" s="387"/>
      <c r="BTG46" s="387"/>
      <c r="BTH46" s="387"/>
      <c r="BTI46" s="387"/>
    </row>
    <row r="47" spans="1:1881" ht="37.5" customHeight="1" x14ac:dyDescent="0.25">
      <c r="A47" s="186">
        <v>379</v>
      </c>
      <c r="B47" s="63" t="s">
        <v>83</v>
      </c>
      <c r="C47" s="132" t="s">
        <v>177</v>
      </c>
      <c r="D47" s="172" t="s">
        <v>154</v>
      </c>
      <c r="E47" s="683" t="e">
        <f>HLOOKUP('Unit Data from Audit Worksheet'!$D$2,'2019 Data(H)'!$D$1:$BB$202,96,FALSE)</f>
        <v>#N/A</v>
      </c>
      <c r="F47" s="686"/>
      <c r="G47" s="388">
        <f>IF((F44+F45)&gt;F47,"Error: Please review account numbers (506+536)&gt;379",)</f>
        <v>0</v>
      </c>
      <c r="H47" s="14"/>
      <c r="I47" s="31"/>
      <c r="J47" s="362"/>
      <c r="L47" s="674" t="s">
        <v>951</v>
      </c>
      <c r="M47" s="576"/>
      <c r="N47" s="594"/>
      <c r="S47" s="682"/>
      <c r="X47" s="682"/>
    </row>
    <row r="48" spans="1:1881" ht="93" customHeight="1" x14ac:dyDescent="0.25">
      <c r="A48" s="186">
        <v>368</v>
      </c>
      <c r="B48" s="63" t="s">
        <v>92</v>
      </c>
      <c r="C48" s="132" t="s">
        <v>177</v>
      </c>
      <c r="D48" s="163" t="s">
        <v>541</v>
      </c>
      <c r="E48" s="683" t="e">
        <f>HLOOKUP('Unit Data from Audit Worksheet'!$D$2,'2019 Data(H)'!$D$1:$BB$202,87,FALSE)</f>
        <v>#N/A</v>
      </c>
      <c r="F48" s="686"/>
      <c r="G48" s="388">
        <f t="shared" ref="G48:G53" si="1">IF(F48&lt;0,"Error: Enter as positive.",)</f>
        <v>0</v>
      </c>
      <c r="H48" s="14"/>
      <c r="I48" s="147"/>
      <c r="J48" s="362"/>
      <c r="L48" s="674" t="s">
        <v>952</v>
      </c>
      <c r="M48" s="576"/>
      <c r="N48" s="594"/>
      <c r="S48" s="682"/>
      <c r="X48" s="682"/>
    </row>
    <row r="49" spans="1:1881" ht="99.75" customHeight="1" x14ac:dyDescent="0.25">
      <c r="A49" s="398">
        <v>4</v>
      </c>
      <c r="B49" s="63" t="s">
        <v>78</v>
      </c>
      <c r="C49" s="132" t="s">
        <v>177</v>
      </c>
      <c r="D49" s="451" t="s">
        <v>726</v>
      </c>
      <c r="E49" s="683" t="e">
        <f>HLOOKUP('Unit Data from Audit Worksheet'!$D$2,'2019 Data(H)'!$D$1:$BB$202,3,FALSE)</f>
        <v>#N/A</v>
      </c>
      <c r="F49" s="686"/>
      <c r="G49" s="388">
        <f t="shared" si="1"/>
        <v>0</v>
      </c>
      <c r="H49" s="14"/>
      <c r="I49" s="31"/>
      <c r="J49" s="362"/>
      <c r="L49" s="674" t="s">
        <v>953</v>
      </c>
      <c r="M49" s="576"/>
      <c r="N49" s="594"/>
      <c r="S49" s="682"/>
      <c r="X49" s="682"/>
    </row>
    <row r="50" spans="1:1881" ht="117.75" customHeight="1" x14ac:dyDescent="0.25">
      <c r="A50" s="186">
        <v>5</v>
      </c>
      <c r="B50" s="63" t="s">
        <v>78</v>
      </c>
      <c r="C50" s="132" t="s">
        <v>177</v>
      </c>
      <c r="D50" s="122" t="s">
        <v>184</v>
      </c>
      <c r="E50" s="683" t="e">
        <f>HLOOKUP('Unit Data from Audit Worksheet'!$D$2,'2019 Data(H)'!$D$1:$BB$202,4,FALSE)</f>
        <v>#N/A</v>
      </c>
      <c r="F50" s="686"/>
      <c r="G50" s="388">
        <f t="shared" si="1"/>
        <v>0</v>
      </c>
      <c r="H50" s="14"/>
      <c r="I50" s="31"/>
      <c r="J50" s="362"/>
      <c r="L50" s="674" t="s">
        <v>954</v>
      </c>
      <c r="M50" s="576"/>
      <c r="N50" s="594"/>
      <c r="S50" s="682"/>
      <c r="X50" s="682"/>
    </row>
    <row r="51" spans="1:1881" ht="93.75" customHeight="1" x14ac:dyDescent="0.25">
      <c r="A51" s="186">
        <v>380</v>
      </c>
      <c r="B51" s="63" t="s">
        <v>83</v>
      </c>
      <c r="C51" s="132" t="s">
        <v>177</v>
      </c>
      <c r="D51" s="122" t="s">
        <v>185</v>
      </c>
      <c r="E51" s="683" t="e">
        <f>HLOOKUP('Unit Data from Audit Worksheet'!$D$2,'2019 Data(H)'!$D$1:$BB$202,97,FALSE)</f>
        <v>#N/A</v>
      </c>
      <c r="F51" s="686"/>
      <c r="G51" s="388">
        <f t="shared" si="1"/>
        <v>0</v>
      </c>
      <c r="H51" s="14"/>
      <c r="I51" s="31"/>
      <c r="J51" s="362"/>
      <c r="L51" s="674" t="s">
        <v>955</v>
      </c>
      <c r="M51" s="576"/>
      <c r="N51" s="594"/>
      <c r="S51" s="682"/>
      <c r="X51" s="682"/>
    </row>
    <row r="52" spans="1:1881" ht="48.75" customHeight="1" x14ac:dyDescent="0.25">
      <c r="A52" s="186">
        <v>391</v>
      </c>
      <c r="B52" s="63" t="s">
        <v>92</v>
      </c>
      <c r="C52" s="132" t="s">
        <v>177</v>
      </c>
      <c r="D52" s="173" t="s">
        <v>175</v>
      </c>
      <c r="E52" s="683" t="e">
        <f>HLOOKUP('Unit Data from Audit Worksheet'!$D$2,'2019 Data(H)'!$D$1:$BB$202,107,FALSE)</f>
        <v>#N/A</v>
      </c>
      <c r="F52" s="686"/>
      <c r="G52" s="388">
        <f t="shared" si="1"/>
        <v>0</v>
      </c>
      <c r="H52" s="14"/>
      <c r="I52" s="31"/>
      <c r="J52" s="362"/>
      <c r="L52" s="674" t="s">
        <v>956</v>
      </c>
      <c r="M52" s="576"/>
      <c r="N52" s="594"/>
      <c r="S52" s="682"/>
      <c r="X52" s="682"/>
    </row>
    <row r="53" spans="1:1881" ht="51.75" customHeight="1" x14ac:dyDescent="0.25">
      <c r="A53" s="186">
        <v>7</v>
      </c>
      <c r="B53" s="63" t="s">
        <v>92</v>
      </c>
      <c r="C53" s="132" t="s">
        <v>177</v>
      </c>
      <c r="D53" s="173" t="s">
        <v>176</v>
      </c>
      <c r="E53" s="683" t="e">
        <f>HLOOKUP('Unit Data from Audit Worksheet'!$D$2,'2019 Data(H)'!$D$1:$BB$202,6,FALSE)</f>
        <v>#N/A</v>
      </c>
      <c r="F53" s="686"/>
      <c r="G53" s="388">
        <f t="shared" si="1"/>
        <v>0</v>
      </c>
      <c r="H53" s="14"/>
      <c r="I53" s="31"/>
      <c r="J53" s="362"/>
      <c r="L53" s="674" t="s">
        <v>957</v>
      </c>
      <c r="M53" s="576"/>
      <c r="N53" s="594"/>
      <c r="S53" s="682"/>
      <c r="X53" s="682"/>
    </row>
    <row r="54" spans="1:1881" s="372" customFormat="1" ht="78.75" customHeight="1" x14ac:dyDescent="0.25">
      <c r="A54" s="726">
        <v>645</v>
      </c>
      <c r="B54" s="727" t="s">
        <v>674</v>
      </c>
      <c r="C54" s="728" t="s">
        <v>177</v>
      </c>
      <c r="D54" s="729" t="s">
        <v>723</v>
      </c>
      <c r="E54" s="730" t="s">
        <v>676</v>
      </c>
      <c r="F54" s="686"/>
      <c r="G54" s="388">
        <f>IF(F54&lt;0,"Note: Number is normally positive.",)</f>
        <v>0</v>
      </c>
      <c r="H54" s="147"/>
      <c r="I54" s="292"/>
      <c r="J54" s="362"/>
      <c r="K54" s="387"/>
      <c r="L54" s="674" t="s">
        <v>959</v>
      </c>
      <c r="M54" s="576"/>
      <c r="N54" s="594"/>
      <c r="O54" s="387"/>
      <c r="P54" s="387"/>
      <c r="Q54" s="387"/>
      <c r="R54"/>
      <c r="S54" s="682"/>
      <c r="T54" s="387"/>
      <c r="U54" s="387"/>
      <c r="V54" s="387"/>
      <c r="W54" s="387"/>
      <c r="X54" s="682"/>
      <c r="Y54" s="387"/>
      <c r="Z54" s="387"/>
      <c r="AA54" s="387"/>
      <c r="AB54" s="387"/>
      <c r="AC54" s="387"/>
      <c r="AD54" s="387"/>
      <c r="AE54" s="387"/>
      <c r="AF54" s="387"/>
      <c r="AG54" s="387"/>
      <c r="AH54" s="387"/>
      <c r="AI54" s="387"/>
      <c r="AJ54" s="387"/>
      <c r="AK54" s="387"/>
      <c r="AL54" s="387"/>
      <c r="AM54" s="387"/>
      <c r="AN54" s="387"/>
      <c r="AO54" s="387"/>
      <c r="AP54" s="387"/>
      <c r="AQ54" s="387"/>
      <c r="AR54" s="387"/>
      <c r="AS54" s="387"/>
      <c r="AT54" s="387"/>
      <c r="AU54" s="387"/>
      <c r="AV54" s="387"/>
      <c r="AW54" s="387"/>
      <c r="AX54" s="387"/>
      <c r="AY54" s="387"/>
      <c r="AZ54" s="387"/>
      <c r="BA54" s="387"/>
      <c r="BB54" s="387"/>
      <c r="BC54" s="387"/>
      <c r="BD54" s="387"/>
      <c r="BE54" s="387"/>
      <c r="BF54" s="387"/>
      <c r="BG54" s="387"/>
      <c r="BH54" s="387"/>
      <c r="BI54" s="387"/>
      <c r="BJ54" s="387"/>
      <c r="BK54" s="387"/>
      <c r="BL54" s="387"/>
      <c r="BM54" s="387"/>
      <c r="BN54" s="387"/>
      <c r="BO54" s="387"/>
      <c r="BP54" s="387"/>
      <c r="BQ54" s="387"/>
      <c r="BR54" s="387"/>
      <c r="BS54" s="387"/>
      <c r="BT54" s="387"/>
      <c r="BU54" s="387"/>
      <c r="BV54" s="387"/>
      <c r="BW54" s="387"/>
      <c r="BX54" s="387"/>
      <c r="BY54" s="387"/>
      <c r="BZ54" s="387"/>
      <c r="CA54" s="387"/>
      <c r="CB54" s="387"/>
      <c r="CC54" s="387"/>
      <c r="CD54" s="387"/>
      <c r="CE54" s="387"/>
      <c r="CF54" s="387"/>
      <c r="CG54" s="387"/>
      <c r="CH54" s="387"/>
      <c r="CI54" s="387"/>
      <c r="CJ54" s="387"/>
      <c r="CK54" s="387"/>
      <c r="CL54" s="387"/>
      <c r="CM54" s="387"/>
      <c r="CN54" s="387"/>
      <c r="CO54" s="387"/>
      <c r="CP54" s="387"/>
      <c r="CQ54" s="387"/>
      <c r="CR54" s="387"/>
      <c r="CS54" s="387"/>
      <c r="CT54" s="387"/>
      <c r="CU54" s="387"/>
      <c r="CV54" s="387"/>
      <c r="CW54" s="387"/>
      <c r="CX54" s="387"/>
      <c r="CY54" s="387"/>
      <c r="CZ54" s="387"/>
      <c r="DA54" s="387"/>
      <c r="DB54" s="387"/>
      <c r="DC54" s="387"/>
      <c r="DD54" s="387"/>
      <c r="DE54" s="387"/>
      <c r="DF54" s="387"/>
      <c r="DG54" s="387"/>
      <c r="DH54" s="387"/>
      <c r="DI54" s="387"/>
      <c r="DJ54" s="387"/>
      <c r="DK54" s="387"/>
      <c r="DL54" s="387"/>
      <c r="DM54" s="387"/>
      <c r="DN54" s="387"/>
      <c r="DO54" s="387"/>
      <c r="DP54" s="387"/>
      <c r="DQ54" s="387"/>
      <c r="DR54" s="387"/>
      <c r="DS54" s="387"/>
      <c r="DT54" s="387"/>
      <c r="DU54" s="387"/>
      <c r="DV54" s="387"/>
      <c r="DW54" s="387"/>
      <c r="DX54" s="387"/>
      <c r="DY54" s="387"/>
      <c r="DZ54" s="387"/>
      <c r="EA54" s="387"/>
      <c r="EB54" s="387"/>
      <c r="EC54" s="387"/>
      <c r="ED54" s="387"/>
      <c r="EE54" s="387"/>
      <c r="EF54" s="387"/>
      <c r="EG54" s="387"/>
      <c r="EH54" s="387"/>
      <c r="EI54" s="387"/>
      <c r="EJ54" s="387"/>
      <c r="EK54" s="387"/>
      <c r="EL54" s="387"/>
      <c r="EM54" s="387"/>
      <c r="EN54" s="387"/>
      <c r="EO54" s="387"/>
      <c r="EP54" s="387"/>
      <c r="EQ54" s="387"/>
      <c r="ER54" s="387"/>
      <c r="ES54" s="387"/>
      <c r="ET54" s="387"/>
      <c r="EU54" s="387"/>
      <c r="EV54" s="387"/>
      <c r="EW54" s="387"/>
      <c r="EX54" s="387"/>
      <c r="EY54" s="387"/>
      <c r="EZ54" s="387"/>
      <c r="FA54" s="387"/>
      <c r="FB54" s="387"/>
      <c r="FC54" s="387"/>
      <c r="FD54" s="387"/>
      <c r="FE54" s="387"/>
      <c r="FF54" s="387"/>
      <c r="FG54" s="387"/>
      <c r="FH54" s="387"/>
      <c r="FI54" s="387"/>
      <c r="FJ54" s="387"/>
      <c r="FK54" s="387"/>
      <c r="FL54" s="387"/>
      <c r="FM54" s="387"/>
      <c r="FN54" s="387"/>
      <c r="FO54" s="387"/>
      <c r="FP54" s="387"/>
      <c r="FQ54" s="387"/>
      <c r="FR54" s="387"/>
      <c r="FS54" s="387"/>
      <c r="FT54" s="387"/>
      <c r="FU54" s="387"/>
      <c r="FV54" s="387"/>
      <c r="FW54" s="387"/>
      <c r="FX54" s="387"/>
      <c r="FY54" s="387"/>
      <c r="FZ54" s="387"/>
      <c r="GA54" s="387"/>
      <c r="GB54" s="387"/>
      <c r="GC54" s="387"/>
      <c r="GD54" s="387"/>
      <c r="GE54" s="387"/>
      <c r="GF54" s="387"/>
      <c r="GG54" s="387"/>
      <c r="GH54" s="387"/>
      <c r="GI54" s="387"/>
      <c r="GJ54" s="387"/>
      <c r="GK54" s="387"/>
      <c r="GL54" s="387"/>
      <c r="GM54" s="387"/>
      <c r="GN54" s="387"/>
      <c r="GO54" s="387"/>
      <c r="GP54" s="387"/>
      <c r="GQ54" s="387"/>
      <c r="GR54" s="387"/>
      <c r="GS54" s="387"/>
      <c r="GT54" s="387"/>
      <c r="GU54" s="387"/>
      <c r="GV54" s="387"/>
      <c r="GW54" s="387"/>
      <c r="GX54" s="387"/>
      <c r="GY54" s="387"/>
      <c r="GZ54" s="387"/>
      <c r="HA54" s="387"/>
      <c r="HB54" s="387"/>
      <c r="HC54" s="387"/>
      <c r="HD54" s="387"/>
      <c r="HE54" s="387"/>
      <c r="HF54" s="387"/>
      <c r="HG54" s="387"/>
      <c r="HH54" s="387"/>
      <c r="HI54" s="387"/>
      <c r="HJ54" s="387"/>
      <c r="HK54" s="387"/>
      <c r="HL54" s="387"/>
      <c r="HM54" s="387"/>
      <c r="HN54" s="387"/>
      <c r="HO54" s="387"/>
      <c r="HP54" s="387"/>
      <c r="HQ54" s="387"/>
      <c r="HR54" s="387"/>
      <c r="HS54" s="387"/>
      <c r="HT54" s="387"/>
      <c r="HU54" s="387"/>
      <c r="HV54" s="387"/>
      <c r="HW54" s="387"/>
      <c r="HX54" s="387"/>
      <c r="HY54" s="387"/>
      <c r="HZ54" s="387"/>
      <c r="IA54" s="387"/>
      <c r="IB54" s="387"/>
      <c r="IC54" s="387"/>
      <c r="ID54" s="387"/>
      <c r="IE54" s="387"/>
      <c r="IF54" s="387"/>
      <c r="IG54" s="387"/>
      <c r="IH54" s="387"/>
      <c r="II54" s="387"/>
      <c r="IJ54" s="387"/>
      <c r="IK54" s="387"/>
      <c r="IL54" s="387"/>
      <c r="IM54" s="387"/>
      <c r="IN54" s="387"/>
      <c r="IO54" s="387"/>
      <c r="IP54" s="387"/>
      <c r="IQ54" s="387"/>
      <c r="IR54" s="387"/>
      <c r="IS54" s="387"/>
      <c r="IT54" s="387"/>
      <c r="IU54" s="387"/>
      <c r="IV54" s="387"/>
      <c r="IW54" s="387"/>
      <c r="IX54" s="387"/>
      <c r="IY54" s="387"/>
      <c r="IZ54" s="387"/>
      <c r="JA54" s="387"/>
      <c r="JB54" s="387"/>
      <c r="JC54" s="387"/>
      <c r="JD54" s="387"/>
      <c r="JE54" s="387"/>
      <c r="JF54" s="387"/>
      <c r="JG54" s="387"/>
      <c r="JH54" s="387"/>
      <c r="JI54" s="387"/>
      <c r="JJ54" s="387"/>
      <c r="JK54" s="387"/>
      <c r="JL54" s="387"/>
      <c r="JM54" s="387"/>
      <c r="JN54" s="387"/>
      <c r="JO54" s="387"/>
      <c r="JP54" s="387"/>
      <c r="JQ54" s="387"/>
      <c r="JR54" s="387"/>
      <c r="JS54" s="387"/>
      <c r="JT54" s="387"/>
      <c r="JU54" s="387"/>
      <c r="JV54" s="387"/>
      <c r="JW54" s="387"/>
      <c r="JX54" s="387"/>
      <c r="JY54" s="387"/>
      <c r="JZ54" s="387"/>
      <c r="KA54" s="387"/>
      <c r="KB54" s="387"/>
      <c r="KC54" s="387"/>
      <c r="KD54" s="387"/>
      <c r="KE54" s="387"/>
      <c r="KF54" s="387"/>
      <c r="KG54" s="387"/>
      <c r="KH54" s="387"/>
      <c r="KI54" s="387"/>
      <c r="KJ54" s="387"/>
      <c r="KK54" s="387"/>
      <c r="KL54" s="387"/>
      <c r="KM54" s="387"/>
      <c r="KN54" s="387"/>
      <c r="KO54" s="387"/>
      <c r="KP54" s="387"/>
      <c r="KQ54" s="387"/>
      <c r="KR54" s="387"/>
      <c r="KS54" s="387"/>
      <c r="KT54" s="387"/>
      <c r="KU54" s="387"/>
      <c r="KV54" s="387"/>
      <c r="KW54" s="387"/>
      <c r="KX54" s="387"/>
      <c r="KY54" s="387"/>
      <c r="KZ54" s="387"/>
      <c r="LA54" s="387"/>
      <c r="LB54" s="387"/>
      <c r="LC54" s="387"/>
      <c r="LD54" s="387"/>
      <c r="LE54" s="387"/>
      <c r="LF54" s="387"/>
      <c r="LG54" s="387"/>
      <c r="LH54" s="387"/>
      <c r="LI54" s="387"/>
      <c r="LJ54" s="387"/>
      <c r="LK54" s="387"/>
      <c r="LL54" s="387"/>
      <c r="LM54" s="387"/>
      <c r="LN54" s="387"/>
      <c r="LO54" s="387"/>
      <c r="LP54" s="387"/>
      <c r="LQ54" s="387"/>
      <c r="LR54" s="387"/>
      <c r="LS54" s="387"/>
      <c r="LT54" s="387"/>
      <c r="LU54" s="387"/>
      <c r="LV54" s="387"/>
      <c r="LW54" s="387"/>
      <c r="LX54" s="387"/>
      <c r="LY54" s="387"/>
      <c r="LZ54" s="387"/>
      <c r="MA54" s="387"/>
      <c r="MB54" s="387"/>
      <c r="MC54" s="387"/>
      <c r="MD54" s="387"/>
      <c r="ME54" s="387"/>
      <c r="MF54" s="387"/>
      <c r="MG54" s="387"/>
      <c r="MH54" s="387"/>
      <c r="MI54" s="387"/>
      <c r="MJ54" s="387"/>
      <c r="MK54" s="387"/>
      <c r="ML54" s="387"/>
      <c r="MM54" s="387"/>
      <c r="MN54" s="387"/>
      <c r="MO54" s="387"/>
      <c r="MP54" s="387"/>
      <c r="MQ54" s="387"/>
      <c r="MR54" s="387"/>
      <c r="MS54" s="387"/>
      <c r="MT54" s="387"/>
      <c r="MU54" s="387"/>
      <c r="MV54" s="387"/>
      <c r="MW54" s="387"/>
      <c r="MX54" s="387"/>
      <c r="MY54" s="387"/>
      <c r="MZ54" s="387"/>
      <c r="NA54" s="387"/>
      <c r="NB54" s="387"/>
      <c r="NC54" s="387"/>
      <c r="ND54" s="387"/>
      <c r="NE54" s="387"/>
      <c r="NF54" s="387"/>
      <c r="NG54" s="387"/>
      <c r="NH54" s="387"/>
      <c r="NI54" s="387"/>
      <c r="NJ54" s="387"/>
      <c r="NK54" s="387"/>
      <c r="NL54" s="387"/>
      <c r="NM54" s="387"/>
      <c r="NN54" s="387"/>
      <c r="NO54" s="387"/>
      <c r="NP54" s="387"/>
      <c r="NQ54" s="387"/>
      <c r="NR54" s="387"/>
      <c r="NS54" s="387"/>
      <c r="NT54" s="387"/>
      <c r="NU54" s="387"/>
      <c r="NV54" s="387"/>
      <c r="NW54" s="387"/>
      <c r="NX54" s="387"/>
      <c r="NY54" s="387"/>
      <c r="NZ54" s="387"/>
      <c r="OA54" s="387"/>
      <c r="OB54" s="387"/>
      <c r="OC54" s="387"/>
      <c r="OD54" s="387"/>
      <c r="OE54" s="387"/>
      <c r="OF54" s="387"/>
      <c r="OG54" s="387"/>
      <c r="OH54" s="387"/>
      <c r="OI54" s="387"/>
      <c r="OJ54" s="387"/>
      <c r="OK54" s="387"/>
      <c r="OL54" s="387"/>
      <c r="OM54" s="387"/>
      <c r="ON54" s="387"/>
      <c r="OO54" s="387"/>
      <c r="OP54" s="387"/>
      <c r="OQ54" s="387"/>
      <c r="OR54" s="387"/>
      <c r="OS54" s="387"/>
      <c r="OT54" s="387"/>
      <c r="OU54" s="387"/>
      <c r="OV54" s="387"/>
      <c r="OW54" s="387"/>
      <c r="OX54" s="387"/>
      <c r="OY54" s="387"/>
      <c r="OZ54" s="387"/>
      <c r="PA54" s="387"/>
      <c r="PB54" s="387"/>
      <c r="PC54" s="387"/>
      <c r="PD54" s="387"/>
      <c r="PE54" s="387"/>
      <c r="PF54" s="387"/>
      <c r="PG54" s="387"/>
      <c r="PH54" s="387"/>
      <c r="PI54" s="387"/>
      <c r="PJ54" s="387"/>
      <c r="PK54" s="387"/>
      <c r="PL54" s="387"/>
      <c r="PM54" s="387"/>
      <c r="PN54" s="387"/>
      <c r="PO54" s="387"/>
      <c r="PP54" s="387"/>
      <c r="PQ54" s="387"/>
      <c r="PR54" s="387"/>
      <c r="PS54" s="387"/>
      <c r="PT54" s="387"/>
      <c r="PU54" s="387"/>
      <c r="PV54" s="387"/>
      <c r="PW54" s="387"/>
      <c r="PX54" s="387"/>
      <c r="PY54" s="387"/>
      <c r="PZ54" s="387"/>
      <c r="QA54" s="387"/>
      <c r="QB54" s="387"/>
      <c r="QC54" s="387"/>
      <c r="QD54" s="387"/>
      <c r="QE54" s="387"/>
      <c r="QF54" s="387"/>
      <c r="QG54" s="387"/>
      <c r="QH54" s="387"/>
      <c r="QI54" s="387"/>
      <c r="QJ54" s="387"/>
      <c r="QK54" s="387"/>
      <c r="QL54" s="387"/>
      <c r="QM54" s="387"/>
      <c r="QN54" s="387"/>
      <c r="QO54" s="387"/>
      <c r="QP54" s="387"/>
      <c r="QQ54" s="387"/>
      <c r="QR54" s="387"/>
      <c r="QS54" s="387"/>
      <c r="QT54" s="387"/>
      <c r="QU54" s="387"/>
      <c r="QV54" s="387"/>
      <c r="QW54" s="387"/>
      <c r="QX54" s="387"/>
      <c r="QY54" s="387"/>
      <c r="QZ54" s="387"/>
      <c r="RA54" s="387"/>
      <c r="RB54" s="387"/>
      <c r="RC54" s="387"/>
      <c r="RD54" s="387"/>
      <c r="RE54" s="387"/>
      <c r="RF54" s="387"/>
      <c r="RG54" s="387"/>
      <c r="RH54" s="387"/>
      <c r="RI54" s="387"/>
      <c r="RJ54" s="387"/>
      <c r="RK54" s="387"/>
      <c r="RL54" s="387"/>
      <c r="RM54" s="387"/>
      <c r="RN54" s="387"/>
      <c r="RO54" s="387"/>
      <c r="RP54" s="387"/>
      <c r="RQ54" s="387"/>
      <c r="RR54" s="387"/>
      <c r="RS54" s="387"/>
      <c r="RT54" s="387"/>
      <c r="RU54" s="387"/>
      <c r="RV54" s="387"/>
      <c r="RW54" s="387"/>
      <c r="RX54" s="387"/>
      <c r="RY54" s="387"/>
      <c r="RZ54" s="387"/>
      <c r="SA54" s="387"/>
      <c r="SB54" s="387"/>
      <c r="SC54" s="387"/>
      <c r="SD54" s="387"/>
      <c r="SE54" s="387"/>
      <c r="SF54" s="387"/>
      <c r="SG54" s="387"/>
      <c r="SH54" s="387"/>
      <c r="SI54" s="387"/>
      <c r="SJ54" s="387"/>
      <c r="SK54" s="387"/>
      <c r="SL54" s="387"/>
      <c r="SM54" s="387"/>
      <c r="SN54" s="387"/>
      <c r="SO54" s="387"/>
      <c r="SP54" s="387"/>
      <c r="SQ54" s="387"/>
      <c r="SR54" s="387"/>
      <c r="SS54" s="387"/>
      <c r="ST54" s="387"/>
      <c r="SU54" s="387"/>
      <c r="SV54" s="387"/>
      <c r="SW54" s="387"/>
      <c r="SX54" s="387"/>
      <c r="SY54" s="387"/>
      <c r="SZ54" s="387"/>
      <c r="TA54" s="387"/>
      <c r="TB54" s="387"/>
      <c r="TC54" s="387"/>
      <c r="TD54" s="387"/>
      <c r="TE54" s="387"/>
      <c r="TF54" s="387"/>
      <c r="TG54" s="387"/>
      <c r="TH54" s="387"/>
      <c r="TI54" s="387"/>
      <c r="TJ54" s="387"/>
      <c r="TK54" s="387"/>
      <c r="TL54" s="387"/>
      <c r="TM54" s="387"/>
      <c r="TN54" s="387"/>
      <c r="TO54" s="387"/>
      <c r="TP54" s="387"/>
      <c r="TQ54" s="387"/>
      <c r="TR54" s="387"/>
      <c r="TS54" s="387"/>
      <c r="TT54" s="387"/>
      <c r="TU54" s="387"/>
      <c r="TV54" s="387"/>
      <c r="TW54" s="387"/>
      <c r="TX54" s="387"/>
      <c r="TY54" s="387"/>
      <c r="TZ54" s="387"/>
      <c r="UA54" s="387"/>
      <c r="UB54" s="387"/>
      <c r="UC54" s="387"/>
      <c r="UD54" s="387"/>
      <c r="UE54" s="387"/>
      <c r="UF54" s="387"/>
      <c r="UG54" s="387"/>
      <c r="UH54" s="387"/>
      <c r="UI54" s="387"/>
      <c r="UJ54" s="387"/>
      <c r="UK54" s="387"/>
      <c r="UL54" s="387"/>
      <c r="UM54" s="387"/>
      <c r="UN54" s="387"/>
      <c r="UO54" s="387"/>
      <c r="UP54" s="387"/>
      <c r="UQ54" s="387"/>
      <c r="UR54" s="387"/>
      <c r="US54" s="387"/>
      <c r="UT54" s="387"/>
      <c r="UU54" s="387"/>
      <c r="UV54" s="387"/>
      <c r="UW54" s="387"/>
      <c r="UX54" s="387"/>
      <c r="UY54" s="387"/>
      <c r="UZ54" s="387"/>
      <c r="VA54" s="387"/>
      <c r="VB54" s="387"/>
      <c r="VC54" s="387"/>
      <c r="VD54" s="387"/>
      <c r="VE54" s="387"/>
      <c r="VF54" s="387"/>
      <c r="VG54" s="387"/>
      <c r="VH54" s="387"/>
      <c r="VI54" s="387"/>
      <c r="VJ54" s="387"/>
      <c r="VK54" s="387"/>
      <c r="VL54" s="387"/>
      <c r="VM54" s="387"/>
      <c r="VN54" s="387"/>
      <c r="VO54" s="387"/>
      <c r="VP54" s="387"/>
      <c r="VQ54" s="387"/>
      <c r="VR54" s="387"/>
      <c r="VS54" s="387"/>
      <c r="VT54" s="387"/>
      <c r="VU54" s="387"/>
      <c r="VV54" s="387"/>
      <c r="VW54" s="387"/>
      <c r="VX54" s="387"/>
      <c r="VY54" s="387"/>
      <c r="VZ54" s="387"/>
      <c r="WA54" s="387"/>
      <c r="WB54" s="387"/>
      <c r="WC54" s="387"/>
      <c r="WD54" s="387"/>
      <c r="WE54" s="387"/>
      <c r="WF54" s="387"/>
      <c r="WG54" s="387"/>
      <c r="WH54" s="387"/>
      <c r="WI54" s="387"/>
      <c r="WJ54" s="387"/>
      <c r="WK54" s="387"/>
      <c r="WL54" s="387"/>
      <c r="WM54" s="387"/>
      <c r="WN54" s="387"/>
      <c r="WO54" s="387"/>
      <c r="WP54" s="387"/>
      <c r="WQ54" s="387"/>
      <c r="WR54" s="387"/>
      <c r="WS54" s="387"/>
      <c r="WT54" s="387"/>
      <c r="WU54" s="387"/>
      <c r="WV54" s="387"/>
      <c r="WW54" s="387"/>
      <c r="WX54" s="387"/>
      <c r="WY54" s="387"/>
      <c r="WZ54" s="387"/>
      <c r="XA54" s="387"/>
      <c r="XB54" s="387"/>
      <c r="XC54" s="387"/>
      <c r="XD54" s="387"/>
      <c r="XE54" s="387"/>
      <c r="XF54" s="387"/>
      <c r="XG54" s="387"/>
      <c r="XH54" s="387"/>
      <c r="XI54" s="387"/>
      <c r="XJ54" s="387"/>
      <c r="XK54" s="387"/>
      <c r="XL54" s="387"/>
      <c r="XM54" s="387"/>
      <c r="XN54" s="387"/>
      <c r="XO54" s="387"/>
      <c r="XP54" s="387"/>
      <c r="XQ54" s="387"/>
      <c r="XR54" s="387"/>
      <c r="XS54" s="387"/>
      <c r="XT54" s="387"/>
      <c r="XU54" s="387"/>
      <c r="XV54" s="387"/>
      <c r="XW54" s="387"/>
      <c r="XX54" s="387"/>
      <c r="XY54" s="387"/>
      <c r="XZ54" s="387"/>
      <c r="YA54" s="387"/>
      <c r="YB54" s="387"/>
      <c r="YC54" s="387"/>
      <c r="YD54" s="387"/>
      <c r="YE54" s="387"/>
      <c r="YF54" s="387"/>
      <c r="YG54" s="387"/>
      <c r="YH54" s="387"/>
      <c r="YI54" s="387"/>
      <c r="YJ54" s="387"/>
      <c r="YK54" s="387"/>
      <c r="YL54" s="387"/>
      <c r="YM54" s="387"/>
      <c r="YN54" s="387"/>
      <c r="YO54" s="387"/>
      <c r="YP54" s="387"/>
      <c r="YQ54" s="387"/>
      <c r="YR54" s="387"/>
      <c r="YS54" s="387"/>
      <c r="YT54" s="387"/>
      <c r="YU54" s="387"/>
      <c r="YV54" s="387"/>
      <c r="YW54" s="387"/>
      <c r="YX54" s="387"/>
      <c r="YY54" s="387"/>
      <c r="YZ54" s="387"/>
      <c r="ZA54" s="387"/>
      <c r="ZB54" s="387"/>
      <c r="ZC54" s="387"/>
      <c r="ZD54" s="387"/>
      <c r="ZE54" s="387"/>
      <c r="ZF54" s="387"/>
      <c r="ZG54" s="387"/>
      <c r="ZH54" s="387"/>
      <c r="ZI54" s="387"/>
      <c r="ZJ54" s="387"/>
      <c r="ZK54" s="387"/>
      <c r="ZL54" s="387"/>
      <c r="ZM54" s="387"/>
      <c r="ZN54" s="387"/>
      <c r="ZO54" s="387"/>
      <c r="ZP54" s="387"/>
      <c r="ZQ54" s="387"/>
      <c r="ZR54" s="387"/>
      <c r="ZS54" s="387"/>
      <c r="ZT54" s="387"/>
      <c r="ZU54" s="387"/>
      <c r="ZV54" s="387"/>
      <c r="ZW54" s="387"/>
      <c r="ZX54" s="387"/>
      <c r="ZY54" s="387"/>
      <c r="ZZ54" s="387"/>
      <c r="AAA54" s="387"/>
      <c r="AAB54" s="387"/>
      <c r="AAC54" s="387"/>
      <c r="AAD54" s="387"/>
      <c r="AAE54" s="387"/>
      <c r="AAF54" s="387"/>
      <c r="AAG54" s="387"/>
      <c r="AAH54" s="387"/>
      <c r="AAI54" s="387"/>
      <c r="AAJ54" s="387"/>
      <c r="AAK54" s="387"/>
      <c r="AAL54" s="387"/>
      <c r="AAM54" s="387"/>
      <c r="AAN54" s="387"/>
      <c r="AAO54" s="387"/>
      <c r="AAP54" s="387"/>
      <c r="AAQ54" s="387"/>
      <c r="AAR54" s="387"/>
      <c r="AAS54" s="387"/>
      <c r="AAT54" s="387"/>
      <c r="AAU54" s="387"/>
      <c r="AAV54" s="387"/>
      <c r="AAW54" s="387"/>
      <c r="AAX54" s="387"/>
      <c r="AAY54" s="387"/>
      <c r="AAZ54" s="387"/>
      <c r="ABA54" s="387"/>
      <c r="ABB54" s="387"/>
      <c r="ABC54" s="387"/>
      <c r="ABD54" s="387"/>
      <c r="ABE54" s="387"/>
      <c r="ABF54" s="387"/>
      <c r="ABG54" s="387"/>
      <c r="ABH54" s="387"/>
      <c r="ABI54" s="387"/>
      <c r="ABJ54" s="387"/>
      <c r="ABK54" s="387"/>
      <c r="ABL54" s="387"/>
      <c r="ABM54" s="387"/>
      <c r="ABN54" s="387"/>
      <c r="ABO54" s="387"/>
      <c r="ABP54" s="387"/>
      <c r="ABQ54" s="387"/>
      <c r="ABR54" s="387"/>
      <c r="ABS54" s="387"/>
      <c r="ABT54" s="387"/>
      <c r="ABU54" s="387"/>
      <c r="ABV54" s="387"/>
      <c r="ABW54" s="387"/>
      <c r="ABX54" s="387"/>
      <c r="ABY54" s="387"/>
      <c r="ABZ54" s="387"/>
      <c r="ACA54" s="387"/>
      <c r="ACB54" s="387"/>
      <c r="ACC54" s="387"/>
      <c r="ACD54" s="387"/>
      <c r="ACE54" s="387"/>
      <c r="ACF54" s="387"/>
      <c r="ACG54" s="387"/>
      <c r="ACH54" s="387"/>
      <c r="ACI54" s="387"/>
      <c r="ACJ54" s="387"/>
      <c r="ACK54" s="387"/>
      <c r="ACL54" s="387"/>
      <c r="ACM54" s="387"/>
      <c r="ACN54" s="387"/>
      <c r="ACO54" s="387"/>
      <c r="ACP54" s="387"/>
      <c r="ACQ54" s="387"/>
      <c r="ACR54" s="387"/>
      <c r="ACS54" s="387"/>
      <c r="ACT54" s="387"/>
      <c r="ACU54" s="387"/>
      <c r="ACV54" s="387"/>
      <c r="ACW54" s="387"/>
      <c r="ACX54" s="387"/>
      <c r="ACY54" s="387"/>
      <c r="ACZ54" s="387"/>
      <c r="ADA54" s="387"/>
      <c r="ADB54" s="387"/>
      <c r="ADC54" s="387"/>
      <c r="ADD54" s="387"/>
      <c r="ADE54" s="387"/>
      <c r="ADF54" s="387"/>
      <c r="ADG54" s="387"/>
      <c r="ADH54" s="387"/>
      <c r="ADI54" s="387"/>
      <c r="ADJ54" s="387"/>
      <c r="ADK54" s="387"/>
      <c r="ADL54" s="387"/>
      <c r="ADM54" s="387"/>
      <c r="ADN54" s="387"/>
      <c r="ADO54" s="387"/>
      <c r="ADP54" s="387"/>
      <c r="ADQ54" s="387"/>
      <c r="ADR54" s="387"/>
      <c r="ADS54" s="387"/>
      <c r="ADT54" s="387"/>
      <c r="ADU54" s="387"/>
      <c r="ADV54" s="387"/>
      <c r="ADW54" s="387"/>
      <c r="ADX54" s="387"/>
      <c r="ADY54" s="387"/>
      <c r="ADZ54" s="387"/>
      <c r="AEA54" s="387"/>
      <c r="AEB54" s="387"/>
      <c r="AEC54" s="387"/>
      <c r="AED54" s="387"/>
      <c r="AEE54" s="387"/>
      <c r="AEF54" s="387"/>
      <c r="AEG54" s="387"/>
      <c r="AEH54" s="387"/>
      <c r="AEI54" s="387"/>
      <c r="AEJ54" s="387"/>
      <c r="AEK54" s="387"/>
      <c r="AEL54" s="387"/>
      <c r="AEM54" s="387"/>
      <c r="AEN54" s="387"/>
      <c r="AEO54" s="387"/>
      <c r="AEP54" s="387"/>
      <c r="AEQ54" s="387"/>
      <c r="AER54" s="387"/>
      <c r="AES54" s="387"/>
      <c r="AET54" s="387"/>
      <c r="AEU54" s="387"/>
      <c r="AEV54" s="387"/>
      <c r="AEW54" s="387"/>
      <c r="AEX54" s="387"/>
      <c r="AEY54" s="387"/>
      <c r="AEZ54" s="387"/>
      <c r="AFA54" s="387"/>
      <c r="AFB54" s="387"/>
      <c r="AFC54" s="387"/>
      <c r="AFD54" s="387"/>
      <c r="AFE54" s="387"/>
      <c r="AFF54" s="387"/>
      <c r="AFG54" s="387"/>
      <c r="AFH54" s="387"/>
      <c r="AFI54" s="387"/>
      <c r="AFJ54" s="387"/>
      <c r="AFK54" s="387"/>
      <c r="AFL54" s="387"/>
      <c r="AFM54" s="387"/>
      <c r="AFN54" s="387"/>
      <c r="AFO54" s="387"/>
      <c r="AFP54" s="387"/>
      <c r="AFQ54" s="387"/>
      <c r="AFR54" s="387"/>
      <c r="AFS54" s="387"/>
      <c r="AFT54" s="387"/>
      <c r="AFU54" s="387"/>
      <c r="AFV54" s="387"/>
      <c r="AFW54" s="387"/>
      <c r="AFX54" s="387"/>
      <c r="AFY54" s="387"/>
      <c r="AFZ54" s="387"/>
      <c r="AGA54" s="387"/>
      <c r="AGB54" s="387"/>
      <c r="AGC54" s="387"/>
      <c r="AGD54" s="387"/>
      <c r="AGE54" s="387"/>
      <c r="AGF54" s="387"/>
      <c r="AGG54" s="387"/>
      <c r="AGH54" s="387"/>
      <c r="AGI54" s="387"/>
      <c r="AGJ54" s="387"/>
      <c r="AGK54" s="387"/>
      <c r="AGL54" s="387"/>
      <c r="AGM54" s="387"/>
      <c r="AGN54" s="387"/>
      <c r="AGO54" s="387"/>
      <c r="AGP54" s="387"/>
      <c r="AGQ54" s="387"/>
      <c r="AGR54" s="387"/>
      <c r="AGS54" s="387"/>
      <c r="AGT54" s="387"/>
      <c r="AGU54" s="387"/>
      <c r="AGV54" s="387"/>
      <c r="AGW54" s="387"/>
      <c r="AGX54" s="387"/>
      <c r="AGY54" s="387"/>
      <c r="AGZ54" s="387"/>
      <c r="AHA54" s="387"/>
      <c r="AHB54" s="387"/>
      <c r="AHC54" s="387"/>
      <c r="AHD54" s="387"/>
      <c r="AHE54" s="387"/>
      <c r="AHF54" s="387"/>
      <c r="AHG54" s="387"/>
      <c r="AHH54" s="387"/>
      <c r="AHI54" s="387"/>
      <c r="AHJ54" s="387"/>
      <c r="AHK54" s="387"/>
      <c r="AHL54" s="387"/>
      <c r="AHM54" s="387"/>
      <c r="AHN54" s="387"/>
      <c r="AHO54" s="387"/>
      <c r="AHP54" s="387"/>
      <c r="AHQ54" s="387"/>
      <c r="AHR54" s="387"/>
      <c r="AHS54" s="387"/>
      <c r="AHT54" s="387"/>
      <c r="AHU54" s="387"/>
      <c r="AHV54" s="387"/>
      <c r="AHW54" s="387"/>
      <c r="AHX54" s="387"/>
      <c r="AHY54" s="387"/>
      <c r="AHZ54" s="387"/>
      <c r="AIA54" s="387"/>
      <c r="AIB54" s="387"/>
      <c r="AIC54" s="387"/>
      <c r="AID54" s="387"/>
      <c r="AIE54" s="387"/>
      <c r="AIF54" s="387"/>
      <c r="AIG54" s="387"/>
      <c r="AIH54" s="387"/>
      <c r="AII54" s="387"/>
      <c r="AIJ54" s="387"/>
      <c r="AIK54" s="387"/>
      <c r="AIL54" s="387"/>
      <c r="AIM54" s="387"/>
      <c r="AIN54" s="387"/>
      <c r="AIO54" s="387"/>
      <c r="AIP54" s="387"/>
      <c r="AIQ54" s="387"/>
      <c r="AIR54" s="387"/>
      <c r="AIS54" s="387"/>
      <c r="AIT54" s="387"/>
      <c r="AIU54" s="387"/>
      <c r="AIV54" s="387"/>
      <c r="AIW54" s="387"/>
      <c r="AIX54" s="387"/>
      <c r="AIY54" s="387"/>
      <c r="AIZ54" s="387"/>
      <c r="AJA54" s="387"/>
      <c r="AJB54" s="387"/>
      <c r="AJC54" s="387"/>
      <c r="AJD54" s="387"/>
      <c r="AJE54" s="387"/>
      <c r="AJF54" s="387"/>
      <c r="AJG54" s="387"/>
      <c r="AJH54" s="387"/>
      <c r="AJI54" s="387"/>
      <c r="AJJ54" s="387"/>
      <c r="AJK54" s="387"/>
      <c r="AJL54" s="387"/>
      <c r="AJM54" s="387"/>
      <c r="AJN54" s="387"/>
      <c r="AJO54" s="387"/>
      <c r="AJP54" s="387"/>
      <c r="AJQ54" s="387"/>
      <c r="AJR54" s="387"/>
      <c r="AJS54" s="387"/>
      <c r="AJT54" s="387"/>
      <c r="AJU54" s="387"/>
      <c r="AJV54" s="387"/>
      <c r="AJW54" s="387"/>
      <c r="AJX54" s="387"/>
      <c r="AJY54" s="387"/>
      <c r="AJZ54" s="387"/>
      <c r="AKA54" s="387"/>
      <c r="AKB54" s="387"/>
      <c r="AKC54" s="387"/>
      <c r="AKD54" s="387"/>
      <c r="AKE54" s="387"/>
      <c r="AKF54" s="387"/>
      <c r="AKG54" s="387"/>
      <c r="AKH54" s="387"/>
      <c r="AKI54" s="387"/>
      <c r="AKJ54" s="387"/>
      <c r="AKK54" s="387"/>
      <c r="AKL54" s="387"/>
      <c r="AKM54" s="387"/>
      <c r="AKN54" s="387"/>
      <c r="AKO54" s="387"/>
      <c r="AKP54" s="387"/>
      <c r="AKQ54" s="387"/>
      <c r="AKR54" s="387"/>
      <c r="AKS54" s="387"/>
      <c r="AKT54" s="387"/>
      <c r="AKU54" s="387"/>
      <c r="AKV54" s="387"/>
      <c r="AKW54" s="387"/>
      <c r="AKX54" s="387"/>
      <c r="AKY54" s="387"/>
      <c r="AKZ54" s="387"/>
      <c r="ALA54" s="387"/>
      <c r="ALB54" s="387"/>
      <c r="ALC54" s="387"/>
      <c r="ALD54" s="387"/>
      <c r="ALE54" s="387"/>
      <c r="ALF54" s="387"/>
      <c r="ALG54" s="387"/>
      <c r="ALH54" s="387"/>
      <c r="ALI54" s="387"/>
      <c r="ALJ54" s="387"/>
      <c r="ALK54" s="387"/>
      <c r="ALL54" s="387"/>
      <c r="ALM54" s="387"/>
      <c r="ALN54" s="387"/>
      <c r="ALO54" s="387"/>
      <c r="ALP54" s="387"/>
      <c r="ALQ54" s="387"/>
      <c r="ALR54" s="387"/>
      <c r="ALS54" s="387"/>
      <c r="ALT54" s="387"/>
      <c r="ALU54" s="387"/>
      <c r="ALV54" s="387"/>
      <c r="ALW54" s="387"/>
      <c r="ALX54" s="387"/>
      <c r="ALY54" s="387"/>
      <c r="ALZ54" s="387"/>
      <c r="AMA54" s="387"/>
      <c r="AMB54" s="387"/>
      <c r="AMC54" s="387"/>
      <c r="AMD54" s="387"/>
      <c r="AME54" s="387"/>
      <c r="AMF54" s="387"/>
      <c r="AMG54" s="387"/>
      <c r="AMH54" s="387"/>
      <c r="AMI54" s="387"/>
      <c r="AMJ54" s="387"/>
      <c r="AMK54" s="387"/>
      <c r="AML54" s="387"/>
      <c r="AMM54" s="387"/>
      <c r="AMN54" s="387"/>
      <c r="AMO54" s="387"/>
      <c r="AMP54" s="387"/>
      <c r="AMQ54" s="387"/>
      <c r="AMR54" s="387"/>
      <c r="AMS54" s="387"/>
      <c r="AMT54" s="387"/>
      <c r="AMU54" s="387"/>
      <c r="AMV54" s="387"/>
      <c r="AMW54" s="387"/>
      <c r="AMX54" s="387"/>
      <c r="AMY54" s="387"/>
      <c r="AMZ54" s="387"/>
      <c r="ANA54" s="387"/>
      <c r="ANB54" s="387"/>
      <c r="ANC54" s="387"/>
      <c r="AND54" s="387"/>
      <c r="ANE54" s="387"/>
      <c r="ANF54" s="387"/>
      <c r="ANG54" s="387"/>
      <c r="ANH54" s="387"/>
      <c r="ANI54" s="387"/>
      <c r="ANJ54" s="387"/>
      <c r="ANK54" s="387"/>
      <c r="ANL54" s="387"/>
      <c r="ANM54" s="387"/>
      <c r="ANN54" s="387"/>
      <c r="ANO54" s="387"/>
      <c r="ANP54" s="387"/>
      <c r="ANQ54" s="387"/>
      <c r="ANR54" s="387"/>
      <c r="ANS54" s="387"/>
      <c r="ANT54" s="387"/>
      <c r="ANU54" s="387"/>
      <c r="ANV54" s="387"/>
      <c r="ANW54" s="387"/>
      <c r="ANX54" s="387"/>
      <c r="ANY54" s="387"/>
      <c r="ANZ54" s="387"/>
      <c r="AOA54" s="387"/>
      <c r="AOB54" s="387"/>
      <c r="AOC54" s="387"/>
      <c r="AOD54" s="387"/>
      <c r="AOE54" s="387"/>
      <c r="AOF54" s="387"/>
      <c r="AOG54" s="387"/>
      <c r="AOH54" s="387"/>
      <c r="AOI54" s="387"/>
      <c r="AOJ54" s="387"/>
      <c r="AOK54" s="387"/>
      <c r="AOL54" s="387"/>
      <c r="AOM54" s="387"/>
      <c r="AON54" s="387"/>
      <c r="AOO54" s="387"/>
      <c r="AOP54" s="387"/>
      <c r="AOQ54" s="387"/>
      <c r="AOR54" s="387"/>
      <c r="AOS54" s="387"/>
      <c r="AOT54" s="387"/>
      <c r="AOU54" s="387"/>
      <c r="AOV54" s="387"/>
      <c r="AOW54" s="387"/>
      <c r="AOX54" s="387"/>
      <c r="AOY54" s="387"/>
      <c r="AOZ54" s="387"/>
      <c r="APA54" s="387"/>
      <c r="APB54" s="387"/>
      <c r="APC54" s="387"/>
      <c r="APD54" s="387"/>
      <c r="APE54" s="387"/>
      <c r="APF54" s="387"/>
      <c r="APG54" s="387"/>
      <c r="APH54" s="387"/>
      <c r="API54" s="387"/>
      <c r="APJ54" s="387"/>
      <c r="APK54" s="387"/>
      <c r="APL54" s="387"/>
      <c r="APM54" s="387"/>
      <c r="APN54" s="387"/>
      <c r="APO54" s="387"/>
      <c r="APP54" s="387"/>
      <c r="APQ54" s="387"/>
      <c r="APR54" s="387"/>
      <c r="APS54" s="387"/>
      <c r="APT54" s="387"/>
      <c r="APU54" s="387"/>
      <c r="APV54" s="387"/>
      <c r="APW54" s="387"/>
      <c r="APX54" s="387"/>
      <c r="APY54" s="387"/>
      <c r="APZ54" s="387"/>
      <c r="AQA54" s="387"/>
      <c r="AQB54" s="387"/>
      <c r="AQC54" s="387"/>
      <c r="AQD54" s="387"/>
      <c r="AQE54" s="387"/>
      <c r="AQF54" s="387"/>
      <c r="AQG54" s="387"/>
      <c r="AQH54" s="387"/>
      <c r="AQI54" s="387"/>
      <c r="AQJ54" s="387"/>
      <c r="AQK54" s="387"/>
      <c r="AQL54" s="387"/>
      <c r="AQM54" s="387"/>
      <c r="AQN54" s="387"/>
      <c r="AQO54" s="387"/>
      <c r="AQP54" s="387"/>
      <c r="AQQ54" s="387"/>
      <c r="AQR54" s="387"/>
      <c r="AQS54" s="387"/>
      <c r="AQT54" s="387"/>
      <c r="AQU54" s="387"/>
      <c r="AQV54" s="387"/>
      <c r="AQW54" s="387"/>
      <c r="AQX54" s="387"/>
      <c r="AQY54" s="387"/>
      <c r="AQZ54" s="387"/>
      <c r="ARA54" s="387"/>
      <c r="ARB54" s="387"/>
      <c r="ARC54" s="387"/>
      <c r="ARD54" s="387"/>
      <c r="ARE54" s="387"/>
      <c r="ARF54" s="387"/>
      <c r="ARG54" s="387"/>
      <c r="ARH54" s="387"/>
      <c r="ARI54" s="387"/>
      <c r="ARJ54" s="387"/>
      <c r="ARK54" s="387"/>
      <c r="ARL54" s="387"/>
      <c r="ARM54" s="387"/>
      <c r="ARN54" s="387"/>
      <c r="ARO54" s="387"/>
      <c r="ARP54" s="387"/>
      <c r="ARQ54" s="387"/>
      <c r="ARR54" s="387"/>
      <c r="ARS54" s="387"/>
      <c r="ART54" s="387"/>
      <c r="ARU54" s="387"/>
      <c r="ARV54" s="387"/>
      <c r="ARW54" s="387"/>
      <c r="ARX54" s="387"/>
      <c r="ARY54" s="387"/>
      <c r="ARZ54" s="387"/>
      <c r="ASA54" s="387"/>
      <c r="ASB54" s="387"/>
      <c r="ASC54" s="387"/>
      <c r="ASD54" s="387"/>
      <c r="ASE54" s="387"/>
      <c r="ASF54" s="387"/>
      <c r="ASG54" s="387"/>
      <c r="ASH54" s="387"/>
      <c r="ASI54" s="387"/>
      <c r="ASJ54" s="387"/>
      <c r="ASK54" s="387"/>
      <c r="ASL54" s="387"/>
      <c r="ASM54" s="387"/>
      <c r="ASN54" s="387"/>
      <c r="ASO54" s="387"/>
      <c r="ASP54" s="387"/>
      <c r="ASQ54" s="387"/>
      <c r="ASR54" s="387"/>
      <c r="ASS54" s="387"/>
      <c r="AST54" s="387"/>
      <c r="ASU54" s="387"/>
      <c r="ASV54" s="387"/>
      <c r="ASW54" s="387"/>
      <c r="ASX54" s="387"/>
      <c r="ASY54" s="387"/>
      <c r="ASZ54" s="387"/>
      <c r="ATA54" s="387"/>
      <c r="ATB54" s="387"/>
      <c r="ATC54" s="387"/>
      <c r="ATD54" s="387"/>
      <c r="ATE54" s="387"/>
      <c r="ATF54" s="387"/>
      <c r="ATG54" s="387"/>
      <c r="ATH54" s="387"/>
      <c r="ATI54" s="387"/>
      <c r="ATJ54" s="387"/>
      <c r="ATK54" s="387"/>
      <c r="ATL54" s="387"/>
      <c r="ATM54" s="387"/>
      <c r="ATN54" s="387"/>
      <c r="ATO54" s="387"/>
      <c r="ATP54" s="387"/>
      <c r="ATQ54" s="387"/>
      <c r="ATR54" s="387"/>
      <c r="ATS54" s="387"/>
      <c r="ATT54" s="387"/>
      <c r="ATU54" s="387"/>
      <c r="ATV54" s="387"/>
      <c r="ATW54" s="387"/>
      <c r="ATX54" s="387"/>
      <c r="ATY54" s="387"/>
      <c r="ATZ54" s="387"/>
      <c r="AUA54" s="387"/>
      <c r="AUB54" s="387"/>
      <c r="AUC54" s="387"/>
      <c r="AUD54" s="387"/>
      <c r="AUE54" s="387"/>
      <c r="AUF54" s="387"/>
      <c r="AUG54" s="387"/>
      <c r="AUH54" s="387"/>
      <c r="AUI54" s="387"/>
      <c r="AUJ54" s="387"/>
      <c r="AUK54" s="387"/>
      <c r="AUL54" s="387"/>
      <c r="AUM54" s="387"/>
      <c r="AUN54" s="387"/>
      <c r="AUO54" s="387"/>
      <c r="AUP54" s="387"/>
      <c r="AUQ54" s="387"/>
      <c r="AUR54" s="387"/>
      <c r="AUS54" s="387"/>
      <c r="AUT54" s="387"/>
      <c r="AUU54" s="387"/>
      <c r="AUV54" s="387"/>
      <c r="AUW54" s="387"/>
      <c r="AUX54" s="387"/>
      <c r="AUY54" s="387"/>
      <c r="AUZ54" s="387"/>
      <c r="AVA54" s="387"/>
      <c r="AVB54" s="387"/>
      <c r="AVC54" s="387"/>
      <c r="AVD54" s="387"/>
      <c r="AVE54" s="387"/>
      <c r="AVF54" s="387"/>
      <c r="AVG54" s="387"/>
      <c r="AVH54" s="387"/>
      <c r="AVI54" s="387"/>
      <c r="AVJ54" s="387"/>
      <c r="AVK54" s="387"/>
      <c r="AVL54" s="387"/>
      <c r="AVM54" s="387"/>
      <c r="AVN54" s="387"/>
      <c r="AVO54" s="387"/>
      <c r="AVP54" s="387"/>
      <c r="AVQ54" s="387"/>
      <c r="AVR54" s="387"/>
      <c r="AVS54" s="387"/>
      <c r="AVT54" s="387"/>
      <c r="AVU54" s="387"/>
      <c r="AVV54" s="387"/>
      <c r="AVW54" s="387"/>
      <c r="AVX54" s="387"/>
      <c r="AVY54" s="387"/>
      <c r="AVZ54" s="387"/>
      <c r="AWA54" s="387"/>
      <c r="AWB54" s="387"/>
      <c r="AWC54" s="387"/>
      <c r="AWD54" s="387"/>
      <c r="AWE54" s="387"/>
      <c r="AWF54" s="387"/>
      <c r="AWG54" s="387"/>
      <c r="AWH54" s="387"/>
      <c r="AWI54" s="387"/>
      <c r="AWJ54" s="387"/>
      <c r="AWK54" s="387"/>
      <c r="AWL54" s="387"/>
      <c r="AWM54" s="387"/>
      <c r="AWN54" s="387"/>
      <c r="AWO54" s="387"/>
      <c r="AWP54" s="387"/>
      <c r="AWQ54" s="387"/>
      <c r="AWR54" s="387"/>
      <c r="AWS54" s="387"/>
      <c r="AWT54" s="387"/>
      <c r="AWU54" s="387"/>
      <c r="AWV54" s="387"/>
      <c r="AWW54" s="387"/>
      <c r="AWX54" s="387"/>
      <c r="AWY54" s="387"/>
      <c r="AWZ54" s="387"/>
      <c r="AXA54" s="387"/>
      <c r="AXB54" s="387"/>
      <c r="AXC54" s="387"/>
      <c r="AXD54" s="387"/>
      <c r="AXE54" s="387"/>
      <c r="AXF54" s="387"/>
      <c r="AXG54" s="387"/>
      <c r="AXH54" s="387"/>
      <c r="AXI54" s="387"/>
      <c r="AXJ54" s="387"/>
      <c r="AXK54" s="387"/>
      <c r="AXL54" s="387"/>
      <c r="AXM54" s="387"/>
      <c r="AXN54" s="387"/>
      <c r="AXO54" s="387"/>
      <c r="AXP54" s="387"/>
      <c r="AXQ54" s="387"/>
      <c r="AXR54" s="387"/>
      <c r="AXS54" s="387"/>
      <c r="AXT54" s="387"/>
      <c r="AXU54" s="387"/>
      <c r="AXV54" s="387"/>
      <c r="AXW54" s="387"/>
      <c r="AXX54" s="387"/>
      <c r="AXY54" s="387"/>
      <c r="AXZ54" s="387"/>
      <c r="AYA54" s="387"/>
      <c r="AYB54" s="387"/>
      <c r="AYC54" s="387"/>
      <c r="AYD54" s="387"/>
      <c r="AYE54" s="387"/>
      <c r="AYF54" s="387"/>
      <c r="AYG54" s="387"/>
      <c r="AYH54" s="387"/>
      <c r="AYI54" s="387"/>
      <c r="AYJ54" s="387"/>
      <c r="AYK54" s="387"/>
      <c r="AYL54" s="387"/>
      <c r="AYM54" s="387"/>
      <c r="AYN54" s="387"/>
      <c r="AYO54" s="387"/>
      <c r="AYP54" s="387"/>
      <c r="AYQ54" s="387"/>
      <c r="AYR54" s="387"/>
      <c r="AYS54" s="387"/>
      <c r="AYT54" s="387"/>
      <c r="AYU54" s="387"/>
      <c r="AYV54" s="387"/>
      <c r="AYW54" s="387"/>
      <c r="AYX54" s="387"/>
      <c r="AYY54" s="387"/>
      <c r="AYZ54" s="387"/>
      <c r="AZA54" s="387"/>
      <c r="AZB54" s="387"/>
      <c r="AZC54" s="387"/>
      <c r="AZD54" s="387"/>
      <c r="AZE54" s="387"/>
      <c r="AZF54" s="387"/>
      <c r="AZG54" s="387"/>
      <c r="AZH54" s="387"/>
      <c r="AZI54" s="387"/>
      <c r="AZJ54" s="387"/>
      <c r="AZK54" s="387"/>
      <c r="AZL54" s="387"/>
      <c r="AZM54" s="387"/>
      <c r="AZN54" s="387"/>
      <c r="AZO54" s="387"/>
      <c r="AZP54" s="387"/>
      <c r="AZQ54" s="387"/>
      <c r="AZR54" s="387"/>
      <c r="AZS54" s="387"/>
      <c r="AZT54" s="387"/>
      <c r="AZU54" s="387"/>
      <c r="AZV54" s="387"/>
      <c r="AZW54" s="387"/>
      <c r="AZX54" s="387"/>
      <c r="AZY54" s="387"/>
      <c r="AZZ54" s="387"/>
      <c r="BAA54" s="387"/>
      <c r="BAB54" s="387"/>
      <c r="BAC54" s="387"/>
      <c r="BAD54" s="387"/>
      <c r="BAE54" s="387"/>
      <c r="BAF54" s="387"/>
      <c r="BAG54" s="387"/>
      <c r="BAH54" s="387"/>
      <c r="BAI54" s="387"/>
      <c r="BAJ54" s="387"/>
      <c r="BAK54" s="387"/>
      <c r="BAL54" s="387"/>
      <c r="BAM54" s="387"/>
      <c r="BAN54" s="387"/>
      <c r="BAO54" s="387"/>
      <c r="BAP54" s="387"/>
      <c r="BAQ54" s="387"/>
      <c r="BAR54" s="387"/>
      <c r="BAS54" s="387"/>
      <c r="BAT54" s="387"/>
      <c r="BAU54" s="387"/>
      <c r="BAV54" s="387"/>
      <c r="BAW54" s="387"/>
      <c r="BAX54" s="387"/>
      <c r="BAY54" s="387"/>
      <c r="BAZ54" s="387"/>
      <c r="BBA54" s="387"/>
      <c r="BBB54" s="387"/>
      <c r="BBC54" s="387"/>
      <c r="BBD54" s="387"/>
      <c r="BBE54" s="387"/>
      <c r="BBF54" s="387"/>
      <c r="BBG54" s="387"/>
      <c r="BBH54" s="387"/>
      <c r="BBI54" s="387"/>
      <c r="BBJ54" s="387"/>
      <c r="BBK54" s="387"/>
      <c r="BBL54" s="387"/>
      <c r="BBM54" s="387"/>
      <c r="BBN54" s="387"/>
      <c r="BBO54" s="387"/>
      <c r="BBP54" s="387"/>
      <c r="BBQ54" s="387"/>
      <c r="BBR54" s="387"/>
      <c r="BBS54" s="387"/>
      <c r="BBT54" s="387"/>
      <c r="BBU54" s="387"/>
      <c r="BBV54" s="387"/>
      <c r="BBW54" s="387"/>
      <c r="BBX54" s="387"/>
      <c r="BBY54" s="387"/>
      <c r="BBZ54" s="387"/>
      <c r="BCA54" s="387"/>
      <c r="BCB54" s="387"/>
      <c r="BCC54" s="387"/>
      <c r="BCD54" s="387"/>
      <c r="BCE54" s="387"/>
      <c r="BCF54" s="387"/>
      <c r="BCG54" s="387"/>
      <c r="BCH54" s="387"/>
      <c r="BCI54" s="387"/>
      <c r="BCJ54" s="387"/>
      <c r="BCK54" s="387"/>
      <c r="BCL54" s="387"/>
      <c r="BCM54" s="387"/>
      <c r="BCN54" s="387"/>
      <c r="BCO54" s="387"/>
      <c r="BCP54" s="387"/>
      <c r="BCQ54" s="387"/>
      <c r="BCR54" s="387"/>
      <c r="BCS54" s="387"/>
      <c r="BCT54" s="387"/>
      <c r="BCU54" s="387"/>
      <c r="BCV54" s="387"/>
      <c r="BCW54" s="387"/>
      <c r="BCX54" s="387"/>
      <c r="BCY54" s="387"/>
      <c r="BCZ54" s="387"/>
      <c r="BDA54" s="387"/>
      <c r="BDB54" s="387"/>
      <c r="BDC54" s="387"/>
      <c r="BDD54" s="387"/>
      <c r="BDE54" s="387"/>
      <c r="BDF54" s="387"/>
      <c r="BDG54" s="387"/>
      <c r="BDH54" s="387"/>
      <c r="BDI54" s="387"/>
      <c r="BDJ54" s="387"/>
      <c r="BDK54" s="387"/>
      <c r="BDL54" s="387"/>
      <c r="BDM54" s="387"/>
      <c r="BDN54" s="387"/>
      <c r="BDO54" s="387"/>
      <c r="BDP54" s="387"/>
      <c r="BDQ54" s="387"/>
      <c r="BDR54" s="387"/>
      <c r="BDS54" s="387"/>
      <c r="BDT54" s="387"/>
      <c r="BDU54" s="387"/>
      <c r="BDV54" s="387"/>
      <c r="BDW54" s="387"/>
      <c r="BDX54" s="387"/>
      <c r="BDY54" s="387"/>
      <c r="BDZ54" s="387"/>
      <c r="BEA54" s="387"/>
      <c r="BEB54" s="387"/>
      <c r="BEC54" s="387"/>
      <c r="BED54" s="387"/>
      <c r="BEE54" s="387"/>
      <c r="BEF54" s="387"/>
      <c r="BEG54" s="387"/>
      <c r="BEH54" s="387"/>
      <c r="BEI54" s="387"/>
      <c r="BEJ54" s="387"/>
      <c r="BEK54" s="387"/>
      <c r="BEL54" s="387"/>
      <c r="BEM54" s="387"/>
      <c r="BEN54" s="387"/>
      <c r="BEO54" s="387"/>
      <c r="BEP54" s="387"/>
      <c r="BEQ54" s="387"/>
      <c r="BER54" s="387"/>
      <c r="BES54" s="387"/>
      <c r="BET54" s="387"/>
      <c r="BEU54" s="387"/>
      <c r="BEV54" s="387"/>
      <c r="BEW54" s="387"/>
      <c r="BEX54" s="387"/>
      <c r="BEY54" s="387"/>
      <c r="BEZ54" s="387"/>
      <c r="BFA54" s="387"/>
      <c r="BFB54" s="387"/>
      <c r="BFC54" s="387"/>
      <c r="BFD54" s="387"/>
      <c r="BFE54" s="387"/>
      <c r="BFF54" s="387"/>
      <c r="BFG54" s="387"/>
      <c r="BFH54" s="387"/>
      <c r="BFI54" s="387"/>
      <c r="BFJ54" s="387"/>
      <c r="BFK54" s="387"/>
      <c r="BFL54" s="387"/>
      <c r="BFM54" s="387"/>
      <c r="BFN54" s="387"/>
      <c r="BFO54" s="387"/>
      <c r="BFP54" s="387"/>
      <c r="BFQ54" s="387"/>
      <c r="BFR54" s="387"/>
      <c r="BFS54" s="387"/>
      <c r="BFT54" s="387"/>
      <c r="BFU54" s="387"/>
      <c r="BFV54" s="387"/>
      <c r="BFW54" s="387"/>
      <c r="BFX54" s="387"/>
      <c r="BFY54" s="387"/>
      <c r="BFZ54" s="387"/>
      <c r="BGA54" s="387"/>
      <c r="BGB54" s="387"/>
      <c r="BGC54" s="387"/>
      <c r="BGD54" s="387"/>
      <c r="BGE54" s="387"/>
      <c r="BGF54" s="387"/>
      <c r="BGG54" s="387"/>
      <c r="BGH54" s="387"/>
      <c r="BGI54" s="387"/>
      <c r="BGJ54" s="387"/>
      <c r="BGK54" s="387"/>
      <c r="BGL54" s="387"/>
      <c r="BGM54" s="387"/>
      <c r="BGN54" s="387"/>
      <c r="BGO54" s="387"/>
      <c r="BGP54" s="387"/>
      <c r="BGQ54" s="387"/>
      <c r="BGR54" s="387"/>
      <c r="BGS54" s="387"/>
      <c r="BGT54" s="387"/>
      <c r="BGU54" s="387"/>
      <c r="BGV54" s="387"/>
      <c r="BGW54" s="387"/>
      <c r="BGX54" s="387"/>
      <c r="BGY54" s="387"/>
      <c r="BGZ54" s="387"/>
      <c r="BHA54" s="387"/>
      <c r="BHB54" s="387"/>
      <c r="BHC54" s="387"/>
      <c r="BHD54" s="387"/>
      <c r="BHE54" s="387"/>
      <c r="BHF54" s="387"/>
      <c r="BHG54" s="387"/>
      <c r="BHH54" s="387"/>
      <c r="BHI54" s="387"/>
      <c r="BHJ54" s="387"/>
      <c r="BHK54" s="387"/>
      <c r="BHL54" s="387"/>
      <c r="BHM54" s="387"/>
      <c r="BHN54" s="387"/>
      <c r="BHO54" s="387"/>
      <c r="BHP54" s="387"/>
      <c r="BHQ54" s="387"/>
      <c r="BHR54" s="387"/>
      <c r="BHS54" s="387"/>
      <c r="BHT54" s="387"/>
      <c r="BHU54" s="387"/>
      <c r="BHV54" s="387"/>
      <c r="BHW54" s="387"/>
      <c r="BHX54" s="387"/>
      <c r="BHY54" s="387"/>
      <c r="BHZ54" s="387"/>
      <c r="BIA54" s="387"/>
      <c r="BIB54" s="387"/>
      <c r="BIC54" s="387"/>
      <c r="BID54" s="387"/>
      <c r="BIE54" s="387"/>
      <c r="BIF54" s="387"/>
      <c r="BIG54" s="387"/>
      <c r="BIH54" s="387"/>
      <c r="BII54" s="387"/>
      <c r="BIJ54" s="387"/>
      <c r="BIK54" s="387"/>
      <c r="BIL54" s="387"/>
      <c r="BIM54" s="387"/>
      <c r="BIN54" s="387"/>
      <c r="BIO54" s="387"/>
      <c r="BIP54" s="387"/>
      <c r="BIQ54" s="387"/>
      <c r="BIR54" s="387"/>
      <c r="BIS54" s="387"/>
      <c r="BIT54" s="387"/>
      <c r="BIU54" s="387"/>
      <c r="BIV54" s="387"/>
      <c r="BIW54" s="387"/>
      <c r="BIX54" s="387"/>
      <c r="BIY54" s="387"/>
      <c r="BIZ54" s="387"/>
      <c r="BJA54" s="387"/>
      <c r="BJB54" s="387"/>
      <c r="BJC54" s="387"/>
      <c r="BJD54" s="387"/>
      <c r="BJE54" s="387"/>
      <c r="BJF54" s="387"/>
      <c r="BJG54" s="387"/>
      <c r="BJH54" s="387"/>
      <c r="BJI54" s="387"/>
      <c r="BJJ54" s="387"/>
      <c r="BJK54" s="387"/>
      <c r="BJL54" s="387"/>
      <c r="BJM54" s="387"/>
      <c r="BJN54" s="387"/>
      <c r="BJO54" s="387"/>
      <c r="BJP54" s="387"/>
      <c r="BJQ54" s="387"/>
      <c r="BJR54" s="387"/>
      <c r="BJS54" s="387"/>
      <c r="BJT54" s="387"/>
      <c r="BJU54" s="387"/>
      <c r="BJV54" s="387"/>
      <c r="BJW54" s="387"/>
      <c r="BJX54" s="387"/>
      <c r="BJY54" s="387"/>
      <c r="BJZ54" s="387"/>
      <c r="BKA54" s="387"/>
      <c r="BKB54" s="387"/>
      <c r="BKC54" s="387"/>
      <c r="BKD54" s="387"/>
      <c r="BKE54" s="387"/>
      <c r="BKF54" s="387"/>
      <c r="BKG54" s="387"/>
      <c r="BKH54" s="387"/>
      <c r="BKI54" s="387"/>
      <c r="BKJ54" s="387"/>
      <c r="BKK54" s="387"/>
      <c r="BKL54" s="387"/>
      <c r="BKM54" s="387"/>
      <c r="BKN54" s="387"/>
      <c r="BKO54" s="387"/>
      <c r="BKP54" s="387"/>
      <c r="BKQ54" s="387"/>
      <c r="BKR54" s="387"/>
      <c r="BKS54" s="387"/>
      <c r="BKT54" s="387"/>
      <c r="BKU54" s="387"/>
      <c r="BKV54" s="387"/>
      <c r="BKW54" s="387"/>
      <c r="BKX54" s="387"/>
      <c r="BKY54" s="387"/>
      <c r="BKZ54" s="387"/>
      <c r="BLA54" s="387"/>
      <c r="BLB54" s="387"/>
      <c r="BLC54" s="387"/>
      <c r="BLD54" s="387"/>
      <c r="BLE54" s="387"/>
      <c r="BLF54" s="387"/>
      <c r="BLG54" s="387"/>
      <c r="BLH54" s="387"/>
      <c r="BLI54" s="387"/>
      <c r="BLJ54" s="387"/>
      <c r="BLK54" s="387"/>
      <c r="BLL54" s="387"/>
      <c r="BLM54" s="387"/>
      <c r="BLN54" s="387"/>
      <c r="BLO54" s="387"/>
      <c r="BLP54" s="387"/>
      <c r="BLQ54" s="387"/>
      <c r="BLR54" s="387"/>
      <c r="BLS54" s="387"/>
      <c r="BLT54" s="387"/>
      <c r="BLU54" s="387"/>
      <c r="BLV54" s="387"/>
      <c r="BLW54" s="387"/>
      <c r="BLX54" s="387"/>
      <c r="BLY54" s="387"/>
      <c r="BLZ54" s="387"/>
      <c r="BMA54" s="387"/>
      <c r="BMB54" s="387"/>
      <c r="BMC54" s="387"/>
      <c r="BMD54" s="387"/>
      <c r="BME54" s="387"/>
      <c r="BMF54" s="387"/>
      <c r="BMG54" s="387"/>
      <c r="BMH54" s="387"/>
      <c r="BMI54" s="387"/>
      <c r="BMJ54" s="387"/>
      <c r="BMK54" s="387"/>
      <c r="BML54" s="387"/>
      <c r="BMM54" s="387"/>
      <c r="BMN54" s="387"/>
      <c r="BMO54" s="387"/>
      <c r="BMP54" s="387"/>
      <c r="BMQ54" s="387"/>
      <c r="BMR54" s="387"/>
      <c r="BMS54" s="387"/>
      <c r="BMT54" s="387"/>
      <c r="BMU54" s="387"/>
      <c r="BMV54" s="387"/>
      <c r="BMW54" s="387"/>
      <c r="BMX54" s="387"/>
      <c r="BMY54" s="387"/>
      <c r="BMZ54" s="387"/>
      <c r="BNA54" s="387"/>
      <c r="BNB54" s="387"/>
      <c r="BNC54" s="387"/>
      <c r="BND54" s="387"/>
      <c r="BNE54" s="387"/>
      <c r="BNF54" s="387"/>
      <c r="BNG54" s="387"/>
      <c r="BNH54" s="387"/>
      <c r="BNI54" s="387"/>
      <c r="BNJ54" s="387"/>
      <c r="BNK54" s="387"/>
      <c r="BNL54" s="387"/>
      <c r="BNM54" s="387"/>
      <c r="BNN54" s="387"/>
      <c r="BNO54" s="387"/>
      <c r="BNP54" s="387"/>
      <c r="BNQ54" s="387"/>
      <c r="BNR54" s="387"/>
      <c r="BNS54" s="387"/>
      <c r="BNT54" s="387"/>
      <c r="BNU54" s="387"/>
      <c r="BNV54" s="387"/>
      <c r="BNW54" s="387"/>
      <c r="BNX54" s="387"/>
      <c r="BNY54" s="387"/>
      <c r="BNZ54" s="387"/>
      <c r="BOA54" s="387"/>
      <c r="BOB54" s="387"/>
      <c r="BOC54" s="387"/>
      <c r="BOD54" s="387"/>
      <c r="BOE54" s="387"/>
      <c r="BOF54" s="387"/>
      <c r="BOG54" s="387"/>
      <c r="BOH54" s="387"/>
      <c r="BOI54" s="387"/>
      <c r="BOJ54" s="387"/>
      <c r="BOK54" s="387"/>
      <c r="BOL54" s="387"/>
      <c r="BOM54" s="387"/>
      <c r="BON54" s="387"/>
      <c r="BOO54" s="387"/>
      <c r="BOP54" s="387"/>
      <c r="BOQ54" s="387"/>
      <c r="BOR54" s="387"/>
      <c r="BOS54" s="387"/>
      <c r="BOT54" s="387"/>
      <c r="BOU54" s="387"/>
      <c r="BOV54" s="387"/>
      <c r="BOW54" s="387"/>
      <c r="BOX54" s="387"/>
      <c r="BOY54" s="387"/>
      <c r="BOZ54" s="387"/>
      <c r="BPA54" s="387"/>
      <c r="BPB54" s="387"/>
      <c r="BPC54" s="387"/>
      <c r="BPD54" s="387"/>
      <c r="BPE54" s="387"/>
      <c r="BPF54" s="387"/>
      <c r="BPG54" s="387"/>
      <c r="BPH54" s="387"/>
      <c r="BPI54" s="387"/>
      <c r="BPJ54" s="387"/>
      <c r="BPK54" s="387"/>
      <c r="BPL54" s="387"/>
      <c r="BPM54" s="387"/>
      <c r="BPN54" s="387"/>
      <c r="BPO54" s="387"/>
      <c r="BPP54" s="387"/>
      <c r="BPQ54" s="387"/>
      <c r="BPR54" s="387"/>
      <c r="BPS54" s="387"/>
      <c r="BPT54" s="387"/>
      <c r="BPU54" s="387"/>
      <c r="BPV54" s="387"/>
      <c r="BPW54" s="387"/>
      <c r="BPX54" s="387"/>
      <c r="BPY54" s="387"/>
      <c r="BPZ54" s="387"/>
      <c r="BQA54" s="387"/>
      <c r="BQB54" s="387"/>
      <c r="BQC54" s="387"/>
      <c r="BQD54" s="387"/>
      <c r="BQE54" s="387"/>
      <c r="BQF54" s="387"/>
      <c r="BQG54" s="387"/>
      <c r="BQH54" s="387"/>
      <c r="BQI54" s="387"/>
      <c r="BQJ54" s="387"/>
      <c r="BQK54" s="387"/>
      <c r="BQL54" s="387"/>
      <c r="BQM54" s="387"/>
      <c r="BQN54" s="387"/>
      <c r="BQO54" s="387"/>
      <c r="BQP54" s="387"/>
      <c r="BQQ54" s="387"/>
      <c r="BQR54" s="387"/>
      <c r="BQS54" s="387"/>
      <c r="BQT54" s="387"/>
      <c r="BQU54" s="387"/>
      <c r="BQV54" s="387"/>
      <c r="BQW54" s="387"/>
      <c r="BQX54" s="387"/>
      <c r="BQY54" s="387"/>
      <c r="BQZ54" s="387"/>
      <c r="BRA54" s="387"/>
      <c r="BRB54" s="387"/>
      <c r="BRC54" s="387"/>
      <c r="BRD54" s="387"/>
      <c r="BRE54" s="387"/>
      <c r="BRF54" s="387"/>
      <c r="BRG54" s="387"/>
      <c r="BRH54" s="387"/>
      <c r="BRI54" s="387"/>
      <c r="BRJ54" s="387"/>
      <c r="BRK54" s="387"/>
      <c r="BRL54" s="387"/>
      <c r="BRM54" s="387"/>
      <c r="BRN54" s="387"/>
      <c r="BRO54" s="387"/>
      <c r="BRP54" s="387"/>
      <c r="BRQ54" s="387"/>
      <c r="BRR54" s="387"/>
      <c r="BRS54" s="387"/>
      <c r="BRT54" s="387"/>
      <c r="BRU54" s="387"/>
      <c r="BRV54" s="387"/>
      <c r="BRW54" s="387"/>
      <c r="BRX54" s="387"/>
      <c r="BRY54" s="387"/>
      <c r="BRZ54" s="387"/>
      <c r="BSA54" s="387"/>
      <c r="BSB54" s="387"/>
      <c r="BSC54" s="387"/>
      <c r="BSD54" s="387"/>
      <c r="BSE54" s="387"/>
      <c r="BSF54" s="387"/>
      <c r="BSG54" s="387"/>
      <c r="BSH54" s="387"/>
      <c r="BSI54" s="387"/>
      <c r="BSJ54" s="387"/>
      <c r="BSK54" s="387"/>
      <c r="BSL54" s="387"/>
      <c r="BSM54" s="387"/>
      <c r="BSN54" s="387"/>
      <c r="BSO54" s="387"/>
      <c r="BSP54" s="387"/>
      <c r="BSQ54" s="387"/>
      <c r="BSR54" s="387"/>
      <c r="BSS54" s="387"/>
      <c r="BST54" s="387"/>
      <c r="BSU54" s="387"/>
      <c r="BSV54" s="387"/>
      <c r="BSW54" s="387"/>
      <c r="BSX54" s="387"/>
      <c r="BSY54" s="387"/>
      <c r="BSZ54" s="387"/>
      <c r="BTA54" s="387"/>
      <c r="BTB54" s="387"/>
      <c r="BTC54" s="387"/>
      <c r="BTD54" s="387"/>
      <c r="BTE54" s="387"/>
      <c r="BTF54" s="387"/>
      <c r="BTG54" s="387"/>
      <c r="BTH54" s="387"/>
      <c r="BTI54" s="387"/>
    </row>
    <row r="55" spans="1:1881" s="372" customFormat="1" ht="78.75" customHeight="1" x14ac:dyDescent="0.25">
      <c r="A55" s="726">
        <v>646</v>
      </c>
      <c r="B55" s="727" t="s">
        <v>674</v>
      </c>
      <c r="C55" s="728" t="s">
        <v>177</v>
      </c>
      <c r="D55" s="731" t="s">
        <v>675</v>
      </c>
      <c r="E55" s="730" t="s">
        <v>676</v>
      </c>
      <c r="F55" s="686"/>
      <c r="G55" s="388">
        <f>IF(F55&lt;0,"Note: Number is normally positive.",)</f>
        <v>0</v>
      </c>
      <c r="H55" s="147"/>
      <c r="I55" s="292"/>
      <c r="J55" s="362"/>
      <c r="K55" s="387"/>
      <c r="L55" s="674" t="s">
        <v>960</v>
      </c>
      <c r="M55" s="576"/>
      <c r="N55" s="594"/>
      <c r="O55" s="387"/>
      <c r="P55" s="387"/>
      <c r="Q55" s="387"/>
      <c r="R55"/>
      <c r="S55" s="682"/>
      <c r="T55" s="387"/>
      <c r="U55" s="387"/>
      <c r="V55" s="387"/>
      <c r="W55" s="387"/>
      <c r="X55" s="682"/>
      <c r="Y55" s="387"/>
      <c r="Z55" s="387"/>
      <c r="AA55" s="387"/>
      <c r="AB55" s="387"/>
      <c r="AC55" s="387"/>
      <c r="AD55" s="387"/>
      <c r="AE55" s="387"/>
      <c r="AF55" s="387"/>
      <c r="AG55" s="387"/>
      <c r="AH55" s="387"/>
      <c r="AI55" s="387"/>
      <c r="AJ55" s="387"/>
      <c r="AK55" s="387"/>
      <c r="AL55" s="387"/>
      <c r="AM55" s="387"/>
      <c r="AN55" s="387"/>
      <c r="AO55" s="387"/>
      <c r="AP55" s="387"/>
      <c r="AQ55" s="387"/>
      <c r="AR55" s="387"/>
      <c r="AS55" s="387"/>
      <c r="AT55" s="387"/>
      <c r="AU55" s="387"/>
      <c r="AV55" s="387"/>
      <c r="AW55" s="387"/>
      <c r="AX55" s="387"/>
      <c r="AY55" s="387"/>
      <c r="AZ55" s="387"/>
      <c r="BA55" s="387"/>
      <c r="BB55" s="387"/>
      <c r="BC55" s="387"/>
      <c r="BD55" s="387"/>
      <c r="BE55" s="387"/>
      <c r="BF55" s="387"/>
      <c r="BG55" s="387"/>
      <c r="BH55" s="387"/>
      <c r="BI55" s="387"/>
      <c r="BJ55" s="387"/>
      <c r="BK55" s="387"/>
      <c r="BL55" s="387"/>
      <c r="BM55" s="387"/>
      <c r="BN55" s="387"/>
      <c r="BO55" s="387"/>
      <c r="BP55" s="387"/>
      <c r="BQ55" s="387"/>
      <c r="BR55" s="387"/>
      <c r="BS55" s="387"/>
      <c r="BT55" s="387"/>
      <c r="BU55" s="387"/>
      <c r="BV55" s="387"/>
      <c r="BW55" s="387"/>
      <c r="BX55" s="387"/>
      <c r="BY55" s="387"/>
      <c r="BZ55" s="387"/>
      <c r="CA55" s="387"/>
      <c r="CB55" s="387"/>
      <c r="CC55" s="387"/>
      <c r="CD55" s="387"/>
      <c r="CE55" s="387"/>
      <c r="CF55" s="387"/>
      <c r="CG55" s="387"/>
      <c r="CH55" s="387"/>
      <c r="CI55" s="387"/>
      <c r="CJ55" s="387"/>
      <c r="CK55" s="387"/>
      <c r="CL55" s="387"/>
      <c r="CM55" s="387"/>
      <c r="CN55" s="387"/>
      <c r="CO55" s="387"/>
      <c r="CP55" s="387"/>
      <c r="CQ55" s="387"/>
      <c r="CR55" s="387"/>
      <c r="CS55" s="387"/>
      <c r="CT55" s="387"/>
      <c r="CU55" s="387"/>
      <c r="CV55" s="387"/>
      <c r="CW55" s="387"/>
      <c r="CX55" s="387"/>
      <c r="CY55" s="387"/>
      <c r="CZ55" s="387"/>
      <c r="DA55" s="387"/>
      <c r="DB55" s="387"/>
      <c r="DC55" s="387"/>
      <c r="DD55" s="387"/>
      <c r="DE55" s="387"/>
      <c r="DF55" s="387"/>
      <c r="DG55" s="387"/>
      <c r="DH55" s="387"/>
      <c r="DI55" s="387"/>
      <c r="DJ55" s="387"/>
      <c r="DK55" s="387"/>
      <c r="DL55" s="387"/>
      <c r="DM55" s="387"/>
      <c r="DN55" s="387"/>
      <c r="DO55" s="387"/>
      <c r="DP55" s="387"/>
      <c r="DQ55" s="387"/>
      <c r="DR55" s="387"/>
      <c r="DS55" s="387"/>
      <c r="DT55" s="387"/>
      <c r="DU55" s="387"/>
      <c r="DV55" s="387"/>
      <c r="DW55" s="387"/>
      <c r="DX55" s="387"/>
      <c r="DY55" s="387"/>
      <c r="DZ55" s="387"/>
      <c r="EA55" s="387"/>
      <c r="EB55" s="387"/>
      <c r="EC55" s="387"/>
      <c r="ED55" s="387"/>
      <c r="EE55" s="387"/>
      <c r="EF55" s="387"/>
      <c r="EG55" s="387"/>
      <c r="EH55" s="387"/>
      <c r="EI55" s="387"/>
      <c r="EJ55" s="387"/>
      <c r="EK55" s="387"/>
      <c r="EL55" s="387"/>
      <c r="EM55" s="387"/>
      <c r="EN55" s="387"/>
      <c r="EO55" s="387"/>
      <c r="EP55" s="387"/>
      <c r="EQ55" s="387"/>
      <c r="ER55" s="387"/>
      <c r="ES55" s="387"/>
      <c r="ET55" s="387"/>
      <c r="EU55" s="387"/>
      <c r="EV55" s="387"/>
      <c r="EW55" s="387"/>
      <c r="EX55" s="387"/>
      <c r="EY55" s="387"/>
      <c r="EZ55" s="387"/>
      <c r="FA55" s="387"/>
      <c r="FB55" s="387"/>
      <c r="FC55" s="387"/>
      <c r="FD55" s="387"/>
      <c r="FE55" s="387"/>
      <c r="FF55" s="387"/>
      <c r="FG55" s="387"/>
      <c r="FH55" s="387"/>
      <c r="FI55" s="387"/>
      <c r="FJ55" s="387"/>
      <c r="FK55" s="387"/>
      <c r="FL55" s="387"/>
      <c r="FM55" s="387"/>
      <c r="FN55" s="387"/>
      <c r="FO55" s="387"/>
      <c r="FP55" s="387"/>
      <c r="FQ55" s="387"/>
      <c r="FR55" s="387"/>
      <c r="FS55" s="387"/>
      <c r="FT55" s="387"/>
      <c r="FU55" s="387"/>
      <c r="FV55" s="387"/>
      <c r="FW55" s="387"/>
      <c r="FX55" s="387"/>
      <c r="FY55" s="387"/>
      <c r="FZ55" s="387"/>
      <c r="GA55" s="387"/>
      <c r="GB55" s="387"/>
      <c r="GC55" s="387"/>
      <c r="GD55" s="387"/>
      <c r="GE55" s="387"/>
      <c r="GF55" s="387"/>
      <c r="GG55" s="387"/>
      <c r="GH55" s="387"/>
      <c r="GI55" s="387"/>
      <c r="GJ55" s="387"/>
      <c r="GK55" s="387"/>
      <c r="GL55" s="387"/>
      <c r="GM55" s="387"/>
      <c r="GN55" s="387"/>
      <c r="GO55" s="387"/>
      <c r="GP55" s="387"/>
      <c r="GQ55" s="387"/>
      <c r="GR55" s="387"/>
      <c r="GS55" s="387"/>
      <c r="GT55" s="387"/>
      <c r="GU55" s="387"/>
      <c r="GV55" s="387"/>
      <c r="GW55" s="387"/>
      <c r="GX55" s="387"/>
      <c r="GY55" s="387"/>
      <c r="GZ55" s="387"/>
      <c r="HA55" s="387"/>
      <c r="HB55" s="387"/>
      <c r="HC55" s="387"/>
      <c r="HD55" s="387"/>
      <c r="HE55" s="387"/>
      <c r="HF55" s="387"/>
      <c r="HG55" s="387"/>
      <c r="HH55" s="387"/>
      <c r="HI55" s="387"/>
      <c r="HJ55" s="387"/>
      <c r="HK55" s="387"/>
      <c r="HL55" s="387"/>
      <c r="HM55" s="387"/>
      <c r="HN55" s="387"/>
      <c r="HO55" s="387"/>
      <c r="HP55" s="387"/>
      <c r="HQ55" s="387"/>
      <c r="HR55" s="387"/>
      <c r="HS55" s="387"/>
      <c r="HT55" s="387"/>
      <c r="HU55" s="387"/>
      <c r="HV55" s="387"/>
      <c r="HW55" s="387"/>
      <c r="HX55" s="387"/>
      <c r="HY55" s="387"/>
      <c r="HZ55" s="387"/>
      <c r="IA55" s="387"/>
      <c r="IB55" s="387"/>
      <c r="IC55" s="387"/>
      <c r="ID55" s="387"/>
      <c r="IE55" s="387"/>
      <c r="IF55" s="387"/>
      <c r="IG55" s="387"/>
      <c r="IH55" s="387"/>
      <c r="II55" s="387"/>
      <c r="IJ55" s="387"/>
      <c r="IK55" s="387"/>
      <c r="IL55" s="387"/>
      <c r="IM55" s="387"/>
      <c r="IN55" s="387"/>
      <c r="IO55" s="387"/>
      <c r="IP55" s="387"/>
      <c r="IQ55" s="387"/>
      <c r="IR55" s="387"/>
      <c r="IS55" s="387"/>
      <c r="IT55" s="387"/>
      <c r="IU55" s="387"/>
      <c r="IV55" s="387"/>
      <c r="IW55" s="387"/>
      <c r="IX55" s="387"/>
      <c r="IY55" s="387"/>
      <c r="IZ55" s="387"/>
      <c r="JA55" s="387"/>
      <c r="JB55" s="387"/>
      <c r="JC55" s="387"/>
      <c r="JD55" s="387"/>
      <c r="JE55" s="387"/>
      <c r="JF55" s="387"/>
      <c r="JG55" s="387"/>
      <c r="JH55" s="387"/>
      <c r="JI55" s="387"/>
      <c r="JJ55" s="387"/>
      <c r="JK55" s="387"/>
      <c r="JL55" s="387"/>
      <c r="JM55" s="387"/>
      <c r="JN55" s="387"/>
      <c r="JO55" s="387"/>
      <c r="JP55" s="387"/>
      <c r="JQ55" s="387"/>
      <c r="JR55" s="387"/>
      <c r="JS55" s="387"/>
      <c r="JT55" s="387"/>
      <c r="JU55" s="387"/>
      <c r="JV55" s="387"/>
      <c r="JW55" s="387"/>
      <c r="JX55" s="387"/>
      <c r="JY55" s="387"/>
      <c r="JZ55" s="387"/>
      <c r="KA55" s="387"/>
      <c r="KB55" s="387"/>
      <c r="KC55" s="387"/>
      <c r="KD55" s="387"/>
      <c r="KE55" s="387"/>
      <c r="KF55" s="387"/>
      <c r="KG55" s="387"/>
      <c r="KH55" s="387"/>
      <c r="KI55" s="387"/>
      <c r="KJ55" s="387"/>
      <c r="KK55" s="387"/>
      <c r="KL55" s="387"/>
      <c r="KM55" s="387"/>
      <c r="KN55" s="387"/>
      <c r="KO55" s="387"/>
      <c r="KP55" s="387"/>
      <c r="KQ55" s="387"/>
      <c r="KR55" s="387"/>
      <c r="KS55" s="387"/>
      <c r="KT55" s="387"/>
      <c r="KU55" s="387"/>
      <c r="KV55" s="387"/>
      <c r="KW55" s="387"/>
      <c r="KX55" s="387"/>
      <c r="KY55" s="387"/>
      <c r="KZ55" s="387"/>
      <c r="LA55" s="387"/>
      <c r="LB55" s="387"/>
      <c r="LC55" s="387"/>
      <c r="LD55" s="387"/>
      <c r="LE55" s="387"/>
      <c r="LF55" s="387"/>
      <c r="LG55" s="387"/>
      <c r="LH55" s="387"/>
      <c r="LI55" s="387"/>
      <c r="LJ55" s="387"/>
      <c r="LK55" s="387"/>
      <c r="LL55" s="387"/>
      <c r="LM55" s="387"/>
      <c r="LN55" s="387"/>
      <c r="LO55" s="387"/>
      <c r="LP55" s="387"/>
      <c r="LQ55" s="387"/>
      <c r="LR55" s="387"/>
      <c r="LS55" s="387"/>
      <c r="LT55" s="387"/>
      <c r="LU55" s="387"/>
      <c r="LV55" s="387"/>
      <c r="LW55" s="387"/>
      <c r="LX55" s="387"/>
      <c r="LY55" s="387"/>
      <c r="LZ55" s="387"/>
      <c r="MA55" s="387"/>
      <c r="MB55" s="387"/>
      <c r="MC55" s="387"/>
      <c r="MD55" s="387"/>
      <c r="ME55" s="387"/>
      <c r="MF55" s="387"/>
      <c r="MG55" s="387"/>
      <c r="MH55" s="387"/>
      <c r="MI55" s="387"/>
      <c r="MJ55" s="387"/>
      <c r="MK55" s="387"/>
      <c r="ML55" s="387"/>
      <c r="MM55" s="387"/>
      <c r="MN55" s="387"/>
      <c r="MO55" s="387"/>
      <c r="MP55" s="387"/>
      <c r="MQ55" s="387"/>
      <c r="MR55" s="387"/>
      <c r="MS55" s="387"/>
      <c r="MT55" s="387"/>
      <c r="MU55" s="387"/>
      <c r="MV55" s="387"/>
      <c r="MW55" s="387"/>
      <c r="MX55" s="387"/>
      <c r="MY55" s="387"/>
      <c r="MZ55" s="387"/>
      <c r="NA55" s="387"/>
      <c r="NB55" s="387"/>
      <c r="NC55" s="387"/>
      <c r="ND55" s="387"/>
      <c r="NE55" s="387"/>
      <c r="NF55" s="387"/>
      <c r="NG55" s="387"/>
      <c r="NH55" s="387"/>
      <c r="NI55" s="387"/>
      <c r="NJ55" s="387"/>
      <c r="NK55" s="387"/>
      <c r="NL55" s="387"/>
      <c r="NM55" s="387"/>
      <c r="NN55" s="387"/>
      <c r="NO55" s="387"/>
      <c r="NP55" s="387"/>
      <c r="NQ55" s="387"/>
      <c r="NR55" s="387"/>
      <c r="NS55" s="387"/>
      <c r="NT55" s="387"/>
      <c r="NU55" s="387"/>
      <c r="NV55" s="387"/>
      <c r="NW55" s="387"/>
      <c r="NX55" s="387"/>
      <c r="NY55" s="387"/>
      <c r="NZ55" s="387"/>
      <c r="OA55" s="387"/>
      <c r="OB55" s="387"/>
      <c r="OC55" s="387"/>
      <c r="OD55" s="387"/>
      <c r="OE55" s="387"/>
      <c r="OF55" s="387"/>
      <c r="OG55" s="387"/>
      <c r="OH55" s="387"/>
      <c r="OI55" s="387"/>
      <c r="OJ55" s="387"/>
      <c r="OK55" s="387"/>
      <c r="OL55" s="387"/>
      <c r="OM55" s="387"/>
      <c r="ON55" s="387"/>
      <c r="OO55" s="387"/>
      <c r="OP55" s="387"/>
      <c r="OQ55" s="387"/>
      <c r="OR55" s="387"/>
      <c r="OS55" s="387"/>
      <c r="OT55" s="387"/>
      <c r="OU55" s="387"/>
      <c r="OV55" s="387"/>
      <c r="OW55" s="387"/>
      <c r="OX55" s="387"/>
      <c r="OY55" s="387"/>
      <c r="OZ55" s="387"/>
      <c r="PA55" s="387"/>
      <c r="PB55" s="387"/>
      <c r="PC55" s="387"/>
      <c r="PD55" s="387"/>
      <c r="PE55" s="387"/>
      <c r="PF55" s="387"/>
      <c r="PG55" s="387"/>
      <c r="PH55" s="387"/>
      <c r="PI55" s="387"/>
      <c r="PJ55" s="387"/>
      <c r="PK55" s="387"/>
      <c r="PL55" s="387"/>
      <c r="PM55" s="387"/>
      <c r="PN55" s="387"/>
      <c r="PO55" s="387"/>
      <c r="PP55" s="387"/>
      <c r="PQ55" s="387"/>
      <c r="PR55" s="387"/>
      <c r="PS55" s="387"/>
      <c r="PT55" s="387"/>
      <c r="PU55" s="387"/>
      <c r="PV55" s="387"/>
      <c r="PW55" s="387"/>
      <c r="PX55" s="387"/>
      <c r="PY55" s="387"/>
      <c r="PZ55" s="387"/>
      <c r="QA55" s="387"/>
      <c r="QB55" s="387"/>
      <c r="QC55" s="387"/>
      <c r="QD55" s="387"/>
      <c r="QE55" s="387"/>
      <c r="QF55" s="387"/>
      <c r="QG55" s="387"/>
      <c r="QH55" s="387"/>
      <c r="QI55" s="387"/>
      <c r="QJ55" s="387"/>
      <c r="QK55" s="387"/>
      <c r="QL55" s="387"/>
      <c r="QM55" s="387"/>
      <c r="QN55" s="387"/>
      <c r="QO55" s="387"/>
      <c r="QP55" s="387"/>
      <c r="QQ55" s="387"/>
      <c r="QR55" s="387"/>
      <c r="QS55" s="387"/>
      <c r="QT55" s="387"/>
      <c r="QU55" s="387"/>
      <c r="QV55" s="387"/>
      <c r="QW55" s="387"/>
      <c r="QX55" s="387"/>
      <c r="QY55" s="387"/>
      <c r="QZ55" s="387"/>
      <c r="RA55" s="387"/>
      <c r="RB55" s="387"/>
      <c r="RC55" s="387"/>
      <c r="RD55" s="387"/>
      <c r="RE55" s="387"/>
      <c r="RF55" s="387"/>
      <c r="RG55" s="387"/>
      <c r="RH55" s="387"/>
      <c r="RI55" s="387"/>
      <c r="RJ55" s="387"/>
      <c r="RK55" s="387"/>
      <c r="RL55" s="387"/>
      <c r="RM55" s="387"/>
      <c r="RN55" s="387"/>
      <c r="RO55" s="387"/>
      <c r="RP55" s="387"/>
      <c r="RQ55" s="387"/>
      <c r="RR55" s="387"/>
      <c r="RS55" s="387"/>
      <c r="RT55" s="387"/>
      <c r="RU55" s="387"/>
      <c r="RV55" s="387"/>
      <c r="RW55" s="387"/>
      <c r="RX55" s="387"/>
      <c r="RY55" s="387"/>
      <c r="RZ55" s="387"/>
      <c r="SA55" s="387"/>
      <c r="SB55" s="387"/>
      <c r="SC55" s="387"/>
      <c r="SD55" s="387"/>
      <c r="SE55" s="387"/>
      <c r="SF55" s="387"/>
      <c r="SG55" s="387"/>
      <c r="SH55" s="387"/>
      <c r="SI55" s="387"/>
      <c r="SJ55" s="387"/>
      <c r="SK55" s="387"/>
      <c r="SL55" s="387"/>
      <c r="SM55" s="387"/>
      <c r="SN55" s="387"/>
      <c r="SO55" s="387"/>
      <c r="SP55" s="387"/>
      <c r="SQ55" s="387"/>
      <c r="SR55" s="387"/>
      <c r="SS55" s="387"/>
      <c r="ST55" s="387"/>
      <c r="SU55" s="387"/>
      <c r="SV55" s="387"/>
      <c r="SW55" s="387"/>
      <c r="SX55" s="387"/>
      <c r="SY55" s="387"/>
      <c r="SZ55" s="387"/>
      <c r="TA55" s="387"/>
      <c r="TB55" s="387"/>
      <c r="TC55" s="387"/>
      <c r="TD55" s="387"/>
      <c r="TE55" s="387"/>
      <c r="TF55" s="387"/>
      <c r="TG55" s="387"/>
      <c r="TH55" s="387"/>
      <c r="TI55" s="387"/>
      <c r="TJ55" s="387"/>
      <c r="TK55" s="387"/>
      <c r="TL55" s="387"/>
      <c r="TM55" s="387"/>
      <c r="TN55" s="387"/>
      <c r="TO55" s="387"/>
      <c r="TP55" s="387"/>
      <c r="TQ55" s="387"/>
      <c r="TR55" s="387"/>
      <c r="TS55" s="387"/>
      <c r="TT55" s="387"/>
      <c r="TU55" s="387"/>
      <c r="TV55" s="387"/>
      <c r="TW55" s="387"/>
      <c r="TX55" s="387"/>
      <c r="TY55" s="387"/>
      <c r="TZ55" s="387"/>
      <c r="UA55" s="387"/>
      <c r="UB55" s="387"/>
      <c r="UC55" s="387"/>
      <c r="UD55" s="387"/>
      <c r="UE55" s="387"/>
      <c r="UF55" s="387"/>
      <c r="UG55" s="387"/>
      <c r="UH55" s="387"/>
      <c r="UI55" s="387"/>
      <c r="UJ55" s="387"/>
      <c r="UK55" s="387"/>
      <c r="UL55" s="387"/>
      <c r="UM55" s="387"/>
      <c r="UN55" s="387"/>
      <c r="UO55" s="387"/>
      <c r="UP55" s="387"/>
      <c r="UQ55" s="387"/>
      <c r="UR55" s="387"/>
      <c r="US55" s="387"/>
      <c r="UT55" s="387"/>
      <c r="UU55" s="387"/>
      <c r="UV55" s="387"/>
      <c r="UW55" s="387"/>
      <c r="UX55" s="387"/>
      <c r="UY55" s="387"/>
      <c r="UZ55" s="387"/>
      <c r="VA55" s="387"/>
      <c r="VB55" s="387"/>
      <c r="VC55" s="387"/>
      <c r="VD55" s="387"/>
      <c r="VE55" s="387"/>
      <c r="VF55" s="387"/>
      <c r="VG55" s="387"/>
      <c r="VH55" s="387"/>
      <c r="VI55" s="387"/>
      <c r="VJ55" s="387"/>
      <c r="VK55" s="387"/>
      <c r="VL55" s="387"/>
      <c r="VM55" s="387"/>
      <c r="VN55" s="387"/>
      <c r="VO55" s="387"/>
      <c r="VP55" s="387"/>
      <c r="VQ55" s="387"/>
      <c r="VR55" s="387"/>
      <c r="VS55" s="387"/>
      <c r="VT55" s="387"/>
      <c r="VU55" s="387"/>
      <c r="VV55" s="387"/>
      <c r="VW55" s="387"/>
      <c r="VX55" s="387"/>
      <c r="VY55" s="387"/>
      <c r="VZ55" s="387"/>
      <c r="WA55" s="387"/>
      <c r="WB55" s="387"/>
      <c r="WC55" s="387"/>
      <c r="WD55" s="387"/>
      <c r="WE55" s="387"/>
      <c r="WF55" s="387"/>
      <c r="WG55" s="387"/>
      <c r="WH55" s="387"/>
      <c r="WI55" s="387"/>
      <c r="WJ55" s="387"/>
      <c r="WK55" s="387"/>
      <c r="WL55" s="387"/>
      <c r="WM55" s="387"/>
      <c r="WN55" s="387"/>
      <c r="WO55" s="387"/>
      <c r="WP55" s="387"/>
      <c r="WQ55" s="387"/>
      <c r="WR55" s="387"/>
      <c r="WS55" s="387"/>
      <c r="WT55" s="387"/>
      <c r="WU55" s="387"/>
      <c r="WV55" s="387"/>
      <c r="WW55" s="387"/>
      <c r="WX55" s="387"/>
      <c r="WY55" s="387"/>
      <c r="WZ55" s="387"/>
      <c r="XA55" s="387"/>
      <c r="XB55" s="387"/>
      <c r="XC55" s="387"/>
      <c r="XD55" s="387"/>
      <c r="XE55" s="387"/>
      <c r="XF55" s="387"/>
      <c r="XG55" s="387"/>
      <c r="XH55" s="387"/>
      <c r="XI55" s="387"/>
      <c r="XJ55" s="387"/>
      <c r="XK55" s="387"/>
      <c r="XL55" s="387"/>
      <c r="XM55" s="387"/>
      <c r="XN55" s="387"/>
      <c r="XO55" s="387"/>
      <c r="XP55" s="387"/>
      <c r="XQ55" s="387"/>
      <c r="XR55" s="387"/>
      <c r="XS55" s="387"/>
      <c r="XT55" s="387"/>
      <c r="XU55" s="387"/>
      <c r="XV55" s="387"/>
      <c r="XW55" s="387"/>
      <c r="XX55" s="387"/>
      <c r="XY55" s="387"/>
      <c r="XZ55" s="387"/>
      <c r="YA55" s="387"/>
      <c r="YB55" s="387"/>
      <c r="YC55" s="387"/>
      <c r="YD55" s="387"/>
      <c r="YE55" s="387"/>
      <c r="YF55" s="387"/>
      <c r="YG55" s="387"/>
      <c r="YH55" s="387"/>
      <c r="YI55" s="387"/>
      <c r="YJ55" s="387"/>
      <c r="YK55" s="387"/>
      <c r="YL55" s="387"/>
      <c r="YM55" s="387"/>
      <c r="YN55" s="387"/>
      <c r="YO55" s="387"/>
      <c r="YP55" s="387"/>
      <c r="YQ55" s="387"/>
      <c r="YR55" s="387"/>
      <c r="YS55" s="387"/>
      <c r="YT55" s="387"/>
      <c r="YU55" s="387"/>
      <c r="YV55" s="387"/>
      <c r="YW55" s="387"/>
      <c r="YX55" s="387"/>
      <c r="YY55" s="387"/>
      <c r="YZ55" s="387"/>
      <c r="ZA55" s="387"/>
      <c r="ZB55" s="387"/>
      <c r="ZC55" s="387"/>
      <c r="ZD55" s="387"/>
      <c r="ZE55" s="387"/>
      <c r="ZF55" s="387"/>
      <c r="ZG55" s="387"/>
      <c r="ZH55" s="387"/>
      <c r="ZI55" s="387"/>
      <c r="ZJ55" s="387"/>
      <c r="ZK55" s="387"/>
      <c r="ZL55" s="387"/>
      <c r="ZM55" s="387"/>
      <c r="ZN55" s="387"/>
      <c r="ZO55" s="387"/>
      <c r="ZP55" s="387"/>
      <c r="ZQ55" s="387"/>
      <c r="ZR55" s="387"/>
      <c r="ZS55" s="387"/>
      <c r="ZT55" s="387"/>
      <c r="ZU55" s="387"/>
      <c r="ZV55" s="387"/>
      <c r="ZW55" s="387"/>
      <c r="ZX55" s="387"/>
      <c r="ZY55" s="387"/>
      <c r="ZZ55" s="387"/>
      <c r="AAA55" s="387"/>
      <c r="AAB55" s="387"/>
      <c r="AAC55" s="387"/>
      <c r="AAD55" s="387"/>
      <c r="AAE55" s="387"/>
      <c r="AAF55" s="387"/>
      <c r="AAG55" s="387"/>
      <c r="AAH55" s="387"/>
      <c r="AAI55" s="387"/>
      <c r="AAJ55" s="387"/>
      <c r="AAK55" s="387"/>
      <c r="AAL55" s="387"/>
      <c r="AAM55" s="387"/>
      <c r="AAN55" s="387"/>
      <c r="AAO55" s="387"/>
      <c r="AAP55" s="387"/>
      <c r="AAQ55" s="387"/>
      <c r="AAR55" s="387"/>
      <c r="AAS55" s="387"/>
      <c r="AAT55" s="387"/>
      <c r="AAU55" s="387"/>
      <c r="AAV55" s="387"/>
      <c r="AAW55" s="387"/>
      <c r="AAX55" s="387"/>
      <c r="AAY55" s="387"/>
      <c r="AAZ55" s="387"/>
      <c r="ABA55" s="387"/>
      <c r="ABB55" s="387"/>
      <c r="ABC55" s="387"/>
      <c r="ABD55" s="387"/>
      <c r="ABE55" s="387"/>
      <c r="ABF55" s="387"/>
      <c r="ABG55" s="387"/>
      <c r="ABH55" s="387"/>
      <c r="ABI55" s="387"/>
      <c r="ABJ55" s="387"/>
      <c r="ABK55" s="387"/>
      <c r="ABL55" s="387"/>
      <c r="ABM55" s="387"/>
      <c r="ABN55" s="387"/>
      <c r="ABO55" s="387"/>
      <c r="ABP55" s="387"/>
      <c r="ABQ55" s="387"/>
      <c r="ABR55" s="387"/>
      <c r="ABS55" s="387"/>
      <c r="ABT55" s="387"/>
      <c r="ABU55" s="387"/>
      <c r="ABV55" s="387"/>
      <c r="ABW55" s="387"/>
      <c r="ABX55" s="387"/>
      <c r="ABY55" s="387"/>
      <c r="ABZ55" s="387"/>
      <c r="ACA55" s="387"/>
      <c r="ACB55" s="387"/>
      <c r="ACC55" s="387"/>
      <c r="ACD55" s="387"/>
      <c r="ACE55" s="387"/>
      <c r="ACF55" s="387"/>
      <c r="ACG55" s="387"/>
      <c r="ACH55" s="387"/>
      <c r="ACI55" s="387"/>
      <c r="ACJ55" s="387"/>
      <c r="ACK55" s="387"/>
      <c r="ACL55" s="387"/>
      <c r="ACM55" s="387"/>
      <c r="ACN55" s="387"/>
      <c r="ACO55" s="387"/>
      <c r="ACP55" s="387"/>
      <c r="ACQ55" s="387"/>
      <c r="ACR55" s="387"/>
      <c r="ACS55" s="387"/>
      <c r="ACT55" s="387"/>
      <c r="ACU55" s="387"/>
      <c r="ACV55" s="387"/>
      <c r="ACW55" s="387"/>
      <c r="ACX55" s="387"/>
      <c r="ACY55" s="387"/>
      <c r="ACZ55" s="387"/>
      <c r="ADA55" s="387"/>
      <c r="ADB55" s="387"/>
      <c r="ADC55" s="387"/>
      <c r="ADD55" s="387"/>
      <c r="ADE55" s="387"/>
      <c r="ADF55" s="387"/>
      <c r="ADG55" s="387"/>
      <c r="ADH55" s="387"/>
      <c r="ADI55" s="387"/>
      <c r="ADJ55" s="387"/>
      <c r="ADK55" s="387"/>
      <c r="ADL55" s="387"/>
      <c r="ADM55" s="387"/>
      <c r="ADN55" s="387"/>
      <c r="ADO55" s="387"/>
      <c r="ADP55" s="387"/>
      <c r="ADQ55" s="387"/>
      <c r="ADR55" s="387"/>
      <c r="ADS55" s="387"/>
      <c r="ADT55" s="387"/>
      <c r="ADU55" s="387"/>
      <c r="ADV55" s="387"/>
      <c r="ADW55" s="387"/>
      <c r="ADX55" s="387"/>
      <c r="ADY55" s="387"/>
      <c r="ADZ55" s="387"/>
      <c r="AEA55" s="387"/>
      <c r="AEB55" s="387"/>
      <c r="AEC55" s="387"/>
      <c r="AED55" s="387"/>
      <c r="AEE55" s="387"/>
      <c r="AEF55" s="387"/>
      <c r="AEG55" s="387"/>
      <c r="AEH55" s="387"/>
      <c r="AEI55" s="387"/>
      <c r="AEJ55" s="387"/>
      <c r="AEK55" s="387"/>
      <c r="AEL55" s="387"/>
      <c r="AEM55" s="387"/>
      <c r="AEN55" s="387"/>
      <c r="AEO55" s="387"/>
      <c r="AEP55" s="387"/>
      <c r="AEQ55" s="387"/>
      <c r="AER55" s="387"/>
      <c r="AES55" s="387"/>
      <c r="AET55" s="387"/>
      <c r="AEU55" s="387"/>
      <c r="AEV55" s="387"/>
      <c r="AEW55" s="387"/>
      <c r="AEX55" s="387"/>
      <c r="AEY55" s="387"/>
      <c r="AEZ55" s="387"/>
      <c r="AFA55" s="387"/>
      <c r="AFB55" s="387"/>
      <c r="AFC55" s="387"/>
      <c r="AFD55" s="387"/>
      <c r="AFE55" s="387"/>
      <c r="AFF55" s="387"/>
      <c r="AFG55" s="387"/>
      <c r="AFH55" s="387"/>
      <c r="AFI55" s="387"/>
      <c r="AFJ55" s="387"/>
      <c r="AFK55" s="387"/>
      <c r="AFL55" s="387"/>
      <c r="AFM55" s="387"/>
      <c r="AFN55" s="387"/>
      <c r="AFO55" s="387"/>
      <c r="AFP55" s="387"/>
      <c r="AFQ55" s="387"/>
      <c r="AFR55" s="387"/>
      <c r="AFS55" s="387"/>
      <c r="AFT55" s="387"/>
      <c r="AFU55" s="387"/>
      <c r="AFV55" s="387"/>
      <c r="AFW55" s="387"/>
      <c r="AFX55" s="387"/>
      <c r="AFY55" s="387"/>
      <c r="AFZ55" s="387"/>
      <c r="AGA55" s="387"/>
      <c r="AGB55" s="387"/>
      <c r="AGC55" s="387"/>
      <c r="AGD55" s="387"/>
      <c r="AGE55" s="387"/>
      <c r="AGF55" s="387"/>
      <c r="AGG55" s="387"/>
      <c r="AGH55" s="387"/>
      <c r="AGI55" s="387"/>
      <c r="AGJ55" s="387"/>
      <c r="AGK55" s="387"/>
      <c r="AGL55" s="387"/>
      <c r="AGM55" s="387"/>
      <c r="AGN55" s="387"/>
      <c r="AGO55" s="387"/>
      <c r="AGP55" s="387"/>
      <c r="AGQ55" s="387"/>
      <c r="AGR55" s="387"/>
      <c r="AGS55" s="387"/>
      <c r="AGT55" s="387"/>
      <c r="AGU55" s="387"/>
      <c r="AGV55" s="387"/>
      <c r="AGW55" s="387"/>
      <c r="AGX55" s="387"/>
      <c r="AGY55" s="387"/>
      <c r="AGZ55" s="387"/>
      <c r="AHA55" s="387"/>
      <c r="AHB55" s="387"/>
      <c r="AHC55" s="387"/>
      <c r="AHD55" s="387"/>
      <c r="AHE55" s="387"/>
      <c r="AHF55" s="387"/>
      <c r="AHG55" s="387"/>
      <c r="AHH55" s="387"/>
      <c r="AHI55" s="387"/>
      <c r="AHJ55" s="387"/>
      <c r="AHK55" s="387"/>
      <c r="AHL55" s="387"/>
      <c r="AHM55" s="387"/>
      <c r="AHN55" s="387"/>
      <c r="AHO55" s="387"/>
      <c r="AHP55" s="387"/>
      <c r="AHQ55" s="387"/>
      <c r="AHR55" s="387"/>
      <c r="AHS55" s="387"/>
      <c r="AHT55" s="387"/>
      <c r="AHU55" s="387"/>
      <c r="AHV55" s="387"/>
      <c r="AHW55" s="387"/>
      <c r="AHX55" s="387"/>
      <c r="AHY55" s="387"/>
      <c r="AHZ55" s="387"/>
      <c r="AIA55" s="387"/>
      <c r="AIB55" s="387"/>
      <c r="AIC55" s="387"/>
      <c r="AID55" s="387"/>
      <c r="AIE55" s="387"/>
      <c r="AIF55" s="387"/>
      <c r="AIG55" s="387"/>
      <c r="AIH55" s="387"/>
      <c r="AII55" s="387"/>
      <c r="AIJ55" s="387"/>
      <c r="AIK55" s="387"/>
      <c r="AIL55" s="387"/>
      <c r="AIM55" s="387"/>
      <c r="AIN55" s="387"/>
      <c r="AIO55" s="387"/>
      <c r="AIP55" s="387"/>
      <c r="AIQ55" s="387"/>
      <c r="AIR55" s="387"/>
      <c r="AIS55" s="387"/>
      <c r="AIT55" s="387"/>
      <c r="AIU55" s="387"/>
      <c r="AIV55" s="387"/>
      <c r="AIW55" s="387"/>
      <c r="AIX55" s="387"/>
      <c r="AIY55" s="387"/>
      <c r="AIZ55" s="387"/>
      <c r="AJA55" s="387"/>
      <c r="AJB55" s="387"/>
      <c r="AJC55" s="387"/>
      <c r="AJD55" s="387"/>
      <c r="AJE55" s="387"/>
      <c r="AJF55" s="387"/>
      <c r="AJG55" s="387"/>
      <c r="AJH55" s="387"/>
      <c r="AJI55" s="387"/>
      <c r="AJJ55" s="387"/>
      <c r="AJK55" s="387"/>
      <c r="AJL55" s="387"/>
      <c r="AJM55" s="387"/>
      <c r="AJN55" s="387"/>
      <c r="AJO55" s="387"/>
      <c r="AJP55" s="387"/>
      <c r="AJQ55" s="387"/>
      <c r="AJR55" s="387"/>
      <c r="AJS55" s="387"/>
      <c r="AJT55" s="387"/>
      <c r="AJU55" s="387"/>
      <c r="AJV55" s="387"/>
      <c r="AJW55" s="387"/>
      <c r="AJX55" s="387"/>
      <c r="AJY55" s="387"/>
      <c r="AJZ55" s="387"/>
      <c r="AKA55" s="387"/>
      <c r="AKB55" s="387"/>
      <c r="AKC55" s="387"/>
      <c r="AKD55" s="387"/>
      <c r="AKE55" s="387"/>
      <c r="AKF55" s="387"/>
      <c r="AKG55" s="387"/>
      <c r="AKH55" s="387"/>
      <c r="AKI55" s="387"/>
      <c r="AKJ55" s="387"/>
      <c r="AKK55" s="387"/>
      <c r="AKL55" s="387"/>
      <c r="AKM55" s="387"/>
      <c r="AKN55" s="387"/>
      <c r="AKO55" s="387"/>
      <c r="AKP55" s="387"/>
      <c r="AKQ55" s="387"/>
      <c r="AKR55" s="387"/>
      <c r="AKS55" s="387"/>
      <c r="AKT55" s="387"/>
      <c r="AKU55" s="387"/>
      <c r="AKV55" s="387"/>
      <c r="AKW55" s="387"/>
      <c r="AKX55" s="387"/>
      <c r="AKY55" s="387"/>
      <c r="AKZ55" s="387"/>
      <c r="ALA55" s="387"/>
      <c r="ALB55" s="387"/>
      <c r="ALC55" s="387"/>
      <c r="ALD55" s="387"/>
      <c r="ALE55" s="387"/>
      <c r="ALF55" s="387"/>
      <c r="ALG55" s="387"/>
      <c r="ALH55" s="387"/>
      <c r="ALI55" s="387"/>
      <c r="ALJ55" s="387"/>
      <c r="ALK55" s="387"/>
      <c r="ALL55" s="387"/>
      <c r="ALM55" s="387"/>
      <c r="ALN55" s="387"/>
      <c r="ALO55" s="387"/>
      <c r="ALP55" s="387"/>
      <c r="ALQ55" s="387"/>
      <c r="ALR55" s="387"/>
      <c r="ALS55" s="387"/>
      <c r="ALT55" s="387"/>
      <c r="ALU55" s="387"/>
      <c r="ALV55" s="387"/>
      <c r="ALW55" s="387"/>
      <c r="ALX55" s="387"/>
      <c r="ALY55" s="387"/>
      <c r="ALZ55" s="387"/>
      <c r="AMA55" s="387"/>
      <c r="AMB55" s="387"/>
      <c r="AMC55" s="387"/>
      <c r="AMD55" s="387"/>
      <c r="AME55" s="387"/>
      <c r="AMF55" s="387"/>
      <c r="AMG55" s="387"/>
      <c r="AMH55" s="387"/>
      <c r="AMI55" s="387"/>
      <c r="AMJ55" s="387"/>
      <c r="AMK55" s="387"/>
      <c r="AML55" s="387"/>
      <c r="AMM55" s="387"/>
      <c r="AMN55" s="387"/>
      <c r="AMO55" s="387"/>
      <c r="AMP55" s="387"/>
      <c r="AMQ55" s="387"/>
      <c r="AMR55" s="387"/>
      <c r="AMS55" s="387"/>
      <c r="AMT55" s="387"/>
      <c r="AMU55" s="387"/>
      <c r="AMV55" s="387"/>
      <c r="AMW55" s="387"/>
      <c r="AMX55" s="387"/>
      <c r="AMY55" s="387"/>
      <c r="AMZ55" s="387"/>
      <c r="ANA55" s="387"/>
      <c r="ANB55" s="387"/>
      <c r="ANC55" s="387"/>
      <c r="AND55" s="387"/>
      <c r="ANE55" s="387"/>
      <c r="ANF55" s="387"/>
      <c r="ANG55" s="387"/>
      <c r="ANH55" s="387"/>
      <c r="ANI55" s="387"/>
      <c r="ANJ55" s="387"/>
      <c r="ANK55" s="387"/>
      <c r="ANL55" s="387"/>
      <c r="ANM55" s="387"/>
      <c r="ANN55" s="387"/>
      <c r="ANO55" s="387"/>
      <c r="ANP55" s="387"/>
      <c r="ANQ55" s="387"/>
      <c r="ANR55" s="387"/>
      <c r="ANS55" s="387"/>
      <c r="ANT55" s="387"/>
      <c r="ANU55" s="387"/>
      <c r="ANV55" s="387"/>
      <c r="ANW55" s="387"/>
      <c r="ANX55" s="387"/>
      <c r="ANY55" s="387"/>
      <c r="ANZ55" s="387"/>
      <c r="AOA55" s="387"/>
      <c r="AOB55" s="387"/>
      <c r="AOC55" s="387"/>
      <c r="AOD55" s="387"/>
      <c r="AOE55" s="387"/>
      <c r="AOF55" s="387"/>
      <c r="AOG55" s="387"/>
      <c r="AOH55" s="387"/>
      <c r="AOI55" s="387"/>
      <c r="AOJ55" s="387"/>
      <c r="AOK55" s="387"/>
      <c r="AOL55" s="387"/>
      <c r="AOM55" s="387"/>
      <c r="AON55" s="387"/>
      <c r="AOO55" s="387"/>
      <c r="AOP55" s="387"/>
      <c r="AOQ55" s="387"/>
      <c r="AOR55" s="387"/>
      <c r="AOS55" s="387"/>
      <c r="AOT55" s="387"/>
      <c r="AOU55" s="387"/>
      <c r="AOV55" s="387"/>
      <c r="AOW55" s="387"/>
      <c r="AOX55" s="387"/>
      <c r="AOY55" s="387"/>
      <c r="AOZ55" s="387"/>
      <c r="APA55" s="387"/>
      <c r="APB55" s="387"/>
      <c r="APC55" s="387"/>
      <c r="APD55" s="387"/>
      <c r="APE55" s="387"/>
      <c r="APF55" s="387"/>
      <c r="APG55" s="387"/>
      <c r="APH55" s="387"/>
      <c r="API55" s="387"/>
      <c r="APJ55" s="387"/>
      <c r="APK55" s="387"/>
      <c r="APL55" s="387"/>
      <c r="APM55" s="387"/>
      <c r="APN55" s="387"/>
      <c r="APO55" s="387"/>
      <c r="APP55" s="387"/>
      <c r="APQ55" s="387"/>
      <c r="APR55" s="387"/>
      <c r="APS55" s="387"/>
      <c r="APT55" s="387"/>
      <c r="APU55" s="387"/>
      <c r="APV55" s="387"/>
      <c r="APW55" s="387"/>
      <c r="APX55" s="387"/>
      <c r="APY55" s="387"/>
      <c r="APZ55" s="387"/>
      <c r="AQA55" s="387"/>
      <c r="AQB55" s="387"/>
      <c r="AQC55" s="387"/>
      <c r="AQD55" s="387"/>
      <c r="AQE55" s="387"/>
      <c r="AQF55" s="387"/>
      <c r="AQG55" s="387"/>
      <c r="AQH55" s="387"/>
      <c r="AQI55" s="387"/>
      <c r="AQJ55" s="387"/>
      <c r="AQK55" s="387"/>
      <c r="AQL55" s="387"/>
      <c r="AQM55" s="387"/>
      <c r="AQN55" s="387"/>
      <c r="AQO55" s="387"/>
      <c r="AQP55" s="387"/>
      <c r="AQQ55" s="387"/>
      <c r="AQR55" s="387"/>
      <c r="AQS55" s="387"/>
      <c r="AQT55" s="387"/>
      <c r="AQU55" s="387"/>
      <c r="AQV55" s="387"/>
      <c r="AQW55" s="387"/>
      <c r="AQX55" s="387"/>
      <c r="AQY55" s="387"/>
      <c r="AQZ55" s="387"/>
      <c r="ARA55" s="387"/>
      <c r="ARB55" s="387"/>
      <c r="ARC55" s="387"/>
      <c r="ARD55" s="387"/>
      <c r="ARE55" s="387"/>
      <c r="ARF55" s="387"/>
      <c r="ARG55" s="387"/>
      <c r="ARH55" s="387"/>
      <c r="ARI55" s="387"/>
      <c r="ARJ55" s="387"/>
      <c r="ARK55" s="387"/>
      <c r="ARL55" s="387"/>
      <c r="ARM55" s="387"/>
      <c r="ARN55" s="387"/>
      <c r="ARO55" s="387"/>
      <c r="ARP55" s="387"/>
      <c r="ARQ55" s="387"/>
      <c r="ARR55" s="387"/>
      <c r="ARS55" s="387"/>
      <c r="ART55" s="387"/>
      <c r="ARU55" s="387"/>
      <c r="ARV55" s="387"/>
      <c r="ARW55" s="387"/>
      <c r="ARX55" s="387"/>
      <c r="ARY55" s="387"/>
      <c r="ARZ55" s="387"/>
      <c r="ASA55" s="387"/>
      <c r="ASB55" s="387"/>
      <c r="ASC55" s="387"/>
      <c r="ASD55" s="387"/>
      <c r="ASE55" s="387"/>
      <c r="ASF55" s="387"/>
      <c r="ASG55" s="387"/>
      <c r="ASH55" s="387"/>
      <c r="ASI55" s="387"/>
      <c r="ASJ55" s="387"/>
      <c r="ASK55" s="387"/>
      <c r="ASL55" s="387"/>
      <c r="ASM55" s="387"/>
      <c r="ASN55" s="387"/>
      <c r="ASO55" s="387"/>
      <c r="ASP55" s="387"/>
      <c r="ASQ55" s="387"/>
      <c r="ASR55" s="387"/>
      <c r="ASS55" s="387"/>
      <c r="AST55" s="387"/>
      <c r="ASU55" s="387"/>
      <c r="ASV55" s="387"/>
      <c r="ASW55" s="387"/>
      <c r="ASX55" s="387"/>
      <c r="ASY55" s="387"/>
      <c r="ASZ55" s="387"/>
      <c r="ATA55" s="387"/>
      <c r="ATB55" s="387"/>
      <c r="ATC55" s="387"/>
      <c r="ATD55" s="387"/>
      <c r="ATE55" s="387"/>
      <c r="ATF55" s="387"/>
      <c r="ATG55" s="387"/>
      <c r="ATH55" s="387"/>
      <c r="ATI55" s="387"/>
      <c r="ATJ55" s="387"/>
      <c r="ATK55" s="387"/>
      <c r="ATL55" s="387"/>
      <c r="ATM55" s="387"/>
      <c r="ATN55" s="387"/>
      <c r="ATO55" s="387"/>
      <c r="ATP55" s="387"/>
      <c r="ATQ55" s="387"/>
      <c r="ATR55" s="387"/>
      <c r="ATS55" s="387"/>
      <c r="ATT55" s="387"/>
      <c r="ATU55" s="387"/>
      <c r="ATV55" s="387"/>
      <c r="ATW55" s="387"/>
      <c r="ATX55" s="387"/>
      <c r="ATY55" s="387"/>
      <c r="ATZ55" s="387"/>
      <c r="AUA55" s="387"/>
      <c r="AUB55" s="387"/>
      <c r="AUC55" s="387"/>
      <c r="AUD55" s="387"/>
      <c r="AUE55" s="387"/>
      <c r="AUF55" s="387"/>
      <c r="AUG55" s="387"/>
      <c r="AUH55" s="387"/>
      <c r="AUI55" s="387"/>
      <c r="AUJ55" s="387"/>
      <c r="AUK55" s="387"/>
      <c r="AUL55" s="387"/>
      <c r="AUM55" s="387"/>
      <c r="AUN55" s="387"/>
      <c r="AUO55" s="387"/>
      <c r="AUP55" s="387"/>
      <c r="AUQ55" s="387"/>
      <c r="AUR55" s="387"/>
      <c r="AUS55" s="387"/>
      <c r="AUT55" s="387"/>
      <c r="AUU55" s="387"/>
      <c r="AUV55" s="387"/>
      <c r="AUW55" s="387"/>
      <c r="AUX55" s="387"/>
      <c r="AUY55" s="387"/>
      <c r="AUZ55" s="387"/>
      <c r="AVA55" s="387"/>
      <c r="AVB55" s="387"/>
      <c r="AVC55" s="387"/>
      <c r="AVD55" s="387"/>
      <c r="AVE55" s="387"/>
      <c r="AVF55" s="387"/>
      <c r="AVG55" s="387"/>
      <c r="AVH55" s="387"/>
      <c r="AVI55" s="387"/>
      <c r="AVJ55" s="387"/>
      <c r="AVK55" s="387"/>
      <c r="AVL55" s="387"/>
      <c r="AVM55" s="387"/>
      <c r="AVN55" s="387"/>
      <c r="AVO55" s="387"/>
      <c r="AVP55" s="387"/>
      <c r="AVQ55" s="387"/>
      <c r="AVR55" s="387"/>
      <c r="AVS55" s="387"/>
      <c r="AVT55" s="387"/>
      <c r="AVU55" s="387"/>
      <c r="AVV55" s="387"/>
      <c r="AVW55" s="387"/>
      <c r="AVX55" s="387"/>
      <c r="AVY55" s="387"/>
      <c r="AVZ55" s="387"/>
      <c r="AWA55" s="387"/>
      <c r="AWB55" s="387"/>
      <c r="AWC55" s="387"/>
      <c r="AWD55" s="387"/>
      <c r="AWE55" s="387"/>
      <c r="AWF55" s="387"/>
      <c r="AWG55" s="387"/>
      <c r="AWH55" s="387"/>
      <c r="AWI55" s="387"/>
      <c r="AWJ55" s="387"/>
      <c r="AWK55" s="387"/>
      <c r="AWL55" s="387"/>
      <c r="AWM55" s="387"/>
      <c r="AWN55" s="387"/>
      <c r="AWO55" s="387"/>
      <c r="AWP55" s="387"/>
      <c r="AWQ55" s="387"/>
      <c r="AWR55" s="387"/>
      <c r="AWS55" s="387"/>
      <c r="AWT55" s="387"/>
      <c r="AWU55" s="387"/>
      <c r="AWV55" s="387"/>
      <c r="AWW55" s="387"/>
      <c r="AWX55" s="387"/>
      <c r="AWY55" s="387"/>
      <c r="AWZ55" s="387"/>
      <c r="AXA55" s="387"/>
      <c r="AXB55" s="387"/>
      <c r="AXC55" s="387"/>
      <c r="AXD55" s="387"/>
      <c r="AXE55" s="387"/>
      <c r="AXF55" s="387"/>
      <c r="AXG55" s="387"/>
      <c r="AXH55" s="387"/>
      <c r="AXI55" s="387"/>
      <c r="AXJ55" s="387"/>
      <c r="AXK55" s="387"/>
      <c r="AXL55" s="387"/>
      <c r="AXM55" s="387"/>
      <c r="AXN55" s="387"/>
      <c r="AXO55" s="387"/>
      <c r="AXP55" s="387"/>
      <c r="AXQ55" s="387"/>
      <c r="AXR55" s="387"/>
      <c r="AXS55" s="387"/>
      <c r="AXT55" s="387"/>
      <c r="AXU55" s="387"/>
      <c r="AXV55" s="387"/>
      <c r="AXW55" s="387"/>
      <c r="AXX55" s="387"/>
      <c r="AXY55" s="387"/>
      <c r="AXZ55" s="387"/>
      <c r="AYA55" s="387"/>
      <c r="AYB55" s="387"/>
      <c r="AYC55" s="387"/>
      <c r="AYD55" s="387"/>
      <c r="AYE55" s="387"/>
      <c r="AYF55" s="387"/>
      <c r="AYG55" s="387"/>
      <c r="AYH55" s="387"/>
      <c r="AYI55" s="387"/>
      <c r="AYJ55" s="387"/>
      <c r="AYK55" s="387"/>
      <c r="AYL55" s="387"/>
      <c r="AYM55" s="387"/>
      <c r="AYN55" s="387"/>
      <c r="AYO55" s="387"/>
      <c r="AYP55" s="387"/>
      <c r="AYQ55" s="387"/>
      <c r="AYR55" s="387"/>
      <c r="AYS55" s="387"/>
      <c r="AYT55" s="387"/>
      <c r="AYU55" s="387"/>
      <c r="AYV55" s="387"/>
      <c r="AYW55" s="387"/>
      <c r="AYX55" s="387"/>
      <c r="AYY55" s="387"/>
      <c r="AYZ55" s="387"/>
      <c r="AZA55" s="387"/>
      <c r="AZB55" s="387"/>
      <c r="AZC55" s="387"/>
      <c r="AZD55" s="387"/>
      <c r="AZE55" s="387"/>
      <c r="AZF55" s="387"/>
      <c r="AZG55" s="387"/>
      <c r="AZH55" s="387"/>
      <c r="AZI55" s="387"/>
      <c r="AZJ55" s="387"/>
      <c r="AZK55" s="387"/>
      <c r="AZL55" s="387"/>
      <c r="AZM55" s="387"/>
      <c r="AZN55" s="387"/>
      <c r="AZO55" s="387"/>
      <c r="AZP55" s="387"/>
      <c r="AZQ55" s="387"/>
      <c r="AZR55" s="387"/>
      <c r="AZS55" s="387"/>
      <c r="AZT55" s="387"/>
      <c r="AZU55" s="387"/>
      <c r="AZV55" s="387"/>
      <c r="AZW55" s="387"/>
      <c r="AZX55" s="387"/>
      <c r="AZY55" s="387"/>
      <c r="AZZ55" s="387"/>
      <c r="BAA55" s="387"/>
      <c r="BAB55" s="387"/>
      <c r="BAC55" s="387"/>
      <c r="BAD55" s="387"/>
      <c r="BAE55" s="387"/>
      <c r="BAF55" s="387"/>
      <c r="BAG55" s="387"/>
      <c r="BAH55" s="387"/>
      <c r="BAI55" s="387"/>
      <c r="BAJ55" s="387"/>
      <c r="BAK55" s="387"/>
      <c r="BAL55" s="387"/>
      <c r="BAM55" s="387"/>
      <c r="BAN55" s="387"/>
      <c r="BAO55" s="387"/>
      <c r="BAP55" s="387"/>
      <c r="BAQ55" s="387"/>
      <c r="BAR55" s="387"/>
      <c r="BAS55" s="387"/>
      <c r="BAT55" s="387"/>
      <c r="BAU55" s="387"/>
      <c r="BAV55" s="387"/>
      <c r="BAW55" s="387"/>
      <c r="BAX55" s="387"/>
      <c r="BAY55" s="387"/>
      <c r="BAZ55" s="387"/>
      <c r="BBA55" s="387"/>
      <c r="BBB55" s="387"/>
      <c r="BBC55" s="387"/>
      <c r="BBD55" s="387"/>
      <c r="BBE55" s="387"/>
      <c r="BBF55" s="387"/>
      <c r="BBG55" s="387"/>
      <c r="BBH55" s="387"/>
      <c r="BBI55" s="387"/>
      <c r="BBJ55" s="387"/>
      <c r="BBK55" s="387"/>
      <c r="BBL55" s="387"/>
      <c r="BBM55" s="387"/>
      <c r="BBN55" s="387"/>
      <c r="BBO55" s="387"/>
      <c r="BBP55" s="387"/>
      <c r="BBQ55" s="387"/>
      <c r="BBR55" s="387"/>
      <c r="BBS55" s="387"/>
      <c r="BBT55" s="387"/>
      <c r="BBU55" s="387"/>
      <c r="BBV55" s="387"/>
      <c r="BBW55" s="387"/>
      <c r="BBX55" s="387"/>
      <c r="BBY55" s="387"/>
      <c r="BBZ55" s="387"/>
      <c r="BCA55" s="387"/>
      <c r="BCB55" s="387"/>
      <c r="BCC55" s="387"/>
      <c r="BCD55" s="387"/>
      <c r="BCE55" s="387"/>
      <c r="BCF55" s="387"/>
      <c r="BCG55" s="387"/>
      <c r="BCH55" s="387"/>
      <c r="BCI55" s="387"/>
      <c r="BCJ55" s="387"/>
      <c r="BCK55" s="387"/>
      <c r="BCL55" s="387"/>
      <c r="BCM55" s="387"/>
      <c r="BCN55" s="387"/>
      <c r="BCO55" s="387"/>
      <c r="BCP55" s="387"/>
      <c r="BCQ55" s="387"/>
      <c r="BCR55" s="387"/>
      <c r="BCS55" s="387"/>
      <c r="BCT55" s="387"/>
      <c r="BCU55" s="387"/>
      <c r="BCV55" s="387"/>
      <c r="BCW55" s="387"/>
      <c r="BCX55" s="387"/>
      <c r="BCY55" s="387"/>
      <c r="BCZ55" s="387"/>
      <c r="BDA55" s="387"/>
      <c r="BDB55" s="387"/>
      <c r="BDC55" s="387"/>
      <c r="BDD55" s="387"/>
      <c r="BDE55" s="387"/>
      <c r="BDF55" s="387"/>
      <c r="BDG55" s="387"/>
      <c r="BDH55" s="387"/>
      <c r="BDI55" s="387"/>
      <c r="BDJ55" s="387"/>
      <c r="BDK55" s="387"/>
      <c r="BDL55" s="387"/>
      <c r="BDM55" s="387"/>
      <c r="BDN55" s="387"/>
      <c r="BDO55" s="387"/>
      <c r="BDP55" s="387"/>
      <c r="BDQ55" s="387"/>
      <c r="BDR55" s="387"/>
      <c r="BDS55" s="387"/>
      <c r="BDT55" s="387"/>
      <c r="BDU55" s="387"/>
      <c r="BDV55" s="387"/>
      <c r="BDW55" s="387"/>
      <c r="BDX55" s="387"/>
      <c r="BDY55" s="387"/>
      <c r="BDZ55" s="387"/>
      <c r="BEA55" s="387"/>
      <c r="BEB55" s="387"/>
      <c r="BEC55" s="387"/>
      <c r="BED55" s="387"/>
      <c r="BEE55" s="387"/>
      <c r="BEF55" s="387"/>
      <c r="BEG55" s="387"/>
      <c r="BEH55" s="387"/>
      <c r="BEI55" s="387"/>
      <c r="BEJ55" s="387"/>
      <c r="BEK55" s="387"/>
      <c r="BEL55" s="387"/>
      <c r="BEM55" s="387"/>
      <c r="BEN55" s="387"/>
      <c r="BEO55" s="387"/>
      <c r="BEP55" s="387"/>
      <c r="BEQ55" s="387"/>
      <c r="BER55" s="387"/>
      <c r="BES55" s="387"/>
      <c r="BET55" s="387"/>
      <c r="BEU55" s="387"/>
      <c r="BEV55" s="387"/>
      <c r="BEW55" s="387"/>
      <c r="BEX55" s="387"/>
      <c r="BEY55" s="387"/>
      <c r="BEZ55" s="387"/>
      <c r="BFA55" s="387"/>
      <c r="BFB55" s="387"/>
      <c r="BFC55" s="387"/>
      <c r="BFD55" s="387"/>
      <c r="BFE55" s="387"/>
      <c r="BFF55" s="387"/>
      <c r="BFG55" s="387"/>
      <c r="BFH55" s="387"/>
      <c r="BFI55" s="387"/>
      <c r="BFJ55" s="387"/>
      <c r="BFK55" s="387"/>
      <c r="BFL55" s="387"/>
      <c r="BFM55" s="387"/>
      <c r="BFN55" s="387"/>
      <c r="BFO55" s="387"/>
      <c r="BFP55" s="387"/>
      <c r="BFQ55" s="387"/>
      <c r="BFR55" s="387"/>
      <c r="BFS55" s="387"/>
      <c r="BFT55" s="387"/>
      <c r="BFU55" s="387"/>
      <c r="BFV55" s="387"/>
      <c r="BFW55" s="387"/>
      <c r="BFX55" s="387"/>
      <c r="BFY55" s="387"/>
      <c r="BFZ55" s="387"/>
      <c r="BGA55" s="387"/>
      <c r="BGB55" s="387"/>
      <c r="BGC55" s="387"/>
      <c r="BGD55" s="387"/>
      <c r="BGE55" s="387"/>
      <c r="BGF55" s="387"/>
      <c r="BGG55" s="387"/>
      <c r="BGH55" s="387"/>
      <c r="BGI55" s="387"/>
      <c r="BGJ55" s="387"/>
      <c r="BGK55" s="387"/>
      <c r="BGL55" s="387"/>
      <c r="BGM55" s="387"/>
      <c r="BGN55" s="387"/>
      <c r="BGO55" s="387"/>
      <c r="BGP55" s="387"/>
      <c r="BGQ55" s="387"/>
      <c r="BGR55" s="387"/>
      <c r="BGS55" s="387"/>
      <c r="BGT55" s="387"/>
      <c r="BGU55" s="387"/>
      <c r="BGV55" s="387"/>
      <c r="BGW55" s="387"/>
      <c r="BGX55" s="387"/>
      <c r="BGY55" s="387"/>
      <c r="BGZ55" s="387"/>
      <c r="BHA55" s="387"/>
      <c r="BHB55" s="387"/>
      <c r="BHC55" s="387"/>
      <c r="BHD55" s="387"/>
      <c r="BHE55" s="387"/>
      <c r="BHF55" s="387"/>
      <c r="BHG55" s="387"/>
      <c r="BHH55" s="387"/>
      <c r="BHI55" s="387"/>
      <c r="BHJ55" s="387"/>
      <c r="BHK55" s="387"/>
      <c r="BHL55" s="387"/>
      <c r="BHM55" s="387"/>
      <c r="BHN55" s="387"/>
      <c r="BHO55" s="387"/>
      <c r="BHP55" s="387"/>
      <c r="BHQ55" s="387"/>
      <c r="BHR55" s="387"/>
      <c r="BHS55" s="387"/>
      <c r="BHT55" s="387"/>
      <c r="BHU55" s="387"/>
      <c r="BHV55" s="387"/>
      <c r="BHW55" s="387"/>
      <c r="BHX55" s="387"/>
      <c r="BHY55" s="387"/>
      <c r="BHZ55" s="387"/>
      <c r="BIA55" s="387"/>
      <c r="BIB55" s="387"/>
      <c r="BIC55" s="387"/>
      <c r="BID55" s="387"/>
      <c r="BIE55" s="387"/>
      <c r="BIF55" s="387"/>
      <c r="BIG55" s="387"/>
      <c r="BIH55" s="387"/>
      <c r="BII55" s="387"/>
      <c r="BIJ55" s="387"/>
      <c r="BIK55" s="387"/>
      <c r="BIL55" s="387"/>
      <c r="BIM55" s="387"/>
      <c r="BIN55" s="387"/>
      <c r="BIO55" s="387"/>
      <c r="BIP55" s="387"/>
      <c r="BIQ55" s="387"/>
      <c r="BIR55" s="387"/>
      <c r="BIS55" s="387"/>
      <c r="BIT55" s="387"/>
      <c r="BIU55" s="387"/>
      <c r="BIV55" s="387"/>
      <c r="BIW55" s="387"/>
      <c r="BIX55" s="387"/>
      <c r="BIY55" s="387"/>
      <c r="BIZ55" s="387"/>
      <c r="BJA55" s="387"/>
      <c r="BJB55" s="387"/>
      <c r="BJC55" s="387"/>
      <c r="BJD55" s="387"/>
      <c r="BJE55" s="387"/>
      <c r="BJF55" s="387"/>
      <c r="BJG55" s="387"/>
      <c r="BJH55" s="387"/>
      <c r="BJI55" s="387"/>
      <c r="BJJ55" s="387"/>
      <c r="BJK55" s="387"/>
      <c r="BJL55" s="387"/>
      <c r="BJM55" s="387"/>
      <c r="BJN55" s="387"/>
      <c r="BJO55" s="387"/>
      <c r="BJP55" s="387"/>
      <c r="BJQ55" s="387"/>
      <c r="BJR55" s="387"/>
      <c r="BJS55" s="387"/>
      <c r="BJT55" s="387"/>
      <c r="BJU55" s="387"/>
      <c r="BJV55" s="387"/>
      <c r="BJW55" s="387"/>
      <c r="BJX55" s="387"/>
      <c r="BJY55" s="387"/>
      <c r="BJZ55" s="387"/>
      <c r="BKA55" s="387"/>
      <c r="BKB55" s="387"/>
      <c r="BKC55" s="387"/>
      <c r="BKD55" s="387"/>
      <c r="BKE55" s="387"/>
      <c r="BKF55" s="387"/>
      <c r="BKG55" s="387"/>
      <c r="BKH55" s="387"/>
      <c r="BKI55" s="387"/>
      <c r="BKJ55" s="387"/>
      <c r="BKK55" s="387"/>
      <c r="BKL55" s="387"/>
      <c r="BKM55" s="387"/>
      <c r="BKN55" s="387"/>
      <c r="BKO55" s="387"/>
      <c r="BKP55" s="387"/>
      <c r="BKQ55" s="387"/>
      <c r="BKR55" s="387"/>
      <c r="BKS55" s="387"/>
      <c r="BKT55" s="387"/>
      <c r="BKU55" s="387"/>
      <c r="BKV55" s="387"/>
      <c r="BKW55" s="387"/>
      <c r="BKX55" s="387"/>
      <c r="BKY55" s="387"/>
      <c r="BKZ55" s="387"/>
      <c r="BLA55" s="387"/>
      <c r="BLB55" s="387"/>
      <c r="BLC55" s="387"/>
      <c r="BLD55" s="387"/>
      <c r="BLE55" s="387"/>
      <c r="BLF55" s="387"/>
      <c r="BLG55" s="387"/>
      <c r="BLH55" s="387"/>
      <c r="BLI55" s="387"/>
      <c r="BLJ55" s="387"/>
      <c r="BLK55" s="387"/>
      <c r="BLL55" s="387"/>
      <c r="BLM55" s="387"/>
      <c r="BLN55" s="387"/>
      <c r="BLO55" s="387"/>
      <c r="BLP55" s="387"/>
      <c r="BLQ55" s="387"/>
      <c r="BLR55" s="387"/>
      <c r="BLS55" s="387"/>
      <c r="BLT55" s="387"/>
      <c r="BLU55" s="387"/>
      <c r="BLV55" s="387"/>
      <c r="BLW55" s="387"/>
      <c r="BLX55" s="387"/>
      <c r="BLY55" s="387"/>
      <c r="BLZ55" s="387"/>
      <c r="BMA55" s="387"/>
      <c r="BMB55" s="387"/>
      <c r="BMC55" s="387"/>
      <c r="BMD55" s="387"/>
      <c r="BME55" s="387"/>
      <c r="BMF55" s="387"/>
      <c r="BMG55" s="387"/>
      <c r="BMH55" s="387"/>
      <c r="BMI55" s="387"/>
      <c r="BMJ55" s="387"/>
      <c r="BMK55" s="387"/>
      <c r="BML55" s="387"/>
      <c r="BMM55" s="387"/>
      <c r="BMN55" s="387"/>
      <c r="BMO55" s="387"/>
      <c r="BMP55" s="387"/>
      <c r="BMQ55" s="387"/>
      <c r="BMR55" s="387"/>
      <c r="BMS55" s="387"/>
      <c r="BMT55" s="387"/>
      <c r="BMU55" s="387"/>
      <c r="BMV55" s="387"/>
      <c r="BMW55" s="387"/>
      <c r="BMX55" s="387"/>
      <c r="BMY55" s="387"/>
      <c r="BMZ55" s="387"/>
      <c r="BNA55" s="387"/>
      <c r="BNB55" s="387"/>
      <c r="BNC55" s="387"/>
      <c r="BND55" s="387"/>
      <c r="BNE55" s="387"/>
      <c r="BNF55" s="387"/>
      <c r="BNG55" s="387"/>
      <c r="BNH55" s="387"/>
      <c r="BNI55" s="387"/>
      <c r="BNJ55" s="387"/>
      <c r="BNK55" s="387"/>
      <c r="BNL55" s="387"/>
      <c r="BNM55" s="387"/>
      <c r="BNN55" s="387"/>
      <c r="BNO55" s="387"/>
      <c r="BNP55" s="387"/>
      <c r="BNQ55" s="387"/>
      <c r="BNR55" s="387"/>
      <c r="BNS55" s="387"/>
      <c r="BNT55" s="387"/>
      <c r="BNU55" s="387"/>
      <c r="BNV55" s="387"/>
      <c r="BNW55" s="387"/>
      <c r="BNX55" s="387"/>
      <c r="BNY55" s="387"/>
      <c r="BNZ55" s="387"/>
      <c r="BOA55" s="387"/>
      <c r="BOB55" s="387"/>
      <c r="BOC55" s="387"/>
      <c r="BOD55" s="387"/>
      <c r="BOE55" s="387"/>
      <c r="BOF55" s="387"/>
      <c r="BOG55" s="387"/>
      <c r="BOH55" s="387"/>
      <c r="BOI55" s="387"/>
      <c r="BOJ55" s="387"/>
      <c r="BOK55" s="387"/>
      <c r="BOL55" s="387"/>
      <c r="BOM55" s="387"/>
      <c r="BON55" s="387"/>
      <c r="BOO55" s="387"/>
      <c r="BOP55" s="387"/>
      <c r="BOQ55" s="387"/>
      <c r="BOR55" s="387"/>
      <c r="BOS55" s="387"/>
      <c r="BOT55" s="387"/>
      <c r="BOU55" s="387"/>
      <c r="BOV55" s="387"/>
      <c r="BOW55" s="387"/>
      <c r="BOX55" s="387"/>
      <c r="BOY55" s="387"/>
      <c r="BOZ55" s="387"/>
      <c r="BPA55" s="387"/>
      <c r="BPB55" s="387"/>
      <c r="BPC55" s="387"/>
      <c r="BPD55" s="387"/>
      <c r="BPE55" s="387"/>
      <c r="BPF55" s="387"/>
      <c r="BPG55" s="387"/>
      <c r="BPH55" s="387"/>
      <c r="BPI55" s="387"/>
      <c r="BPJ55" s="387"/>
      <c r="BPK55" s="387"/>
      <c r="BPL55" s="387"/>
      <c r="BPM55" s="387"/>
      <c r="BPN55" s="387"/>
      <c r="BPO55" s="387"/>
      <c r="BPP55" s="387"/>
      <c r="BPQ55" s="387"/>
      <c r="BPR55" s="387"/>
      <c r="BPS55" s="387"/>
      <c r="BPT55" s="387"/>
      <c r="BPU55" s="387"/>
      <c r="BPV55" s="387"/>
      <c r="BPW55" s="387"/>
      <c r="BPX55" s="387"/>
      <c r="BPY55" s="387"/>
      <c r="BPZ55" s="387"/>
      <c r="BQA55" s="387"/>
      <c r="BQB55" s="387"/>
      <c r="BQC55" s="387"/>
      <c r="BQD55" s="387"/>
      <c r="BQE55" s="387"/>
      <c r="BQF55" s="387"/>
      <c r="BQG55" s="387"/>
      <c r="BQH55" s="387"/>
      <c r="BQI55" s="387"/>
      <c r="BQJ55" s="387"/>
      <c r="BQK55" s="387"/>
      <c r="BQL55" s="387"/>
      <c r="BQM55" s="387"/>
      <c r="BQN55" s="387"/>
      <c r="BQO55" s="387"/>
      <c r="BQP55" s="387"/>
      <c r="BQQ55" s="387"/>
      <c r="BQR55" s="387"/>
      <c r="BQS55" s="387"/>
      <c r="BQT55" s="387"/>
      <c r="BQU55" s="387"/>
      <c r="BQV55" s="387"/>
      <c r="BQW55" s="387"/>
      <c r="BQX55" s="387"/>
      <c r="BQY55" s="387"/>
      <c r="BQZ55" s="387"/>
      <c r="BRA55" s="387"/>
      <c r="BRB55" s="387"/>
      <c r="BRC55" s="387"/>
      <c r="BRD55" s="387"/>
      <c r="BRE55" s="387"/>
      <c r="BRF55" s="387"/>
      <c r="BRG55" s="387"/>
      <c r="BRH55" s="387"/>
      <c r="BRI55" s="387"/>
      <c r="BRJ55" s="387"/>
      <c r="BRK55" s="387"/>
      <c r="BRL55" s="387"/>
      <c r="BRM55" s="387"/>
      <c r="BRN55" s="387"/>
      <c r="BRO55" s="387"/>
      <c r="BRP55" s="387"/>
      <c r="BRQ55" s="387"/>
      <c r="BRR55" s="387"/>
      <c r="BRS55" s="387"/>
      <c r="BRT55" s="387"/>
      <c r="BRU55" s="387"/>
      <c r="BRV55" s="387"/>
      <c r="BRW55" s="387"/>
      <c r="BRX55" s="387"/>
      <c r="BRY55" s="387"/>
      <c r="BRZ55" s="387"/>
      <c r="BSA55" s="387"/>
      <c r="BSB55" s="387"/>
      <c r="BSC55" s="387"/>
      <c r="BSD55" s="387"/>
      <c r="BSE55" s="387"/>
      <c r="BSF55" s="387"/>
      <c r="BSG55" s="387"/>
      <c r="BSH55" s="387"/>
      <c r="BSI55" s="387"/>
      <c r="BSJ55" s="387"/>
      <c r="BSK55" s="387"/>
      <c r="BSL55" s="387"/>
      <c r="BSM55" s="387"/>
      <c r="BSN55" s="387"/>
      <c r="BSO55" s="387"/>
      <c r="BSP55" s="387"/>
      <c r="BSQ55" s="387"/>
      <c r="BSR55" s="387"/>
      <c r="BSS55" s="387"/>
      <c r="BST55" s="387"/>
      <c r="BSU55" s="387"/>
      <c r="BSV55" s="387"/>
      <c r="BSW55" s="387"/>
      <c r="BSX55" s="387"/>
      <c r="BSY55" s="387"/>
      <c r="BSZ55" s="387"/>
      <c r="BTA55" s="387"/>
      <c r="BTB55" s="387"/>
      <c r="BTC55" s="387"/>
      <c r="BTD55" s="387"/>
      <c r="BTE55" s="387"/>
      <c r="BTF55" s="387"/>
      <c r="BTG55" s="387"/>
      <c r="BTH55" s="387"/>
      <c r="BTI55" s="387"/>
    </row>
    <row r="56" spans="1:1881" ht="69" customHeight="1" x14ac:dyDescent="0.25">
      <c r="A56" s="186">
        <v>9</v>
      </c>
      <c r="B56" s="63" t="s">
        <v>83</v>
      </c>
      <c r="C56" s="132" t="s">
        <v>177</v>
      </c>
      <c r="D56" s="163" t="s">
        <v>542</v>
      </c>
      <c r="E56" s="683" t="e">
        <f>HLOOKUP('Unit Data from Audit Worksheet'!$D$2,'2019 Data(H)'!$D$1:$BB$202,7,FALSE)</f>
        <v>#N/A</v>
      </c>
      <c r="F56" s="686"/>
      <c r="G56" s="388">
        <f>IF(F47-F49-F50-F51-F56=0,,"Error: Total assets less total liabilities do not equal total fund balance. Account numbers 379-4-5-380-9= 0  The amount of the formula is in the cell to the right")</f>
        <v>0</v>
      </c>
      <c r="H56" s="189">
        <f>F47-F49-F50-F51-F56</f>
        <v>0</v>
      </c>
      <c r="I56" s="31"/>
      <c r="J56" s="362"/>
      <c r="L56" s="674"/>
      <c r="M56" s="576"/>
      <c r="N56" s="594"/>
      <c r="S56" s="682"/>
      <c r="X56" s="682"/>
    </row>
    <row r="57" spans="1:1881" s="4" customFormat="1" ht="57" customHeight="1" x14ac:dyDescent="0.3">
      <c r="A57" s="186">
        <v>540</v>
      </c>
      <c r="B57" s="148" t="s">
        <v>82</v>
      </c>
      <c r="C57" s="180" t="s">
        <v>237</v>
      </c>
      <c r="D57" s="173" t="s">
        <v>727</v>
      </c>
      <c r="E57" s="683" t="e">
        <f>HLOOKUP('Unit Data from Audit Worksheet'!$D$2,'2019 Data(H)'!$D$1:$BB$202,146,FALSE)</f>
        <v>#N/A</v>
      </c>
      <c r="F57" s="686"/>
      <c r="G57" s="388"/>
      <c r="H57" s="18"/>
      <c r="I57" s="292"/>
      <c r="J57" s="362"/>
      <c r="K57" s="437"/>
      <c r="L57" s="674"/>
      <c r="M57" s="437"/>
      <c r="N57" s="594"/>
      <c r="O57" s="437"/>
      <c r="P57" s="437"/>
      <c r="Q57" s="437"/>
      <c r="R57"/>
      <c r="S57" s="682"/>
      <c r="T57" s="437"/>
      <c r="U57" s="387"/>
      <c r="V57" s="387"/>
      <c r="W57" s="387"/>
      <c r="X57" s="682"/>
      <c r="Y57" s="387"/>
      <c r="Z57" s="387"/>
      <c r="AA57" s="387"/>
      <c r="AB57" s="387"/>
      <c r="AC57" s="387"/>
      <c r="AD57" s="387"/>
      <c r="AE57" s="387"/>
      <c r="AF57" s="387"/>
      <c r="AG57" s="387"/>
      <c r="AH57" s="387"/>
      <c r="AI57" s="387"/>
      <c r="AJ57" s="387"/>
      <c r="AK57" s="387"/>
      <c r="AL57" s="387"/>
      <c r="AM57" s="387"/>
      <c r="AN57" s="387"/>
      <c r="AO57" s="387"/>
      <c r="AP57" s="387"/>
      <c r="AQ57" s="387"/>
      <c r="AR57" s="387"/>
      <c r="AS57" s="387"/>
      <c r="AT57" s="387"/>
      <c r="AU57" s="387"/>
      <c r="AV57" s="387"/>
      <c r="AW57" s="387"/>
      <c r="AX57" s="387"/>
      <c r="AY57" s="387"/>
      <c r="AZ57" s="387"/>
      <c r="BA57" s="387"/>
      <c r="BB57" s="387"/>
      <c r="BC57" s="387"/>
      <c r="BD57" s="387"/>
      <c r="BE57" s="387"/>
      <c r="BF57" s="387"/>
      <c r="BG57" s="387"/>
      <c r="BH57" s="387"/>
      <c r="BI57" s="387"/>
      <c r="BJ57" s="387"/>
      <c r="BK57" s="387"/>
      <c r="BL57" s="387"/>
      <c r="BM57" s="387"/>
      <c r="BN57" s="387"/>
      <c r="BO57" s="387"/>
      <c r="BP57" s="387"/>
      <c r="BQ57" s="387"/>
      <c r="BR57" s="387"/>
      <c r="BS57" s="387"/>
      <c r="BT57" s="387"/>
      <c r="BU57" s="387"/>
      <c r="BV57" s="387"/>
      <c r="BW57" s="387"/>
      <c r="BX57" s="387"/>
      <c r="BY57" s="387"/>
      <c r="BZ57" s="387"/>
      <c r="CA57" s="387"/>
      <c r="CB57" s="387"/>
      <c r="CC57" s="387"/>
      <c r="CD57" s="387"/>
      <c r="CE57" s="387"/>
      <c r="CF57" s="387"/>
      <c r="CG57" s="387"/>
      <c r="CH57" s="387"/>
      <c r="CI57" s="387"/>
      <c r="CJ57" s="387"/>
      <c r="CK57" s="387"/>
      <c r="CL57" s="387"/>
      <c r="CM57" s="387"/>
      <c r="CN57" s="387"/>
      <c r="CO57" s="387"/>
      <c r="CP57" s="387"/>
      <c r="CQ57" s="387"/>
      <c r="CR57" s="387"/>
      <c r="CS57" s="387"/>
      <c r="CT57" s="387"/>
      <c r="CU57" s="387"/>
      <c r="CV57" s="387"/>
      <c r="CW57" s="387"/>
      <c r="CX57" s="387"/>
      <c r="CY57" s="387"/>
      <c r="CZ57" s="387"/>
      <c r="DA57" s="387"/>
      <c r="DB57" s="387"/>
      <c r="DC57" s="387"/>
      <c r="DD57" s="387"/>
      <c r="DE57" s="387"/>
      <c r="DF57" s="387"/>
      <c r="DG57" s="387"/>
      <c r="DH57" s="387"/>
      <c r="DI57" s="387"/>
      <c r="DJ57" s="387"/>
      <c r="DK57" s="387"/>
      <c r="DL57" s="387"/>
      <c r="DM57" s="387"/>
      <c r="DN57" s="387"/>
      <c r="DO57" s="387"/>
      <c r="DP57" s="387"/>
      <c r="DQ57" s="387"/>
      <c r="DR57" s="387"/>
      <c r="DS57" s="387"/>
      <c r="DT57" s="387"/>
      <c r="DU57" s="387"/>
      <c r="DV57" s="387"/>
      <c r="DW57" s="387"/>
      <c r="DX57" s="387"/>
      <c r="DY57" s="387"/>
      <c r="DZ57" s="387"/>
      <c r="EA57" s="387"/>
      <c r="EB57" s="387"/>
      <c r="EC57" s="387"/>
      <c r="ED57" s="387"/>
      <c r="EE57" s="387"/>
      <c r="EF57" s="387"/>
      <c r="EG57" s="387"/>
      <c r="EH57" s="387"/>
      <c r="EI57" s="387"/>
      <c r="EJ57" s="387"/>
      <c r="EK57" s="387"/>
      <c r="EL57" s="387"/>
      <c r="EM57" s="387"/>
      <c r="EN57" s="387"/>
      <c r="EO57" s="387"/>
      <c r="EP57" s="387"/>
      <c r="EQ57" s="387"/>
      <c r="ER57" s="387"/>
      <c r="ES57" s="387"/>
      <c r="ET57" s="387"/>
      <c r="EU57" s="387"/>
      <c r="EV57" s="387"/>
      <c r="EW57" s="387"/>
      <c r="EX57" s="387"/>
      <c r="EY57" s="387"/>
      <c r="EZ57" s="387"/>
      <c r="FA57" s="387"/>
      <c r="FB57" s="387"/>
      <c r="FC57" s="387"/>
      <c r="FD57" s="387"/>
      <c r="FE57" s="387"/>
      <c r="FF57" s="387"/>
      <c r="FG57" s="387"/>
      <c r="FH57" s="387"/>
      <c r="FI57" s="387"/>
      <c r="FJ57" s="387"/>
      <c r="FK57" s="387"/>
      <c r="FL57" s="387"/>
      <c r="FM57" s="387"/>
      <c r="FN57" s="387"/>
      <c r="FO57" s="387"/>
      <c r="FP57" s="387"/>
      <c r="FQ57" s="387"/>
      <c r="FR57" s="387"/>
      <c r="FS57" s="387"/>
      <c r="FT57" s="387"/>
      <c r="FU57" s="387"/>
      <c r="FV57" s="387"/>
      <c r="FW57" s="387"/>
      <c r="FX57" s="387"/>
      <c r="FY57" s="387"/>
      <c r="FZ57" s="387"/>
      <c r="GA57" s="387"/>
      <c r="GB57" s="387"/>
      <c r="GC57" s="387"/>
      <c r="GD57" s="387"/>
      <c r="GE57" s="387"/>
      <c r="GF57" s="387"/>
      <c r="GG57" s="387"/>
      <c r="GH57" s="387"/>
      <c r="GI57" s="387"/>
      <c r="GJ57" s="387"/>
      <c r="GK57" s="387"/>
      <c r="GL57" s="387"/>
      <c r="GM57" s="387"/>
      <c r="GN57" s="387"/>
      <c r="GO57" s="387"/>
      <c r="GP57" s="387"/>
      <c r="GQ57" s="387"/>
      <c r="GR57" s="387"/>
      <c r="GS57" s="387"/>
      <c r="GT57" s="387"/>
      <c r="GU57" s="387"/>
      <c r="GV57" s="387"/>
      <c r="GW57" s="387"/>
      <c r="GX57" s="387"/>
      <c r="GY57" s="387"/>
      <c r="GZ57" s="387"/>
      <c r="HA57" s="387"/>
      <c r="HB57" s="387"/>
      <c r="HC57" s="387"/>
      <c r="HD57" s="387"/>
      <c r="HE57" s="387"/>
      <c r="HF57" s="387"/>
      <c r="HG57" s="387"/>
      <c r="HH57" s="387"/>
      <c r="HI57" s="387"/>
      <c r="HJ57" s="387"/>
      <c r="HK57" s="387"/>
      <c r="HL57" s="387"/>
      <c r="HM57" s="387"/>
      <c r="HN57" s="387"/>
      <c r="HO57" s="387"/>
      <c r="HP57" s="387"/>
      <c r="HQ57" s="387"/>
      <c r="HR57" s="387"/>
      <c r="HS57" s="387"/>
      <c r="HT57" s="387"/>
      <c r="HU57" s="387"/>
      <c r="HV57" s="387"/>
      <c r="HW57" s="387"/>
      <c r="HX57" s="387"/>
      <c r="HY57" s="387"/>
      <c r="HZ57" s="387"/>
      <c r="IA57" s="387"/>
      <c r="IB57" s="387"/>
      <c r="IC57" s="387"/>
      <c r="ID57" s="387"/>
      <c r="IE57" s="387"/>
      <c r="IF57" s="387"/>
      <c r="IG57" s="387"/>
      <c r="IH57" s="387"/>
      <c r="II57" s="387"/>
      <c r="IJ57" s="387"/>
      <c r="IK57" s="387"/>
      <c r="IL57" s="387"/>
      <c r="IM57" s="387"/>
      <c r="IN57" s="387"/>
      <c r="IO57" s="387"/>
      <c r="IP57" s="387"/>
      <c r="IQ57" s="387"/>
      <c r="IR57" s="387"/>
      <c r="IS57" s="387"/>
      <c r="IT57" s="387"/>
      <c r="IU57" s="387"/>
      <c r="IV57" s="387"/>
      <c r="IW57" s="387"/>
      <c r="IX57" s="387"/>
      <c r="IY57" s="387"/>
      <c r="IZ57" s="387"/>
      <c r="JA57" s="387"/>
      <c r="JB57" s="387"/>
      <c r="JC57" s="387"/>
      <c r="JD57" s="387"/>
      <c r="JE57" s="387"/>
      <c r="JF57" s="387"/>
      <c r="JG57" s="387"/>
      <c r="JH57" s="387"/>
      <c r="JI57" s="387"/>
      <c r="JJ57" s="387"/>
      <c r="JK57" s="387"/>
      <c r="JL57" s="387"/>
      <c r="JM57" s="387"/>
      <c r="JN57" s="387"/>
      <c r="JO57" s="387"/>
      <c r="JP57" s="387"/>
      <c r="JQ57" s="387"/>
      <c r="JR57" s="387"/>
      <c r="JS57" s="387"/>
      <c r="JT57" s="387"/>
      <c r="JU57" s="387"/>
      <c r="JV57" s="387"/>
      <c r="JW57" s="387"/>
      <c r="JX57" s="387"/>
      <c r="JY57" s="387"/>
      <c r="JZ57" s="387"/>
      <c r="KA57" s="387"/>
      <c r="KB57" s="387"/>
      <c r="KC57" s="387"/>
      <c r="KD57" s="387"/>
      <c r="KE57" s="387"/>
      <c r="KF57" s="387"/>
      <c r="KG57" s="387"/>
      <c r="KH57" s="387"/>
      <c r="KI57" s="387"/>
      <c r="KJ57" s="387"/>
      <c r="KK57" s="387"/>
      <c r="KL57" s="387"/>
      <c r="KM57" s="387"/>
      <c r="KN57" s="387"/>
      <c r="KO57" s="387"/>
      <c r="KP57" s="387"/>
      <c r="KQ57" s="387"/>
      <c r="KR57" s="387"/>
      <c r="KS57" s="387"/>
      <c r="KT57" s="387"/>
      <c r="KU57" s="387"/>
      <c r="KV57" s="387"/>
      <c r="KW57" s="387"/>
      <c r="KX57" s="387"/>
      <c r="KY57" s="387"/>
      <c r="KZ57" s="387"/>
      <c r="LA57" s="387"/>
      <c r="LB57" s="387"/>
      <c r="LC57" s="387"/>
      <c r="LD57" s="387"/>
      <c r="LE57" s="387"/>
      <c r="LF57" s="387"/>
      <c r="LG57" s="387"/>
      <c r="LH57" s="387"/>
      <c r="LI57" s="387"/>
      <c r="LJ57" s="387"/>
      <c r="LK57" s="387"/>
      <c r="LL57" s="387"/>
      <c r="LM57" s="387"/>
      <c r="LN57" s="387"/>
      <c r="LO57" s="387"/>
      <c r="LP57" s="387"/>
      <c r="LQ57" s="387"/>
      <c r="LR57" s="387"/>
      <c r="LS57" s="387"/>
      <c r="LT57" s="387"/>
      <c r="LU57" s="387"/>
      <c r="LV57" s="387"/>
      <c r="LW57" s="387"/>
      <c r="LX57" s="387"/>
      <c r="LY57" s="387"/>
      <c r="LZ57" s="387"/>
      <c r="MA57" s="387"/>
      <c r="MB57" s="387"/>
      <c r="MC57" s="387"/>
      <c r="MD57" s="387"/>
      <c r="ME57" s="387"/>
      <c r="MF57" s="387"/>
      <c r="MG57" s="387"/>
      <c r="MH57" s="387"/>
      <c r="MI57" s="387"/>
      <c r="MJ57" s="387"/>
      <c r="MK57" s="387"/>
      <c r="ML57" s="387"/>
      <c r="MM57" s="387"/>
      <c r="MN57" s="387"/>
      <c r="MO57" s="387"/>
      <c r="MP57" s="387"/>
      <c r="MQ57" s="387"/>
      <c r="MR57" s="387"/>
      <c r="MS57" s="387"/>
      <c r="MT57" s="387"/>
      <c r="MU57" s="387"/>
      <c r="MV57" s="387"/>
      <c r="MW57" s="387"/>
      <c r="MX57" s="387"/>
      <c r="MY57" s="387"/>
      <c r="MZ57" s="387"/>
      <c r="NA57" s="387"/>
      <c r="NB57" s="387"/>
      <c r="NC57" s="387"/>
      <c r="ND57" s="387"/>
      <c r="NE57" s="387"/>
      <c r="NF57" s="387"/>
      <c r="NG57" s="387"/>
      <c r="NH57" s="387"/>
      <c r="NI57" s="387"/>
      <c r="NJ57" s="387"/>
      <c r="NK57" s="387"/>
      <c r="NL57" s="387"/>
      <c r="NM57" s="387"/>
      <c r="NN57" s="387"/>
      <c r="NO57" s="387"/>
      <c r="NP57" s="387"/>
      <c r="NQ57" s="387"/>
      <c r="NR57" s="387"/>
      <c r="NS57" s="387"/>
      <c r="NT57" s="387"/>
      <c r="NU57" s="387"/>
      <c r="NV57" s="387"/>
      <c r="NW57" s="387"/>
      <c r="NX57" s="387"/>
      <c r="NY57" s="387"/>
      <c r="NZ57" s="387"/>
      <c r="OA57" s="387"/>
      <c r="OB57" s="387"/>
      <c r="OC57" s="387"/>
      <c r="OD57" s="387"/>
      <c r="OE57" s="387"/>
      <c r="OF57" s="387"/>
      <c r="OG57" s="387"/>
      <c r="OH57" s="387"/>
      <c r="OI57" s="387"/>
      <c r="OJ57" s="387"/>
      <c r="OK57" s="387"/>
      <c r="OL57" s="387"/>
      <c r="OM57" s="387"/>
      <c r="ON57" s="387"/>
      <c r="OO57" s="387"/>
      <c r="OP57" s="387"/>
      <c r="OQ57" s="387"/>
      <c r="OR57" s="387"/>
      <c r="OS57" s="387"/>
      <c r="OT57" s="387"/>
      <c r="OU57" s="387"/>
      <c r="OV57" s="387"/>
      <c r="OW57" s="387"/>
      <c r="OX57" s="387"/>
      <c r="OY57" s="387"/>
      <c r="OZ57" s="387"/>
      <c r="PA57" s="387"/>
      <c r="PB57" s="387"/>
      <c r="PC57" s="387"/>
      <c r="PD57" s="387"/>
      <c r="PE57" s="387"/>
      <c r="PF57" s="387"/>
      <c r="PG57" s="387"/>
      <c r="PH57" s="387"/>
      <c r="PI57" s="387"/>
      <c r="PJ57" s="387"/>
      <c r="PK57" s="387"/>
      <c r="PL57" s="387"/>
      <c r="PM57" s="387"/>
      <c r="PN57" s="387"/>
      <c r="PO57" s="387"/>
      <c r="PP57" s="387"/>
      <c r="PQ57" s="387"/>
      <c r="PR57" s="387"/>
      <c r="PS57" s="387"/>
      <c r="PT57" s="387"/>
      <c r="PU57" s="387"/>
      <c r="PV57" s="387"/>
      <c r="PW57" s="387"/>
      <c r="PX57" s="387"/>
      <c r="PY57" s="387"/>
      <c r="PZ57" s="387"/>
      <c r="QA57" s="387"/>
      <c r="QB57" s="387"/>
      <c r="QC57" s="387"/>
      <c r="QD57" s="387"/>
      <c r="QE57" s="387"/>
      <c r="QF57" s="387"/>
      <c r="QG57" s="387"/>
      <c r="QH57" s="387"/>
      <c r="QI57" s="387"/>
      <c r="QJ57" s="387"/>
      <c r="QK57" s="387"/>
      <c r="QL57" s="387"/>
      <c r="QM57" s="387"/>
      <c r="QN57" s="387"/>
      <c r="QO57" s="387"/>
      <c r="QP57" s="387"/>
      <c r="QQ57" s="387"/>
      <c r="QR57" s="387"/>
      <c r="QS57" s="387"/>
      <c r="QT57" s="387"/>
      <c r="QU57" s="387"/>
      <c r="QV57" s="387"/>
      <c r="QW57" s="387"/>
      <c r="QX57" s="387"/>
      <c r="QY57" s="387"/>
      <c r="QZ57" s="387"/>
      <c r="RA57" s="387"/>
      <c r="RB57" s="387"/>
      <c r="RC57" s="387"/>
      <c r="RD57" s="387"/>
      <c r="RE57" s="387"/>
      <c r="RF57" s="387"/>
      <c r="RG57" s="387"/>
      <c r="RH57" s="387"/>
      <c r="RI57" s="387"/>
      <c r="RJ57" s="387"/>
      <c r="RK57" s="387"/>
      <c r="RL57" s="387"/>
      <c r="RM57" s="387"/>
      <c r="RN57" s="387"/>
      <c r="RO57" s="387"/>
      <c r="RP57" s="387"/>
      <c r="RQ57" s="387"/>
      <c r="RR57" s="387"/>
      <c r="RS57" s="387"/>
      <c r="RT57" s="387"/>
      <c r="RU57" s="387"/>
      <c r="RV57" s="387"/>
      <c r="RW57" s="387"/>
      <c r="RX57" s="387"/>
      <c r="RY57" s="387"/>
      <c r="RZ57" s="387"/>
      <c r="SA57" s="387"/>
      <c r="SB57" s="387"/>
      <c r="SC57" s="387"/>
      <c r="SD57" s="387"/>
      <c r="SE57" s="387"/>
      <c r="SF57" s="387"/>
      <c r="SG57" s="387"/>
      <c r="SH57" s="387"/>
      <c r="SI57" s="387"/>
      <c r="SJ57" s="387"/>
      <c r="SK57" s="387"/>
      <c r="SL57" s="387"/>
      <c r="SM57" s="387"/>
      <c r="SN57" s="387"/>
      <c r="SO57" s="387"/>
      <c r="SP57" s="387"/>
      <c r="SQ57" s="387"/>
      <c r="SR57" s="387"/>
      <c r="SS57" s="387"/>
      <c r="ST57" s="387"/>
      <c r="SU57" s="387"/>
      <c r="SV57" s="387"/>
      <c r="SW57" s="387"/>
      <c r="SX57" s="387"/>
      <c r="SY57" s="387"/>
      <c r="SZ57" s="387"/>
      <c r="TA57" s="387"/>
      <c r="TB57" s="387"/>
      <c r="TC57" s="387"/>
      <c r="TD57" s="387"/>
      <c r="TE57" s="387"/>
      <c r="TF57" s="387"/>
      <c r="TG57" s="387"/>
      <c r="TH57" s="387"/>
      <c r="TI57" s="387"/>
      <c r="TJ57" s="387"/>
      <c r="TK57" s="387"/>
      <c r="TL57" s="387"/>
      <c r="TM57" s="387"/>
      <c r="TN57" s="387"/>
      <c r="TO57" s="387"/>
      <c r="TP57" s="387"/>
      <c r="TQ57" s="387"/>
      <c r="TR57" s="387"/>
      <c r="TS57" s="387"/>
      <c r="TT57" s="387"/>
      <c r="TU57" s="387"/>
      <c r="TV57" s="387"/>
      <c r="TW57" s="387"/>
      <c r="TX57" s="387"/>
      <c r="TY57" s="387"/>
      <c r="TZ57" s="387"/>
      <c r="UA57" s="387"/>
      <c r="UB57" s="387"/>
      <c r="UC57" s="387"/>
      <c r="UD57" s="387"/>
      <c r="UE57" s="387"/>
      <c r="UF57" s="387"/>
      <c r="UG57" s="387"/>
      <c r="UH57" s="387"/>
      <c r="UI57" s="387"/>
      <c r="UJ57" s="387"/>
      <c r="UK57" s="387"/>
      <c r="UL57" s="387"/>
      <c r="UM57" s="387"/>
      <c r="UN57" s="387"/>
      <c r="UO57" s="387"/>
      <c r="UP57" s="387"/>
      <c r="UQ57" s="387"/>
      <c r="UR57" s="387"/>
      <c r="US57" s="387"/>
      <c r="UT57" s="387"/>
      <c r="UU57" s="387"/>
      <c r="UV57" s="387"/>
      <c r="UW57" s="387"/>
      <c r="UX57" s="387"/>
      <c r="UY57" s="387"/>
      <c r="UZ57" s="387"/>
      <c r="VA57" s="387"/>
      <c r="VB57" s="387"/>
      <c r="VC57" s="387"/>
      <c r="VD57" s="387"/>
      <c r="VE57" s="387"/>
      <c r="VF57" s="387"/>
      <c r="VG57" s="387"/>
      <c r="VH57" s="387"/>
      <c r="VI57" s="387"/>
      <c r="VJ57" s="387"/>
      <c r="VK57" s="387"/>
      <c r="VL57" s="387"/>
      <c r="VM57" s="387"/>
      <c r="VN57" s="387"/>
      <c r="VO57" s="387"/>
      <c r="VP57" s="387"/>
      <c r="VQ57" s="387"/>
      <c r="VR57" s="387"/>
      <c r="VS57" s="387"/>
      <c r="VT57" s="387"/>
      <c r="VU57" s="387"/>
      <c r="VV57" s="387"/>
      <c r="VW57" s="387"/>
      <c r="VX57" s="387"/>
      <c r="VY57" s="387"/>
      <c r="VZ57" s="387"/>
      <c r="WA57" s="387"/>
      <c r="WB57" s="387"/>
      <c r="WC57" s="387"/>
      <c r="WD57" s="387"/>
      <c r="WE57" s="387"/>
      <c r="WF57" s="387"/>
      <c r="WG57" s="387"/>
      <c r="WH57" s="387"/>
      <c r="WI57" s="387"/>
      <c r="WJ57" s="387"/>
      <c r="WK57" s="387"/>
      <c r="WL57" s="387"/>
      <c r="WM57" s="387"/>
      <c r="WN57" s="387"/>
      <c r="WO57" s="387"/>
      <c r="WP57" s="387"/>
      <c r="WQ57" s="387"/>
      <c r="WR57" s="387"/>
      <c r="WS57" s="387"/>
      <c r="WT57" s="387"/>
      <c r="WU57" s="387"/>
      <c r="WV57" s="387"/>
      <c r="WW57" s="387"/>
      <c r="WX57" s="387"/>
      <c r="WY57" s="387"/>
      <c r="WZ57" s="387"/>
      <c r="XA57" s="387"/>
      <c r="XB57" s="387"/>
      <c r="XC57" s="387"/>
      <c r="XD57" s="387"/>
      <c r="XE57" s="387"/>
      <c r="XF57" s="387"/>
      <c r="XG57" s="387"/>
      <c r="XH57" s="387"/>
      <c r="XI57" s="387"/>
      <c r="XJ57" s="387"/>
      <c r="XK57" s="387"/>
      <c r="XL57" s="387"/>
      <c r="XM57" s="387"/>
      <c r="XN57" s="387"/>
      <c r="XO57" s="387"/>
      <c r="XP57" s="387"/>
      <c r="XQ57" s="387"/>
      <c r="XR57" s="387"/>
      <c r="XS57" s="387"/>
      <c r="XT57" s="387"/>
      <c r="XU57" s="387"/>
      <c r="XV57" s="387"/>
      <c r="XW57" s="387"/>
      <c r="XX57" s="387"/>
      <c r="XY57" s="387"/>
      <c r="XZ57" s="387"/>
      <c r="YA57" s="387"/>
      <c r="YB57" s="387"/>
      <c r="YC57" s="387"/>
      <c r="YD57" s="387"/>
      <c r="YE57" s="387"/>
      <c r="YF57" s="387"/>
      <c r="YG57" s="387"/>
      <c r="YH57" s="387"/>
      <c r="YI57" s="387"/>
      <c r="YJ57" s="387"/>
      <c r="YK57" s="387"/>
      <c r="YL57" s="387"/>
      <c r="YM57" s="387"/>
      <c r="YN57" s="387"/>
      <c r="YO57" s="387"/>
      <c r="YP57" s="387"/>
      <c r="YQ57" s="387"/>
      <c r="YR57" s="387"/>
      <c r="YS57" s="387"/>
      <c r="YT57" s="387"/>
      <c r="YU57" s="387"/>
      <c r="YV57" s="387"/>
      <c r="YW57" s="387"/>
      <c r="YX57" s="387"/>
      <c r="YY57" s="387"/>
      <c r="YZ57" s="387"/>
      <c r="ZA57" s="387"/>
      <c r="ZB57" s="387"/>
      <c r="ZC57" s="387"/>
      <c r="ZD57" s="387"/>
      <c r="ZE57" s="387"/>
      <c r="ZF57" s="387"/>
      <c r="ZG57" s="387"/>
      <c r="ZH57" s="387"/>
      <c r="ZI57" s="387"/>
      <c r="ZJ57" s="387"/>
      <c r="ZK57" s="387"/>
      <c r="ZL57" s="387"/>
      <c r="ZM57" s="387"/>
      <c r="ZN57" s="387"/>
      <c r="ZO57" s="387"/>
      <c r="ZP57" s="387"/>
      <c r="ZQ57" s="387"/>
      <c r="ZR57" s="387"/>
      <c r="ZS57" s="387"/>
      <c r="ZT57" s="387"/>
      <c r="ZU57" s="387"/>
      <c r="ZV57" s="387"/>
      <c r="ZW57" s="387"/>
      <c r="ZX57" s="387"/>
      <c r="ZY57" s="387"/>
      <c r="ZZ57" s="387"/>
      <c r="AAA57" s="387"/>
      <c r="AAB57" s="387"/>
      <c r="AAC57" s="387"/>
      <c r="AAD57" s="387"/>
      <c r="AAE57" s="387"/>
      <c r="AAF57" s="387"/>
      <c r="AAG57" s="387"/>
      <c r="AAH57" s="387"/>
      <c r="AAI57" s="387"/>
      <c r="AAJ57" s="387"/>
      <c r="AAK57" s="387"/>
      <c r="AAL57" s="387"/>
      <c r="AAM57" s="387"/>
      <c r="AAN57" s="387"/>
      <c r="AAO57" s="387"/>
      <c r="AAP57" s="387"/>
      <c r="AAQ57" s="387"/>
      <c r="AAR57" s="387"/>
      <c r="AAS57" s="387"/>
      <c r="AAT57" s="387"/>
      <c r="AAU57" s="387"/>
      <c r="AAV57" s="387"/>
      <c r="AAW57" s="387"/>
      <c r="AAX57" s="387"/>
      <c r="AAY57" s="387"/>
      <c r="AAZ57" s="387"/>
      <c r="ABA57" s="387"/>
      <c r="ABB57" s="387"/>
      <c r="ABC57" s="387"/>
      <c r="ABD57" s="387"/>
      <c r="ABE57" s="387"/>
      <c r="ABF57" s="387"/>
      <c r="ABG57" s="387"/>
      <c r="ABH57" s="387"/>
      <c r="ABI57" s="387"/>
      <c r="ABJ57" s="387"/>
      <c r="ABK57" s="387"/>
      <c r="ABL57" s="387"/>
      <c r="ABM57" s="387"/>
      <c r="ABN57" s="387"/>
      <c r="ABO57" s="387"/>
      <c r="ABP57" s="387"/>
      <c r="ABQ57" s="387"/>
      <c r="ABR57" s="387"/>
      <c r="ABS57" s="387"/>
      <c r="ABT57" s="387"/>
      <c r="ABU57" s="387"/>
      <c r="ABV57" s="387"/>
      <c r="ABW57" s="387"/>
      <c r="ABX57" s="387"/>
      <c r="ABY57" s="387"/>
      <c r="ABZ57" s="387"/>
      <c r="ACA57" s="387"/>
      <c r="ACB57" s="387"/>
      <c r="ACC57" s="387"/>
      <c r="ACD57" s="387"/>
      <c r="ACE57" s="387"/>
      <c r="ACF57" s="387"/>
      <c r="ACG57" s="387"/>
      <c r="ACH57" s="387"/>
      <c r="ACI57" s="387"/>
      <c r="ACJ57" s="387"/>
      <c r="ACK57" s="387"/>
      <c r="ACL57" s="387"/>
      <c r="ACM57" s="387"/>
      <c r="ACN57" s="387"/>
      <c r="ACO57" s="387"/>
      <c r="ACP57" s="387"/>
      <c r="ACQ57" s="387"/>
      <c r="ACR57" s="387"/>
      <c r="ACS57" s="387"/>
      <c r="ACT57" s="387"/>
      <c r="ACU57" s="387"/>
      <c r="ACV57" s="387"/>
      <c r="ACW57" s="387"/>
      <c r="ACX57" s="387"/>
      <c r="ACY57" s="387"/>
      <c r="ACZ57" s="387"/>
      <c r="ADA57" s="387"/>
      <c r="ADB57" s="387"/>
      <c r="ADC57" s="387"/>
      <c r="ADD57" s="387"/>
      <c r="ADE57" s="387"/>
      <c r="ADF57" s="387"/>
      <c r="ADG57" s="387"/>
      <c r="ADH57" s="387"/>
      <c r="ADI57" s="387"/>
      <c r="ADJ57" s="387"/>
      <c r="ADK57" s="387"/>
      <c r="ADL57" s="387"/>
      <c r="ADM57" s="387"/>
      <c r="ADN57" s="387"/>
      <c r="ADO57" s="387"/>
      <c r="ADP57" s="387"/>
      <c r="ADQ57" s="387"/>
      <c r="ADR57" s="387"/>
      <c r="ADS57" s="387"/>
      <c r="ADT57" s="387"/>
      <c r="ADU57" s="387"/>
      <c r="ADV57" s="387"/>
      <c r="ADW57" s="387"/>
      <c r="ADX57" s="387"/>
      <c r="ADY57" s="387"/>
      <c r="ADZ57" s="387"/>
      <c r="AEA57" s="387"/>
      <c r="AEB57" s="387"/>
      <c r="AEC57" s="387"/>
      <c r="AED57" s="387"/>
      <c r="AEE57" s="387"/>
      <c r="AEF57" s="387"/>
      <c r="AEG57" s="387"/>
      <c r="AEH57" s="387"/>
      <c r="AEI57" s="387"/>
      <c r="AEJ57" s="387"/>
      <c r="AEK57" s="387"/>
      <c r="AEL57" s="387"/>
      <c r="AEM57" s="387"/>
      <c r="AEN57" s="387"/>
      <c r="AEO57" s="387"/>
      <c r="AEP57" s="387"/>
      <c r="AEQ57" s="387"/>
      <c r="AER57" s="387"/>
      <c r="AES57" s="387"/>
      <c r="AET57" s="387"/>
      <c r="AEU57" s="387"/>
      <c r="AEV57" s="387"/>
      <c r="AEW57" s="387"/>
      <c r="AEX57" s="387"/>
      <c r="AEY57" s="387"/>
      <c r="AEZ57" s="387"/>
      <c r="AFA57" s="387"/>
      <c r="AFB57" s="387"/>
      <c r="AFC57" s="387"/>
      <c r="AFD57" s="387"/>
      <c r="AFE57" s="387"/>
      <c r="AFF57" s="387"/>
      <c r="AFG57" s="387"/>
      <c r="AFH57" s="387"/>
      <c r="AFI57" s="387"/>
      <c r="AFJ57" s="387"/>
      <c r="AFK57" s="387"/>
      <c r="AFL57" s="387"/>
      <c r="AFM57" s="387"/>
      <c r="AFN57" s="387"/>
      <c r="AFO57" s="387"/>
      <c r="AFP57" s="387"/>
      <c r="AFQ57" s="387"/>
      <c r="AFR57" s="387"/>
      <c r="AFS57" s="387"/>
      <c r="AFT57" s="387"/>
      <c r="AFU57" s="387"/>
      <c r="AFV57" s="387"/>
      <c r="AFW57" s="387"/>
      <c r="AFX57" s="387"/>
      <c r="AFY57" s="387"/>
      <c r="AFZ57" s="387"/>
      <c r="AGA57" s="387"/>
      <c r="AGB57" s="387"/>
      <c r="AGC57" s="387"/>
      <c r="AGD57" s="387"/>
      <c r="AGE57" s="387"/>
      <c r="AGF57" s="387"/>
      <c r="AGG57" s="387"/>
      <c r="AGH57" s="387"/>
      <c r="AGI57" s="387"/>
      <c r="AGJ57" s="387"/>
      <c r="AGK57" s="387"/>
      <c r="AGL57" s="387"/>
      <c r="AGM57" s="387"/>
      <c r="AGN57" s="387"/>
      <c r="AGO57" s="387"/>
      <c r="AGP57" s="387"/>
      <c r="AGQ57" s="387"/>
      <c r="AGR57" s="387"/>
      <c r="AGS57" s="387"/>
      <c r="AGT57" s="387"/>
      <c r="AGU57" s="387"/>
      <c r="AGV57" s="387"/>
      <c r="AGW57" s="387"/>
      <c r="AGX57" s="387"/>
      <c r="AGY57" s="387"/>
      <c r="AGZ57" s="387"/>
      <c r="AHA57" s="387"/>
      <c r="AHB57" s="387"/>
      <c r="AHC57" s="387"/>
      <c r="AHD57" s="387"/>
      <c r="AHE57" s="387"/>
      <c r="AHF57" s="387"/>
      <c r="AHG57" s="387"/>
      <c r="AHH57" s="387"/>
      <c r="AHI57" s="387"/>
      <c r="AHJ57" s="387"/>
      <c r="AHK57" s="387"/>
      <c r="AHL57" s="387"/>
      <c r="AHM57" s="387"/>
      <c r="AHN57" s="387"/>
      <c r="AHO57" s="387"/>
      <c r="AHP57" s="387"/>
      <c r="AHQ57" s="387"/>
      <c r="AHR57" s="387"/>
      <c r="AHS57" s="387"/>
      <c r="AHT57" s="387"/>
      <c r="AHU57" s="387"/>
      <c r="AHV57" s="387"/>
      <c r="AHW57" s="387"/>
      <c r="AHX57" s="387"/>
      <c r="AHY57" s="387"/>
      <c r="AHZ57" s="387"/>
      <c r="AIA57" s="387"/>
      <c r="AIB57" s="387"/>
      <c r="AIC57" s="387"/>
      <c r="AID57" s="387"/>
      <c r="AIE57" s="387"/>
      <c r="AIF57" s="387"/>
      <c r="AIG57" s="387"/>
      <c r="AIH57" s="387"/>
      <c r="AII57" s="387"/>
      <c r="AIJ57" s="387"/>
      <c r="AIK57" s="387"/>
      <c r="AIL57" s="387"/>
      <c r="AIM57" s="387"/>
      <c r="AIN57" s="387"/>
      <c r="AIO57" s="387"/>
      <c r="AIP57" s="387"/>
      <c r="AIQ57" s="387"/>
      <c r="AIR57" s="387"/>
      <c r="AIS57" s="387"/>
      <c r="AIT57" s="387"/>
      <c r="AIU57" s="387"/>
      <c r="AIV57" s="387"/>
      <c r="AIW57" s="387"/>
      <c r="AIX57" s="387"/>
      <c r="AIY57" s="387"/>
      <c r="AIZ57" s="387"/>
      <c r="AJA57" s="387"/>
      <c r="AJB57" s="387"/>
      <c r="AJC57" s="387"/>
      <c r="AJD57" s="387"/>
      <c r="AJE57" s="387"/>
      <c r="AJF57" s="387"/>
      <c r="AJG57" s="387"/>
      <c r="AJH57" s="387"/>
      <c r="AJI57" s="387"/>
      <c r="AJJ57" s="387"/>
      <c r="AJK57" s="387"/>
      <c r="AJL57" s="387"/>
      <c r="AJM57" s="387"/>
      <c r="AJN57" s="387"/>
      <c r="AJO57" s="387"/>
      <c r="AJP57" s="387"/>
      <c r="AJQ57" s="387"/>
      <c r="AJR57" s="387"/>
      <c r="AJS57" s="387"/>
      <c r="AJT57" s="387"/>
      <c r="AJU57" s="387"/>
      <c r="AJV57" s="387"/>
      <c r="AJW57" s="387"/>
      <c r="AJX57" s="387"/>
      <c r="AJY57" s="387"/>
      <c r="AJZ57" s="387"/>
      <c r="AKA57" s="387"/>
      <c r="AKB57" s="387"/>
      <c r="AKC57" s="387"/>
      <c r="AKD57" s="387"/>
      <c r="AKE57" s="387"/>
      <c r="AKF57" s="387"/>
      <c r="AKG57" s="387"/>
      <c r="AKH57" s="387"/>
      <c r="AKI57" s="387"/>
      <c r="AKJ57" s="387"/>
      <c r="AKK57" s="387"/>
      <c r="AKL57" s="387"/>
      <c r="AKM57" s="387"/>
      <c r="AKN57" s="387"/>
      <c r="AKO57" s="387"/>
      <c r="AKP57" s="387"/>
      <c r="AKQ57" s="387"/>
      <c r="AKR57" s="387"/>
      <c r="AKS57" s="387"/>
      <c r="AKT57" s="387"/>
      <c r="AKU57" s="387"/>
      <c r="AKV57" s="387"/>
      <c r="AKW57" s="387"/>
      <c r="AKX57" s="387"/>
      <c r="AKY57" s="387"/>
      <c r="AKZ57" s="387"/>
      <c r="ALA57" s="387"/>
      <c r="ALB57" s="387"/>
      <c r="ALC57" s="387"/>
      <c r="ALD57" s="387"/>
      <c r="ALE57" s="387"/>
      <c r="ALF57" s="387"/>
      <c r="ALG57" s="387"/>
      <c r="ALH57" s="387"/>
      <c r="ALI57" s="387"/>
      <c r="ALJ57" s="387"/>
      <c r="ALK57" s="387"/>
      <c r="ALL57" s="387"/>
      <c r="ALM57" s="387"/>
      <c r="ALN57" s="387"/>
      <c r="ALO57" s="387"/>
      <c r="ALP57" s="387"/>
      <c r="ALQ57" s="387"/>
      <c r="ALR57" s="387"/>
      <c r="ALS57" s="387"/>
      <c r="ALT57" s="387"/>
      <c r="ALU57" s="387"/>
      <c r="ALV57" s="387"/>
      <c r="ALW57" s="387"/>
      <c r="ALX57" s="387"/>
      <c r="ALY57" s="387"/>
      <c r="ALZ57" s="387"/>
      <c r="AMA57" s="387"/>
      <c r="AMB57" s="387"/>
      <c r="AMC57" s="387"/>
      <c r="AMD57" s="387"/>
      <c r="AME57" s="387"/>
      <c r="AMF57" s="387"/>
      <c r="AMG57" s="387"/>
      <c r="AMH57" s="387"/>
      <c r="AMI57" s="387"/>
      <c r="AMJ57" s="387"/>
      <c r="AMK57" s="387"/>
      <c r="AML57" s="387"/>
      <c r="AMM57" s="387"/>
      <c r="AMN57" s="387"/>
      <c r="AMO57" s="387"/>
      <c r="AMP57" s="387"/>
      <c r="AMQ57" s="387"/>
      <c r="AMR57" s="387"/>
      <c r="AMS57" s="387"/>
      <c r="AMT57" s="387"/>
      <c r="AMU57" s="387"/>
      <c r="AMV57" s="387"/>
      <c r="AMW57" s="387"/>
      <c r="AMX57" s="387"/>
      <c r="AMY57" s="387"/>
      <c r="AMZ57" s="387"/>
      <c r="ANA57" s="387"/>
      <c r="ANB57" s="387"/>
      <c r="ANC57" s="387"/>
      <c r="AND57" s="387"/>
      <c r="ANE57" s="387"/>
      <c r="ANF57" s="387"/>
      <c r="ANG57" s="387"/>
      <c r="ANH57" s="387"/>
      <c r="ANI57" s="387"/>
      <c r="ANJ57" s="387"/>
      <c r="ANK57" s="387"/>
      <c r="ANL57" s="387"/>
      <c r="ANM57" s="387"/>
      <c r="ANN57" s="387"/>
      <c r="ANO57" s="387"/>
      <c r="ANP57" s="387"/>
      <c r="ANQ57" s="387"/>
      <c r="ANR57" s="387"/>
      <c r="ANS57" s="387"/>
      <c r="ANT57" s="387"/>
      <c r="ANU57" s="387"/>
      <c r="ANV57" s="387"/>
      <c r="ANW57" s="387"/>
      <c r="ANX57" s="387"/>
      <c r="ANY57" s="387"/>
      <c r="ANZ57" s="387"/>
      <c r="AOA57" s="387"/>
      <c r="AOB57" s="387"/>
      <c r="AOC57" s="387"/>
      <c r="AOD57" s="387"/>
      <c r="AOE57" s="387"/>
      <c r="AOF57" s="387"/>
      <c r="AOG57" s="387"/>
      <c r="AOH57" s="387"/>
      <c r="AOI57" s="387"/>
      <c r="AOJ57" s="387"/>
      <c r="AOK57" s="387"/>
      <c r="AOL57" s="387"/>
      <c r="AOM57" s="387"/>
      <c r="AON57" s="387"/>
      <c r="AOO57" s="387"/>
      <c r="AOP57" s="387"/>
      <c r="AOQ57" s="387"/>
      <c r="AOR57" s="387"/>
      <c r="AOS57" s="387"/>
      <c r="AOT57" s="387"/>
      <c r="AOU57" s="387"/>
      <c r="AOV57" s="387"/>
      <c r="AOW57" s="387"/>
      <c r="AOX57" s="387"/>
      <c r="AOY57" s="387"/>
      <c r="AOZ57" s="387"/>
      <c r="APA57" s="387"/>
      <c r="APB57" s="387"/>
      <c r="APC57" s="387"/>
      <c r="APD57" s="387"/>
      <c r="APE57" s="387"/>
      <c r="APF57" s="387"/>
      <c r="APG57" s="387"/>
      <c r="APH57" s="387"/>
      <c r="API57" s="387"/>
      <c r="APJ57" s="387"/>
      <c r="APK57" s="387"/>
      <c r="APL57" s="387"/>
      <c r="APM57" s="387"/>
      <c r="APN57" s="387"/>
      <c r="APO57" s="387"/>
      <c r="APP57" s="387"/>
      <c r="APQ57" s="387"/>
      <c r="APR57" s="387"/>
      <c r="APS57" s="387"/>
      <c r="APT57" s="387"/>
      <c r="APU57" s="387"/>
      <c r="APV57" s="387"/>
      <c r="APW57" s="387"/>
      <c r="APX57" s="387"/>
      <c r="APY57" s="387"/>
      <c r="APZ57" s="387"/>
      <c r="AQA57" s="387"/>
      <c r="AQB57" s="387"/>
      <c r="AQC57" s="387"/>
      <c r="AQD57" s="387"/>
      <c r="AQE57" s="387"/>
      <c r="AQF57" s="387"/>
      <c r="AQG57" s="387"/>
      <c r="AQH57" s="387"/>
      <c r="AQI57" s="387"/>
      <c r="AQJ57" s="387"/>
      <c r="AQK57" s="387"/>
      <c r="AQL57" s="387"/>
      <c r="AQM57" s="387"/>
      <c r="AQN57" s="387"/>
      <c r="AQO57" s="387"/>
      <c r="AQP57" s="387"/>
      <c r="AQQ57" s="387"/>
      <c r="AQR57" s="387"/>
      <c r="AQS57" s="387"/>
      <c r="AQT57" s="387"/>
      <c r="AQU57" s="387"/>
      <c r="AQV57" s="387"/>
      <c r="AQW57" s="387"/>
      <c r="AQX57" s="387"/>
      <c r="AQY57" s="387"/>
      <c r="AQZ57" s="387"/>
      <c r="ARA57" s="387"/>
      <c r="ARB57" s="387"/>
      <c r="ARC57" s="387"/>
      <c r="ARD57" s="387"/>
      <c r="ARE57" s="387"/>
      <c r="ARF57" s="387"/>
      <c r="ARG57" s="387"/>
      <c r="ARH57" s="387"/>
      <c r="ARI57" s="387"/>
      <c r="ARJ57" s="387"/>
      <c r="ARK57" s="387"/>
      <c r="ARL57" s="387"/>
      <c r="ARM57" s="387"/>
      <c r="ARN57" s="387"/>
      <c r="ARO57" s="387"/>
      <c r="ARP57" s="387"/>
      <c r="ARQ57" s="387"/>
      <c r="ARR57" s="387"/>
      <c r="ARS57" s="387"/>
      <c r="ART57" s="387"/>
      <c r="ARU57" s="387"/>
      <c r="ARV57" s="387"/>
      <c r="ARW57" s="387"/>
      <c r="ARX57" s="387"/>
      <c r="ARY57" s="387"/>
      <c r="ARZ57" s="387"/>
      <c r="ASA57" s="387"/>
      <c r="ASB57" s="387"/>
      <c r="ASC57" s="387"/>
      <c r="ASD57" s="387"/>
      <c r="ASE57" s="387"/>
      <c r="ASF57" s="387"/>
      <c r="ASG57" s="387"/>
      <c r="ASH57" s="387"/>
      <c r="ASI57" s="387"/>
      <c r="ASJ57" s="387"/>
      <c r="ASK57" s="387"/>
      <c r="ASL57" s="387"/>
      <c r="ASM57" s="387"/>
      <c r="ASN57" s="387"/>
      <c r="ASO57" s="387"/>
      <c r="ASP57" s="387"/>
      <c r="ASQ57" s="387"/>
      <c r="ASR57" s="387"/>
      <c r="ASS57" s="387"/>
      <c r="AST57" s="387"/>
      <c r="ASU57" s="387"/>
      <c r="ASV57" s="387"/>
      <c r="ASW57" s="387"/>
      <c r="ASX57" s="387"/>
      <c r="ASY57" s="387"/>
      <c r="ASZ57" s="387"/>
      <c r="ATA57" s="387"/>
      <c r="ATB57" s="387"/>
      <c r="ATC57" s="387"/>
      <c r="ATD57" s="387"/>
      <c r="ATE57" s="387"/>
      <c r="ATF57" s="387"/>
      <c r="ATG57" s="387"/>
      <c r="ATH57" s="387"/>
      <c r="ATI57" s="387"/>
      <c r="ATJ57" s="387"/>
      <c r="ATK57" s="387"/>
      <c r="ATL57" s="387"/>
      <c r="ATM57" s="387"/>
      <c r="ATN57" s="387"/>
      <c r="ATO57" s="387"/>
      <c r="ATP57" s="387"/>
      <c r="ATQ57" s="387"/>
      <c r="ATR57" s="387"/>
      <c r="ATS57" s="387"/>
      <c r="ATT57" s="387"/>
      <c r="ATU57" s="387"/>
      <c r="ATV57" s="387"/>
      <c r="ATW57" s="387"/>
      <c r="ATX57" s="387"/>
      <c r="ATY57" s="387"/>
      <c r="ATZ57" s="387"/>
      <c r="AUA57" s="387"/>
      <c r="AUB57" s="387"/>
      <c r="AUC57" s="387"/>
      <c r="AUD57" s="387"/>
      <c r="AUE57" s="387"/>
      <c r="AUF57" s="387"/>
      <c r="AUG57" s="387"/>
      <c r="AUH57" s="387"/>
      <c r="AUI57" s="387"/>
      <c r="AUJ57" s="387"/>
      <c r="AUK57" s="387"/>
      <c r="AUL57" s="387"/>
      <c r="AUM57" s="387"/>
      <c r="AUN57" s="387"/>
      <c r="AUO57" s="387"/>
      <c r="AUP57" s="387"/>
      <c r="AUQ57" s="387"/>
      <c r="AUR57" s="387"/>
      <c r="AUS57" s="387"/>
      <c r="AUT57" s="387"/>
      <c r="AUU57" s="387"/>
      <c r="AUV57" s="387"/>
      <c r="AUW57" s="387"/>
      <c r="AUX57" s="387"/>
      <c r="AUY57" s="387"/>
      <c r="AUZ57" s="387"/>
      <c r="AVA57" s="387"/>
      <c r="AVB57" s="387"/>
      <c r="AVC57" s="387"/>
      <c r="AVD57" s="387"/>
      <c r="AVE57" s="387"/>
      <c r="AVF57" s="387"/>
      <c r="AVG57" s="387"/>
      <c r="AVH57" s="387"/>
      <c r="AVI57" s="387"/>
      <c r="AVJ57" s="387"/>
      <c r="AVK57" s="387"/>
      <c r="AVL57" s="387"/>
      <c r="AVM57" s="387"/>
      <c r="AVN57" s="387"/>
      <c r="AVO57" s="387"/>
      <c r="AVP57" s="387"/>
      <c r="AVQ57" s="387"/>
      <c r="AVR57" s="387"/>
      <c r="AVS57" s="387"/>
      <c r="AVT57" s="387"/>
      <c r="AVU57" s="387"/>
      <c r="AVV57" s="387"/>
      <c r="AVW57" s="387"/>
      <c r="AVX57" s="387"/>
      <c r="AVY57" s="387"/>
      <c r="AVZ57" s="387"/>
      <c r="AWA57" s="387"/>
      <c r="AWB57" s="387"/>
      <c r="AWC57" s="387"/>
      <c r="AWD57" s="387"/>
      <c r="AWE57" s="387"/>
      <c r="AWF57" s="387"/>
      <c r="AWG57" s="387"/>
      <c r="AWH57" s="387"/>
      <c r="AWI57" s="387"/>
      <c r="AWJ57" s="387"/>
      <c r="AWK57" s="387"/>
      <c r="AWL57" s="387"/>
      <c r="AWM57" s="387"/>
      <c r="AWN57" s="387"/>
      <c r="AWO57" s="387"/>
      <c r="AWP57" s="387"/>
      <c r="AWQ57" s="387"/>
      <c r="AWR57" s="387"/>
      <c r="AWS57" s="387"/>
      <c r="AWT57" s="387"/>
      <c r="AWU57" s="387"/>
      <c r="AWV57" s="387"/>
      <c r="AWW57" s="387"/>
      <c r="AWX57" s="387"/>
      <c r="AWY57" s="387"/>
      <c r="AWZ57" s="387"/>
      <c r="AXA57" s="387"/>
      <c r="AXB57" s="387"/>
      <c r="AXC57" s="387"/>
      <c r="AXD57" s="387"/>
      <c r="AXE57" s="387"/>
      <c r="AXF57" s="387"/>
      <c r="AXG57" s="387"/>
      <c r="AXH57" s="387"/>
      <c r="AXI57" s="387"/>
      <c r="AXJ57" s="387"/>
      <c r="AXK57" s="387"/>
      <c r="AXL57" s="387"/>
      <c r="AXM57" s="387"/>
      <c r="AXN57" s="387"/>
      <c r="AXO57" s="387"/>
      <c r="AXP57" s="387"/>
      <c r="AXQ57" s="387"/>
      <c r="AXR57" s="387"/>
      <c r="AXS57" s="387"/>
      <c r="AXT57" s="387"/>
      <c r="AXU57" s="387"/>
      <c r="AXV57" s="387"/>
      <c r="AXW57" s="387"/>
      <c r="AXX57" s="387"/>
      <c r="AXY57" s="387"/>
      <c r="AXZ57" s="387"/>
      <c r="AYA57" s="387"/>
      <c r="AYB57" s="387"/>
      <c r="AYC57" s="387"/>
      <c r="AYD57" s="387"/>
      <c r="AYE57" s="387"/>
      <c r="AYF57" s="387"/>
      <c r="AYG57" s="387"/>
      <c r="AYH57" s="387"/>
      <c r="AYI57" s="387"/>
      <c r="AYJ57" s="387"/>
      <c r="AYK57" s="387"/>
      <c r="AYL57" s="387"/>
      <c r="AYM57" s="387"/>
      <c r="AYN57" s="387"/>
      <c r="AYO57" s="387"/>
      <c r="AYP57" s="387"/>
      <c r="AYQ57" s="387"/>
      <c r="AYR57" s="387"/>
      <c r="AYS57" s="387"/>
      <c r="AYT57" s="387"/>
      <c r="AYU57" s="387"/>
      <c r="AYV57" s="387"/>
      <c r="AYW57" s="387"/>
      <c r="AYX57" s="387"/>
      <c r="AYY57" s="387"/>
      <c r="AYZ57" s="387"/>
      <c r="AZA57" s="387"/>
      <c r="AZB57" s="387"/>
      <c r="AZC57" s="387"/>
      <c r="AZD57" s="387"/>
      <c r="AZE57" s="387"/>
      <c r="AZF57" s="387"/>
      <c r="AZG57" s="387"/>
      <c r="AZH57" s="387"/>
      <c r="AZI57" s="387"/>
      <c r="AZJ57" s="387"/>
      <c r="AZK57" s="387"/>
      <c r="AZL57" s="387"/>
      <c r="AZM57" s="387"/>
      <c r="AZN57" s="387"/>
      <c r="AZO57" s="387"/>
      <c r="AZP57" s="387"/>
      <c r="AZQ57" s="387"/>
      <c r="AZR57" s="387"/>
      <c r="AZS57" s="387"/>
      <c r="AZT57" s="387"/>
      <c r="AZU57" s="387"/>
      <c r="AZV57" s="387"/>
      <c r="AZW57" s="387"/>
      <c r="AZX57" s="387"/>
      <c r="AZY57" s="387"/>
      <c r="AZZ57" s="387"/>
      <c r="BAA57" s="387"/>
      <c r="BAB57" s="387"/>
      <c r="BAC57" s="387"/>
      <c r="BAD57" s="387"/>
      <c r="BAE57" s="387"/>
      <c r="BAF57" s="387"/>
      <c r="BAG57" s="387"/>
      <c r="BAH57" s="387"/>
      <c r="BAI57" s="387"/>
      <c r="BAJ57" s="387"/>
      <c r="BAK57" s="387"/>
      <c r="BAL57" s="387"/>
      <c r="BAM57" s="387"/>
      <c r="BAN57" s="387"/>
      <c r="BAO57" s="387"/>
      <c r="BAP57" s="387"/>
      <c r="BAQ57" s="387"/>
      <c r="BAR57" s="387"/>
      <c r="BAS57" s="387"/>
      <c r="BAT57" s="387"/>
      <c r="BAU57" s="387"/>
      <c r="BAV57" s="387"/>
      <c r="BAW57" s="387"/>
      <c r="BAX57" s="387"/>
      <c r="BAY57" s="387"/>
      <c r="BAZ57" s="387"/>
      <c r="BBA57" s="387"/>
      <c r="BBB57" s="387"/>
      <c r="BBC57" s="387"/>
      <c r="BBD57" s="387"/>
      <c r="BBE57" s="387"/>
      <c r="BBF57" s="387"/>
      <c r="BBG57" s="387"/>
      <c r="BBH57" s="387"/>
      <c r="BBI57" s="387"/>
      <c r="BBJ57" s="387"/>
      <c r="BBK57" s="387"/>
      <c r="BBL57" s="387"/>
      <c r="BBM57" s="387"/>
      <c r="BBN57" s="387"/>
      <c r="BBO57" s="387"/>
      <c r="BBP57" s="387"/>
      <c r="BBQ57" s="387"/>
      <c r="BBR57" s="387"/>
      <c r="BBS57" s="387"/>
      <c r="BBT57" s="387"/>
      <c r="BBU57" s="387"/>
      <c r="BBV57" s="387"/>
      <c r="BBW57" s="387"/>
      <c r="BBX57" s="387"/>
      <c r="BBY57" s="387"/>
      <c r="BBZ57" s="387"/>
      <c r="BCA57" s="387"/>
      <c r="BCB57" s="387"/>
      <c r="BCC57" s="387"/>
      <c r="BCD57" s="387"/>
      <c r="BCE57" s="387"/>
      <c r="BCF57" s="387"/>
      <c r="BCG57" s="387"/>
      <c r="BCH57" s="387"/>
      <c r="BCI57" s="387"/>
      <c r="BCJ57" s="387"/>
      <c r="BCK57" s="387"/>
      <c r="BCL57" s="387"/>
      <c r="BCM57" s="387"/>
      <c r="BCN57" s="387"/>
      <c r="BCO57" s="387"/>
      <c r="BCP57" s="387"/>
      <c r="BCQ57" s="387"/>
      <c r="BCR57" s="387"/>
      <c r="BCS57" s="387"/>
      <c r="BCT57" s="387"/>
      <c r="BCU57" s="387"/>
      <c r="BCV57" s="387"/>
      <c r="BCW57" s="387"/>
      <c r="BCX57" s="387"/>
      <c r="BCY57" s="387"/>
      <c r="BCZ57" s="387"/>
      <c r="BDA57" s="387"/>
      <c r="BDB57" s="387"/>
      <c r="BDC57" s="387"/>
      <c r="BDD57" s="387"/>
      <c r="BDE57" s="387"/>
      <c r="BDF57" s="387"/>
      <c r="BDG57" s="387"/>
      <c r="BDH57" s="387"/>
      <c r="BDI57" s="387"/>
      <c r="BDJ57" s="387"/>
      <c r="BDK57" s="387"/>
      <c r="BDL57" s="387"/>
      <c r="BDM57" s="387"/>
      <c r="BDN57" s="387"/>
      <c r="BDO57" s="387"/>
      <c r="BDP57" s="387"/>
      <c r="BDQ57" s="387"/>
      <c r="BDR57" s="387"/>
      <c r="BDS57" s="387"/>
      <c r="BDT57" s="387"/>
      <c r="BDU57" s="387"/>
      <c r="BDV57" s="387"/>
      <c r="BDW57" s="387"/>
      <c r="BDX57" s="387"/>
      <c r="BDY57" s="387"/>
      <c r="BDZ57" s="387"/>
      <c r="BEA57" s="387"/>
      <c r="BEB57" s="387"/>
      <c r="BEC57" s="387"/>
      <c r="BED57" s="387"/>
      <c r="BEE57" s="387"/>
      <c r="BEF57" s="387"/>
      <c r="BEG57" s="387"/>
      <c r="BEH57" s="387"/>
      <c r="BEI57" s="387"/>
      <c r="BEJ57" s="387"/>
      <c r="BEK57" s="387"/>
      <c r="BEL57" s="387"/>
      <c r="BEM57" s="387"/>
      <c r="BEN57" s="387"/>
      <c r="BEO57" s="387"/>
      <c r="BEP57" s="387"/>
      <c r="BEQ57" s="387"/>
      <c r="BER57" s="387"/>
      <c r="BES57" s="387"/>
      <c r="BET57" s="387"/>
      <c r="BEU57" s="387"/>
      <c r="BEV57" s="387"/>
      <c r="BEW57" s="387"/>
      <c r="BEX57" s="387"/>
      <c r="BEY57" s="387"/>
      <c r="BEZ57" s="387"/>
      <c r="BFA57" s="387"/>
      <c r="BFB57" s="387"/>
      <c r="BFC57" s="387"/>
      <c r="BFD57" s="387"/>
      <c r="BFE57" s="387"/>
      <c r="BFF57" s="387"/>
      <c r="BFG57" s="387"/>
      <c r="BFH57" s="387"/>
      <c r="BFI57" s="387"/>
      <c r="BFJ57" s="387"/>
      <c r="BFK57" s="387"/>
      <c r="BFL57" s="387"/>
      <c r="BFM57" s="387"/>
      <c r="BFN57" s="387"/>
      <c r="BFO57" s="387"/>
      <c r="BFP57" s="387"/>
      <c r="BFQ57" s="387"/>
      <c r="BFR57" s="387"/>
      <c r="BFS57" s="387"/>
      <c r="BFT57" s="387"/>
      <c r="BFU57" s="387"/>
      <c r="BFV57" s="387"/>
      <c r="BFW57" s="387"/>
      <c r="BFX57" s="387"/>
      <c r="BFY57" s="387"/>
      <c r="BFZ57" s="387"/>
      <c r="BGA57" s="387"/>
      <c r="BGB57" s="387"/>
      <c r="BGC57" s="387"/>
      <c r="BGD57" s="387"/>
      <c r="BGE57" s="387"/>
      <c r="BGF57" s="387"/>
      <c r="BGG57" s="387"/>
      <c r="BGH57" s="387"/>
      <c r="BGI57" s="387"/>
      <c r="BGJ57" s="387"/>
      <c r="BGK57" s="387"/>
      <c r="BGL57" s="387"/>
      <c r="BGM57" s="387"/>
      <c r="BGN57" s="387"/>
      <c r="BGO57" s="387"/>
      <c r="BGP57" s="387"/>
      <c r="BGQ57" s="387"/>
      <c r="BGR57" s="387"/>
      <c r="BGS57" s="387"/>
      <c r="BGT57" s="387"/>
      <c r="BGU57" s="387"/>
      <c r="BGV57" s="387"/>
      <c r="BGW57" s="387"/>
      <c r="BGX57" s="387"/>
      <c r="BGY57" s="387"/>
      <c r="BGZ57" s="387"/>
      <c r="BHA57" s="387"/>
      <c r="BHB57" s="387"/>
      <c r="BHC57" s="387"/>
      <c r="BHD57" s="387"/>
      <c r="BHE57" s="387"/>
      <c r="BHF57" s="387"/>
      <c r="BHG57" s="387"/>
      <c r="BHH57" s="387"/>
      <c r="BHI57" s="387"/>
      <c r="BHJ57" s="387"/>
      <c r="BHK57" s="387"/>
      <c r="BHL57" s="387"/>
      <c r="BHM57" s="387"/>
      <c r="BHN57" s="387"/>
      <c r="BHO57" s="387"/>
      <c r="BHP57" s="387"/>
      <c r="BHQ57" s="387"/>
      <c r="BHR57" s="387"/>
      <c r="BHS57" s="387"/>
      <c r="BHT57" s="387"/>
      <c r="BHU57" s="387"/>
      <c r="BHV57" s="387"/>
      <c r="BHW57" s="387"/>
      <c r="BHX57" s="387"/>
      <c r="BHY57" s="387"/>
      <c r="BHZ57" s="387"/>
      <c r="BIA57" s="387"/>
      <c r="BIB57" s="387"/>
      <c r="BIC57" s="387"/>
      <c r="BID57" s="387"/>
      <c r="BIE57" s="387"/>
      <c r="BIF57" s="387"/>
      <c r="BIG57" s="387"/>
      <c r="BIH57" s="387"/>
      <c r="BII57" s="387"/>
      <c r="BIJ57" s="387"/>
      <c r="BIK57" s="387"/>
      <c r="BIL57" s="387"/>
      <c r="BIM57" s="387"/>
      <c r="BIN57" s="387"/>
      <c r="BIO57" s="387"/>
      <c r="BIP57" s="387"/>
      <c r="BIQ57" s="387"/>
      <c r="BIR57" s="387"/>
      <c r="BIS57" s="387"/>
      <c r="BIT57" s="387"/>
      <c r="BIU57" s="387"/>
      <c r="BIV57" s="387"/>
      <c r="BIW57" s="387"/>
      <c r="BIX57" s="387"/>
      <c r="BIY57" s="387"/>
      <c r="BIZ57" s="387"/>
      <c r="BJA57" s="387"/>
      <c r="BJB57" s="387"/>
      <c r="BJC57" s="387"/>
      <c r="BJD57" s="387"/>
      <c r="BJE57" s="387"/>
      <c r="BJF57" s="387"/>
      <c r="BJG57" s="387"/>
      <c r="BJH57" s="387"/>
      <c r="BJI57" s="387"/>
      <c r="BJJ57" s="387"/>
      <c r="BJK57" s="387"/>
      <c r="BJL57" s="387"/>
      <c r="BJM57" s="387"/>
      <c r="BJN57" s="387"/>
      <c r="BJO57" s="387"/>
      <c r="BJP57" s="387"/>
      <c r="BJQ57" s="387"/>
      <c r="BJR57" s="387"/>
      <c r="BJS57" s="387"/>
      <c r="BJT57" s="387"/>
      <c r="BJU57" s="387"/>
      <c r="BJV57" s="387"/>
      <c r="BJW57" s="387"/>
      <c r="BJX57" s="387"/>
      <c r="BJY57" s="387"/>
      <c r="BJZ57" s="387"/>
      <c r="BKA57" s="387"/>
      <c r="BKB57" s="387"/>
      <c r="BKC57" s="387"/>
      <c r="BKD57" s="387"/>
      <c r="BKE57" s="387"/>
      <c r="BKF57" s="387"/>
      <c r="BKG57" s="387"/>
      <c r="BKH57" s="387"/>
      <c r="BKI57" s="387"/>
      <c r="BKJ57" s="387"/>
      <c r="BKK57" s="387"/>
      <c r="BKL57" s="387"/>
      <c r="BKM57" s="387"/>
      <c r="BKN57" s="387"/>
      <c r="BKO57" s="387"/>
      <c r="BKP57" s="387"/>
      <c r="BKQ57" s="387"/>
      <c r="BKR57" s="387"/>
      <c r="BKS57" s="387"/>
      <c r="BKT57" s="387"/>
      <c r="BKU57" s="387"/>
      <c r="BKV57" s="387"/>
      <c r="BKW57" s="387"/>
      <c r="BKX57" s="387"/>
      <c r="BKY57" s="387"/>
      <c r="BKZ57" s="387"/>
      <c r="BLA57" s="387"/>
      <c r="BLB57" s="387"/>
      <c r="BLC57" s="387"/>
      <c r="BLD57" s="387"/>
      <c r="BLE57" s="387"/>
      <c r="BLF57" s="387"/>
      <c r="BLG57" s="387"/>
      <c r="BLH57" s="387"/>
      <c r="BLI57" s="387"/>
      <c r="BLJ57" s="387"/>
      <c r="BLK57" s="387"/>
      <c r="BLL57" s="387"/>
      <c r="BLM57" s="387"/>
      <c r="BLN57" s="387"/>
      <c r="BLO57" s="387"/>
      <c r="BLP57" s="387"/>
      <c r="BLQ57" s="387"/>
      <c r="BLR57" s="387"/>
      <c r="BLS57" s="387"/>
      <c r="BLT57" s="387"/>
      <c r="BLU57" s="387"/>
      <c r="BLV57" s="387"/>
      <c r="BLW57" s="387"/>
      <c r="BLX57" s="387"/>
      <c r="BLY57" s="387"/>
      <c r="BLZ57" s="387"/>
      <c r="BMA57" s="387"/>
      <c r="BMB57" s="387"/>
      <c r="BMC57" s="387"/>
      <c r="BMD57" s="387"/>
      <c r="BME57" s="387"/>
      <c r="BMF57" s="387"/>
      <c r="BMG57" s="387"/>
      <c r="BMH57" s="387"/>
      <c r="BMI57" s="387"/>
      <c r="BMJ57" s="387"/>
      <c r="BMK57" s="387"/>
      <c r="BML57" s="387"/>
      <c r="BMM57" s="387"/>
      <c r="BMN57" s="387"/>
      <c r="BMO57" s="387"/>
      <c r="BMP57" s="387"/>
      <c r="BMQ57" s="387"/>
      <c r="BMR57" s="387"/>
      <c r="BMS57" s="387"/>
      <c r="BMT57" s="387"/>
      <c r="BMU57" s="387"/>
      <c r="BMV57" s="387"/>
      <c r="BMW57" s="387"/>
      <c r="BMX57" s="387"/>
      <c r="BMY57" s="387"/>
      <c r="BMZ57" s="387"/>
      <c r="BNA57" s="387"/>
      <c r="BNB57" s="387"/>
      <c r="BNC57" s="387"/>
      <c r="BND57" s="387"/>
      <c r="BNE57" s="387"/>
      <c r="BNF57" s="387"/>
      <c r="BNG57" s="387"/>
      <c r="BNH57" s="387"/>
      <c r="BNI57" s="387"/>
      <c r="BNJ57" s="387"/>
      <c r="BNK57" s="387"/>
      <c r="BNL57" s="387"/>
      <c r="BNM57" s="387"/>
      <c r="BNN57" s="387"/>
      <c r="BNO57" s="387"/>
      <c r="BNP57" s="387"/>
      <c r="BNQ57" s="387"/>
      <c r="BNR57" s="387"/>
      <c r="BNS57" s="387"/>
      <c r="BNT57" s="387"/>
      <c r="BNU57" s="387"/>
      <c r="BNV57" s="387"/>
      <c r="BNW57" s="387"/>
      <c r="BNX57" s="387"/>
      <c r="BNY57" s="387"/>
      <c r="BNZ57" s="387"/>
      <c r="BOA57" s="387"/>
      <c r="BOB57" s="387"/>
      <c r="BOC57" s="387"/>
      <c r="BOD57" s="387"/>
      <c r="BOE57" s="387"/>
      <c r="BOF57" s="387"/>
      <c r="BOG57" s="387"/>
      <c r="BOH57" s="387"/>
      <c r="BOI57" s="387"/>
      <c r="BOJ57" s="387"/>
      <c r="BOK57" s="387"/>
      <c r="BOL57" s="387"/>
      <c r="BOM57" s="387"/>
      <c r="BON57" s="387"/>
      <c r="BOO57" s="387"/>
      <c r="BOP57" s="387"/>
      <c r="BOQ57" s="387"/>
      <c r="BOR57" s="387"/>
      <c r="BOS57" s="387"/>
      <c r="BOT57" s="387"/>
      <c r="BOU57" s="387"/>
      <c r="BOV57" s="387"/>
      <c r="BOW57" s="387"/>
      <c r="BOX57" s="387"/>
      <c r="BOY57" s="387"/>
      <c r="BOZ57" s="387"/>
      <c r="BPA57" s="387"/>
      <c r="BPB57" s="387"/>
      <c r="BPC57" s="387"/>
      <c r="BPD57" s="387"/>
      <c r="BPE57" s="387"/>
      <c r="BPF57" s="387"/>
      <c r="BPG57" s="387"/>
      <c r="BPH57" s="387"/>
      <c r="BPI57" s="387"/>
      <c r="BPJ57" s="387"/>
      <c r="BPK57" s="387"/>
      <c r="BPL57" s="387"/>
      <c r="BPM57" s="387"/>
      <c r="BPN57" s="387"/>
      <c r="BPO57" s="387"/>
      <c r="BPP57" s="387"/>
      <c r="BPQ57" s="387"/>
      <c r="BPR57" s="387"/>
      <c r="BPS57" s="387"/>
      <c r="BPT57" s="387"/>
      <c r="BPU57" s="387"/>
      <c r="BPV57" s="387"/>
      <c r="BPW57" s="387"/>
      <c r="BPX57" s="387"/>
      <c r="BPY57" s="387"/>
      <c r="BPZ57" s="387"/>
      <c r="BQA57" s="387"/>
      <c r="BQB57" s="387"/>
      <c r="BQC57" s="387"/>
      <c r="BQD57" s="387"/>
      <c r="BQE57" s="387"/>
      <c r="BQF57" s="387"/>
      <c r="BQG57" s="387"/>
      <c r="BQH57" s="387"/>
      <c r="BQI57" s="387"/>
      <c r="BQJ57" s="387"/>
      <c r="BQK57" s="387"/>
      <c r="BQL57" s="387"/>
      <c r="BQM57" s="387"/>
      <c r="BQN57" s="387"/>
      <c r="BQO57" s="387"/>
      <c r="BQP57" s="387"/>
      <c r="BQQ57" s="387"/>
      <c r="BQR57" s="387"/>
      <c r="BQS57" s="387"/>
      <c r="BQT57" s="387"/>
      <c r="BQU57" s="387"/>
      <c r="BQV57" s="387"/>
      <c r="BQW57" s="387"/>
      <c r="BQX57" s="387"/>
      <c r="BQY57" s="387"/>
      <c r="BQZ57" s="387"/>
      <c r="BRA57" s="387"/>
      <c r="BRB57" s="387"/>
      <c r="BRC57" s="387"/>
      <c r="BRD57" s="387"/>
      <c r="BRE57" s="387"/>
      <c r="BRF57" s="387"/>
      <c r="BRG57" s="387"/>
      <c r="BRH57" s="387"/>
      <c r="BRI57" s="387"/>
      <c r="BRJ57" s="387"/>
      <c r="BRK57" s="387"/>
      <c r="BRL57" s="387"/>
      <c r="BRM57" s="387"/>
      <c r="BRN57" s="387"/>
      <c r="BRO57" s="387"/>
      <c r="BRP57" s="387"/>
      <c r="BRQ57" s="387"/>
      <c r="BRR57" s="387"/>
      <c r="BRS57" s="387"/>
      <c r="BRT57" s="387"/>
      <c r="BRU57" s="387"/>
      <c r="BRV57" s="387"/>
      <c r="BRW57" s="387"/>
      <c r="BRX57" s="387"/>
      <c r="BRY57" s="387"/>
      <c r="BRZ57" s="387"/>
      <c r="BSA57" s="387"/>
      <c r="BSB57" s="387"/>
      <c r="BSC57" s="387"/>
      <c r="BSD57" s="387"/>
      <c r="BSE57" s="387"/>
      <c r="BSF57" s="387"/>
      <c r="BSG57" s="387"/>
      <c r="BSH57" s="387"/>
      <c r="BSI57" s="387"/>
      <c r="BSJ57" s="387"/>
      <c r="BSK57" s="387"/>
      <c r="BSL57" s="387"/>
      <c r="BSM57" s="387"/>
      <c r="BSN57" s="387"/>
      <c r="BSO57" s="387"/>
      <c r="BSP57" s="387"/>
      <c r="BSQ57" s="387"/>
      <c r="BSR57" s="387"/>
      <c r="BSS57" s="387"/>
      <c r="BST57" s="387"/>
      <c r="BSU57" s="387"/>
      <c r="BSV57" s="387"/>
      <c r="BSW57" s="387"/>
      <c r="BSX57" s="387"/>
      <c r="BSY57" s="387"/>
      <c r="BSZ57" s="387"/>
      <c r="BTA57" s="387"/>
      <c r="BTB57" s="387"/>
      <c r="BTC57" s="387"/>
      <c r="BTD57" s="387"/>
      <c r="BTE57" s="387"/>
      <c r="BTF57" s="387"/>
      <c r="BTG57" s="387"/>
      <c r="BTH57" s="387"/>
      <c r="BTI57" s="387"/>
    </row>
    <row r="58" spans="1:1881" ht="30" customHeight="1" x14ac:dyDescent="0.25">
      <c r="A58" s="187"/>
      <c r="B58" s="135" t="s">
        <v>182</v>
      </c>
      <c r="C58" s="137"/>
      <c r="D58" s="152"/>
      <c r="E58" s="141"/>
      <c r="F58" s="746"/>
      <c r="G58" s="525"/>
      <c r="H58" s="14"/>
      <c r="I58" s="31"/>
      <c r="L58" s="674"/>
      <c r="M58" s="576"/>
      <c r="N58" s="594"/>
      <c r="S58" s="682"/>
      <c r="X58" s="682"/>
    </row>
    <row r="59" spans="1:1881" ht="52.5" customHeight="1" x14ac:dyDescent="0.25">
      <c r="A59" s="186">
        <v>369</v>
      </c>
      <c r="B59" s="62" t="s">
        <v>79</v>
      </c>
      <c r="C59" s="157" t="s">
        <v>183</v>
      </c>
      <c r="D59" s="163" t="s">
        <v>178</v>
      </c>
      <c r="E59" s="683" t="e">
        <f>HLOOKUP('Unit Data from Audit Worksheet'!$D$2,'2019 Data(H)'!$D$1:$BB$202,88,FALSE)</f>
        <v>#N/A</v>
      </c>
      <c r="F59" s="686"/>
      <c r="G59" s="388"/>
      <c r="H59" s="14"/>
      <c r="I59" s="31"/>
      <c r="J59" s="362"/>
      <c r="L59" s="674"/>
      <c r="M59" s="576"/>
      <c r="N59" s="594"/>
      <c r="S59" s="682"/>
      <c r="X59" s="682"/>
    </row>
    <row r="60" spans="1:1881" ht="57.75" customHeight="1" x14ac:dyDescent="0.25">
      <c r="A60" s="186">
        <v>16</v>
      </c>
      <c r="B60" s="62" t="s">
        <v>89</v>
      </c>
      <c r="C60" s="157" t="s">
        <v>183</v>
      </c>
      <c r="D60" s="173" t="s">
        <v>179</v>
      </c>
      <c r="E60" s="683" t="e">
        <f>HLOOKUP('Unit Data from Audit Worksheet'!$D$2,'2019 Data(H)'!$D$1:$BB$202,9,FALSE)</f>
        <v>#N/A</v>
      </c>
      <c r="F60" s="686"/>
      <c r="G60" s="388"/>
      <c r="H60" s="14"/>
      <c r="I60" s="31"/>
      <c r="J60" s="362"/>
      <c r="L60" s="674"/>
      <c r="M60" s="576"/>
      <c r="N60" s="594"/>
      <c r="S60" s="682"/>
      <c r="X60" s="682"/>
    </row>
    <row r="61" spans="1:1881" ht="65.25" customHeight="1" x14ac:dyDescent="0.25">
      <c r="A61" s="186">
        <v>370</v>
      </c>
      <c r="B61" s="62" t="s">
        <v>79</v>
      </c>
      <c r="C61" s="157" t="s">
        <v>183</v>
      </c>
      <c r="D61" s="163" t="s">
        <v>537</v>
      </c>
      <c r="E61" s="683" t="e">
        <f>HLOOKUP('Unit Data from Audit Worksheet'!$D$2,'2019 Data(H)'!$D$1:$BB$202,89,FALSE)</f>
        <v>#N/A</v>
      </c>
      <c r="F61" s="686"/>
      <c r="G61" s="388">
        <f>IF(F61&lt;0,"Error: Enter as positive.",)</f>
        <v>0</v>
      </c>
      <c r="H61" s="14"/>
      <c r="I61" s="31"/>
      <c r="J61" s="362"/>
      <c r="L61" s="674"/>
      <c r="M61" s="576"/>
      <c r="N61" s="594"/>
      <c r="S61" s="682"/>
      <c r="X61" s="682"/>
    </row>
    <row r="62" spans="1:1881" ht="69.75" customHeight="1" x14ac:dyDescent="0.25">
      <c r="A62" s="186">
        <v>532</v>
      </c>
      <c r="B62" s="62" t="s">
        <v>78</v>
      </c>
      <c r="C62" s="157" t="s">
        <v>183</v>
      </c>
      <c r="D62" s="133" t="s">
        <v>186</v>
      </c>
      <c r="E62" s="683" t="e">
        <f>HLOOKUP('Unit Data from Audit Worksheet'!$D$2,'2019 Data(H)'!$D$1:$BB$202,139,FALSE)</f>
        <v>#N/A</v>
      </c>
      <c r="F62" s="686"/>
      <c r="G62" s="388">
        <f>IF(F62&lt;0,"Error: Enter as positive.",)</f>
        <v>0</v>
      </c>
      <c r="H62" s="14"/>
      <c r="I62" s="31"/>
      <c r="J62" s="362"/>
      <c r="L62" s="674"/>
      <c r="M62" s="576"/>
      <c r="N62" s="594"/>
      <c r="S62" s="682"/>
      <c r="X62" s="682"/>
    </row>
    <row r="63" spans="1:1881" ht="54" customHeight="1" x14ac:dyDescent="0.25">
      <c r="A63" s="186">
        <v>17</v>
      </c>
      <c r="B63" s="62" t="s">
        <v>83</v>
      </c>
      <c r="C63" s="157" t="s">
        <v>183</v>
      </c>
      <c r="D63" s="173" t="s">
        <v>529</v>
      </c>
      <c r="E63" s="683" t="e">
        <f>HLOOKUP('Unit Data from Audit Worksheet'!$D$2,'2019 Data(H)'!$D$1:$BB$202,10,FALSE)</f>
        <v>#N/A</v>
      </c>
      <c r="F63" s="686"/>
      <c r="G63" s="388"/>
      <c r="H63" s="14"/>
      <c r="I63" s="31"/>
      <c r="L63" s="674"/>
      <c r="M63" s="576"/>
      <c r="N63" s="594"/>
      <c r="S63" s="682"/>
      <c r="X63" s="682"/>
    </row>
    <row r="64" spans="1:1881" ht="58.5" customHeight="1" x14ac:dyDescent="0.25">
      <c r="A64" s="186">
        <v>20</v>
      </c>
      <c r="B64" s="62" t="s">
        <v>78</v>
      </c>
      <c r="C64" s="157" t="s">
        <v>183</v>
      </c>
      <c r="D64" s="173" t="s">
        <v>530</v>
      </c>
      <c r="E64" s="683" t="e">
        <f>HLOOKUP('Unit Data from Audit Worksheet'!$D$2,'2019 Data(H)'!$D$1:$BB$202,11,FALSE)</f>
        <v>#N/A</v>
      </c>
      <c r="F64" s="686"/>
      <c r="G64" s="388">
        <f>IF(F64&lt;0,"Error: Enter as positive.",)</f>
        <v>0</v>
      </c>
      <c r="H64" s="14"/>
      <c r="I64" s="31"/>
      <c r="L64" s="674"/>
      <c r="M64" s="576"/>
      <c r="N64" s="594"/>
      <c r="S64" s="682"/>
      <c r="X64" s="682"/>
    </row>
    <row r="65" spans="1:1881" ht="54" customHeight="1" x14ac:dyDescent="0.25">
      <c r="A65" s="186">
        <v>533</v>
      </c>
      <c r="B65" s="62" t="s">
        <v>78</v>
      </c>
      <c r="C65" s="157" t="s">
        <v>183</v>
      </c>
      <c r="D65" s="134" t="s">
        <v>180</v>
      </c>
      <c r="E65" s="683" t="e">
        <f>HLOOKUP('Unit Data from Audit Worksheet'!$D$2,'2019 Data(H)'!$D$1:$BB$202,140,FALSE)</f>
        <v>#N/A</v>
      </c>
      <c r="F65" s="686"/>
      <c r="G65" s="311"/>
      <c r="H65" s="14"/>
      <c r="I65" s="31"/>
      <c r="L65" s="674"/>
      <c r="M65" s="576"/>
      <c r="N65" s="594"/>
      <c r="S65" s="682"/>
      <c r="X65" s="682"/>
    </row>
    <row r="66" spans="1:1881" s="4" customFormat="1" ht="62.25" customHeight="1" x14ac:dyDescent="0.25">
      <c r="A66" s="186">
        <v>508</v>
      </c>
      <c r="B66" s="62" t="s">
        <v>78</v>
      </c>
      <c r="C66" s="157" t="s">
        <v>183</v>
      </c>
      <c r="D66" s="173" t="s">
        <v>552</v>
      </c>
      <c r="E66" s="683" t="e">
        <f>HLOOKUP('Unit Data from Audit Worksheet'!$D$2,'2019 Data(H)'!$D$1:$BB$202,115,FALSE)</f>
        <v>#N/A</v>
      </c>
      <c r="F66" s="686"/>
      <c r="G66" s="388"/>
      <c r="H66" s="18"/>
      <c r="I66" s="292"/>
      <c r="J66" s="387"/>
      <c r="K66" s="387"/>
      <c r="L66" s="674"/>
      <c r="M66" s="576"/>
      <c r="N66" s="594"/>
      <c r="O66" s="387"/>
      <c r="P66" s="387"/>
      <c r="Q66" s="387"/>
      <c r="R66"/>
      <c r="S66" s="682"/>
      <c r="T66" s="387"/>
      <c r="U66" s="387"/>
      <c r="V66" s="387"/>
      <c r="W66" s="387"/>
      <c r="X66" s="682"/>
      <c r="Y66" s="387"/>
      <c r="Z66" s="387"/>
      <c r="AA66" s="387"/>
      <c r="AB66" s="387"/>
      <c r="AC66" s="387"/>
      <c r="AD66" s="387"/>
      <c r="AE66" s="387"/>
      <c r="AF66" s="387"/>
      <c r="AG66" s="387"/>
      <c r="AH66" s="387"/>
      <c r="AI66" s="387"/>
      <c r="AJ66" s="387"/>
      <c r="AK66" s="387"/>
      <c r="AL66" s="387"/>
      <c r="AM66" s="387"/>
      <c r="AN66" s="387"/>
      <c r="AO66" s="387"/>
      <c r="AP66" s="387"/>
      <c r="AQ66" s="387"/>
      <c r="AR66" s="387"/>
      <c r="AS66" s="387"/>
      <c r="AT66" s="387"/>
      <c r="AU66" s="387"/>
      <c r="AV66" s="387"/>
      <c r="AW66" s="387"/>
      <c r="AX66" s="387"/>
      <c r="AY66" s="387"/>
      <c r="AZ66" s="387"/>
      <c r="BA66" s="387"/>
      <c r="BB66" s="387"/>
      <c r="BC66" s="387"/>
      <c r="BD66" s="387"/>
      <c r="BE66" s="387"/>
      <c r="BF66" s="387"/>
      <c r="BG66" s="387"/>
      <c r="BH66" s="387"/>
      <c r="BI66" s="387"/>
      <c r="BJ66" s="387"/>
      <c r="BK66" s="387"/>
      <c r="BL66" s="387"/>
      <c r="BM66" s="387"/>
      <c r="BN66" s="387"/>
      <c r="BO66" s="387"/>
      <c r="BP66" s="387"/>
      <c r="BQ66" s="387"/>
      <c r="BR66" s="387"/>
      <c r="BS66" s="387"/>
      <c r="BT66" s="387"/>
      <c r="BU66" s="387"/>
      <c r="BV66" s="387"/>
      <c r="BW66" s="387"/>
      <c r="BX66" s="387"/>
      <c r="BY66" s="387"/>
      <c r="BZ66" s="387"/>
      <c r="CA66" s="387"/>
      <c r="CB66" s="387"/>
      <c r="CC66" s="387"/>
      <c r="CD66" s="387"/>
      <c r="CE66" s="387"/>
      <c r="CF66" s="387"/>
      <c r="CG66" s="387"/>
      <c r="CH66" s="387"/>
      <c r="CI66" s="387"/>
      <c r="CJ66" s="387"/>
      <c r="CK66" s="387"/>
      <c r="CL66" s="387"/>
      <c r="CM66" s="387"/>
      <c r="CN66" s="387"/>
      <c r="CO66" s="387"/>
      <c r="CP66" s="387"/>
      <c r="CQ66" s="387"/>
      <c r="CR66" s="387"/>
      <c r="CS66" s="387"/>
      <c r="CT66" s="387"/>
      <c r="CU66" s="387"/>
      <c r="CV66" s="387"/>
      <c r="CW66" s="387"/>
      <c r="CX66" s="387"/>
      <c r="CY66" s="387"/>
      <c r="CZ66" s="387"/>
      <c r="DA66" s="387"/>
      <c r="DB66" s="387"/>
      <c r="DC66" s="387"/>
      <c r="DD66" s="387"/>
      <c r="DE66" s="387"/>
      <c r="DF66" s="387"/>
      <c r="DG66" s="387"/>
      <c r="DH66" s="387"/>
      <c r="DI66" s="387"/>
      <c r="DJ66" s="387"/>
      <c r="DK66" s="387"/>
      <c r="DL66" s="387"/>
      <c r="DM66" s="387"/>
      <c r="DN66" s="387"/>
      <c r="DO66" s="387"/>
      <c r="DP66" s="387"/>
      <c r="DQ66" s="387"/>
      <c r="DR66" s="387"/>
      <c r="DS66" s="387"/>
      <c r="DT66" s="387"/>
      <c r="DU66" s="387"/>
      <c r="DV66" s="387"/>
      <c r="DW66" s="387"/>
      <c r="DX66" s="387"/>
      <c r="DY66" s="387"/>
      <c r="DZ66" s="387"/>
      <c r="EA66" s="387"/>
      <c r="EB66" s="387"/>
      <c r="EC66" s="387"/>
      <c r="ED66" s="387"/>
      <c r="EE66" s="387"/>
      <c r="EF66" s="387"/>
      <c r="EG66" s="387"/>
      <c r="EH66" s="387"/>
      <c r="EI66" s="387"/>
      <c r="EJ66" s="387"/>
      <c r="EK66" s="387"/>
      <c r="EL66" s="387"/>
      <c r="EM66" s="387"/>
      <c r="EN66" s="387"/>
      <c r="EO66" s="387"/>
      <c r="EP66" s="387"/>
      <c r="EQ66" s="387"/>
      <c r="ER66" s="387"/>
      <c r="ES66" s="387"/>
      <c r="ET66" s="387"/>
      <c r="EU66" s="387"/>
      <c r="EV66" s="387"/>
      <c r="EW66" s="387"/>
      <c r="EX66" s="387"/>
      <c r="EY66" s="387"/>
      <c r="EZ66" s="387"/>
      <c r="FA66" s="387"/>
      <c r="FB66" s="387"/>
      <c r="FC66" s="387"/>
      <c r="FD66" s="387"/>
      <c r="FE66" s="387"/>
      <c r="FF66" s="387"/>
      <c r="FG66" s="387"/>
      <c r="FH66" s="387"/>
      <c r="FI66" s="387"/>
      <c r="FJ66" s="387"/>
      <c r="FK66" s="387"/>
      <c r="FL66" s="387"/>
      <c r="FM66" s="387"/>
      <c r="FN66" s="387"/>
      <c r="FO66" s="387"/>
      <c r="FP66" s="387"/>
      <c r="FQ66" s="387"/>
      <c r="FR66" s="387"/>
      <c r="FS66" s="387"/>
      <c r="FT66" s="387"/>
      <c r="FU66" s="387"/>
      <c r="FV66" s="387"/>
      <c r="FW66" s="387"/>
      <c r="FX66" s="387"/>
      <c r="FY66" s="387"/>
      <c r="FZ66" s="387"/>
      <c r="GA66" s="387"/>
      <c r="GB66" s="387"/>
      <c r="GC66" s="387"/>
      <c r="GD66" s="387"/>
      <c r="GE66" s="387"/>
      <c r="GF66" s="387"/>
      <c r="GG66" s="387"/>
      <c r="GH66" s="387"/>
      <c r="GI66" s="387"/>
      <c r="GJ66" s="387"/>
      <c r="GK66" s="387"/>
      <c r="GL66" s="387"/>
      <c r="GM66" s="387"/>
      <c r="GN66" s="387"/>
      <c r="GO66" s="387"/>
      <c r="GP66" s="387"/>
      <c r="GQ66" s="387"/>
      <c r="GR66" s="387"/>
      <c r="GS66" s="387"/>
      <c r="GT66" s="387"/>
      <c r="GU66" s="387"/>
      <c r="GV66" s="387"/>
      <c r="GW66" s="387"/>
      <c r="GX66" s="387"/>
      <c r="GY66" s="387"/>
      <c r="GZ66" s="387"/>
      <c r="HA66" s="387"/>
      <c r="HB66" s="387"/>
      <c r="HC66" s="387"/>
      <c r="HD66" s="387"/>
      <c r="HE66" s="387"/>
      <c r="HF66" s="387"/>
      <c r="HG66" s="387"/>
      <c r="HH66" s="387"/>
      <c r="HI66" s="387"/>
      <c r="HJ66" s="387"/>
      <c r="HK66" s="387"/>
      <c r="HL66" s="387"/>
      <c r="HM66" s="387"/>
      <c r="HN66" s="387"/>
      <c r="HO66" s="387"/>
      <c r="HP66" s="387"/>
      <c r="HQ66" s="387"/>
      <c r="HR66" s="387"/>
      <c r="HS66" s="387"/>
      <c r="HT66" s="387"/>
      <c r="HU66" s="387"/>
      <c r="HV66" s="387"/>
      <c r="HW66" s="387"/>
      <c r="HX66" s="387"/>
      <c r="HY66" s="387"/>
      <c r="HZ66" s="387"/>
      <c r="IA66" s="387"/>
      <c r="IB66" s="387"/>
      <c r="IC66" s="387"/>
      <c r="ID66" s="387"/>
      <c r="IE66" s="387"/>
      <c r="IF66" s="387"/>
      <c r="IG66" s="387"/>
      <c r="IH66" s="387"/>
      <c r="II66" s="387"/>
      <c r="IJ66" s="387"/>
      <c r="IK66" s="387"/>
      <c r="IL66" s="387"/>
      <c r="IM66" s="387"/>
      <c r="IN66" s="387"/>
      <c r="IO66" s="387"/>
      <c r="IP66" s="387"/>
      <c r="IQ66" s="387"/>
      <c r="IR66" s="387"/>
      <c r="IS66" s="387"/>
      <c r="IT66" s="387"/>
      <c r="IU66" s="387"/>
      <c r="IV66" s="387"/>
      <c r="IW66" s="387"/>
      <c r="IX66" s="387"/>
      <c r="IY66" s="387"/>
      <c r="IZ66" s="387"/>
      <c r="JA66" s="387"/>
      <c r="JB66" s="387"/>
      <c r="JC66" s="387"/>
      <c r="JD66" s="387"/>
      <c r="JE66" s="387"/>
      <c r="JF66" s="387"/>
      <c r="JG66" s="387"/>
      <c r="JH66" s="387"/>
      <c r="JI66" s="387"/>
      <c r="JJ66" s="387"/>
      <c r="JK66" s="387"/>
      <c r="JL66" s="387"/>
      <c r="JM66" s="387"/>
      <c r="JN66" s="387"/>
      <c r="JO66" s="387"/>
      <c r="JP66" s="387"/>
      <c r="JQ66" s="387"/>
      <c r="JR66" s="387"/>
      <c r="JS66" s="387"/>
      <c r="JT66" s="387"/>
      <c r="JU66" s="387"/>
      <c r="JV66" s="387"/>
      <c r="JW66" s="387"/>
      <c r="JX66" s="387"/>
      <c r="JY66" s="387"/>
      <c r="JZ66" s="387"/>
      <c r="KA66" s="387"/>
      <c r="KB66" s="387"/>
      <c r="KC66" s="387"/>
      <c r="KD66" s="387"/>
      <c r="KE66" s="387"/>
      <c r="KF66" s="387"/>
      <c r="KG66" s="387"/>
      <c r="KH66" s="387"/>
      <c r="KI66" s="387"/>
      <c r="KJ66" s="387"/>
      <c r="KK66" s="387"/>
      <c r="KL66" s="387"/>
      <c r="KM66" s="387"/>
      <c r="KN66" s="387"/>
      <c r="KO66" s="387"/>
      <c r="KP66" s="387"/>
      <c r="KQ66" s="387"/>
      <c r="KR66" s="387"/>
      <c r="KS66" s="387"/>
      <c r="KT66" s="387"/>
      <c r="KU66" s="387"/>
      <c r="KV66" s="387"/>
      <c r="KW66" s="387"/>
      <c r="KX66" s="387"/>
      <c r="KY66" s="387"/>
      <c r="KZ66" s="387"/>
      <c r="LA66" s="387"/>
      <c r="LB66" s="387"/>
      <c r="LC66" s="387"/>
      <c r="LD66" s="387"/>
      <c r="LE66" s="387"/>
      <c r="LF66" s="387"/>
      <c r="LG66" s="387"/>
      <c r="LH66" s="387"/>
      <c r="LI66" s="387"/>
      <c r="LJ66" s="387"/>
      <c r="LK66" s="387"/>
      <c r="LL66" s="387"/>
      <c r="LM66" s="387"/>
      <c r="LN66" s="387"/>
      <c r="LO66" s="387"/>
      <c r="LP66" s="387"/>
      <c r="LQ66" s="387"/>
      <c r="LR66" s="387"/>
      <c r="LS66" s="387"/>
      <c r="LT66" s="387"/>
      <c r="LU66" s="387"/>
      <c r="LV66" s="387"/>
      <c r="LW66" s="387"/>
      <c r="LX66" s="387"/>
      <c r="LY66" s="387"/>
      <c r="LZ66" s="387"/>
      <c r="MA66" s="387"/>
      <c r="MB66" s="387"/>
      <c r="MC66" s="387"/>
      <c r="MD66" s="387"/>
      <c r="ME66" s="387"/>
      <c r="MF66" s="387"/>
      <c r="MG66" s="387"/>
      <c r="MH66" s="387"/>
      <c r="MI66" s="387"/>
      <c r="MJ66" s="387"/>
      <c r="MK66" s="387"/>
      <c r="ML66" s="387"/>
      <c r="MM66" s="387"/>
      <c r="MN66" s="387"/>
      <c r="MO66" s="387"/>
      <c r="MP66" s="387"/>
      <c r="MQ66" s="387"/>
      <c r="MR66" s="387"/>
      <c r="MS66" s="387"/>
      <c r="MT66" s="387"/>
      <c r="MU66" s="387"/>
      <c r="MV66" s="387"/>
      <c r="MW66" s="387"/>
      <c r="MX66" s="387"/>
      <c r="MY66" s="387"/>
      <c r="MZ66" s="387"/>
      <c r="NA66" s="387"/>
      <c r="NB66" s="387"/>
      <c r="NC66" s="387"/>
      <c r="ND66" s="387"/>
      <c r="NE66" s="387"/>
      <c r="NF66" s="387"/>
      <c r="NG66" s="387"/>
      <c r="NH66" s="387"/>
      <c r="NI66" s="387"/>
      <c r="NJ66" s="387"/>
      <c r="NK66" s="387"/>
      <c r="NL66" s="387"/>
      <c r="NM66" s="387"/>
      <c r="NN66" s="387"/>
      <c r="NO66" s="387"/>
      <c r="NP66" s="387"/>
      <c r="NQ66" s="387"/>
      <c r="NR66" s="387"/>
      <c r="NS66" s="387"/>
      <c r="NT66" s="387"/>
      <c r="NU66" s="387"/>
      <c r="NV66" s="387"/>
      <c r="NW66" s="387"/>
      <c r="NX66" s="387"/>
      <c r="NY66" s="387"/>
      <c r="NZ66" s="387"/>
      <c r="OA66" s="387"/>
      <c r="OB66" s="387"/>
      <c r="OC66" s="387"/>
      <c r="OD66" s="387"/>
      <c r="OE66" s="387"/>
      <c r="OF66" s="387"/>
      <c r="OG66" s="387"/>
      <c r="OH66" s="387"/>
      <c r="OI66" s="387"/>
      <c r="OJ66" s="387"/>
      <c r="OK66" s="387"/>
      <c r="OL66" s="387"/>
      <c r="OM66" s="387"/>
      <c r="ON66" s="387"/>
      <c r="OO66" s="387"/>
      <c r="OP66" s="387"/>
      <c r="OQ66" s="387"/>
      <c r="OR66" s="387"/>
      <c r="OS66" s="387"/>
      <c r="OT66" s="387"/>
      <c r="OU66" s="387"/>
      <c r="OV66" s="387"/>
      <c r="OW66" s="387"/>
      <c r="OX66" s="387"/>
      <c r="OY66" s="387"/>
      <c r="OZ66" s="387"/>
      <c r="PA66" s="387"/>
      <c r="PB66" s="387"/>
      <c r="PC66" s="387"/>
      <c r="PD66" s="387"/>
      <c r="PE66" s="387"/>
      <c r="PF66" s="387"/>
      <c r="PG66" s="387"/>
      <c r="PH66" s="387"/>
      <c r="PI66" s="387"/>
      <c r="PJ66" s="387"/>
      <c r="PK66" s="387"/>
      <c r="PL66" s="387"/>
      <c r="PM66" s="387"/>
      <c r="PN66" s="387"/>
      <c r="PO66" s="387"/>
      <c r="PP66" s="387"/>
      <c r="PQ66" s="387"/>
      <c r="PR66" s="387"/>
      <c r="PS66" s="387"/>
      <c r="PT66" s="387"/>
      <c r="PU66" s="387"/>
      <c r="PV66" s="387"/>
      <c r="PW66" s="387"/>
      <c r="PX66" s="387"/>
      <c r="PY66" s="387"/>
      <c r="PZ66" s="387"/>
      <c r="QA66" s="387"/>
      <c r="QB66" s="387"/>
      <c r="QC66" s="387"/>
      <c r="QD66" s="387"/>
      <c r="QE66" s="387"/>
      <c r="QF66" s="387"/>
      <c r="QG66" s="387"/>
      <c r="QH66" s="387"/>
      <c r="QI66" s="387"/>
      <c r="QJ66" s="387"/>
      <c r="QK66" s="387"/>
      <c r="QL66" s="387"/>
      <c r="QM66" s="387"/>
      <c r="QN66" s="387"/>
      <c r="QO66" s="387"/>
      <c r="QP66" s="387"/>
      <c r="QQ66" s="387"/>
      <c r="QR66" s="387"/>
      <c r="QS66" s="387"/>
      <c r="QT66" s="387"/>
      <c r="QU66" s="387"/>
      <c r="QV66" s="387"/>
      <c r="QW66" s="387"/>
      <c r="QX66" s="387"/>
      <c r="QY66" s="387"/>
      <c r="QZ66" s="387"/>
      <c r="RA66" s="387"/>
      <c r="RB66" s="387"/>
      <c r="RC66" s="387"/>
      <c r="RD66" s="387"/>
      <c r="RE66" s="387"/>
      <c r="RF66" s="387"/>
      <c r="RG66" s="387"/>
      <c r="RH66" s="387"/>
      <c r="RI66" s="387"/>
      <c r="RJ66" s="387"/>
      <c r="RK66" s="387"/>
      <c r="RL66" s="387"/>
      <c r="RM66" s="387"/>
      <c r="RN66" s="387"/>
      <c r="RO66" s="387"/>
      <c r="RP66" s="387"/>
      <c r="RQ66" s="387"/>
      <c r="RR66" s="387"/>
      <c r="RS66" s="387"/>
      <c r="RT66" s="387"/>
      <c r="RU66" s="387"/>
      <c r="RV66" s="387"/>
      <c r="RW66" s="387"/>
      <c r="RX66" s="387"/>
      <c r="RY66" s="387"/>
      <c r="RZ66" s="387"/>
      <c r="SA66" s="387"/>
      <c r="SB66" s="387"/>
      <c r="SC66" s="387"/>
      <c r="SD66" s="387"/>
      <c r="SE66" s="387"/>
      <c r="SF66" s="387"/>
      <c r="SG66" s="387"/>
      <c r="SH66" s="387"/>
      <c r="SI66" s="387"/>
      <c r="SJ66" s="387"/>
      <c r="SK66" s="387"/>
      <c r="SL66" s="387"/>
      <c r="SM66" s="387"/>
      <c r="SN66" s="387"/>
      <c r="SO66" s="387"/>
      <c r="SP66" s="387"/>
      <c r="SQ66" s="387"/>
      <c r="SR66" s="387"/>
      <c r="SS66" s="387"/>
      <c r="ST66" s="387"/>
      <c r="SU66" s="387"/>
      <c r="SV66" s="387"/>
      <c r="SW66" s="387"/>
      <c r="SX66" s="387"/>
      <c r="SY66" s="387"/>
      <c r="SZ66" s="387"/>
      <c r="TA66" s="387"/>
      <c r="TB66" s="387"/>
      <c r="TC66" s="387"/>
      <c r="TD66" s="387"/>
      <c r="TE66" s="387"/>
      <c r="TF66" s="387"/>
      <c r="TG66" s="387"/>
      <c r="TH66" s="387"/>
      <c r="TI66" s="387"/>
      <c r="TJ66" s="387"/>
      <c r="TK66" s="387"/>
      <c r="TL66" s="387"/>
      <c r="TM66" s="387"/>
      <c r="TN66" s="387"/>
      <c r="TO66" s="387"/>
      <c r="TP66" s="387"/>
      <c r="TQ66" s="387"/>
      <c r="TR66" s="387"/>
      <c r="TS66" s="387"/>
      <c r="TT66" s="387"/>
      <c r="TU66" s="387"/>
      <c r="TV66" s="387"/>
      <c r="TW66" s="387"/>
      <c r="TX66" s="387"/>
      <c r="TY66" s="387"/>
      <c r="TZ66" s="387"/>
      <c r="UA66" s="387"/>
      <c r="UB66" s="387"/>
      <c r="UC66" s="387"/>
      <c r="UD66" s="387"/>
      <c r="UE66" s="387"/>
      <c r="UF66" s="387"/>
      <c r="UG66" s="387"/>
      <c r="UH66" s="387"/>
      <c r="UI66" s="387"/>
      <c r="UJ66" s="387"/>
      <c r="UK66" s="387"/>
      <c r="UL66" s="387"/>
      <c r="UM66" s="387"/>
      <c r="UN66" s="387"/>
      <c r="UO66" s="387"/>
      <c r="UP66" s="387"/>
      <c r="UQ66" s="387"/>
      <c r="UR66" s="387"/>
      <c r="US66" s="387"/>
      <c r="UT66" s="387"/>
      <c r="UU66" s="387"/>
      <c r="UV66" s="387"/>
      <c r="UW66" s="387"/>
      <c r="UX66" s="387"/>
      <c r="UY66" s="387"/>
      <c r="UZ66" s="387"/>
      <c r="VA66" s="387"/>
      <c r="VB66" s="387"/>
      <c r="VC66" s="387"/>
      <c r="VD66" s="387"/>
      <c r="VE66" s="387"/>
      <c r="VF66" s="387"/>
      <c r="VG66" s="387"/>
      <c r="VH66" s="387"/>
      <c r="VI66" s="387"/>
      <c r="VJ66" s="387"/>
      <c r="VK66" s="387"/>
      <c r="VL66" s="387"/>
      <c r="VM66" s="387"/>
      <c r="VN66" s="387"/>
      <c r="VO66" s="387"/>
      <c r="VP66" s="387"/>
      <c r="VQ66" s="387"/>
      <c r="VR66" s="387"/>
      <c r="VS66" s="387"/>
      <c r="VT66" s="387"/>
      <c r="VU66" s="387"/>
      <c r="VV66" s="387"/>
      <c r="VW66" s="387"/>
      <c r="VX66" s="387"/>
      <c r="VY66" s="387"/>
      <c r="VZ66" s="387"/>
      <c r="WA66" s="387"/>
      <c r="WB66" s="387"/>
      <c r="WC66" s="387"/>
      <c r="WD66" s="387"/>
      <c r="WE66" s="387"/>
      <c r="WF66" s="387"/>
      <c r="WG66" s="387"/>
      <c r="WH66" s="387"/>
      <c r="WI66" s="387"/>
      <c r="WJ66" s="387"/>
      <c r="WK66" s="387"/>
      <c r="WL66" s="387"/>
      <c r="WM66" s="387"/>
      <c r="WN66" s="387"/>
      <c r="WO66" s="387"/>
      <c r="WP66" s="387"/>
      <c r="WQ66" s="387"/>
      <c r="WR66" s="387"/>
      <c r="WS66" s="387"/>
      <c r="WT66" s="387"/>
      <c r="WU66" s="387"/>
      <c r="WV66" s="387"/>
      <c r="WW66" s="387"/>
      <c r="WX66" s="387"/>
      <c r="WY66" s="387"/>
      <c r="WZ66" s="387"/>
      <c r="XA66" s="387"/>
      <c r="XB66" s="387"/>
      <c r="XC66" s="387"/>
      <c r="XD66" s="387"/>
      <c r="XE66" s="387"/>
      <c r="XF66" s="387"/>
      <c r="XG66" s="387"/>
      <c r="XH66" s="387"/>
      <c r="XI66" s="387"/>
      <c r="XJ66" s="387"/>
      <c r="XK66" s="387"/>
      <c r="XL66" s="387"/>
      <c r="XM66" s="387"/>
      <c r="XN66" s="387"/>
      <c r="XO66" s="387"/>
      <c r="XP66" s="387"/>
      <c r="XQ66" s="387"/>
      <c r="XR66" s="387"/>
      <c r="XS66" s="387"/>
      <c r="XT66" s="387"/>
      <c r="XU66" s="387"/>
      <c r="XV66" s="387"/>
      <c r="XW66" s="387"/>
      <c r="XX66" s="387"/>
      <c r="XY66" s="387"/>
      <c r="XZ66" s="387"/>
      <c r="YA66" s="387"/>
      <c r="YB66" s="387"/>
      <c r="YC66" s="387"/>
      <c r="YD66" s="387"/>
      <c r="YE66" s="387"/>
      <c r="YF66" s="387"/>
      <c r="YG66" s="387"/>
      <c r="YH66" s="387"/>
      <c r="YI66" s="387"/>
      <c r="YJ66" s="387"/>
      <c r="YK66" s="387"/>
      <c r="YL66" s="387"/>
      <c r="YM66" s="387"/>
      <c r="YN66" s="387"/>
      <c r="YO66" s="387"/>
      <c r="YP66" s="387"/>
      <c r="YQ66" s="387"/>
      <c r="YR66" s="387"/>
      <c r="YS66" s="387"/>
      <c r="YT66" s="387"/>
      <c r="YU66" s="387"/>
      <c r="YV66" s="387"/>
      <c r="YW66" s="387"/>
      <c r="YX66" s="387"/>
      <c r="YY66" s="387"/>
      <c r="YZ66" s="387"/>
      <c r="ZA66" s="387"/>
      <c r="ZB66" s="387"/>
      <c r="ZC66" s="387"/>
      <c r="ZD66" s="387"/>
      <c r="ZE66" s="387"/>
      <c r="ZF66" s="387"/>
      <c r="ZG66" s="387"/>
      <c r="ZH66" s="387"/>
      <c r="ZI66" s="387"/>
      <c r="ZJ66" s="387"/>
      <c r="ZK66" s="387"/>
      <c r="ZL66" s="387"/>
      <c r="ZM66" s="387"/>
      <c r="ZN66" s="387"/>
      <c r="ZO66" s="387"/>
      <c r="ZP66" s="387"/>
      <c r="ZQ66" s="387"/>
      <c r="ZR66" s="387"/>
      <c r="ZS66" s="387"/>
      <c r="ZT66" s="387"/>
      <c r="ZU66" s="387"/>
      <c r="ZV66" s="387"/>
      <c r="ZW66" s="387"/>
      <c r="ZX66" s="387"/>
      <c r="ZY66" s="387"/>
      <c r="ZZ66" s="387"/>
      <c r="AAA66" s="387"/>
      <c r="AAB66" s="387"/>
      <c r="AAC66" s="387"/>
      <c r="AAD66" s="387"/>
      <c r="AAE66" s="387"/>
      <c r="AAF66" s="387"/>
      <c r="AAG66" s="387"/>
      <c r="AAH66" s="387"/>
      <c r="AAI66" s="387"/>
      <c r="AAJ66" s="387"/>
      <c r="AAK66" s="387"/>
      <c r="AAL66" s="387"/>
      <c r="AAM66" s="387"/>
      <c r="AAN66" s="387"/>
      <c r="AAO66" s="387"/>
      <c r="AAP66" s="387"/>
      <c r="AAQ66" s="387"/>
      <c r="AAR66" s="387"/>
      <c r="AAS66" s="387"/>
      <c r="AAT66" s="387"/>
      <c r="AAU66" s="387"/>
      <c r="AAV66" s="387"/>
      <c r="AAW66" s="387"/>
      <c r="AAX66" s="387"/>
      <c r="AAY66" s="387"/>
      <c r="AAZ66" s="387"/>
      <c r="ABA66" s="387"/>
      <c r="ABB66" s="387"/>
      <c r="ABC66" s="387"/>
      <c r="ABD66" s="387"/>
      <c r="ABE66" s="387"/>
      <c r="ABF66" s="387"/>
      <c r="ABG66" s="387"/>
      <c r="ABH66" s="387"/>
      <c r="ABI66" s="387"/>
      <c r="ABJ66" s="387"/>
      <c r="ABK66" s="387"/>
      <c r="ABL66" s="387"/>
      <c r="ABM66" s="387"/>
      <c r="ABN66" s="387"/>
      <c r="ABO66" s="387"/>
      <c r="ABP66" s="387"/>
      <c r="ABQ66" s="387"/>
      <c r="ABR66" s="387"/>
      <c r="ABS66" s="387"/>
      <c r="ABT66" s="387"/>
      <c r="ABU66" s="387"/>
      <c r="ABV66" s="387"/>
      <c r="ABW66" s="387"/>
      <c r="ABX66" s="387"/>
      <c r="ABY66" s="387"/>
      <c r="ABZ66" s="387"/>
      <c r="ACA66" s="387"/>
      <c r="ACB66" s="387"/>
      <c r="ACC66" s="387"/>
      <c r="ACD66" s="387"/>
      <c r="ACE66" s="387"/>
      <c r="ACF66" s="387"/>
      <c r="ACG66" s="387"/>
      <c r="ACH66" s="387"/>
      <c r="ACI66" s="387"/>
      <c r="ACJ66" s="387"/>
      <c r="ACK66" s="387"/>
      <c r="ACL66" s="387"/>
      <c r="ACM66" s="387"/>
      <c r="ACN66" s="387"/>
      <c r="ACO66" s="387"/>
      <c r="ACP66" s="387"/>
      <c r="ACQ66" s="387"/>
      <c r="ACR66" s="387"/>
      <c r="ACS66" s="387"/>
      <c r="ACT66" s="387"/>
      <c r="ACU66" s="387"/>
      <c r="ACV66" s="387"/>
      <c r="ACW66" s="387"/>
      <c r="ACX66" s="387"/>
      <c r="ACY66" s="387"/>
      <c r="ACZ66" s="387"/>
      <c r="ADA66" s="387"/>
      <c r="ADB66" s="387"/>
      <c r="ADC66" s="387"/>
      <c r="ADD66" s="387"/>
      <c r="ADE66" s="387"/>
      <c r="ADF66" s="387"/>
      <c r="ADG66" s="387"/>
      <c r="ADH66" s="387"/>
      <c r="ADI66" s="387"/>
      <c r="ADJ66" s="387"/>
      <c r="ADK66" s="387"/>
      <c r="ADL66" s="387"/>
      <c r="ADM66" s="387"/>
      <c r="ADN66" s="387"/>
      <c r="ADO66" s="387"/>
      <c r="ADP66" s="387"/>
      <c r="ADQ66" s="387"/>
      <c r="ADR66" s="387"/>
      <c r="ADS66" s="387"/>
      <c r="ADT66" s="387"/>
      <c r="ADU66" s="387"/>
      <c r="ADV66" s="387"/>
      <c r="ADW66" s="387"/>
      <c r="ADX66" s="387"/>
      <c r="ADY66" s="387"/>
      <c r="ADZ66" s="387"/>
      <c r="AEA66" s="387"/>
      <c r="AEB66" s="387"/>
      <c r="AEC66" s="387"/>
      <c r="AED66" s="387"/>
      <c r="AEE66" s="387"/>
      <c r="AEF66" s="387"/>
      <c r="AEG66" s="387"/>
      <c r="AEH66" s="387"/>
      <c r="AEI66" s="387"/>
      <c r="AEJ66" s="387"/>
      <c r="AEK66" s="387"/>
      <c r="AEL66" s="387"/>
      <c r="AEM66" s="387"/>
      <c r="AEN66" s="387"/>
      <c r="AEO66" s="387"/>
      <c r="AEP66" s="387"/>
      <c r="AEQ66" s="387"/>
      <c r="AER66" s="387"/>
      <c r="AES66" s="387"/>
      <c r="AET66" s="387"/>
      <c r="AEU66" s="387"/>
      <c r="AEV66" s="387"/>
      <c r="AEW66" s="387"/>
      <c r="AEX66" s="387"/>
      <c r="AEY66" s="387"/>
      <c r="AEZ66" s="387"/>
      <c r="AFA66" s="387"/>
      <c r="AFB66" s="387"/>
      <c r="AFC66" s="387"/>
      <c r="AFD66" s="387"/>
      <c r="AFE66" s="387"/>
      <c r="AFF66" s="387"/>
      <c r="AFG66" s="387"/>
      <c r="AFH66" s="387"/>
      <c r="AFI66" s="387"/>
      <c r="AFJ66" s="387"/>
      <c r="AFK66" s="387"/>
      <c r="AFL66" s="387"/>
      <c r="AFM66" s="387"/>
      <c r="AFN66" s="387"/>
      <c r="AFO66" s="387"/>
      <c r="AFP66" s="387"/>
      <c r="AFQ66" s="387"/>
      <c r="AFR66" s="387"/>
      <c r="AFS66" s="387"/>
      <c r="AFT66" s="387"/>
      <c r="AFU66" s="387"/>
      <c r="AFV66" s="387"/>
      <c r="AFW66" s="387"/>
      <c r="AFX66" s="387"/>
      <c r="AFY66" s="387"/>
      <c r="AFZ66" s="387"/>
      <c r="AGA66" s="387"/>
      <c r="AGB66" s="387"/>
      <c r="AGC66" s="387"/>
      <c r="AGD66" s="387"/>
      <c r="AGE66" s="387"/>
      <c r="AGF66" s="387"/>
      <c r="AGG66" s="387"/>
      <c r="AGH66" s="387"/>
      <c r="AGI66" s="387"/>
      <c r="AGJ66" s="387"/>
      <c r="AGK66" s="387"/>
      <c r="AGL66" s="387"/>
      <c r="AGM66" s="387"/>
      <c r="AGN66" s="387"/>
      <c r="AGO66" s="387"/>
      <c r="AGP66" s="387"/>
      <c r="AGQ66" s="387"/>
      <c r="AGR66" s="387"/>
      <c r="AGS66" s="387"/>
      <c r="AGT66" s="387"/>
      <c r="AGU66" s="387"/>
      <c r="AGV66" s="387"/>
      <c r="AGW66" s="387"/>
      <c r="AGX66" s="387"/>
      <c r="AGY66" s="387"/>
      <c r="AGZ66" s="387"/>
      <c r="AHA66" s="387"/>
      <c r="AHB66" s="387"/>
      <c r="AHC66" s="387"/>
      <c r="AHD66" s="387"/>
      <c r="AHE66" s="387"/>
      <c r="AHF66" s="387"/>
      <c r="AHG66" s="387"/>
      <c r="AHH66" s="387"/>
      <c r="AHI66" s="387"/>
      <c r="AHJ66" s="387"/>
      <c r="AHK66" s="387"/>
      <c r="AHL66" s="387"/>
      <c r="AHM66" s="387"/>
      <c r="AHN66" s="387"/>
      <c r="AHO66" s="387"/>
      <c r="AHP66" s="387"/>
      <c r="AHQ66" s="387"/>
      <c r="AHR66" s="387"/>
      <c r="AHS66" s="387"/>
      <c r="AHT66" s="387"/>
      <c r="AHU66" s="387"/>
      <c r="AHV66" s="387"/>
      <c r="AHW66" s="387"/>
      <c r="AHX66" s="387"/>
      <c r="AHY66" s="387"/>
      <c r="AHZ66" s="387"/>
      <c r="AIA66" s="387"/>
      <c r="AIB66" s="387"/>
      <c r="AIC66" s="387"/>
      <c r="AID66" s="387"/>
      <c r="AIE66" s="387"/>
      <c r="AIF66" s="387"/>
      <c r="AIG66" s="387"/>
      <c r="AIH66" s="387"/>
      <c r="AII66" s="387"/>
      <c r="AIJ66" s="387"/>
      <c r="AIK66" s="387"/>
      <c r="AIL66" s="387"/>
      <c r="AIM66" s="387"/>
      <c r="AIN66" s="387"/>
      <c r="AIO66" s="387"/>
      <c r="AIP66" s="387"/>
      <c r="AIQ66" s="387"/>
      <c r="AIR66" s="387"/>
      <c r="AIS66" s="387"/>
      <c r="AIT66" s="387"/>
      <c r="AIU66" s="387"/>
      <c r="AIV66" s="387"/>
      <c r="AIW66" s="387"/>
      <c r="AIX66" s="387"/>
      <c r="AIY66" s="387"/>
      <c r="AIZ66" s="387"/>
      <c r="AJA66" s="387"/>
      <c r="AJB66" s="387"/>
      <c r="AJC66" s="387"/>
      <c r="AJD66" s="387"/>
      <c r="AJE66" s="387"/>
      <c r="AJF66" s="387"/>
      <c r="AJG66" s="387"/>
      <c r="AJH66" s="387"/>
      <c r="AJI66" s="387"/>
      <c r="AJJ66" s="387"/>
      <c r="AJK66" s="387"/>
      <c r="AJL66" s="387"/>
      <c r="AJM66" s="387"/>
      <c r="AJN66" s="387"/>
      <c r="AJO66" s="387"/>
      <c r="AJP66" s="387"/>
      <c r="AJQ66" s="387"/>
      <c r="AJR66" s="387"/>
      <c r="AJS66" s="387"/>
      <c r="AJT66" s="387"/>
      <c r="AJU66" s="387"/>
      <c r="AJV66" s="387"/>
      <c r="AJW66" s="387"/>
      <c r="AJX66" s="387"/>
      <c r="AJY66" s="387"/>
      <c r="AJZ66" s="387"/>
      <c r="AKA66" s="387"/>
      <c r="AKB66" s="387"/>
      <c r="AKC66" s="387"/>
      <c r="AKD66" s="387"/>
      <c r="AKE66" s="387"/>
      <c r="AKF66" s="387"/>
      <c r="AKG66" s="387"/>
      <c r="AKH66" s="387"/>
      <c r="AKI66" s="387"/>
      <c r="AKJ66" s="387"/>
      <c r="AKK66" s="387"/>
      <c r="AKL66" s="387"/>
      <c r="AKM66" s="387"/>
      <c r="AKN66" s="387"/>
      <c r="AKO66" s="387"/>
      <c r="AKP66" s="387"/>
      <c r="AKQ66" s="387"/>
      <c r="AKR66" s="387"/>
      <c r="AKS66" s="387"/>
      <c r="AKT66" s="387"/>
      <c r="AKU66" s="387"/>
      <c r="AKV66" s="387"/>
      <c r="AKW66" s="387"/>
      <c r="AKX66" s="387"/>
      <c r="AKY66" s="387"/>
      <c r="AKZ66" s="387"/>
      <c r="ALA66" s="387"/>
      <c r="ALB66" s="387"/>
      <c r="ALC66" s="387"/>
      <c r="ALD66" s="387"/>
      <c r="ALE66" s="387"/>
      <c r="ALF66" s="387"/>
      <c r="ALG66" s="387"/>
      <c r="ALH66" s="387"/>
      <c r="ALI66" s="387"/>
      <c r="ALJ66" s="387"/>
      <c r="ALK66" s="387"/>
      <c r="ALL66" s="387"/>
      <c r="ALM66" s="387"/>
      <c r="ALN66" s="387"/>
      <c r="ALO66" s="387"/>
      <c r="ALP66" s="387"/>
      <c r="ALQ66" s="387"/>
      <c r="ALR66" s="387"/>
      <c r="ALS66" s="387"/>
      <c r="ALT66" s="387"/>
      <c r="ALU66" s="387"/>
      <c r="ALV66" s="387"/>
      <c r="ALW66" s="387"/>
      <c r="ALX66" s="387"/>
      <c r="ALY66" s="387"/>
      <c r="ALZ66" s="387"/>
      <c r="AMA66" s="387"/>
      <c r="AMB66" s="387"/>
      <c r="AMC66" s="387"/>
      <c r="AMD66" s="387"/>
      <c r="AME66" s="387"/>
      <c r="AMF66" s="387"/>
      <c r="AMG66" s="387"/>
      <c r="AMH66" s="387"/>
      <c r="AMI66" s="387"/>
      <c r="AMJ66" s="387"/>
      <c r="AMK66" s="387"/>
      <c r="AML66" s="387"/>
      <c r="AMM66" s="387"/>
      <c r="AMN66" s="387"/>
      <c r="AMO66" s="387"/>
      <c r="AMP66" s="387"/>
      <c r="AMQ66" s="387"/>
      <c r="AMR66" s="387"/>
      <c r="AMS66" s="387"/>
      <c r="AMT66" s="387"/>
      <c r="AMU66" s="387"/>
      <c r="AMV66" s="387"/>
      <c r="AMW66" s="387"/>
      <c r="AMX66" s="387"/>
      <c r="AMY66" s="387"/>
      <c r="AMZ66" s="387"/>
      <c r="ANA66" s="387"/>
      <c r="ANB66" s="387"/>
      <c r="ANC66" s="387"/>
      <c r="AND66" s="387"/>
      <c r="ANE66" s="387"/>
      <c r="ANF66" s="387"/>
      <c r="ANG66" s="387"/>
      <c r="ANH66" s="387"/>
      <c r="ANI66" s="387"/>
      <c r="ANJ66" s="387"/>
      <c r="ANK66" s="387"/>
      <c r="ANL66" s="387"/>
      <c r="ANM66" s="387"/>
      <c r="ANN66" s="387"/>
      <c r="ANO66" s="387"/>
      <c r="ANP66" s="387"/>
      <c r="ANQ66" s="387"/>
      <c r="ANR66" s="387"/>
      <c r="ANS66" s="387"/>
      <c r="ANT66" s="387"/>
      <c r="ANU66" s="387"/>
      <c r="ANV66" s="387"/>
      <c r="ANW66" s="387"/>
      <c r="ANX66" s="387"/>
      <c r="ANY66" s="387"/>
      <c r="ANZ66" s="387"/>
      <c r="AOA66" s="387"/>
      <c r="AOB66" s="387"/>
      <c r="AOC66" s="387"/>
      <c r="AOD66" s="387"/>
      <c r="AOE66" s="387"/>
      <c r="AOF66" s="387"/>
      <c r="AOG66" s="387"/>
      <c r="AOH66" s="387"/>
      <c r="AOI66" s="387"/>
      <c r="AOJ66" s="387"/>
      <c r="AOK66" s="387"/>
      <c r="AOL66" s="387"/>
      <c r="AOM66" s="387"/>
      <c r="AON66" s="387"/>
      <c r="AOO66" s="387"/>
      <c r="AOP66" s="387"/>
      <c r="AOQ66" s="387"/>
      <c r="AOR66" s="387"/>
      <c r="AOS66" s="387"/>
      <c r="AOT66" s="387"/>
      <c r="AOU66" s="387"/>
      <c r="AOV66" s="387"/>
      <c r="AOW66" s="387"/>
      <c r="AOX66" s="387"/>
      <c r="AOY66" s="387"/>
      <c r="AOZ66" s="387"/>
      <c r="APA66" s="387"/>
      <c r="APB66" s="387"/>
      <c r="APC66" s="387"/>
      <c r="APD66" s="387"/>
      <c r="APE66" s="387"/>
      <c r="APF66" s="387"/>
      <c r="APG66" s="387"/>
      <c r="APH66" s="387"/>
      <c r="API66" s="387"/>
      <c r="APJ66" s="387"/>
      <c r="APK66" s="387"/>
      <c r="APL66" s="387"/>
      <c r="APM66" s="387"/>
      <c r="APN66" s="387"/>
      <c r="APO66" s="387"/>
      <c r="APP66" s="387"/>
      <c r="APQ66" s="387"/>
      <c r="APR66" s="387"/>
      <c r="APS66" s="387"/>
      <c r="APT66" s="387"/>
      <c r="APU66" s="387"/>
      <c r="APV66" s="387"/>
      <c r="APW66" s="387"/>
      <c r="APX66" s="387"/>
      <c r="APY66" s="387"/>
      <c r="APZ66" s="387"/>
      <c r="AQA66" s="387"/>
      <c r="AQB66" s="387"/>
      <c r="AQC66" s="387"/>
      <c r="AQD66" s="387"/>
      <c r="AQE66" s="387"/>
      <c r="AQF66" s="387"/>
      <c r="AQG66" s="387"/>
      <c r="AQH66" s="387"/>
      <c r="AQI66" s="387"/>
      <c r="AQJ66" s="387"/>
      <c r="AQK66" s="387"/>
      <c r="AQL66" s="387"/>
      <c r="AQM66" s="387"/>
      <c r="AQN66" s="387"/>
      <c r="AQO66" s="387"/>
      <c r="AQP66" s="387"/>
      <c r="AQQ66" s="387"/>
      <c r="AQR66" s="387"/>
      <c r="AQS66" s="387"/>
      <c r="AQT66" s="387"/>
      <c r="AQU66" s="387"/>
      <c r="AQV66" s="387"/>
      <c r="AQW66" s="387"/>
      <c r="AQX66" s="387"/>
      <c r="AQY66" s="387"/>
      <c r="AQZ66" s="387"/>
      <c r="ARA66" s="387"/>
      <c r="ARB66" s="387"/>
      <c r="ARC66" s="387"/>
      <c r="ARD66" s="387"/>
      <c r="ARE66" s="387"/>
      <c r="ARF66" s="387"/>
      <c r="ARG66" s="387"/>
      <c r="ARH66" s="387"/>
      <c r="ARI66" s="387"/>
      <c r="ARJ66" s="387"/>
      <c r="ARK66" s="387"/>
      <c r="ARL66" s="387"/>
      <c r="ARM66" s="387"/>
      <c r="ARN66" s="387"/>
      <c r="ARO66" s="387"/>
      <c r="ARP66" s="387"/>
      <c r="ARQ66" s="387"/>
      <c r="ARR66" s="387"/>
      <c r="ARS66" s="387"/>
      <c r="ART66" s="387"/>
      <c r="ARU66" s="387"/>
      <c r="ARV66" s="387"/>
      <c r="ARW66" s="387"/>
      <c r="ARX66" s="387"/>
      <c r="ARY66" s="387"/>
      <c r="ARZ66" s="387"/>
      <c r="ASA66" s="387"/>
      <c r="ASB66" s="387"/>
      <c r="ASC66" s="387"/>
      <c r="ASD66" s="387"/>
      <c r="ASE66" s="387"/>
      <c r="ASF66" s="387"/>
      <c r="ASG66" s="387"/>
      <c r="ASH66" s="387"/>
      <c r="ASI66" s="387"/>
      <c r="ASJ66" s="387"/>
      <c r="ASK66" s="387"/>
      <c r="ASL66" s="387"/>
      <c r="ASM66" s="387"/>
      <c r="ASN66" s="387"/>
      <c r="ASO66" s="387"/>
      <c r="ASP66" s="387"/>
      <c r="ASQ66" s="387"/>
      <c r="ASR66" s="387"/>
      <c r="ASS66" s="387"/>
      <c r="AST66" s="387"/>
      <c r="ASU66" s="387"/>
      <c r="ASV66" s="387"/>
      <c r="ASW66" s="387"/>
      <c r="ASX66" s="387"/>
      <c r="ASY66" s="387"/>
      <c r="ASZ66" s="387"/>
      <c r="ATA66" s="387"/>
      <c r="ATB66" s="387"/>
      <c r="ATC66" s="387"/>
      <c r="ATD66" s="387"/>
      <c r="ATE66" s="387"/>
      <c r="ATF66" s="387"/>
      <c r="ATG66" s="387"/>
      <c r="ATH66" s="387"/>
      <c r="ATI66" s="387"/>
      <c r="ATJ66" s="387"/>
      <c r="ATK66" s="387"/>
      <c r="ATL66" s="387"/>
      <c r="ATM66" s="387"/>
      <c r="ATN66" s="387"/>
      <c r="ATO66" s="387"/>
      <c r="ATP66" s="387"/>
      <c r="ATQ66" s="387"/>
      <c r="ATR66" s="387"/>
      <c r="ATS66" s="387"/>
      <c r="ATT66" s="387"/>
      <c r="ATU66" s="387"/>
      <c r="ATV66" s="387"/>
      <c r="ATW66" s="387"/>
      <c r="ATX66" s="387"/>
      <c r="ATY66" s="387"/>
      <c r="ATZ66" s="387"/>
      <c r="AUA66" s="387"/>
      <c r="AUB66" s="387"/>
      <c r="AUC66" s="387"/>
      <c r="AUD66" s="387"/>
      <c r="AUE66" s="387"/>
      <c r="AUF66" s="387"/>
      <c r="AUG66" s="387"/>
      <c r="AUH66" s="387"/>
      <c r="AUI66" s="387"/>
      <c r="AUJ66" s="387"/>
      <c r="AUK66" s="387"/>
      <c r="AUL66" s="387"/>
      <c r="AUM66" s="387"/>
      <c r="AUN66" s="387"/>
      <c r="AUO66" s="387"/>
      <c r="AUP66" s="387"/>
      <c r="AUQ66" s="387"/>
      <c r="AUR66" s="387"/>
      <c r="AUS66" s="387"/>
      <c r="AUT66" s="387"/>
      <c r="AUU66" s="387"/>
      <c r="AUV66" s="387"/>
      <c r="AUW66" s="387"/>
      <c r="AUX66" s="387"/>
      <c r="AUY66" s="387"/>
      <c r="AUZ66" s="387"/>
      <c r="AVA66" s="387"/>
      <c r="AVB66" s="387"/>
      <c r="AVC66" s="387"/>
      <c r="AVD66" s="387"/>
      <c r="AVE66" s="387"/>
      <c r="AVF66" s="387"/>
      <c r="AVG66" s="387"/>
      <c r="AVH66" s="387"/>
      <c r="AVI66" s="387"/>
      <c r="AVJ66" s="387"/>
      <c r="AVK66" s="387"/>
      <c r="AVL66" s="387"/>
      <c r="AVM66" s="387"/>
      <c r="AVN66" s="387"/>
      <c r="AVO66" s="387"/>
      <c r="AVP66" s="387"/>
      <c r="AVQ66" s="387"/>
      <c r="AVR66" s="387"/>
      <c r="AVS66" s="387"/>
      <c r="AVT66" s="387"/>
      <c r="AVU66" s="387"/>
      <c r="AVV66" s="387"/>
      <c r="AVW66" s="387"/>
      <c r="AVX66" s="387"/>
      <c r="AVY66" s="387"/>
      <c r="AVZ66" s="387"/>
      <c r="AWA66" s="387"/>
      <c r="AWB66" s="387"/>
      <c r="AWC66" s="387"/>
      <c r="AWD66" s="387"/>
      <c r="AWE66" s="387"/>
      <c r="AWF66" s="387"/>
      <c r="AWG66" s="387"/>
      <c r="AWH66" s="387"/>
      <c r="AWI66" s="387"/>
      <c r="AWJ66" s="387"/>
      <c r="AWK66" s="387"/>
      <c r="AWL66" s="387"/>
      <c r="AWM66" s="387"/>
      <c r="AWN66" s="387"/>
      <c r="AWO66" s="387"/>
      <c r="AWP66" s="387"/>
      <c r="AWQ66" s="387"/>
      <c r="AWR66" s="387"/>
      <c r="AWS66" s="387"/>
      <c r="AWT66" s="387"/>
      <c r="AWU66" s="387"/>
      <c r="AWV66" s="387"/>
      <c r="AWW66" s="387"/>
      <c r="AWX66" s="387"/>
      <c r="AWY66" s="387"/>
      <c r="AWZ66" s="387"/>
      <c r="AXA66" s="387"/>
      <c r="AXB66" s="387"/>
      <c r="AXC66" s="387"/>
      <c r="AXD66" s="387"/>
      <c r="AXE66" s="387"/>
      <c r="AXF66" s="387"/>
      <c r="AXG66" s="387"/>
      <c r="AXH66" s="387"/>
      <c r="AXI66" s="387"/>
      <c r="AXJ66" s="387"/>
      <c r="AXK66" s="387"/>
      <c r="AXL66" s="387"/>
      <c r="AXM66" s="387"/>
      <c r="AXN66" s="387"/>
      <c r="AXO66" s="387"/>
      <c r="AXP66" s="387"/>
      <c r="AXQ66" s="387"/>
      <c r="AXR66" s="387"/>
      <c r="AXS66" s="387"/>
      <c r="AXT66" s="387"/>
      <c r="AXU66" s="387"/>
      <c r="AXV66" s="387"/>
      <c r="AXW66" s="387"/>
      <c r="AXX66" s="387"/>
      <c r="AXY66" s="387"/>
      <c r="AXZ66" s="387"/>
      <c r="AYA66" s="387"/>
      <c r="AYB66" s="387"/>
      <c r="AYC66" s="387"/>
      <c r="AYD66" s="387"/>
      <c r="AYE66" s="387"/>
      <c r="AYF66" s="387"/>
      <c r="AYG66" s="387"/>
      <c r="AYH66" s="387"/>
      <c r="AYI66" s="387"/>
      <c r="AYJ66" s="387"/>
      <c r="AYK66" s="387"/>
      <c r="AYL66" s="387"/>
      <c r="AYM66" s="387"/>
      <c r="AYN66" s="387"/>
      <c r="AYO66" s="387"/>
      <c r="AYP66" s="387"/>
      <c r="AYQ66" s="387"/>
      <c r="AYR66" s="387"/>
      <c r="AYS66" s="387"/>
      <c r="AYT66" s="387"/>
      <c r="AYU66" s="387"/>
      <c r="AYV66" s="387"/>
      <c r="AYW66" s="387"/>
      <c r="AYX66" s="387"/>
      <c r="AYY66" s="387"/>
      <c r="AYZ66" s="387"/>
      <c r="AZA66" s="387"/>
      <c r="AZB66" s="387"/>
      <c r="AZC66" s="387"/>
      <c r="AZD66" s="387"/>
      <c r="AZE66" s="387"/>
      <c r="AZF66" s="387"/>
      <c r="AZG66" s="387"/>
      <c r="AZH66" s="387"/>
      <c r="AZI66" s="387"/>
      <c r="AZJ66" s="387"/>
      <c r="AZK66" s="387"/>
      <c r="AZL66" s="387"/>
      <c r="AZM66" s="387"/>
      <c r="AZN66" s="387"/>
      <c r="AZO66" s="387"/>
      <c r="AZP66" s="387"/>
      <c r="AZQ66" s="387"/>
      <c r="AZR66" s="387"/>
      <c r="AZS66" s="387"/>
      <c r="AZT66" s="387"/>
      <c r="AZU66" s="387"/>
      <c r="AZV66" s="387"/>
      <c r="AZW66" s="387"/>
      <c r="AZX66" s="387"/>
      <c r="AZY66" s="387"/>
      <c r="AZZ66" s="387"/>
      <c r="BAA66" s="387"/>
      <c r="BAB66" s="387"/>
      <c r="BAC66" s="387"/>
      <c r="BAD66" s="387"/>
      <c r="BAE66" s="387"/>
      <c r="BAF66" s="387"/>
      <c r="BAG66" s="387"/>
      <c r="BAH66" s="387"/>
      <c r="BAI66" s="387"/>
      <c r="BAJ66" s="387"/>
      <c r="BAK66" s="387"/>
      <c r="BAL66" s="387"/>
      <c r="BAM66" s="387"/>
      <c r="BAN66" s="387"/>
      <c r="BAO66" s="387"/>
      <c r="BAP66" s="387"/>
      <c r="BAQ66" s="387"/>
      <c r="BAR66" s="387"/>
      <c r="BAS66" s="387"/>
      <c r="BAT66" s="387"/>
      <c r="BAU66" s="387"/>
      <c r="BAV66" s="387"/>
      <c r="BAW66" s="387"/>
      <c r="BAX66" s="387"/>
      <c r="BAY66" s="387"/>
      <c r="BAZ66" s="387"/>
      <c r="BBA66" s="387"/>
      <c r="BBB66" s="387"/>
      <c r="BBC66" s="387"/>
      <c r="BBD66" s="387"/>
      <c r="BBE66" s="387"/>
      <c r="BBF66" s="387"/>
      <c r="BBG66" s="387"/>
      <c r="BBH66" s="387"/>
      <c r="BBI66" s="387"/>
      <c r="BBJ66" s="387"/>
      <c r="BBK66" s="387"/>
      <c r="BBL66" s="387"/>
      <c r="BBM66" s="387"/>
      <c r="BBN66" s="387"/>
      <c r="BBO66" s="387"/>
      <c r="BBP66" s="387"/>
      <c r="BBQ66" s="387"/>
      <c r="BBR66" s="387"/>
      <c r="BBS66" s="387"/>
      <c r="BBT66" s="387"/>
      <c r="BBU66" s="387"/>
      <c r="BBV66" s="387"/>
      <c r="BBW66" s="387"/>
      <c r="BBX66" s="387"/>
      <c r="BBY66" s="387"/>
      <c r="BBZ66" s="387"/>
      <c r="BCA66" s="387"/>
      <c r="BCB66" s="387"/>
      <c r="BCC66" s="387"/>
      <c r="BCD66" s="387"/>
      <c r="BCE66" s="387"/>
      <c r="BCF66" s="387"/>
      <c r="BCG66" s="387"/>
      <c r="BCH66" s="387"/>
      <c r="BCI66" s="387"/>
      <c r="BCJ66" s="387"/>
      <c r="BCK66" s="387"/>
      <c r="BCL66" s="387"/>
      <c r="BCM66" s="387"/>
      <c r="BCN66" s="387"/>
      <c r="BCO66" s="387"/>
      <c r="BCP66" s="387"/>
      <c r="BCQ66" s="387"/>
      <c r="BCR66" s="387"/>
      <c r="BCS66" s="387"/>
      <c r="BCT66" s="387"/>
      <c r="BCU66" s="387"/>
      <c r="BCV66" s="387"/>
      <c r="BCW66" s="387"/>
      <c r="BCX66" s="387"/>
      <c r="BCY66" s="387"/>
      <c r="BCZ66" s="387"/>
      <c r="BDA66" s="387"/>
      <c r="BDB66" s="387"/>
      <c r="BDC66" s="387"/>
      <c r="BDD66" s="387"/>
      <c r="BDE66" s="387"/>
      <c r="BDF66" s="387"/>
      <c r="BDG66" s="387"/>
      <c r="BDH66" s="387"/>
      <c r="BDI66" s="387"/>
      <c r="BDJ66" s="387"/>
      <c r="BDK66" s="387"/>
      <c r="BDL66" s="387"/>
      <c r="BDM66" s="387"/>
      <c r="BDN66" s="387"/>
      <c r="BDO66" s="387"/>
      <c r="BDP66" s="387"/>
      <c r="BDQ66" s="387"/>
      <c r="BDR66" s="387"/>
      <c r="BDS66" s="387"/>
      <c r="BDT66" s="387"/>
      <c r="BDU66" s="387"/>
      <c r="BDV66" s="387"/>
      <c r="BDW66" s="387"/>
      <c r="BDX66" s="387"/>
      <c r="BDY66" s="387"/>
      <c r="BDZ66" s="387"/>
      <c r="BEA66" s="387"/>
      <c r="BEB66" s="387"/>
      <c r="BEC66" s="387"/>
      <c r="BED66" s="387"/>
      <c r="BEE66" s="387"/>
      <c r="BEF66" s="387"/>
      <c r="BEG66" s="387"/>
      <c r="BEH66" s="387"/>
      <c r="BEI66" s="387"/>
      <c r="BEJ66" s="387"/>
      <c r="BEK66" s="387"/>
      <c r="BEL66" s="387"/>
      <c r="BEM66" s="387"/>
      <c r="BEN66" s="387"/>
      <c r="BEO66" s="387"/>
      <c r="BEP66" s="387"/>
      <c r="BEQ66" s="387"/>
      <c r="BER66" s="387"/>
      <c r="BES66" s="387"/>
      <c r="BET66" s="387"/>
      <c r="BEU66" s="387"/>
      <c r="BEV66" s="387"/>
      <c r="BEW66" s="387"/>
      <c r="BEX66" s="387"/>
      <c r="BEY66" s="387"/>
      <c r="BEZ66" s="387"/>
      <c r="BFA66" s="387"/>
      <c r="BFB66" s="387"/>
      <c r="BFC66" s="387"/>
      <c r="BFD66" s="387"/>
      <c r="BFE66" s="387"/>
      <c r="BFF66" s="387"/>
      <c r="BFG66" s="387"/>
      <c r="BFH66" s="387"/>
      <c r="BFI66" s="387"/>
      <c r="BFJ66" s="387"/>
      <c r="BFK66" s="387"/>
      <c r="BFL66" s="387"/>
      <c r="BFM66" s="387"/>
      <c r="BFN66" s="387"/>
      <c r="BFO66" s="387"/>
      <c r="BFP66" s="387"/>
      <c r="BFQ66" s="387"/>
      <c r="BFR66" s="387"/>
      <c r="BFS66" s="387"/>
      <c r="BFT66" s="387"/>
      <c r="BFU66" s="387"/>
      <c r="BFV66" s="387"/>
      <c r="BFW66" s="387"/>
      <c r="BFX66" s="387"/>
      <c r="BFY66" s="387"/>
      <c r="BFZ66" s="387"/>
      <c r="BGA66" s="387"/>
      <c r="BGB66" s="387"/>
      <c r="BGC66" s="387"/>
      <c r="BGD66" s="387"/>
      <c r="BGE66" s="387"/>
      <c r="BGF66" s="387"/>
      <c r="BGG66" s="387"/>
      <c r="BGH66" s="387"/>
      <c r="BGI66" s="387"/>
      <c r="BGJ66" s="387"/>
      <c r="BGK66" s="387"/>
      <c r="BGL66" s="387"/>
      <c r="BGM66" s="387"/>
      <c r="BGN66" s="387"/>
      <c r="BGO66" s="387"/>
      <c r="BGP66" s="387"/>
      <c r="BGQ66" s="387"/>
      <c r="BGR66" s="387"/>
      <c r="BGS66" s="387"/>
      <c r="BGT66" s="387"/>
      <c r="BGU66" s="387"/>
      <c r="BGV66" s="387"/>
      <c r="BGW66" s="387"/>
      <c r="BGX66" s="387"/>
      <c r="BGY66" s="387"/>
      <c r="BGZ66" s="387"/>
      <c r="BHA66" s="387"/>
      <c r="BHB66" s="387"/>
      <c r="BHC66" s="387"/>
      <c r="BHD66" s="387"/>
      <c r="BHE66" s="387"/>
      <c r="BHF66" s="387"/>
      <c r="BHG66" s="387"/>
      <c r="BHH66" s="387"/>
      <c r="BHI66" s="387"/>
      <c r="BHJ66" s="387"/>
      <c r="BHK66" s="387"/>
      <c r="BHL66" s="387"/>
      <c r="BHM66" s="387"/>
      <c r="BHN66" s="387"/>
      <c r="BHO66" s="387"/>
      <c r="BHP66" s="387"/>
      <c r="BHQ66" s="387"/>
      <c r="BHR66" s="387"/>
      <c r="BHS66" s="387"/>
      <c r="BHT66" s="387"/>
      <c r="BHU66" s="387"/>
      <c r="BHV66" s="387"/>
      <c r="BHW66" s="387"/>
      <c r="BHX66" s="387"/>
      <c r="BHY66" s="387"/>
      <c r="BHZ66" s="387"/>
      <c r="BIA66" s="387"/>
      <c r="BIB66" s="387"/>
      <c r="BIC66" s="387"/>
      <c r="BID66" s="387"/>
      <c r="BIE66" s="387"/>
      <c r="BIF66" s="387"/>
      <c r="BIG66" s="387"/>
      <c r="BIH66" s="387"/>
      <c r="BII66" s="387"/>
      <c r="BIJ66" s="387"/>
      <c r="BIK66" s="387"/>
      <c r="BIL66" s="387"/>
      <c r="BIM66" s="387"/>
      <c r="BIN66" s="387"/>
      <c r="BIO66" s="387"/>
      <c r="BIP66" s="387"/>
      <c r="BIQ66" s="387"/>
      <c r="BIR66" s="387"/>
      <c r="BIS66" s="387"/>
      <c r="BIT66" s="387"/>
      <c r="BIU66" s="387"/>
      <c r="BIV66" s="387"/>
      <c r="BIW66" s="387"/>
      <c r="BIX66" s="387"/>
      <c r="BIY66" s="387"/>
      <c r="BIZ66" s="387"/>
      <c r="BJA66" s="387"/>
      <c r="BJB66" s="387"/>
      <c r="BJC66" s="387"/>
      <c r="BJD66" s="387"/>
      <c r="BJE66" s="387"/>
      <c r="BJF66" s="387"/>
      <c r="BJG66" s="387"/>
      <c r="BJH66" s="387"/>
      <c r="BJI66" s="387"/>
      <c r="BJJ66" s="387"/>
      <c r="BJK66" s="387"/>
      <c r="BJL66" s="387"/>
      <c r="BJM66" s="387"/>
      <c r="BJN66" s="387"/>
      <c r="BJO66" s="387"/>
      <c r="BJP66" s="387"/>
      <c r="BJQ66" s="387"/>
      <c r="BJR66" s="387"/>
      <c r="BJS66" s="387"/>
      <c r="BJT66" s="387"/>
      <c r="BJU66" s="387"/>
      <c r="BJV66" s="387"/>
      <c r="BJW66" s="387"/>
      <c r="BJX66" s="387"/>
      <c r="BJY66" s="387"/>
      <c r="BJZ66" s="387"/>
      <c r="BKA66" s="387"/>
      <c r="BKB66" s="387"/>
      <c r="BKC66" s="387"/>
      <c r="BKD66" s="387"/>
      <c r="BKE66" s="387"/>
      <c r="BKF66" s="387"/>
      <c r="BKG66" s="387"/>
      <c r="BKH66" s="387"/>
      <c r="BKI66" s="387"/>
      <c r="BKJ66" s="387"/>
      <c r="BKK66" s="387"/>
      <c r="BKL66" s="387"/>
      <c r="BKM66" s="387"/>
      <c r="BKN66" s="387"/>
      <c r="BKO66" s="387"/>
      <c r="BKP66" s="387"/>
      <c r="BKQ66" s="387"/>
      <c r="BKR66" s="387"/>
      <c r="BKS66" s="387"/>
      <c r="BKT66" s="387"/>
      <c r="BKU66" s="387"/>
      <c r="BKV66" s="387"/>
      <c r="BKW66" s="387"/>
      <c r="BKX66" s="387"/>
      <c r="BKY66" s="387"/>
      <c r="BKZ66" s="387"/>
      <c r="BLA66" s="387"/>
      <c r="BLB66" s="387"/>
      <c r="BLC66" s="387"/>
      <c r="BLD66" s="387"/>
      <c r="BLE66" s="387"/>
      <c r="BLF66" s="387"/>
      <c r="BLG66" s="387"/>
      <c r="BLH66" s="387"/>
      <c r="BLI66" s="387"/>
      <c r="BLJ66" s="387"/>
      <c r="BLK66" s="387"/>
      <c r="BLL66" s="387"/>
      <c r="BLM66" s="387"/>
      <c r="BLN66" s="387"/>
      <c r="BLO66" s="387"/>
      <c r="BLP66" s="387"/>
      <c r="BLQ66" s="387"/>
      <c r="BLR66" s="387"/>
      <c r="BLS66" s="387"/>
      <c r="BLT66" s="387"/>
      <c r="BLU66" s="387"/>
      <c r="BLV66" s="387"/>
      <c r="BLW66" s="387"/>
      <c r="BLX66" s="387"/>
      <c r="BLY66" s="387"/>
      <c r="BLZ66" s="387"/>
      <c r="BMA66" s="387"/>
      <c r="BMB66" s="387"/>
      <c r="BMC66" s="387"/>
      <c r="BMD66" s="387"/>
      <c r="BME66" s="387"/>
      <c r="BMF66" s="387"/>
      <c r="BMG66" s="387"/>
      <c r="BMH66" s="387"/>
      <c r="BMI66" s="387"/>
      <c r="BMJ66" s="387"/>
      <c r="BMK66" s="387"/>
      <c r="BML66" s="387"/>
      <c r="BMM66" s="387"/>
      <c r="BMN66" s="387"/>
      <c r="BMO66" s="387"/>
      <c r="BMP66" s="387"/>
      <c r="BMQ66" s="387"/>
      <c r="BMR66" s="387"/>
      <c r="BMS66" s="387"/>
      <c r="BMT66" s="387"/>
      <c r="BMU66" s="387"/>
      <c r="BMV66" s="387"/>
      <c r="BMW66" s="387"/>
      <c r="BMX66" s="387"/>
      <c r="BMY66" s="387"/>
      <c r="BMZ66" s="387"/>
      <c r="BNA66" s="387"/>
      <c r="BNB66" s="387"/>
      <c r="BNC66" s="387"/>
      <c r="BND66" s="387"/>
      <c r="BNE66" s="387"/>
      <c r="BNF66" s="387"/>
      <c r="BNG66" s="387"/>
      <c r="BNH66" s="387"/>
      <c r="BNI66" s="387"/>
      <c r="BNJ66" s="387"/>
      <c r="BNK66" s="387"/>
      <c r="BNL66" s="387"/>
      <c r="BNM66" s="387"/>
      <c r="BNN66" s="387"/>
      <c r="BNO66" s="387"/>
      <c r="BNP66" s="387"/>
      <c r="BNQ66" s="387"/>
      <c r="BNR66" s="387"/>
      <c r="BNS66" s="387"/>
      <c r="BNT66" s="387"/>
      <c r="BNU66" s="387"/>
      <c r="BNV66" s="387"/>
      <c r="BNW66" s="387"/>
      <c r="BNX66" s="387"/>
      <c r="BNY66" s="387"/>
      <c r="BNZ66" s="387"/>
      <c r="BOA66" s="387"/>
      <c r="BOB66" s="387"/>
      <c r="BOC66" s="387"/>
      <c r="BOD66" s="387"/>
      <c r="BOE66" s="387"/>
      <c r="BOF66" s="387"/>
      <c r="BOG66" s="387"/>
      <c r="BOH66" s="387"/>
      <c r="BOI66" s="387"/>
      <c r="BOJ66" s="387"/>
      <c r="BOK66" s="387"/>
      <c r="BOL66" s="387"/>
      <c r="BOM66" s="387"/>
      <c r="BON66" s="387"/>
      <c r="BOO66" s="387"/>
      <c r="BOP66" s="387"/>
      <c r="BOQ66" s="387"/>
      <c r="BOR66" s="387"/>
      <c r="BOS66" s="387"/>
      <c r="BOT66" s="387"/>
      <c r="BOU66" s="387"/>
      <c r="BOV66" s="387"/>
      <c r="BOW66" s="387"/>
      <c r="BOX66" s="387"/>
      <c r="BOY66" s="387"/>
      <c r="BOZ66" s="387"/>
      <c r="BPA66" s="387"/>
      <c r="BPB66" s="387"/>
      <c r="BPC66" s="387"/>
      <c r="BPD66" s="387"/>
      <c r="BPE66" s="387"/>
      <c r="BPF66" s="387"/>
      <c r="BPG66" s="387"/>
      <c r="BPH66" s="387"/>
      <c r="BPI66" s="387"/>
      <c r="BPJ66" s="387"/>
      <c r="BPK66" s="387"/>
      <c r="BPL66" s="387"/>
      <c r="BPM66" s="387"/>
      <c r="BPN66" s="387"/>
      <c r="BPO66" s="387"/>
      <c r="BPP66" s="387"/>
      <c r="BPQ66" s="387"/>
      <c r="BPR66" s="387"/>
      <c r="BPS66" s="387"/>
      <c r="BPT66" s="387"/>
      <c r="BPU66" s="387"/>
      <c r="BPV66" s="387"/>
      <c r="BPW66" s="387"/>
      <c r="BPX66" s="387"/>
      <c r="BPY66" s="387"/>
      <c r="BPZ66" s="387"/>
      <c r="BQA66" s="387"/>
      <c r="BQB66" s="387"/>
      <c r="BQC66" s="387"/>
      <c r="BQD66" s="387"/>
      <c r="BQE66" s="387"/>
      <c r="BQF66" s="387"/>
      <c r="BQG66" s="387"/>
      <c r="BQH66" s="387"/>
      <c r="BQI66" s="387"/>
      <c r="BQJ66" s="387"/>
      <c r="BQK66" s="387"/>
      <c r="BQL66" s="387"/>
      <c r="BQM66" s="387"/>
      <c r="BQN66" s="387"/>
      <c r="BQO66" s="387"/>
      <c r="BQP66" s="387"/>
      <c r="BQQ66" s="387"/>
      <c r="BQR66" s="387"/>
      <c r="BQS66" s="387"/>
      <c r="BQT66" s="387"/>
      <c r="BQU66" s="387"/>
      <c r="BQV66" s="387"/>
      <c r="BQW66" s="387"/>
      <c r="BQX66" s="387"/>
      <c r="BQY66" s="387"/>
      <c r="BQZ66" s="387"/>
      <c r="BRA66" s="387"/>
      <c r="BRB66" s="387"/>
      <c r="BRC66" s="387"/>
      <c r="BRD66" s="387"/>
      <c r="BRE66" s="387"/>
      <c r="BRF66" s="387"/>
      <c r="BRG66" s="387"/>
      <c r="BRH66" s="387"/>
      <c r="BRI66" s="387"/>
      <c r="BRJ66" s="387"/>
      <c r="BRK66" s="387"/>
      <c r="BRL66" s="387"/>
      <c r="BRM66" s="387"/>
      <c r="BRN66" s="387"/>
      <c r="BRO66" s="387"/>
      <c r="BRP66" s="387"/>
      <c r="BRQ66" s="387"/>
      <c r="BRR66" s="387"/>
      <c r="BRS66" s="387"/>
      <c r="BRT66" s="387"/>
      <c r="BRU66" s="387"/>
      <c r="BRV66" s="387"/>
      <c r="BRW66" s="387"/>
      <c r="BRX66" s="387"/>
      <c r="BRY66" s="387"/>
      <c r="BRZ66" s="387"/>
      <c r="BSA66" s="387"/>
      <c r="BSB66" s="387"/>
      <c r="BSC66" s="387"/>
      <c r="BSD66" s="387"/>
      <c r="BSE66" s="387"/>
      <c r="BSF66" s="387"/>
      <c r="BSG66" s="387"/>
      <c r="BSH66" s="387"/>
      <c r="BSI66" s="387"/>
      <c r="BSJ66" s="387"/>
      <c r="BSK66" s="387"/>
      <c r="BSL66" s="387"/>
      <c r="BSM66" s="387"/>
      <c r="BSN66" s="387"/>
      <c r="BSO66" s="387"/>
      <c r="BSP66" s="387"/>
      <c r="BSQ66" s="387"/>
      <c r="BSR66" s="387"/>
      <c r="BSS66" s="387"/>
      <c r="BST66" s="387"/>
      <c r="BSU66" s="387"/>
      <c r="BSV66" s="387"/>
      <c r="BSW66" s="387"/>
      <c r="BSX66" s="387"/>
      <c r="BSY66" s="387"/>
      <c r="BSZ66" s="387"/>
      <c r="BTA66" s="387"/>
      <c r="BTB66" s="387"/>
      <c r="BTC66" s="387"/>
      <c r="BTD66" s="387"/>
      <c r="BTE66" s="387"/>
      <c r="BTF66" s="387"/>
      <c r="BTG66" s="387"/>
      <c r="BTH66" s="387"/>
      <c r="BTI66" s="387"/>
    </row>
    <row r="67" spans="1:1881" s="4" customFormat="1" ht="81.75" customHeight="1" x14ac:dyDescent="0.25">
      <c r="A67" s="186">
        <v>509</v>
      </c>
      <c r="B67" s="62" t="s">
        <v>78</v>
      </c>
      <c r="C67" s="157" t="s">
        <v>183</v>
      </c>
      <c r="D67" s="173" t="s">
        <v>550</v>
      </c>
      <c r="E67" s="683" t="e">
        <f>HLOOKUP('Unit Data from Audit Worksheet'!$D$2,'2019 Data(H)'!$D$1:$BB$202,116,FALSE)</f>
        <v>#N/A</v>
      </c>
      <c r="F67" s="686"/>
      <c r="G67" s="388">
        <f>IF(F67&lt;0,"Error: Enter as positive.",)</f>
        <v>0</v>
      </c>
      <c r="H67" s="18"/>
      <c r="I67" s="292"/>
      <c r="J67" s="387"/>
      <c r="K67" s="387"/>
      <c r="L67" s="674"/>
      <c r="M67" s="576"/>
      <c r="N67" s="594"/>
      <c r="O67" s="387"/>
      <c r="P67" s="387"/>
      <c r="Q67" s="387"/>
      <c r="R67"/>
      <c r="S67" s="682"/>
      <c r="T67" s="387"/>
      <c r="U67" s="387"/>
      <c r="V67" s="387"/>
      <c r="W67" s="387"/>
      <c r="X67" s="682"/>
      <c r="Y67" s="387"/>
      <c r="Z67" s="387"/>
      <c r="AA67" s="387"/>
      <c r="AB67" s="387"/>
      <c r="AC67" s="387"/>
      <c r="AD67" s="387"/>
      <c r="AE67" s="387"/>
      <c r="AF67" s="387"/>
      <c r="AG67" s="387"/>
      <c r="AH67" s="387"/>
      <c r="AI67" s="387"/>
      <c r="AJ67" s="387"/>
      <c r="AK67" s="387"/>
      <c r="AL67" s="387"/>
      <c r="AM67" s="387"/>
      <c r="AN67" s="387"/>
      <c r="AO67" s="387"/>
      <c r="AP67" s="387"/>
      <c r="AQ67" s="387"/>
      <c r="AR67" s="387"/>
      <c r="AS67" s="387"/>
      <c r="AT67" s="387"/>
      <c r="AU67" s="387"/>
      <c r="AV67" s="387"/>
      <c r="AW67" s="387"/>
      <c r="AX67" s="387"/>
      <c r="AY67" s="387"/>
      <c r="AZ67" s="387"/>
      <c r="BA67" s="387"/>
      <c r="BB67" s="387"/>
      <c r="BC67" s="387"/>
      <c r="BD67" s="387"/>
      <c r="BE67" s="387"/>
      <c r="BF67" s="387"/>
      <c r="BG67" s="387"/>
      <c r="BH67" s="387"/>
      <c r="BI67" s="387"/>
      <c r="BJ67" s="387"/>
      <c r="BK67" s="387"/>
      <c r="BL67" s="387"/>
      <c r="BM67" s="387"/>
      <c r="BN67" s="387"/>
      <c r="BO67" s="387"/>
      <c r="BP67" s="387"/>
      <c r="BQ67" s="387"/>
      <c r="BR67" s="387"/>
      <c r="BS67" s="387"/>
      <c r="BT67" s="387"/>
      <c r="BU67" s="387"/>
      <c r="BV67" s="387"/>
      <c r="BW67" s="387"/>
      <c r="BX67" s="387"/>
      <c r="BY67" s="387"/>
      <c r="BZ67" s="387"/>
      <c r="CA67" s="387"/>
      <c r="CB67" s="387"/>
      <c r="CC67" s="387"/>
      <c r="CD67" s="387"/>
      <c r="CE67" s="387"/>
      <c r="CF67" s="387"/>
      <c r="CG67" s="387"/>
      <c r="CH67" s="387"/>
      <c r="CI67" s="387"/>
      <c r="CJ67" s="387"/>
      <c r="CK67" s="387"/>
      <c r="CL67" s="387"/>
      <c r="CM67" s="387"/>
      <c r="CN67" s="387"/>
      <c r="CO67" s="387"/>
      <c r="CP67" s="387"/>
      <c r="CQ67" s="387"/>
      <c r="CR67" s="387"/>
      <c r="CS67" s="387"/>
      <c r="CT67" s="387"/>
      <c r="CU67" s="387"/>
      <c r="CV67" s="387"/>
      <c r="CW67" s="387"/>
      <c r="CX67" s="387"/>
      <c r="CY67" s="387"/>
      <c r="CZ67" s="387"/>
      <c r="DA67" s="387"/>
      <c r="DB67" s="387"/>
      <c r="DC67" s="387"/>
      <c r="DD67" s="387"/>
      <c r="DE67" s="387"/>
      <c r="DF67" s="387"/>
      <c r="DG67" s="387"/>
      <c r="DH67" s="387"/>
      <c r="DI67" s="387"/>
      <c r="DJ67" s="387"/>
      <c r="DK67" s="387"/>
      <c r="DL67" s="387"/>
      <c r="DM67" s="387"/>
      <c r="DN67" s="387"/>
      <c r="DO67" s="387"/>
      <c r="DP67" s="387"/>
      <c r="DQ67" s="387"/>
      <c r="DR67" s="387"/>
      <c r="DS67" s="387"/>
      <c r="DT67" s="387"/>
      <c r="DU67" s="387"/>
      <c r="DV67" s="387"/>
      <c r="DW67" s="387"/>
      <c r="DX67" s="387"/>
      <c r="DY67" s="387"/>
      <c r="DZ67" s="387"/>
      <c r="EA67" s="387"/>
      <c r="EB67" s="387"/>
      <c r="EC67" s="387"/>
      <c r="ED67" s="387"/>
      <c r="EE67" s="387"/>
      <c r="EF67" s="387"/>
      <c r="EG67" s="387"/>
      <c r="EH67" s="387"/>
      <c r="EI67" s="387"/>
      <c r="EJ67" s="387"/>
      <c r="EK67" s="387"/>
      <c r="EL67" s="387"/>
      <c r="EM67" s="387"/>
      <c r="EN67" s="387"/>
      <c r="EO67" s="387"/>
      <c r="EP67" s="387"/>
      <c r="EQ67" s="387"/>
      <c r="ER67" s="387"/>
      <c r="ES67" s="387"/>
      <c r="ET67" s="387"/>
      <c r="EU67" s="387"/>
      <c r="EV67" s="387"/>
      <c r="EW67" s="387"/>
      <c r="EX67" s="387"/>
      <c r="EY67" s="387"/>
      <c r="EZ67" s="387"/>
      <c r="FA67" s="387"/>
      <c r="FB67" s="387"/>
      <c r="FC67" s="387"/>
      <c r="FD67" s="387"/>
      <c r="FE67" s="387"/>
      <c r="FF67" s="387"/>
      <c r="FG67" s="387"/>
      <c r="FH67" s="387"/>
      <c r="FI67" s="387"/>
      <c r="FJ67" s="387"/>
      <c r="FK67" s="387"/>
      <c r="FL67" s="387"/>
      <c r="FM67" s="387"/>
      <c r="FN67" s="387"/>
      <c r="FO67" s="387"/>
      <c r="FP67" s="387"/>
      <c r="FQ67" s="387"/>
      <c r="FR67" s="387"/>
      <c r="FS67" s="387"/>
      <c r="FT67" s="387"/>
      <c r="FU67" s="387"/>
      <c r="FV67" s="387"/>
      <c r="FW67" s="387"/>
      <c r="FX67" s="387"/>
      <c r="FY67" s="387"/>
      <c r="FZ67" s="387"/>
      <c r="GA67" s="387"/>
      <c r="GB67" s="387"/>
      <c r="GC67" s="387"/>
      <c r="GD67" s="387"/>
      <c r="GE67" s="387"/>
      <c r="GF67" s="387"/>
      <c r="GG67" s="387"/>
      <c r="GH67" s="387"/>
      <c r="GI67" s="387"/>
      <c r="GJ67" s="387"/>
      <c r="GK67" s="387"/>
      <c r="GL67" s="387"/>
      <c r="GM67" s="387"/>
      <c r="GN67" s="387"/>
      <c r="GO67" s="387"/>
      <c r="GP67" s="387"/>
      <c r="GQ67" s="387"/>
      <c r="GR67" s="387"/>
      <c r="GS67" s="387"/>
      <c r="GT67" s="387"/>
      <c r="GU67" s="387"/>
      <c r="GV67" s="387"/>
      <c r="GW67" s="387"/>
      <c r="GX67" s="387"/>
      <c r="GY67" s="387"/>
      <c r="GZ67" s="387"/>
      <c r="HA67" s="387"/>
      <c r="HB67" s="387"/>
      <c r="HC67" s="387"/>
      <c r="HD67" s="387"/>
      <c r="HE67" s="387"/>
      <c r="HF67" s="387"/>
      <c r="HG67" s="387"/>
      <c r="HH67" s="387"/>
      <c r="HI67" s="387"/>
      <c r="HJ67" s="387"/>
      <c r="HK67" s="387"/>
      <c r="HL67" s="387"/>
      <c r="HM67" s="387"/>
      <c r="HN67" s="387"/>
      <c r="HO67" s="387"/>
      <c r="HP67" s="387"/>
      <c r="HQ67" s="387"/>
      <c r="HR67" s="387"/>
      <c r="HS67" s="387"/>
      <c r="HT67" s="387"/>
      <c r="HU67" s="387"/>
      <c r="HV67" s="387"/>
      <c r="HW67" s="387"/>
      <c r="HX67" s="387"/>
      <c r="HY67" s="387"/>
      <c r="HZ67" s="387"/>
      <c r="IA67" s="387"/>
      <c r="IB67" s="387"/>
      <c r="IC67" s="387"/>
      <c r="ID67" s="387"/>
      <c r="IE67" s="387"/>
      <c r="IF67" s="387"/>
      <c r="IG67" s="387"/>
      <c r="IH67" s="387"/>
      <c r="II67" s="387"/>
      <c r="IJ67" s="387"/>
      <c r="IK67" s="387"/>
      <c r="IL67" s="387"/>
      <c r="IM67" s="387"/>
      <c r="IN67" s="387"/>
      <c r="IO67" s="387"/>
      <c r="IP67" s="387"/>
      <c r="IQ67" s="387"/>
      <c r="IR67" s="387"/>
      <c r="IS67" s="387"/>
      <c r="IT67" s="387"/>
      <c r="IU67" s="387"/>
      <c r="IV67" s="387"/>
      <c r="IW67" s="387"/>
      <c r="IX67" s="387"/>
      <c r="IY67" s="387"/>
      <c r="IZ67" s="387"/>
      <c r="JA67" s="387"/>
      <c r="JB67" s="387"/>
      <c r="JC67" s="387"/>
      <c r="JD67" s="387"/>
      <c r="JE67" s="387"/>
      <c r="JF67" s="387"/>
      <c r="JG67" s="387"/>
      <c r="JH67" s="387"/>
      <c r="JI67" s="387"/>
      <c r="JJ67" s="387"/>
      <c r="JK67" s="387"/>
      <c r="JL67" s="387"/>
      <c r="JM67" s="387"/>
      <c r="JN67" s="387"/>
      <c r="JO67" s="387"/>
      <c r="JP67" s="387"/>
      <c r="JQ67" s="387"/>
      <c r="JR67" s="387"/>
      <c r="JS67" s="387"/>
      <c r="JT67" s="387"/>
      <c r="JU67" s="387"/>
      <c r="JV67" s="387"/>
      <c r="JW67" s="387"/>
      <c r="JX67" s="387"/>
      <c r="JY67" s="387"/>
      <c r="JZ67" s="387"/>
      <c r="KA67" s="387"/>
      <c r="KB67" s="387"/>
      <c r="KC67" s="387"/>
      <c r="KD67" s="387"/>
      <c r="KE67" s="387"/>
      <c r="KF67" s="387"/>
      <c r="KG67" s="387"/>
      <c r="KH67" s="387"/>
      <c r="KI67" s="387"/>
      <c r="KJ67" s="387"/>
      <c r="KK67" s="387"/>
      <c r="KL67" s="387"/>
      <c r="KM67" s="387"/>
      <c r="KN67" s="387"/>
      <c r="KO67" s="387"/>
      <c r="KP67" s="387"/>
      <c r="KQ67" s="387"/>
      <c r="KR67" s="387"/>
      <c r="KS67" s="387"/>
      <c r="KT67" s="387"/>
      <c r="KU67" s="387"/>
      <c r="KV67" s="387"/>
      <c r="KW67" s="387"/>
      <c r="KX67" s="387"/>
      <c r="KY67" s="387"/>
      <c r="KZ67" s="387"/>
      <c r="LA67" s="387"/>
      <c r="LB67" s="387"/>
      <c r="LC67" s="387"/>
      <c r="LD67" s="387"/>
      <c r="LE67" s="387"/>
      <c r="LF67" s="387"/>
      <c r="LG67" s="387"/>
      <c r="LH67" s="387"/>
      <c r="LI67" s="387"/>
      <c r="LJ67" s="387"/>
      <c r="LK67" s="387"/>
      <c r="LL67" s="387"/>
      <c r="LM67" s="387"/>
      <c r="LN67" s="387"/>
      <c r="LO67" s="387"/>
      <c r="LP67" s="387"/>
      <c r="LQ67" s="387"/>
      <c r="LR67" s="387"/>
      <c r="LS67" s="387"/>
      <c r="LT67" s="387"/>
      <c r="LU67" s="387"/>
      <c r="LV67" s="387"/>
      <c r="LW67" s="387"/>
      <c r="LX67" s="387"/>
      <c r="LY67" s="387"/>
      <c r="LZ67" s="387"/>
      <c r="MA67" s="387"/>
      <c r="MB67" s="387"/>
      <c r="MC67" s="387"/>
      <c r="MD67" s="387"/>
      <c r="ME67" s="387"/>
      <c r="MF67" s="387"/>
      <c r="MG67" s="387"/>
      <c r="MH67" s="387"/>
      <c r="MI67" s="387"/>
      <c r="MJ67" s="387"/>
      <c r="MK67" s="387"/>
      <c r="ML67" s="387"/>
      <c r="MM67" s="387"/>
      <c r="MN67" s="387"/>
      <c r="MO67" s="387"/>
      <c r="MP67" s="387"/>
      <c r="MQ67" s="387"/>
      <c r="MR67" s="387"/>
      <c r="MS67" s="387"/>
      <c r="MT67" s="387"/>
      <c r="MU67" s="387"/>
      <c r="MV67" s="387"/>
      <c r="MW67" s="387"/>
      <c r="MX67" s="387"/>
      <c r="MY67" s="387"/>
      <c r="MZ67" s="387"/>
      <c r="NA67" s="387"/>
      <c r="NB67" s="387"/>
      <c r="NC67" s="387"/>
      <c r="ND67" s="387"/>
      <c r="NE67" s="387"/>
      <c r="NF67" s="387"/>
      <c r="NG67" s="387"/>
      <c r="NH67" s="387"/>
      <c r="NI67" s="387"/>
      <c r="NJ67" s="387"/>
      <c r="NK67" s="387"/>
      <c r="NL67" s="387"/>
      <c r="NM67" s="387"/>
      <c r="NN67" s="387"/>
      <c r="NO67" s="387"/>
      <c r="NP67" s="387"/>
      <c r="NQ67" s="387"/>
      <c r="NR67" s="387"/>
      <c r="NS67" s="387"/>
      <c r="NT67" s="387"/>
      <c r="NU67" s="387"/>
      <c r="NV67" s="387"/>
      <c r="NW67" s="387"/>
      <c r="NX67" s="387"/>
      <c r="NY67" s="387"/>
      <c r="NZ67" s="387"/>
      <c r="OA67" s="387"/>
      <c r="OB67" s="387"/>
      <c r="OC67" s="387"/>
      <c r="OD67" s="387"/>
      <c r="OE67" s="387"/>
      <c r="OF67" s="387"/>
      <c r="OG67" s="387"/>
      <c r="OH67" s="387"/>
      <c r="OI67" s="387"/>
      <c r="OJ67" s="387"/>
      <c r="OK67" s="387"/>
      <c r="OL67" s="387"/>
      <c r="OM67" s="387"/>
      <c r="ON67" s="387"/>
      <c r="OO67" s="387"/>
      <c r="OP67" s="387"/>
      <c r="OQ67" s="387"/>
      <c r="OR67" s="387"/>
      <c r="OS67" s="387"/>
      <c r="OT67" s="387"/>
      <c r="OU67" s="387"/>
      <c r="OV67" s="387"/>
      <c r="OW67" s="387"/>
      <c r="OX67" s="387"/>
      <c r="OY67" s="387"/>
      <c r="OZ67" s="387"/>
      <c r="PA67" s="387"/>
      <c r="PB67" s="387"/>
      <c r="PC67" s="387"/>
      <c r="PD67" s="387"/>
      <c r="PE67" s="387"/>
      <c r="PF67" s="387"/>
      <c r="PG67" s="387"/>
      <c r="PH67" s="387"/>
      <c r="PI67" s="387"/>
      <c r="PJ67" s="387"/>
      <c r="PK67" s="387"/>
      <c r="PL67" s="387"/>
      <c r="PM67" s="387"/>
      <c r="PN67" s="387"/>
      <c r="PO67" s="387"/>
      <c r="PP67" s="387"/>
      <c r="PQ67" s="387"/>
      <c r="PR67" s="387"/>
      <c r="PS67" s="387"/>
      <c r="PT67" s="387"/>
      <c r="PU67" s="387"/>
      <c r="PV67" s="387"/>
      <c r="PW67" s="387"/>
      <c r="PX67" s="387"/>
      <c r="PY67" s="387"/>
      <c r="PZ67" s="387"/>
      <c r="QA67" s="387"/>
      <c r="QB67" s="387"/>
      <c r="QC67" s="387"/>
      <c r="QD67" s="387"/>
      <c r="QE67" s="387"/>
      <c r="QF67" s="387"/>
      <c r="QG67" s="387"/>
      <c r="QH67" s="387"/>
      <c r="QI67" s="387"/>
      <c r="QJ67" s="387"/>
      <c r="QK67" s="387"/>
      <c r="QL67" s="387"/>
      <c r="QM67" s="387"/>
      <c r="QN67" s="387"/>
      <c r="QO67" s="387"/>
      <c r="QP67" s="387"/>
      <c r="QQ67" s="387"/>
      <c r="QR67" s="387"/>
      <c r="QS67" s="387"/>
      <c r="QT67" s="387"/>
      <c r="QU67" s="387"/>
      <c r="QV67" s="387"/>
      <c r="QW67" s="387"/>
      <c r="QX67" s="387"/>
      <c r="QY67" s="387"/>
      <c r="QZ67" s="387"/>
      <c r="RA67" s="387"/>
      <c r="RB67" s="387"/>
      <c r="RC67" s="387"/>
      <c r="RD67" s="387"/>
      <c r="RE67" s="387"/>
      <c r="RF67" s="387"/>
      <c r="RG67" s="387"/>
      <c r="RH67" s="387"/>
      <c r="RI67" s="387"/>
      <c r="RJ67" s="387"/>
      <c r="RK67" s="387"/>
      <c r="RL67" s="387"/>
      <c r="RM67" s="387"/>
      <c r="RN67" s="387"/>
      <c r="RO67" s="387"/>
      <c r="RP67" s="387"/>
      <c r="RQ67" s="387"/>
      <c r="RR67" s="387"/>
      <c r="RS67" s="387"/>
      <c r="RT67" s="387"/>
      <c r="RU67" s="387"/>
      <c r="RV67" s="387"/>
      <c r="RW67" s="387"/>
      <c r="RX67" s="387"/>
      <c r="RY67" s="387"/>
      <c r="RZ67" s="387"/>
      <c r="SA67" s="387"/>
      <c r="SB67" s="387"/>
      <c r="SC67" s="387"/>
      <c r="SD67" s="387"/>
      <c r="SE67" s="387"/>
      <c r="SF67" s="387"/>
      <c r="SG67" s="387"/>
      <c r="SH67" s="387"/>
      <c r="SI67" s="387"/>
      <c r="SJ67" s="387"/>
      <c r="SK67" s="387"/>
      <c r="SL67" s="387"/>
      <c r="SM67" s="387"/>
      <c r="SN67" s="387"/>
      <c r="SO67" s="387"/>
      <c r="SP67" s="387"/>
      <c r="SQ67" s="387"/>
      <c r="SR67" s="387"/>
      <c r="SS67" s="387"/>
      <c r="ST67" s="387"/>
      <c r="SU67" s="387"/>
      <c r="SV67" s="387"/>
      <c r="SW67" s="387"/>
      <c r="SX67" s="387"/>
      <c r="SY67" s="387"/>
      <c r="SZ67" s="387"/>
      <c r="TA67" s="387"/>
      <c r="TB67" s="387"/>
      <c r="TC67" s="387"/>
      <c r="TD67" s="387"/>
      <c r="TE67" s="387"/>
      <c r="TF67" s="387"/>
      <c r="TG67" s="387"/>
      <c r="TH67" s="387"/>
      <c r="TI67" s="387"/>
      <c r="TJ67" s="387"/>
      <c r="TK67" s="387"/>
      <c r="TL67" s="387"/>
      <c r="TM67" s="387"/>
      <c r="TN67" s="387"/>
      <c r="TO67" s="387"/>
      <c r="TP67" s="387"/>
      <c r="TQ67" s="387"/>
      <c r="TR67" s="387"/>
      <c r="TS67" s="387"/>
      <c r="TT67" s="387"/>
      <c r="TU67" s="387"/>
      <c r="TV67" s="387"/>
      <c r="TW67" s="387"/>
      <c r="TX67" s="387"/>
      <c r="TY67" s="387"/>
      <c r="TZ67" s="387"/>
      <c r="UA67" s="387"/>
      <c r="UB67" s="387"/>
      <c r="UC67" s="387"/>
      <c r="UD67" s="387"/>
      <c r="UE67" s="387"/>
      <c r="UF67" s="387"/>
      <c r="UG67" s="387"/>
      <c r="UH67" s="387"/>
      <c r="UI67" s="387"/>
      <c r="UJ67" s="387"/>
      <c r="UK67" s="387"/>
      <c r="UL67" s="387"/>
      <c r="UM67" s="387"/>
      <c r="UN67" s="387"/>
      <c r="UO67" s="387"/>
      <c r="UP67" s="387"/>
      <c r="UQ67" s="387"/>
      <c r="UR67" s="387"/>
      <c r="US67" s="387"/>
      <c r="UT67" s="387"/>
      <c r="UU67" s="387"/>
      <c r="UV67" s="387"/>
      <c r="UW67" s="387"/>
      <c r="UX67" s="387"/>
      <c r="UY67" s="387"/>
      <c r="UZ67" s="387"/>
      <c r="VA67" s="387"/>
      <c r="VB67" s="387"/>
      <c r="VC67" s="387"/>
      <c r="VD67" s="387"/>
      <c r="VE67" s="387"/>
      <c r="VF67" s="387"/>
      <c r="VG67" s="387"/>
      <c r="VH67" s="387"/>
      <c r="VI67" s="387"/>
      <c r="VJ67" s="387"/>
      <c r="VK67" s="387"/>
      <c r="VL67" s="387"/>
      <c r="VM67" s="387"/>
      <c r="VN67" s="387"/>
      <c r="VO67" s="387"/>
      <c r="VP67" s="387"/>
      <c r="VQ67" s="387"/>
      <c r="VR67" s="387"/>
      <c r="VS67" s="387"/>
      <c r="VT67" s="387"/>
      <c r="VU67" s="387"/>
      <c r="VV67" s="387"/>
      <c r="VW67" s="387"/>
      <c r="VX67" s="387"/>
      <c r="VY67" s="387"/>
      <c r="VZ67" s="387"/>
      <c r="WA67" s="387"/>
      <c r="WB67" s="387"/>
      <c r="WC67" s="387"/>
      <c r="WD67" s="387"/>
      <c r="WE67" s="387"/>
      <c r="WF67" s="387"/>
      <c r="WG67" s="387"/>
      <c r="WH67" s="387"/>
      <c r="WI67" s="387"/>
      <c r="WJ67" s="387"/>
      <c r="WK67" s="387"/>
      <c r="WL67" s="387"/>
      <c r="WM67" s="387"/>
      <c r="WN67" s="387"/>
      <c r="WO67" s="387"/>
      <c r="WP67" s="387"/>
      <c r="WQ67" s="387"/>
      <c r="WR67" s="387"/>
      <c r="WS67" s="387"/>
      <c r="WT67" s="387"/>
      <c r="WU67" s="387"/>
      <c r="WV67" s="387"/>
      <c r="WW67" s="387"/>
      <c r="WX67" s="387"/>
      <c r="WY67" s="387"/>
      <c r="WZ67" s="387"/>
      <c r="XA67" s="387"/>
      <c r="XB67" s="387"/>
      <c r="XC67" s="387"/>
      <c r="XD67" s="387"/>
      <c r="XE67" s="387"/>
      <c r="XF67" s="387"/>
      <c r="XG67" s="387"/>
      <c r="XH67" s="387"/>
      <c r="XI67" s="387"/>
      <c r="XJ67" s="387"/>
      <c r="XK67" s="387"/>
      <c r="XL67" s="387"/>
      <c r="XM67" s="387"/>
      <c r="XN67" s="387"/>
      <c r="XO67" s="387"/>
      <c r="XP67" s="387"/>
      <c r="XQ67" s="387"/>
      <c r="XR67" s="387"/>
      <c r="XS67" s="387"/>
      <c r="XT67" s="387"/>
      <c r="XU67" s="387"/>
      <c r="XV67" s="387"/>
      <c r="XW67" s="387"/>
      <c r="XX67" s="387"/>
      <c r="XY67" s="387"/>
      <c r="XZ67" s="387"/>
      <c r="YA67" s="387"/>
      <c r="YB67" s="387"/>
      <c r="YC67" s="387"/>
      <c r="YD67" s="387"/>
      <c r="YE67" s="387"/>
      <c r="YF67" s="387"/>
      <c r="YG67" s="387"/>
      <c r="YH67" s="387"/>
      <c r="YI67" s="387"/>
      <c r="YJ67" s="387"/>
      <c r="YK67" s="387"/>
      <c r="YL67" s="387"/>
      <c r="YM67" s="387"/>
      <c r="YN67" s="387"/>
      <c r="YO67" s="387"/>
      <c r="YP67" s="387"/>
      <c r="YQ67" s="387"/>
      <c r="YR67" s="387"/>
      <c r="YS67" s="387"/>
      <c r="YT67" s="387"/>
      <c r="YU67" s="387"/>
      <c r="YV67" s="387"/>
      <c r="YW67" s="387"/>
      <c r="YX67" s="387"/>
      <c r="YY67" s="387"/>
      <c r="YZ67" s="387"/>
      <c r="ZA67" s="387"/>
      <c r="ZB67" s="387"/>
      <c r="ZC67" s="387"/>
      <c r="ZD67" s="387"/>
      <c r="ZE67" s="387"/>
      <c r="ZF67" s="387"/>
      <c r="ZG67" s="387"/>
      <c r="ZH67" s="387"/>
      <c r="ZI67" s="387"/>
      <c r="ZJ67" s="387"/>
      <c r="ZK67" s="387"/>
      <c r="ZL67" s="387"/>
      <c r="ZM67" s="387"/>
      <c r="ZN67" s="387"/>
      <c r="ZO67" s="387"/>
      <c r="ZP67" s="387"/>
      <c r="ZQ67" s="387"/>
      <c r="ZR67" s="387"/>
      <c r="ZS67" s="387"/>
      <c r="ZT67" s="387"/>
      <c r="ZU67" s="387"/>
      <c r="ZV67" s="387"/>
      <c r="ZW67" s="387"/>
      <c r="ZX67" s="387"/>
      <c r="ZY67" s="387"/>
      <c r="ZZ67" s="387"/>
      <c r="AAA67" s="387"/>
      <c r="AAB67" s="387"/>
      <c r="AAC67" s="387"/>
      <c r="AAD67" s="387"/>
      <c r="AAE67" s="387"/>
      <c r="AAF67" s="387"/>
      <c r="AAG67" s="387"/>
      <c r="AAH67" s="387"/>
      <c r="AAI67" s="387"/>
      <c r="AAJ67" s="387"/>
      <c r="AAK67" s="387"/>
      <c r="AAL67" s="387"/>
      <c r="AAM67" s="387"/>
      <c r="AAN67" s="387"/>
      <c r="AAO67" s="387"/>
      <c r="AAP67" s="387"/>
      <c r="AAQ67" s="387"/>
      <c r="AAR67" s="387"/>
      <c r="AAS67" s="387"/>
      <c r="AAT67" s="387"/>
      <c r="AAU67" s="387"/>
      <c r="AAV67" s="387"/>
      <c r="AAW67" s="387"/>
      <c r="AAX67" s="387"/>
      <c r="AAY67" s="387"/>
      <c r="AAZ67" s="387"/>
      <c r="ABA67" s="387"/>
      <c r="ABB67" s="387"/>
      <c r="ABC67" s="387"/>
      <c r="ABD67" s="387"/>
      <c r="ABE67" s="387"/>
      <c r="ABF67" s="387"/>
      <c r="ABG67" s="387"/>
      <c r="ABH67" s="387"/>
      <c r="ABI67" s="387"/>
      <c r="ABJ67" s="387"/>
      <c r="ABK67" s="387"/>
      <c r="ABL67" s="387"/>
      <c r="ABM67" s="387"/>
      <c r="ABN67" s="387"/>
      <c r="ABO67" s="387"/>
      <c r="ABP67" s="387"/>
      <c r="ABQ67" s="387"/>
      <c r="ABR67" s="387"/>
      <c r="ABS67" s="387"/>
      <c r="ABT67" s="387"/>
      <c r="ABU67" s="387"/>
      <c r="ABV67" s="387"/>
      <c r="ABW67" s="387"/>
      <c r="ABX67" s="387"/>
      <c r="ABY67" s="387"/>
      <c r="ABZ67" s="387"/>
      <c r="ACA67" s="387"/>
      <c r="ACB67" s="387"/>
      <c r="ACC67" s="387"/>
      <c r="ACD67" s="387"/>
      <c r="ACE67" s="387"/>
      <c r="ACF67" s="387"/>
      <c r="ACG67" s="387"/>
      <c r="ACH67" s="387"/>
      <c r="ACI67" s="387"/>
      <c r="ACJ67" s="387"/>
      <c r="ACK67" s="387"/>
      <c r="ACL67" s="387"/>
      <c r="ACM67" s="387"/>
      <c r="ACN67" s="387"/>
      <c r="ACO67" s="387"/>
      <c r="ACP67" s="387"/>
      <c r="ACQ67" s="387"/>
      <c r="ACR67" s="387"/>
      <c r="ACS67" s="387"/>
      <c r="ACT67" s="387"/>
      <c r="ACU67" s="387"/>
      <c r="ACV67" s="387"/>
      <c r="ACW67" s="387"/>
      <c r="ACX67" s="387"/>
      <c r="ACY67" s="387"/>
      <c r="ACZ67" s="387"/>
      <c r="ADA67" s="387"/>
      <c r="ADB67" s="387"/>
      <c r="ADC67" s="387"/>
      <c r="ADD67" s="387"/>
      <c r="ADE67" s="387"/>
      <c r="ADF67" s="387"/>
      <c r="ADG67" s="387"/>
      <c r="ADH67" s="387"/>
      <c r="ADI67" s="387"/>
      <c r="ADJ67" s="387"/>
      <c r="ADK67" s="387"/>
      <c r="ADL67" s="387"/>
      <c r="ADM67" s="387"/>
      <c r="ADN67" s="387"/>
      <c r="ADO67" s="387"/>
      <c r="ADP67" s="387"/>
      <c r="ADQ67" s="387"/>
      <c r="ADR67" s="387"/>
      <c r="ADS67" s="387"/>
      <c r="ADT67" s="387"/>
      <c r="ADU67" s="387"/>
      <c r="ADV67" s="387"/>
      <c r="ADW67" s="387"/>
      <c r="ADX67" s="387"/>
      <c r="ADY67" s="387"/>
      <c r="ADZ67" s="387"/>
      <c r="AEA67" s="387"/>
      <c r="AEB67" s="387"/>
      <c r="AEC67" s="387"/>
      <c r="AED67" s="387"/>
      <c r="AEE67" s="387"/>
      <c r="AEF67" s="387"/>
      <c r="AEG67" s="387"/>
      <c r="AEH67" s="387"/>
      <c r="AEI67" s="387"/>
      <c r="AEJ67" s="387"/>
      <c r="AEK67" s="387"/>
      <c r="AEL67" s="387"/>
      <c r="AEM67" s="387"/>
      <c r="AEN67" s="387"/>
      <c r="AEO67" s="387"/>
      <c r="AEP67" s="387"/>
      <c r="AEQ67" s="387"/>
      <c r="AER67" s="387"/>
      <c r="AES67" s="387"/>
      <c r="AET67" s="387"/>
      <c r="AEU67" s="387"/>
      <c r="AEV67" s="387"/>
      <c r="AEW67" s="387"/>
      <c r="AEX67" s="387"/>
      <c r="AEY67" s="387"/>
      <c r="AEZ67" s="387"/>
      <c r="AFA67" s="387"/>
      <c r="AFB67" s="387"/>
      <c r="AFC67" s="387"/>
      <c r="AFD67" s="387"/>
      <c r="AFE67" s="387"/>
      <c r="AFF67" s="387"/>
      <c r="AFG67" s="387"/>
      <c r="AFH67" s="387"/>
      <c r="AFI67" s="387"/>
      <c r="AFJ67" s="387"/>
      <c r="AFK67" s="387"/>
      <c r="AFL67" s="387"/>
      <c r="AFM67" s="387"/>
      <c r="AFN67" s="387"/>
      <c r="AFO67" s="387"/>
      <c r="AFP67" s="387"/>
      <c r="AFQ67" s="387"/>
      <c r="AFR67" s="387"/>
      <c r="AFS67" s="387"/>
      <c r="AFT67" s="387"/>
      <c r="AFU67" s="387"/>
      <c r="AFV67" s="387"/>
      <c r="AFW67" s="387"/>
      <c r="AFX67" s="387"/>
      <c r="AFY67" s="387"/>
      <c r="AFZ67" s="387"/>
      <c r="AGA67" s="387"/>
      <c r="AGB67" s="387"/>
      <c r="AGC67" s="387"/>
      <c r="AGD67" s="387"/>
      <c r="AGE67" s="387"/>
      <c r="AGF67" s="387"/>
      <c r="AGG67" s="387"/>
      <c r="AGH67" s="387"/>
      <c r="AGI67" s="387"/>
      <c r="AGJ67" s="387"/>
      <c r="AGK67" s="387"/>
      <c r="AGL67" s="387"/>
      <c r="AGM67" s="387"/>
      <c r="AGN67" s="387"/>
      <c r="AGO67" s="387"/>
      <c r="AGP67" s="387"/>
      <c r="AGQ67" s="387"/>
      <c r="AGR67" s="387"/>
      <c r="AGS67" s="387"/>
      <c r="AGT67" s="387"/>
      <c r="AGU67" s="387"/>
      <c r="AGV67" s="387"/>
      <c r="AGW67" s="387"/>
      <c r="AGX67" s="387"/>
      <c r="AGY67" s="387"/>
      <c r="AGZ67" s="387"/>
      <c r="AHA67" s="387"/>
      <c r="AHB67" s="387"/>
      <c r="AHC67" s="387"/>
      <c r="AHD67" s="387"/>
      <c r="AHE67" s="387"/>
      <c r="AHF67" s="387"/>
      <c r="AHG67" s="387"/>
      <c r="AHH67" s="387"/>
      <c r="AHI67" s="387"/>
      <c r="AHJ67" s="387"/>
      <c r="AHK67" s="387"/>
      <c r="AHL67" s="387"/>
      <c r="AHM67" s="387"/>
      <c r="AHN67" s="387"/>
      <c r="AHO67" s="387"/>
      <c r="AHP67" s="387"/>
      <c r="AHQ67" s="387"/>
      <c r="AHR67" s="387"/>
      <c r="AHS67" s="387"/>
      <c r="AHT67" s="387"/>
      <c r="AHU67" s="387"/>
      <c r="AHV67" s="387"/>
      <c r="AHW67" s="387"/>
      <c r="AHX67" s="387"/>
      <c r="AHY67" s="387"/>
      <c r="AHZ67" s="387"/>
      <c r="AIA67" s="387"/>
      <c r="AIB67" s="387"/>
      <c r="AIC67" s="387"/>
      <c r="AID67" s="387"/>
      <c r="AIE67" s="387"/>
      <c r="AIF67" s="387"/>
      <c r="AIG67" s="387"/>
      <c r="AIH67" s="387"/>
      <c r="AII67" s="387"/>
      <c r="AIJ67" s="387"/>
      <c r="AIK67" s="387"/>
      <c r="AIL67" s="387"/>
      <c r="AIM67" s="387"/>
      <c r="AIN67" s="387"/>
      <c r="AIO67" s="387"/>
      <c r="AIP67" s="387"/>
      <c r="AIQ67" s="387"/>
      <c r="AIR67" s="387"/>
      <c r="AIS67" s="387"/>
      <c r="AIT67" s="387"/>
      <c r="AIU67" s="387"/>
      <c r="AIV67" s="387"/>
      <c r="AIW67" s="387"/>
      <c r="AIX67" s="387"/>
      <c r="AIY67" s="387"/>
      <c r="AIZ67" s="387"/>
      <c r="AJA67" s="387"/>
      <c r="AJB67" s="387"/>
      <c r="AJC67" s="387"/>
      <c r="AJD67" s="387"/>
      <c r="AJE67" s="387"/>
      <c r="AJF67" s="387"/>
      <c r="AJG67" s="387"/>
      <c r="AJH67" s="387"/>
      <c r="AJI67" s="387"/>
      <c r="AJJ67" s="387"/>
      <c r="AJK67" s="387"/>
      <c r="AJL67" s="387"/>
      <c r="AJM67" s="387"/>
      <c r="AJN67" s="387"/>
      <c r="AJO67" s="387"/>
      <c r="AJP67" s="387"/>
      <c r="AJQ67" s="387"/>
      <c r="AJR67" s="387"/>
      <c r="AJS67" s="387"/>
      <c r="AJT67" s="387"/>
      <c r="AJU67" s="387"/>
      <c r="AJV67" s="387"/>
      <c r="AJW67" s="387"/>
      <c r="AJX67" s="387"/>
      <c r="AJY67" s="387"/>
      <c r="AJZ67" s="387"/>
      <c r="AKA67" s="387"/>
      <c r="AKB67" s="387"/>
      <c r="AKC67" s="387"/>
      <c r="AKD67" s="387"/>
      <c r="AKE67" s="387"/>
      <c r="AKF67" s="387"/>
      <c r="AKG67" s="387"/>
      <c r="AKH67" s="387"/>
      <c r="AKI67" s="387"/>
      <c r="AKJ67" s="387"/>
      <c r="AKK67" s="387"/>
      <c r="AKL67" s="387"/>
      <c r="AKM67" s="387"/>
      <c r="AKN67" s="387"/>
      <c r="AKO67" s="387"/>
      <c r="AKP67" s="387"/>
      <c r="AKQ67" s="387"/>
      <c r="AKR67" s="387"/>
      <c r="AKS67" s="387"/>
      <c r="AKT67" s="387"/>
      <c r="AKU67" s="387"/>
      <c r="AKV67" s="387"/>
      <c r="AKW67" s="387"/>
      <c r="AKX67" s="387"/>
      <c r="AKY67" s="387"/>
      <c r="AKZ67" s="387"/>
      <c r="ALA67" s="387"/>
      <c r="ALB67" s="387"/>
      <c r="ALC67" s="387"/>
      <c r="ALD67" s="387"/>
      <c r="ALE67" s="387"/>
      <c r="ALF67" s="387"/>
      <c r="ALG67" s="387"/>
      <c r="ALH67" s="387"/>
      <c r="ALI67" s="387"/>
      <c r="ALJ67" s="387"/>
      <c r="ALK67" s="387"/>
      <c r="ALL67" s="387"/>
      <c r="ALM67" s="387"/>
      <c r="ALN67" s="387"/>
      <c r="ALO67" s="387"/>
      <c r="ALP67" s="387"/>
      <c r="ALQ67" s="387"/>
      <c r="ALR67" s="387"/>
      <c r="ALS67" s="387"/>
      <c r="ALT67" s="387"/>
      <c r="ALU67" s="387"/>
      <c r="ALV67" s="387"/>
      <c r="ALW67" s="387"/>
      <c r="ALX67" s="387"/>
      <c r="ALY67" s="387"/>
      <c r="ALZ67" s="387"/>
      <c r="AMA67" s="387"/>
      <c r="AMB67" s="387"/>
      <c r="AMC67" s="387"/>
      <c r="AMD67" s="387"/>
      <c r="AME67" s="387"/>
      <c r="AMF67" s="387"/>
      <c r="AMG67" s="387"/>
      <c r="AMH67" s="387"/>
      <c r="AMI67" s="387"/>
      <c r="AMJ67" s="387"/>
      <c r="AMK67" s="387"/>
      <c r="AML67" s="387"/>
      <c r="AMM67" s="387"/>
      <c r="AMN67" s="387"/>
      <c r="AMO67" s="387"/>
      <c r="AMP67" s="387"/>
      <c r="AMQ67" s="387"/>
      <c r="AMR67" s="387"/>
      <c r="AMS67" s="387"/>
      <c r="AMT67" s="387"/>
      <c r="AMU67" s="387"/>
      <c r="AMV67" s="387"/>
      <c r="AMW67" s="387"/>
      <c r="AMX67" s="387"/>
      <c r="AMY67" s="387"/>
      <c r="AMZ67" s="387"/>
      <c r="ANA67" s="387"/>
      <c r="ANB67" s="387"/>
      <c r="ANC67" s="387"/>
      <c r="AND67" s="387"/>
      <c r="ANE67" s="387"/>
      <c r="ANF67" s="387"/>
      <c r="ANG67" s="387"/>
      <c r="ANH67" s="387"/>
      <c r="ANI67" s="387"/>
      <c r="ANJ67" s="387"/>
      <c r="ANK67" s="387"/>
      <c r="ANL67" s="387"/>
      <c r="ANM67" s="387"/>
      <c r="ANN67" s="387"/>
      <c r="ANO67" s="387"/>
      <c r="ANP67" s="387"/>
      <c r="ANQ67" s="387"/>
      <c r="ANR67" s="387"/>
      <c r="ANS67" s="387"/>
      <c r="ANT67" s="387"/>
      <c r="ANU67" s="387"/>
      <c r="ANV67" s="387"/>
      <c r="ANW67" s="387"/>
      <c r="ANX67" s="387"/>
      <c r="ANY67" s="387"/>
      <c r="ANZ67" s="387"/>
      <c r="AOA67" s="387"/>
      <c r="AOB67" s="387"/>
      <c r="AOC67" s="387"/>
      <c r="AOD67" s="387"/>
      <c r="AOE67" s="387"/>
      <c r="AOF67" s="387"/>
      <c r="AOG67" s="387"/>
      <c r="AOH67" s="387"/>
      <c r="AOI67" s="387"/>
      <c r="AOJ67" s="387"/>
      <c r="AOK67" s="387"/>
      <c r="AOL67" s="387"/>
      <c r="AOM67" s="387"/>
      <c r="AON67" s="387"/>
      <c r="AOO67" s="387"/>
      <c r="AOP67" s="387"/>
      <c r="AOQ67" s="387"/>
      <c r="AOR67" s="387"/>
      <c r="AOS67" s="387"/>
      <c r="AOT67" s="387"/>
      <c r="AOU67" s="387"/>
      <c r="AOV67" s="387"/>
      <c r="AOW67" s="387"/>
      <c r="AOX67" s="387"/>
      <c r="AOY67" s="387"/>
      <c r="AOZ67" s="387"/>
      <c r="APA67" s="387"/>
      <c r="APB67" s="387"/>
      <c r="APC67" s="387"/>
      <c r="APD67" s="387"/>
      <c r="APE67" s="387"/>
      <c r="APF67" s="387"/>
      <c r="APG67" s="387"/>
      <c r="APH67" s="387"/>
      <c r="API67" s="387"/>
      <c r="APJ67" s="387"/>
      <c r="APK67" s="387"/>
      <c r="APL67" s="387"/>
      <c r="APM67" s="387"/>
      <c r="APN67" s="387"/>
      <c r="APO67" s="387"/>
      <c r="APP67" s="387"/>
      <c r="APQ67" s="387"/>
      <c r="APR67" s="387"/>
      <c r="APS67" s="387"/>
      <c r="APT67" s="387"/>
      <c r="APU67" s="387"/>
      <c r="APV67" s="387"/>
      <c r="APW67" s="387"/>
      <c r="APX67" s="387"/>
      <c r="APY67" s="387"/>
      <c r="APZ67" s="387"/>
      <c r="AQA67" s="387"/>
      <c r="AQB67" s="387"/>
      <c r="AQC67" s="387"/>
      <c r="AQD67" s="387"/>
      <c r="AQE67" s="387"/>
      <c r="AQF67" s="387"/>
      <c r="AQG67" s="387"/>
      <c r="AQH67" s="387"/>
      <c r="AQI67" s="387"/>
      <c r="AQJ67" s="387"/>
      <c r="AQK67" s="387"/>
      <c r="AQL67" s="387"/>
      <c r="AQM67" s="387"/>
      <c r="AQN67" s="387"/>
      <c r="AQO67" s="387"/>
      <c r="AQP67" s="387"/>
      <c r="AQQ67" s="387"/>
      <c r="AQR67" s="387"/>
      <c r="AQS67" s="387"/>
      <c r="AQT67" s="387"/>
      <c r="AQU67" s="387"/>
      <c r="AQV67" s="387"/>
      <c r="AQW67" s="387"/>
      <c r="AQX67" s="387"/>
      <c r="AQY67" s="387"/>
      <c r="AQZ67" s="387"/>
      <c r="ARA67" s="387"/>
      <c r="ARB67" s="387"/>
      <c r="ARC67" s="387"/>
      <c r="ARD67" s="387"/>
      <c r="ARE67" s="387"/>
      <c r="ARF67" s="387"/>
      <c r="ARG67" s="387"/>
      <c r="ARH67" s="387"/>
      <c r="ARI67" s="387"/>
      <c r="ARJ67" s="387"/>
      <c r="ARK67" s="387"/>
      <c r="ARL67" s="387"/>
      <c r="ARM67" s="387"/>
      <c r="ARN67" s="387"/>
      <c r="ARO67" s="387"/>
      <c r="ARP67" s="387"/>
      <c r="ARQ67" s="387"/>
      <c r="ARR67" s="387"/>
      <c r="ARS67" s="387"/>
      <c r="ART67" s="387"/>
      <c r="ARU67" s="387"/>
      <c r="ARV67" s="387"/>
      <c r="ARW67" s="387"/>
      <c r="ARX67" s="387"/>
      <c r="ARY67" s="387"/>
      <c r="ARZ67" s="387"/>
      <c r="ASA67" s="387"/>
      <c r="ASB67" s="387"/>
      <c r="ASC67" s="387"/>
      <c r="ASD67" s="387"/>
      <c r="ASE67" s="387"/>
      <c r="ASF67" s="387"/>
      <c r="ASG67" s="387"/>
      <c r="ASH67" s="387"/>
      <c r="ASI67" s="387"/>
      <c r="ASJ67" s="387"/>
      <c r="ASK67" s="387"/>
      <c r="ASL67" s="387"/>
      <c r="ASM67" s="387"/>
      <c r="ASN67" s="387"/>
      <c r="ASO67" s="387"/>
      <c r="ASP67" s="387"/>
      <c r="ASQ67" s="387"/>
      <c r="ASR67" s="387"/>
      <c r="ASS67" s="387"/>
      <c r="AST67" s="387"/>
      <c r="ASU67" s="387"/>
      <c r="ASV67" s="387"/>
      <c r="ASW67" s="387"/>
      <c r="ASX67" s="387"/>
      <c r="ASY67" s="387"/>
      <c r="ASZ67" s="387"/>
      <c r="ATA67" s="387"/>
      <c r="ATB67" s="387"/>
      <c r="ATC67" s="387"/>
      <c r="ATD67" s="387"/>
      <c r="ATE67" s="387"/>
      <c r="ATF67" s="387"/>
      <c r="ATG67" s="387"/>
      <c r="ATH67" s="387"/>
      <c r="ATI67" s="387"/>
      <c r="ATJ67" s="387"/>
      <c r="ATK67" s="387"/>
      <c r="ATL67" s="387"/>
      <c r="ATM67" s="387"/>
      <c r="ATN67" s="387"/>
      <c r="ATO67" s="387"/>
      <c r="ATP67" s="387"/>
      <c r="ATQ67" s="387"/>
      <c r="ATR67" s="387"/>
      <c r="ATS67" s="387"/>
      <c r="ATT67" s="387"/>
      <c r="ATU67" s="387"/>
      <c r="ATV67" s="387"/>
      <c r="ATW67" s="387"/>
      <c r="ATX67" s="387"/>
      <c r="ATY67" s="387"/>
      <c r="ATZ67" s="387"/>
      <c r="AUA67" s="387"/>
      <c r="AUB67" s="387"/>
      <c r="AUC67" s="387"/>
      <c r="AUD67" s="387"/>
      <c r="AUE67" s="387"/>
      <c r="AUF67" s="387"/>
      <c r="AUG67" s="387"/>
      <c r="AUH67" s="387"/>
      <c r="AUI67" s="387"/>
      <c r="AUJ67" s="387"/>
      <c r="AUK67" s="387"/>
      <c r="AUL67" s="387"/>
      <c r="AUM67" s="387"/>
      <c r="AUN67" s="387"/>
      <c r="AUO67" s="387"/>
      <c r="AUP67" s="387"/>
      <c r="AUQ67" s="387"/>
      <c r="AUR67" s="387"/>
      <c r="AUS67" s="387"/>
      <c r="AUT67" s="387"/>
      <c r="AUU67" s="387"/>
      <c r="AUV67" s="387"/>
      <c r="AUW67" s="387"/>
      <c r="AUX67" s="387"/>
      <c r="AUY67" s="387"/>
      <c r="AUZ67" s="387"/>
      <c r="AVA67" s="387"/>
      <c r="AVB67" s="387"/>
      <c r="AVC67" s="387"/>
      <c r="AVD67" s="387"/>
      <c r="AVE67" s="387"/>
      <c r="AVF67" s="387"/>
      <c r="AVG67" s="387"/>
      <c r="AVH67" s="387"/>
      <c r="AVI67" s="387"/>
      <c r="AVJ67" s="387"/>
      <c r="AVK67" s="387"/>
      <c r="AVL67" s="387"/>
      <c r="AVM67" s="387"/>
      <c r="AVN67" s="387"/>
      <c r="AVO67" s="387"/>
      <c r="AVP67" s="387"/>
      <c r="AVQ67" s="387"/>
      <c r="AVR67" s="387"/>
      <c r="AVS67" s="387"/>
      <c r="AVT67" s="387"/>
      <c r="AVU67" s="387"/>
      <c r="AVV67" s="387"/>
      <c r="AVW67" s="387"/>
      <c r="AVX67" s="387"/>
      <c r="AVY67" s="387"/>
      <c r="AVZ67" s="387"/>
      <c r="AWA67" s="387"/>
      <c r="AWB67" s="387"/>
      <c r="AWC67" s="387"/>
      <c r="AWD67" s="387"/>
      <c r="AWE67" s="387"/>
      <c r="AWF67" s="387"/>
      <c r="AWG67" s="387"/>
      <c r="AWH67" s="387"/>
      <c r="AWI67" s="387"/>
      <c r="AWJ67" s="387"/>
      <c r="AWK67" s="387"/>
      <c r="AWL67" s="387"/>
      <c r="AWM67" s="387"/>
      <c r="AWN67" s="387"/>
      <c r="AWO67" s="387"/>
      <c r="AWP67" s="387"/>
      <c r="AWQ67" s="387"/>
      <c r="AWR67" s="387"/>
      <c r="AWS67" s="387"/>
      <c r="AWT67" s="387"/>
      <c r="AWU67" s="387"/>
      <c r="AWV67" s="387"/>
      <c r="AWW67" s="387"/>
      <c r="AWX67" s="387"/>
      <c r="AWY67" s="387"/>
      <c r="AWZ67" s="387"/>
      <c r="AXA67" s="387"/>
      <c r="AXB67" s="387"/>
      <c r="AXC67" s="387"/>
      <c r="AXD67" s="387"/>
      <c r="AXE67" s="387"/>
      <c r="AXF67" s="387"/>
      <c r="AXG67" s="387"/>
      <c r="AXH67" s="387"/>
      <c r="AXI67" s="387"/>
      <c r="AXJ67" s="387"/>
      <c r="AXK67" s="387"/>
      <c r="AXL67" s="387"/>
      <c r="AXM67" s="387"/>
      <c r="AXN67" s="387"/>
      <c r="AXO67" s="387"/>
      <c r="AXP67" s="387"/>
      <c r="AXQ67" s="387"/>
      <c r="AXR67" s="387"/>
      <c r="AXS67" s="387"/>
      <c r="AXT67" s="387"/>
      <c r="AXU67" s="387"/>
      <c r="AXV67" s="387"/>
      <c r="AXW67" s="387"/>
      <c r="AXX67" s="387"/>
      <c r="AXY67" s="387"/>
      <c r="AXZ67" s="387"/>
      <c r="AYA67" s="387"/>
      <c r="AYB67" s="387"/>
      <c r="AYC67" s="387"/>
      <c r="AYD67" s="387"/>
      <c r="AYE67" s="387"/>
      <c r="AYF67" s="387"/>
      <c r="AYG67" s="387"/>
      <c r="AYH67" s="387"/>
      <c r="AYI67" s="387"/>
      <c r="AYJ67" s="387"/>
      <c r="AYK67" s="387"/>
      <c r="AYL67" s="387"/>
      <c r="AYM67" s="387"/>
      <c r="AYN67" s="387"/>
      <c r="AYO67" s="387"/>
      <c r="AYP67" s="387"/>
      <c r="AYQ67" s="387"/>
      <c r="AYR67" s="387"/>
      <c r="AYS67" s="387"/>
      <c r="AYT67" s="387"/>
      <c r="AYU67" s="387"/>
      <c r="AYV67" s="387"/>
      <c r="AYW67" s="387"/>
      <c r="AYX67" s="387"/>
      <c r="AYY67" s="387"/>
      <c r="AYZ67" s="387"/>
      <c r="AZA67" s="387"/>
      <c r="AZB67" s="387"/>
      <c r="AZC67" s="387"/>
      <c r="AZD67" s="387"/>
      <c r="AZE67" s="387"/>
      <c r="AZF67" s="387"/>
      <c r="AZG67" s="387"/>
      <c r="AZH67" s="387"/>
      <c r="AZI67" s="387"/>
      <c r="AZJ67" s="387"/>
      <c r="AZK67" s="387"/>
      <c r="AZL67" s="387"/>
      <c r="AZM67" s="387"/>
      <c r="AZN67" s="387"/>
      <c r="AZO67" s="387"/>
      <c r="AZP67" s="387"/>
      <c r="AZQ67" s="387"/>
      <c r="AZR67" s="387"/>
      <c r="AZS67" s="387"/>
      <c r="AZT67" s="387"/>
      <c r="AZU67" s="387"/>
      <c r="AZV67" s="387"/>
      <c r="AZW67" s="387"/>
      <c r="AZX67" s="387"/>
      <c r="AZY67" s="387"/>
      <c r="AZZ67" s="387"/>
      <c r="BAA67" s="387"/>
      <c r="BAB67" s="387"/>
      <c r="BAC67" s="387"/>
      <c r="BAD67" s="387"/>
      <c r="BAE67" s="387"/>
      <c r="BAF67" s="387"/>
      <c r="BAG67" s="387"/>
      <c r="BAH67" s="387"/>
      <c r="BAI67" s="387"/>
      <c r="BAJ67" s="387"/>
      <c r="BAK67" s="387"/>
      <c r="BAL67" s="387"/>
      <c r="BAM67" s="387"/>
      <c r="BAN67" s="387"/>
      <c r="BAO67" s="387"/>
      <c r="BAP67" s="387"/>
      <c r="BAQ67" s="387"/>
      <c r="BAR67" s="387"/>
      <c r="BAS67" s="387"/>
      <c r="BAT67" s="387"/>
      <c r="BAU67" s="387"/>
      <c r="BAV67" s="387"/>
      <c r="BAW67" s="387"/>
      <c r="BAX67" s="387"/>
      <c r="BAY67" s="387"/>
      <c r="BAZ67" s="387"/>
      <c r="BBA67" s="387"/>
      <c r="BBB67" s="387"/>
      <c r="BBC67" s="387"/>
      <c r="BBD67" s="387"/>
      <c r="BBE67" s="387"/>
      <c r="BBF67" s="387"/>
      <c r="BBG67" s="387"/>
      <c r="BBH67" s="387"/>
      <c r="BBI67" s="387"/>
      <c r="BBJ67" s="387"/>
      <c r="BBK67" s="387"/>
      <c r="BBL67" s="387"/>
      <c r="BBM67" s="387"/>
      <c r="BBN67" s="387"/>
      <c r="BBO67" s="387"/>
      <c r="BBP67" s="387"/>
      <c r="BBQ67" s="387"/>
      <c r="BBR67" s="387"/>
      <c r="BBS67" s="387"/>
      <c r="BBT67" s="387"/>
      <c r="BBU67" s="387"/>
      <c r="BBV67" s="387"/>
      <c r="BBW67" s="387"/>
      <c r="BBX67" s="387"/>
      <c r="BBY67" s="387"/>
      <c r="BBZ67" s="387"/>
      <c r="BCA67" s="387"/>
      <c r="BCB67" s="387"/>
      <c r="BCC67" s="387"/>
      <c r="BCD67" s="387"/>
      <c r="BCE67" s="387"/>
      <c r="BCF67" s="387"/>
      <c r="BCG67" s="387"/>
      <c r="BCH67" s="387"/>
      <c r="BCI67" s="387"/>
      <c r="BCJ67" s="387"/>
      <c r="BCK67" s="387"/>
      <c r="BCL67" s="387"/>
      <c r="BCM67" s="387"/>
      <c r="BCN67" s="387"/>
      <c r="BCO67" s="387"/>
      <c r="BCP67" s="387"/>
      <c r="BCQ67" s="387"/>
      <c r="BCR67" s="387"/>
      <c r="BCS67" s="387"/>
      <c r="BCT67" s="387"/>
      <c r="BCU67" s="387"/>
      <c r="BCV67" s="387"/>
      <c r="BCW67" s="387"/>
      <c r="BCX67" s="387"/>
      <c r="BCY67" s="387"/>
      <c r="BCZ67" s="387"/>
      <c r="BDA67" s="387"/>
      <c r="BDB67" s="387"/>
      <c r="BDC67" s="387"/>
      <c r="BDD67" s="387"/>
      <c r="BDE67" s="387"/>
      <c r="BDF67" s="387"/>
      <c r="BDG67" s="387"/>
      <c r="BDH67" s="387"/>
      <c r="BDI67" s="387"/>
      <c r="BDJ67" s="387"/>
      <c r="BDK67" s="387"/>
      <c r="BDL67" s="387"/>
      <c r="BDM67" s="387"/>
      <c r="BDN67" s="387"/>
      <c r="BDO67" s="387"/>
      <c r="BDP67" s="387"/>
      <c r="BDQ67" s="387"/>
      <c r="BDR67" s="387"/>
      <c r="BDS67" s="387"/>
      <c r="BDT67" s="387"/>
      <c r="BDU67" s="387"/>
      <c r="BDV67" s="387"/>
      <c r="BDW67" s="387"/>
      <c r="BDX67" s="387"/>
      <c r="BDY67" s="387"/>
      <c r="BDZ67" s="387"/>
      <c r="BEA67" s="387"/>
      <c r="BEB67" s="387"/>
      <c r="BEC67" s="387"/>
      <c r="BED67" s="387"/>
      <c r="BEE67" s="387"/>
      <c r="BEF67" s="387"/>
      <c r="BEG67" s="387"/>
      <c r="BEH67" s="387"/>
      <c r="BEI67" s="387"/>
      <c r="BEJ67" s="387"/>
      <c r="BEK67" s="387"/>
      <c r="BEL67" s="387"/>
      <c r="BEM67" s="387"/>
      <c r="BEN67" s="387"/>
      <c r="BEO67" s="387"/>
      <c r="BEP67" s="387"/>
      <c r="BEQ67" s="387"/>
      <c r="BER67" s="387"/>
      <c r="BES67" s="387"/>
      <c r="BET67" s="387"/>
      <c r="BEU67" s="387"/>
      <c r="BEV67" s="387"/>
      <c r="BEW67" s="387"/>
      <c r="BEX67" s="387"/>
      <c r="BEY67" s="387"/>
      <c r="BEZ67" s="387"/>
      <c r="BFA67" s="387"/>
      <c r="BFB67" s="387"/>
      <c r="BFC67" s="387"/>
      <c r="BFD67" s="387"/>
      <c r="BFE67" s="387"/>
      <c r="BFF67" s="387"/>
      <c r="BFG67" s="387"/>
      <c r="BFH67" s="387"/>
      <c r="BFI67" s="387"/>
      <c r="BFJ67" s="387"/>
      <c r="BFK67" s="387"/>
      <c r="BFL67" s="387"/>
      <c r="BFM67" s="387"/>
      <c r="BFN67" s="387"/>
      <c r="BFO67" s="387"/>
      <c r="BFP67" s="387"/>
      <c r="BFQ67" s="387"/>
      <c r="BFR67" s="387"/>
      <c r="BFS67" s="387"/>
      <c r="BFT67" s="387"/>
      <c r="BFU67" s="387"/>
      <c r="BFV67" s="387"/>
      <c r="BFW67" s="387"/>
      <c r="BFX67" s="387"/>
      <c r="BFY67" s="387"/>
      <c r="BFZ67" s="387"/>
      <c r="BGA67" s="387"/>
      <c r="BGB67" s="387"/>
      <c r="BGC67" s="387"/>
      <c r="BGD67" s="387"/>
      <c r="BGE67" s="387"/>
      <c r="BGF67" s="387"/>
      <c r="BGG67" s="387"/>
      <c r="BGH67" s="387"/>
      <c r="BGI67" s="387"/>
      <c r="BGJ67" s="387"/>
      <c r="BGK67" s="387"/>
      <c r="BGL67" s="387"/>
      <c r="BGM67" s="387"/>
      <c r="BGN67" s="387"/>
      <c r="BGO67" s="387"/>
      <c r="BGP67" s="387"/>
      <c r="BGQ67" s="387"/>
      <c r="BGR67" s="387"/>
      <c r="BGS67" s="387"/>
      <c r="BGT67" s="387"/>
      <c r="BGU67" s="387"/>
      <c r="BGV67" s="387"/>
      <c r="BGW67" s="387"/>
      <c r="BGX67" s="387"/>
      <c r="BGY67" s="387"/>
      <c r="BGZ67" s="387"/>
      <c r="BHA67" s="387"/>
      <c r="BHB67" s="387"/>
      <c r="BHC67" s="387"/>
      <c r="BHD67" s="387"/>
      <c r="BHE67" s="387"/>
      <c r="BHF67" s="387"/>
      <c r="BHG67" s="387"/>
      <c r="BHH67" s="387"/>
      <c r="BHI67" s="387"/>
      <c r="BHJ67" s="387"/>
      <c r="BHK67" s="387"/>
      <c r="BHL67" s="387"/>
      <c r="BHM67" s="387"/>
      <c r="BHN67" s="387"/>
      <c r="BHO67" s="387"/>
      <c r="BHP67" s="387"/>
      <c r="BHQ67" s="387"/>
      <c r="BHR67" s="387"/>
      <c r="BHS67" s="387"/>
      <c r="BHT67" s="387"/>
      <c r="BHU67" s="387"/>
      <c r="BHV67" s="387"/>
      <c r="BHW67" s="387"/>
      <c r="BHX67" s="387"/>
      <c r="BHY67" s="387"/>
      <c r="BHZ67" s="387"/>
      <c r="BIA67" s="387"/>
      <c r="BIB67" s="387"/>
      <c r="BIC67" s="387"/>
      <c r="BID67" s="387"/>
      <c r="BIE67" s="387"/>
      <c r="BIF67" s="387"/>
      <c r="BIG67" s="387"/>
      <c r="BIH67" s="387"/>
      <c r="BII67" s="387"/>
      <c r="BIJ67" s="387"/>
      <c r="BIK67" s="387"/>
      <c r="BIL67" s="387"/>
      <c r="BIM67" s="387"/>
      <c r="BIN67" s="387"/>
      <c r="BIO67" s="387"/>
      <c r="BIP67" s="387"/>
      <c r="BIQ67" s="387"/>
      <c r="BIR67" s="387"/>
      <c r="BIS67" s="387"/>
      <c r="BIT67" s="387"/>
      <c r="BIU67" s="387"/>
      <c r="BIV67" s="387"/>
      <c r="BIW67" s="387"/>
      <c r="BIX67" s="387"/>
      <c r="BIY67" s="387"/>
      <c r="BIZ67" s="387"/>
      <c r="BJA67" s="387"/>
      <c r="BJB67" s="387"/>
      <c r="BJC67" s="387"/>
      <c r="BJD67" s="387"/>
      <c r="BJE67" s="387"/>
      <c r="BJF67" s="387"/>
      <c r="BJG67" s="387"/>
      <c r="BJH67" s="387"/>
      <c r="BJI67" s="387"/>
      <c r="BJJ67" s="387"/>
      <c r="BJK67" s="387"/>
      <c r="BJL67" s="387"/>
      <c r="BJM67" s="387"/>
      <c r="BJN67" s="387"/>
      <c r="BJO67" s="387"/>
      <c r="BJP67" s="387"/>
      <c r="BJQ67" s="387"/>
      <c r="BJR67" s="387"/>
      <c r="BJS67" s="387"/>
      <c r="BJT67" s="387"/>
      <c r="BJU67" s="387"/>
      <c r="BJV67" s="387"/>
      <c r="BJW67" s="387"/>
      <c r="BJX67" s="387"/>
      <c r="BJY67" s="387"/>
      <c r="BJZ67" s="387"/>
      <c r="BKA67" s="387"/>
      <c r="BKB67" s="387"/>
      <c r="BKC67" s="387"/>
      <c r="BKD67" s="387"/>
      <c r="BKE67" s="387"/>
      <c r="BKF67" s="387"/>
      <c r="BKG67" s="387"/>
      <c r="BKH67" s="387"/>
      <c r="BKI67" s="387"/>
      <c r="BKJ67" s="387"/>
      <c r="BKK67" s="387"/>
      <c r="BKL67" s="387"/>
      <c r="BKM67" s="387"/>
      <c r="BKN67" s="387"/>
      <c r="BKO67" s="387"/>
      <c r="BKP67" s="387"/>
      <c r="BKQ67" s="387"/>
      <c r="BKR67" s="387"/>
      <c r="BKS67" s="387"/>
      <c r="BKT67" s="387"/>
      <c r="BKU67" s="387"/>
      <c r="BKV67" s="387"/>
      <c r="BKW67" s="387"/>
      <c r="BKX67" s="387"/>
      <c r="BKY67" s="387"/>
      <c r="BKZ67" s="387"/>
      <c r="BLA67" s="387"/>
      <c r="BLB67" s="387"/>
      <c r="BLC67" s="387"/>
      <c r="BLD67" s="387"/>
      <c r="BLE67" s="387"/>
      <c r="BLF67" s="387"/>
      <c r="BLG67" s="387"/>
      <c r="BLH67" s="387"/>
      <c r="BLI67" s="387"/>
      <c r="BLJ67" s="387"/>
      <c r="BLK67" s="387"/>
      <c r="BLL67" s="387"/>
      <c r="BLM67" s="387"/>
      <c r="BLN67" s="387"/>
      <c r="BLO67" s="387"/>
      <c r="BLP67" s="387"/>
      <c r="BLQ67" s="387"/>
      <c r="BLR67" s="387"/>
      <c r="BLS67" s="387"/>
      <c r="BLT67" s="387"/>
      <c r="BLU67" s="387"/>
      <c r="BLV67" s="387"/>
      <c r="BLW67" s="387"/>
      <c r="BLX67" s="387"/>
      <c r="BLY67" s="387"/>
      <c r="BLZ67" s="387"/>
      <c r="BMA67" s="387"/>
      <c r="BMB67" s="387"/>
      <c r="BMC67" s="387"/>
      <c r="BMD67" s="387"/>
      <c r="BME67" s="387"/>
      <c r="BMF67" s="387"/>
      <c r="BMG67" s="387"/>
      <c r="BMH67" s="387"/>
      <c r="BMI67" s="387"/>
      <c r="BMJ67" s="387"/>
      <c r="BMK67" s="387"/>
      <c r="BML67" s="387"/>
      <c r="BMM67" s="387"/>
      <c r="BMN67" s="387"/>
      <c r="BMO67" s="387"/>
      <c r="BMP67" s="387"/>
      <c r="BMQ67" s="387"/>
      <c r="BMR67" s="387"/>
      <c r="BMS67" s="387"/>
      <c r="BMT67" s="387"/>
      <c r="BMU67" s="387"/>
      <c r="BMV67" s="387"/>
      <c r="BMW67" s="387"/>
      <c r="BMX67" s="387"/>
      <c r="BMY67" s="387"/>
      <c r="BMZ67" s="387"/>
      <c r="BNA67" s="387"/>
      <c r="BNB67" s="387"/>
      <c r="BNC67" s="387"/>
      <c r="BND67" s="387"/>
      <c r="BNE67" s="387"/>
      <c r="BNF67" s="387"/>
      <c r="BNG67" s="387"/>
      <c r="BNH67" s="387"/>
      <c r="BNI67" s="387"/>
      <c r="BNJ67" s="387"/>
      <c r="BNK67" s="387"/>
      <c r="BNL67" s="387"/>
      <c r="BNM67" s="387"/>
      <c r="BNN67" s="387"/>
      <c r="BNO67" s="387"/>
      <c r="BNP67" s="387"/>
      <c r="BNQ67" s="387"/>
      <c r="BNR67" s="387"/>
      <c r="BNS67" s="387"/>
      <c r="BNT67" s="387"/>
      <c r="BNU67" s="387"/>
      <c r="BNV67" s="387"/>
      <c r="BNW67" s="387"/>
      <c r="BNX67" s="387"/>
      <c r="BNY67" s="387"/>
      <c r="BNZ67" s="387"/>
      <c r="BOA67" s="387"/>
      <c r="BOB67" s="387"/>
      <c r="BOC67" s="387"/>
      <c r="BOD67" s="387"/>
      <c r="BOE67" s="387"/>
      <c r="BOF67" s="387"/>
      <c r="BOG67" s="387"/>
      <c r="BOH67" s="387"/>
      <c r="BOI67" s="387"/>
      <c r="BOJ67" s="387"/>
      <c r="BOK67" s="387"/>
      <c r="BOL67" s="387"/>
      <c r="BOM67" s="387"/>
      <c r="BON67" s="387"/>
      <c r="BOO67" s="387"/>
      <c r="BOP67" s="387"/>
      <c r="BOQ67" s="387"/>
      <c r="BOR67" s="387"/>
      <c r="BOS67" s="387"/>
      <c r="BOT67" s="387"/>
      <c r="BOU67" s="387"/>
      <c r="BOV67" s="387"/>
      <c r="BOW67" s="387"/>
      <c r="BOX67" s="387"/>
      <c r="BOY67" s="387"/>
      <c r="BOZ67" s="387"/>
      <c r="BPA67" s="387"/>
      <c r="BPB67" s="387"/>
      <c r="BPC67" s="387"/>
      <c r="BPD67" s="387"/>
      <c r="BPE67" s="387"/>
      <c r="BPF67" s="387"/>
      <c r="BPG67" s="387"/>
      <c r="BPH67" s="387"/>
      <c r="BPI67" s="387"/>
      <c r="BPJ67" s="387"/>
      <c r="BPK67" s="387"/>
      <c r="BPL67" s="387"/>
      <c r="BPM67" s="387"/>
      <c r="BPN67" s="387"/>
      <c r="BPO67" s="387"/>
      <c r="BPP67" s="387"/>
      <c r="BPQ67" s="387"/>
      <c r="BPR67" s="387"/>
      <c r="BPS67" s="387"/>
      <c r="BPT67" s="387"/>
      <c r="BPU67" s="387"/>
      <c r="BPV67" s="387"/>
      <c r="BPW67" s="387"/>
      <c r="BPX67" s="387"/>
      <c r="BPY67" s="387"/>
      <c r="BPZ67" s="387"/>
      <c r="BQA67" s="387"/>
      <c r="BQB67" s="387"/>
      <c r="BQC67" s="387"/>
      <c r="BQD67" s="387"/>
      <c r="BQE67" s="387"/>
      <c r="BQF67" s="387"/>
      <c r="BQG67" s="387"/>
      <c r="BQH67" s="387"/>
      <c r="BQI67" s="387"/>
      <c r="BQJ67" s="387"/>
      <c r="BQK67" s="387"/>
      <c r="BQL67" s="387"/>
      <c r="BQM67" s="387"/>
      <c r="BQN67" s="387"/>
      <c r="BQO67" s="387"/>
      <c r="BQP67" s="387"/>
      <c r="BQQ67" s="387"/>
      <c r="BQR67" s="387"/>
      <c r="BQS67" s="387"/>
      <c r="BQT67" s="387"/>
      <c r="BQU67" s="387"/>
      <c r="BQV67" s="387"/>
      <c r="BQW67" s="387"/>
      <c r="BQX67" s="387"/>
      <c r="BQY67" s="387"/>
      <c r="BQZ67" s="387"/>
      <c r="BRA67" s="387"/>
      <c r="BRB67" s="387"/>
      <c r="BRC67" s="387"/>
      <c r="BRD67" s="387"/>
      <c r="BRE67" s="387"/>
      <c r="BRF67" s="387"/>
      <c r="BRG67" s="387"/>
      <c r="BRH67" s="387"/>
      <c r="BRI67" s="387"/>
      <c r="BRJ67" s="387"/>
      <c r="BRK67" s="387"/>
      <c r="BRL67" s="387"/>
      <c r="BRM67" s="387"/>
      <c r="BRN67" s="387"/>
      <c r="BRO67" s="387"/>
      <c r="BRP67" s="387"/>
      <c r="BRQ67" s="387"/>
      <c r="BRR67" s="387"/>
      <c r="BRS67" s="387"/>
      <c r="BRT67" s="387"/>
      <c r="BRU67" s="387"/>
      <c r="BRV67" s="387"/>
      <c r="BRW67" s="387"/>
      <c r="BRX67" s="387"/>
      <c r="BRY67" s="387"/>
      <c r="BRZ67" s="387"/>
      <c r="BSA67" s="387"/>
      <c r="BSB67" s="387"/>
      <c r="BSC67" s="387"/>
      <c r="BSD67" s="387"/>
      <c r="BSE67" s="387"/>
      <c r="BSF67" s="387"/>
      <c r="BSG67" s="387"/>
      <c r="BSH67" s="387"/>
      <c r="BSI67" s="387"/>
      <c r="BSJ67" s="387"/>
      <c r="BSK67" s="387"/>
      <c r="BSL67" s="387"/>
      <c r="BSM67" s="387"/>
      <c r="BSN67" s="387"/>
      <c r="BSO67" s="387"/>
      <c r="BSP67" s="387"/>
      <c r="BSQ67" s="387"/>
      <c r="BSR67" s="387"/>
      <c r="BSS67" s="387"/>
      <c r="BST67" s="387"/>
      <c r="BSU67" s="387"/>
      <c r="BSV67" s="387"/>
      <c r="BSW67" s="387"/>
      <c r="BSX67" s="387"/>
      <c r="BSY67" s="387"/>
      <c r="BSZ67" s="387"/>
      <c r="BTA67" s="387"/>
      <c r="BTB67" s="387"/>
      <c r="BTC67" s="387"/>
      <c r="BTD67" s="387"/>
      <c r="BTE67" s="387"/>
      <c r="BTF67" s="387"/>
      <c r="BTG67" s="387"/>
      <c r="BTH67" s="387"/>
      <c r="BTI67" s="387"/>
    </row>
    <row r="68" spans="1:1881" ht="61.5" customHeight="1" x14ac:dyDescent="0.25">
      <c r="A68" s="186">
        <v>22</v>
      </c>
      <c r="B68" s="62" t="s">
        <v>83</v>
      </c>
      <c r="C68" s="157" t="s">
        <v>183</v>
      </c>
      <c r="D68" s="173" t="s">
        <v>551</v>
      </c>
      <c r="E68" s="683" t="e">
        <f>HLOOKUP('Unit Data from Audit Worksheet'!$D$2,'2019 Data(H)'!$D$1:$BB$202,12,FALSE)</f>
        <v>#N/A</v>
      </c>
      <c r="F68" s="686"/>
      <c r="G68" s="311"/>
      <c r="H68" s="14"/>
      <c r="I68" s="31"/>
      <c r="J68" s="362"/>
      <c r="L68" s="674"/>
      <c r="M68" s="576"/>
      <c r="N68" s="594"/>
      <c r="S68" s="682"/>
      <c r="X68" s="682"/>
    </row>
    <row r="69" spans="1:1881" ht="81.75" customHeight="1" x14ac:dyDescent="0.25">
      <c r="A69" s="186">
        <v>23</v>
      </c>
      <c r="B69" s="62" t="s">
        <v>83</v>
      </c>
      <c r="C69" s="157" t="s">
        <v>183</v>
      </c>
      <c r="D69" s="163" t="s">
        <v>181</v>
      </c>
      <c r="E69" s="683" t="e">
        <f>HLOOKUP('Unit Data from Audit Worksheet'!$D$2,'2019 Data(H)'!$D$1:$BB$202,13,FALSE)</f>
        <v>#N/A</v>
      </c>
      <c r="F69" s="686"/>
      <c r="G69" s="388">
        <f>IF(H69=0,,"Error: Total revenues less total expenditures do not equal total change in fund balance.  Account numbers 16-532+17-20+533+22+508-509-23=0  The amount of the formula is located in the cell to the right")</f>
        <v>0</v>
      </c>
      <c r="H69" s="189">
        <f>+F60-F62+F63-F64+F65+F68+F66-F67-F69</f>
        <v>0</v>
      </c>
      <c r="I69" s="31"/>
      <c r="J69" s="362"/>
      <c r="L69" s="674"/>
      <c r="M69" s="576"/>
      <c r="N69" s="594"/>
      <c r="S69" s="682"/>
      <c r="X69" s="682"/>
    </row>
    <row r="70" spans="1:1881" s="219" customFormat="1" ht="140.25" customHeight="1" x14ac:dyDescent="0.5">
      <c r="A70" s="186">
        <v>590</v>
      </c>
      <c r="B70" s="62" t="s">
        <v>595</v>
      </c>
      <c r="C70" s="157"/>
      <c r="D70" s="163" t="s">
        <v>1032</v>
      </c>
      <c r="E70" s="305"/>
      <c r="F70" s="686"/>
      <c r="G70" s="306"/>
      <c r="H70" s="189"/>
      <c r="I70" s="31"/>
      <c r="J70" s="387"/>
      <c r="K70" s="429"/>
      <c r="L70" s="674"/>
      <c r="M70" s="576"/>
      <c r="N70" s="594"/>
      <c r="O70" s="387"/>
      <c r="P70" s="387"/>
      <c r="Q70" s="387"/>
      <c r="R70"/>
      <c r="S70" s="682"/>
      <c r="T70" s="387"/>
      <c r="U70" s="387"/>
      <c r="V70" s="387"/>
      <c r="W70" s="387"/>
      <c r="X70" s="682"/>
      <c r="Y70" s="387"/>
      <c r="Z70" s="387"/>
      <c r="AA70" s="387"/>
      <c r="AB70" s="387"/>
      <c r="AC70" s="387"/>
      <c r="AD70" s="387"/>
      <c r="AE70" s="387"/>
      <c r="AF70" s="387"/>
      <c r="AG70" s="387"/>
      <c r="AH70" s="387"/>
      <c r="AI70" s="387"/>
      <c r="AJ70" s="387"/>
      <c r="AK70" s="387"/>
      <c r="AL70" s="387"/>
      <c r="AM70" s="387"/>
      <c r="AN70" s="387"/>
      <c r="AO70" s="387"/>
      <c r="AP70" s="387"/>
      <c r="AQ70" s="387"/>
      <c r="AR70" s="387"/>
      <c r="AS70" s="387"/>
      <c r="AT70" s="387"/>
      <c r="AU70" s="387"/>
      <c r="AV70" s="387"/>
      <c r="AW70" s="387"/>
      <c r="AX70" s="387"/>
      <c r="AY70" s="387"/>
      <c r="AZ70" s="387"/>
      <c r="BA70" s="387"/>
      <c r="BB70" s="387"/>
      <c r="BC70" s="387"/>
      <c r="BD70" s="387"/>
      <c r="BE70" s="387"/>
      <c r="BF70" s="387"/>
      <c r="BG70" s="387"/>
      <c r="BH70" s="387"/>
      <c r="BI70" s="387"/>
      <c r="BJ70" s="387"/>
      <c r="BK70" s="387"/>
      <c r="BL70" s="387"/>
      <c r="BM70" s="387"/>
      <c r="BN70" s="387"/>
      <c r="BO70" s="387"/>
      <c r="BP70" s="387"/>
      <c r="BQ70" s="387"/>
      <c r="BR70" s="387"/>
      <c r="BS70" s="387"/>
      <c r="BT70" s="387"/>
      <c r="BU70" s="387"/>
      <c r="BV70" s="387"/>
      <c r="BW70" s="387"/>
      <c r="BX70" s="387"/>
      <c r="BY70" s="387"/>
      <c r="BZ70" s="387"/>
      <c r="CA70" s="387"/>
      <c r="CB70" s="387"/>
      <c r="CC70" s="387"/>
      <c r="CD70" s="387"/>
      <c r="CE70" s="387"/>
      <c r="CF70" s="387"/>
      <c r="CG70" s="387"/>
      <c r="CH70" s="387"/>
      <c r="CI70" s="387"/>
      <c r="CJ70" s="387"/>
      <c r="CK70" s="387"/>
      <c r="CL70" s="387"/>
      <c r="CM70" s="387"/>
      <c r="CN70" s="387"/>
      <c r="CO70" s="387"/>
      <c r="CP70" s="387"/>
      <c r="CQ70" s="387"/>
      <c r="CR70" s="387"/>
      <c r="CS70" s="387"/>
      <c r="CT70" s="387"/>
      <c r="CU70" s="387"/>
      <c r="CV70" s="387"/>
      <c r="CW70" s="387"/>
      <c r="CX70" s="387"/>
      <c r="CY70" s="387"/>
      <c r="CZ70" s="387"/>
      <c r="DA70" s="387"/>
      <c r="DB70" s="387"/>
      <c r="DC70" s="387"/>
      <c r="DD70" s="387"/>
      <c r="DE70" s="387"/>
      <c r="DF70" s="387"/>
      <c r="DG70" s="387"/>
      <c r="DH70" s="387"/>
      <c r="DI70" s="387"/>
      <c r="DJ70" s="387"/>
      <c r="DK70" s="387"/>
      <c r="DL70" s="387"/>
      <c r="DM70" s="387"/>
      <c r="DN70" s="387"/>
      <c r="DO70" s="387"/>
      <c r="DP70" s="387"/>
      <c r="DQ70" s="387"/>
      <c r="DR70" s="387"/>
      <c r="DS70" s="387"/>
      <c r="DT70" s="387"/>
      <c r="DU70" s="387"/>
      <c r="DV70" s="387"/>
      <c r="DW70" s="387"/>
      <c r="DX70" s="387"/>
      <c r="DY70" s="387"/>
      <c r="DZ70" s="387"/>
      <c r="EA70" s="387"/>
      <c r="EB70" s="387"/>
      <c r="EC70" s="387"/>
      <c r="ED70" s="387"/>
      <c r="EE70" s="387"/>
      <c r="EF70" s="387"/>
      <c r="EG70" s="387"/>
      <c r="EH70" s="387"/>
      <c r="EI70" s="387"/>
      <c r="EJ70" s="387"/>
      <c r="EK70" s="387"/>
      <c r="EL70" s="387"/>
      <c r="EM70" s="387"/>
      <c r="EN70" s="387"/>
      <c r="EO70" s="387"/>
      <c r="EP70" s="387"/>
      <c r="EQ70" s="387"/>
      <c r="ER70" s="387"/>
      <c r="ES70" s="387"/>
      <c r="ET70" s="387"/>
      <c r="EU70" s="387"/>
      <c r="EV70" s="387"/>
      <c r="EW70" s="387"/>
      <c r="EX70" s="387"/>
      <c r="EY70" s="387"/>
      <c r="EZ70" s="387"/>
      <c r="FA70" s="387"/>
      <c r="FB70" s="387"/>
      <c r="FC70" s="387"/>
      <c r="FD70" s="387"/>
      <c r="FE70" s="387"/>
      <c r="FF70" s="387"/>
      <c r="FG70" s="387"/>
      <c r="FH70" s="387"/>
      <c r="FI70" s="387"/>
      <c r="FJ70" s="387"/>
      <c r="FK70" s="387"/>
      <c r="FL70" s="387"/>
      <c r="FM70" s="387"/>
      <c r="FN70" s="387"/>
      <c r="FO70" s="387"/>
      <c r="FP70" s="387"/>
      <c r="FQ70" s="387"/>
      <c r="FR70" s="387"/>
      <c r="FS70" s="387"/>
      <c r="FT70" s="387"/>
      <c r="FU70" s="387"/>
      <c r="FV70" s="387"/>
      <c r="FW70" s="387"/>
      <c r="FX70" s="387"/>
      <c r="FY70" s="387"/>
      <c r="FZ70" s="387"/>
      <c r="GA70" s="387"/>
      <c r="GB70" s="387"/>
      <c r="GC70" s="387"/>
      <c r="GD70" s="387"/>
      <c r="GE70" s="387"/>
      <c r="GF70" s="387"/>
      <c r="GG70" s="387"/>
      <c r="GH70" s="387"/>
      <c r="GI70" s="387"/>
      <c r="GJ70" s="387"/>
      <c r="GK70" s="387"/>
      <c r="GL70" s="387"/>
      <c r="GM70" s="387"/>
      <c r="GN70" s="387"/>
      <c r="GO70" s="387"/>
      <c r="GP70" s="387"/>
      <c r="GQ70" s="387"/>
      <c r="GR70" s="387"/>
      <c r="GS70" s="387"/>
      <c r="GT70" s="387"/>
      <c r="GU70" s="387"/>
      <c r="GV70" s="387"/>
      <c r="GW70" s="387"/>
      <c r="GX70" s="387"/>
      <c r="GY70" s="387"/>
      <c r="GZ70" s="387"/>
      <c r="HA70" s="387"/>
      <c r="HB70" s="387"/>
      <c r="HC70" s="387"/>
      <c r="HD70" s="387"/>
      <c r="HE70" s="387"/>
      <c r="HF70" s="387"/>
      <c r="HG70" s="387"/>
      <c r="HH70" s="387"/>
      <c r="HI70" s="387"/>
      <c r="HJ70" s="387"/>
      <c r="HK70" s="387"/>
      <c r="HL70" s="387"/>
      <c r="HM70" s="387"/>
      <c r="HN70" s="387"/>
      <c r="HO70" s="387"/>
      <c r="HP70" s="387"/>
      <c r="HQ70" s="387"/>
      <c r="HR70" s="387"/>
      <c r="HS70" s="387"/>
      <c r="HT70" s="387"/>
      <c r="HU70" s="387"/>
      <c r="HV70" s="387"/>
      <c r="HW70" s="387"/>
      <c r="HX70" s="387"/>
      <c r="HY70" s="387"/>
      <c r="HZ70" s="387"/>
      <c r="IA70" s="387"/>
      <c r="IB70" s="387"/>
      <c r="IC70" s="387"/>
      <c r="ID70" s="387"/>
      <c r="IE70" s="387"/>
      <c r="IF70" s="387"/>
      <c r="IG70" s="387"/>
      <c r="IH70" s="387"/>
      <c r="II70" s="387"/>
      <c r="IJ70" s="387"/>
      <c r="IK70" s="387"/>
      <c r="IL70" s="387"/>
      <c r="IM70" s="387"/>
      <c r="IN70" s="387"/>
      <c r="IO70" s="387"/>
      <c r="IP70" s="387"/>
      <c r="IQ70" s="387"/>
      <c r="IR70" s="387"/>
      <c r="IS70" s="387"/>
      <c r="IT70" s="387"/>
      <c r="IU70" s="387"/>
      <c r="IV70" s="387"/>
      <c r="IW70" s="387"/>
      <c r="IX70" s="387"/>
      <c r="IY70" s="387"/>
      <c r="IZ70" s="387"/>
      <c r="JA70" s="387"/>
      <c r="JB70" s="387"/>
      <c r="JC70" s="387"/>
      <c r="JD70" s="387"/>
      <c r="JE70" s="387"/>
      <c r="JF70" s="387"/>
      <c r="JG70" s="387"/>
      <c r="JH70" s="387"/>
      <c r="JI70" s="387"/>
      <c r="JJ70" s="387"/>
      <c r="JK70" s="387"/>
      <c r="JL70" s="387"/>
      <c r="JM70" s="387"/>
      <c r="JN70" s="387"/>
      <c r="JO70" s="387"/>
      <c r="JP70" s="387"/>
      <c r="JQ70" s="387"/>
      <c r="JR70" s="387"/>
      <c r="JS70" s="387"/>
      <c r="JT70" s="387"/>
      <c r="JU70" s="387"/>
      <c r="JV70" s="387"/>
      <c r="JW70" s="387"/>
      <c r="JX70" s="387"/>
      <c r="JY70" s="387"/>
      <c r="JZ70" s="387"/>
      <c r="KA70" s="387"/>
      <c r="KB70" s="387"/>
      <c r="KC70" s="387"/>
      <c r="KD70" s="387"/>
      <c r="KE70" s="387"/>
      <c r="KF70" s="387"/>
      <c r="KG70" s="387"/>
      <c r="KH70" s="387"/>
      <c r="KI70" s="387"/>
      <c r="KJ70" s="387"/>
      <c r="KK70" s="387"/>
      <c r="KL70" s="387"/>
      <c r="KM70" s="387"/>
      <c r="KN70" s="387"/>
      <c r="KO70" s="387"/>
      <c r="KP70" s="387"/>
      <c r="KQ70" s="387"/>
      <c r="KR70" s="387"/>
      <c r="KS70" s="387"/>
      <c r="KT70" s="387"/>
      <c r="KU70" s="387"/>
      <c r="KV70" s="387"/>
      <c r="KW70" s="387"/>
      <c r="KX70" s="387"/>
      <c r="KY70" s="387"/>
      <c r="KZ70" s="387"/>
      <c r="LA70" s="387"/>
      <c r="LB70" s="387"/>
      <c r="LC70" s="387"/>
      <c r="LD70" s="387"/>
      <c r="LE70" s="387"/>
      <c r="LF70" s="387"/>
      <c r="LG70" s="387"/>
      <c r="LH70" s="387"/>
      <c r="LI70" s="387"/>
      <c r="LJ70" s="387"/>
      <c r="LK70" s="387"/>
      <c r="LL70" s="387"/>
      <c r="LM70" s="387"/>
      <c r="LN70" s="387"/>
      <c r="LO70" s="387"/>
      <c r="LP70" s="387"/>
      <c r="LQ70" s="387"/>
      <c r="LR70" s="387"/>
      <c r="LS70" s="387"/>
      <c r="LT70" s="387"/>
      <c r="LU70" s="387"/>
      <c r="LV70" s="387"/>
      <c r="LW70" s="387"/>
      <c r="LX70" s="387"/>
      <c r="LY70" s="387"/>
      <c r="LZ70" s="387"/>
      <c r="MA70" s="387"/>
      <c r="MB70" s="387"/>
      <c r="MC70" s="387"/>
      <c r="MD70" s="387"/>
      <c r="ME70" s="387"/>
      <c r="MF70" s="387"/>
      <c r="MG70" s="387"/>
      <c r="MH70" s="387"/>
      <c r="MI70" s="387"/>
      <c r="MJ70" s="387"/>
      <c r="MK70" s="387"/>
      <c r="ML70" s="387"/>
      <c r="MM70" s="387"/>
      <c r="MN70" s="387"/>
      <c r="MO70" s="387"/>
      <c r="MP70" s="387"/>
      <c r="MQ70" s="387"/>
      <c r="MR70" s="387"/>
      <c r="MS70" s="387"/>
      <c r="MT70" s="387"/>
      <c r="MU70" s="387"/>
      <c r="MV70" s="387"/>
      <c r="MW70" s="387"/>
      <c r="MX70" s="387"/>
      <c r="MY70" s="387"/>
      <c r="MZ70" s="387"/>
      <c r="NA70" s="387"/>
      <c r="NB70" s="387"/>
      <c r="NC70" s="387"/>
      <c r="ND70" s="387"/>
      <c r="NE70" s="387"/>
      <c r="NF70" s="387"/>
      <c r="NG70" s="387"/>
      <c r="NH70" s="387"/>
      <c r="NI70" s="387"/>
      <c r="NJ70" s="387"/>
      <c r="NK70" s="387"/>
      <c r="NL70" s="387"/>
      <c r="NM70" s="387"/>
      <c r="NN70" s="387"/>
      <c r="NO70" s="387"/>
      <c r="NP70" s="387"/>
      <c r="NQ70" s="387"/>
      <c r="NR70" s="387"/>
      <c r="NS70" s="387"/>
      <c r="NT70" s="387"/>
      <c r="NU70" s="387"/>
      <c r="NV70" s="387"/>
      <c r="NW70" s="387"/>
      <c r="NX70" s="387"/>
      <c r="NY70" s="387"/>
      <c r="NZ70" s="387"/>
      <c r="OA70" s="387"/>
      <c r="OB70" s="387"/>
      <c r="OC70" s="387"/>
      <c r="OD70" s="387"/>
      <c r="OE70" s="387"/>
      <c r="OF70" s="387"/>
      <c r="OG70" s="387"/>
      <c r="OH70" s="387"/>
      <c r="OI70" s="387"/>
      <c r="OJ70" s="387"/>
      <c r="OK70" s="387"/>
      <c r="OL70" s="387"/>
      <c r="OM70" s="387"/>
      <c r="ON70" s="387"/>
      <c r="OO70" s="387"/>
      <c r="OP70" s="387"/>
      <c r="OQ70" s="387"/>
      <c r="OR70" s="387"/>
      <c r="OS70" s="387"/>
      <c r="OT70" s="387"/>
      <c r="OU70" s="387"/>
      <c r="OV70" s="387"/>
      <c r="OW70" s="387"/>
      <c r="OX70" s="387"/>
      <c r="OY70" s="387"/>
      <c r="OZ70" s="387"/>
      <c r="PA70" s="387"/>
      <c r="PB70" s="387"/>
      <c r="PC70" s="387"/>
      <c r="PD70" s="387"/>
      <c r="PE70" s="387"/>
      <c r="PF70" s="387"/>
      <c r="PG70" s="387"/>
      <c r="PH70" s="387"/>
      <c r="PI70" s="387"/>
      <c r="PJ70" s="387"/>
      <c r="PK70" s="387"/>
      <c r="PL70" s="387"/>
      <c r="PM70" s="387"/>
      <c r="PN70" s="387"/>
      <c r="PO70" s="387"/>
      <c r="PP70" s="387"/>
      <c r="PQ70" s="387"/>
      <c r="PR70" s="387"/>
      <c r="PS70" s="387"/>
      <c r="PT70" s="387"/>
      <c r="PU70" s="387"/>
      <c r="PV70" s="387"/>
      <c r="PW70" s="387"/>
      <c r="PX70" s="387"/>
      <c r="PY70" s="387"/>
      <c r="PZ70" s="387"/>
      <c r="QA70" s="387"/>
      <c r="QB70" s="387"/>
      <c r="QC70" s="387"/>
      <c r="QD70" s="387"/>
      <c r="QE70" s="387"/>
      <c r="QF70" s="387"/>
      <c r="QG70" s="387"/>
      <c r="QH70" s="387"/>
      <c r="QI70" s="387"/>
      <c r="QJ70" s="387"/>
      <c r="QK70" s="387"/>
      <c r="QL70" s="387"/>
      <c r="QM70" s="387"/>
      <c r="QN70" s="387"/>
      <c r="QO70" s="387"/>
      <c r="QP70" s="387"/>
      <c r="QQ70" s="387"/>
      <c r="QR70" s="387"/>
      <c r="QS70" s="387"/>
      <c r="QT70" s="387"/>
      <c r="QU70" s="387"/>
      <c r="QV70" s="387"/>
      <c r="QW70" s="387"/>
      <c r="QX70" s="387"/>
      <c r="QY70" s="387"/>
      <c r="QZ70" s="387"/>
      <c r="RA70" s="387"/>
      <c r="RB70" s="387"/>
      <c r="RC70" s="387"/>
      <c r="RD70" s="387"/>
      <c r="RE70" s="387"/>
      <c r="RF70" s="387"/>
      <c r="RG70" s="387"/>
      <c r="RH70" s="387"/>
      <c r="RI70" s="387"/>
      <c r="RJ70" s="387"/>
      <c r="RK70" s="387"/>
      <c r="RL70" s="387"/>
      <c r="RM70" s="387"/>
      <c r="RN70" s="387"/>
      <c r="RO70" s="387"/>
      <c r="RP70" s="387"/>
      <c r="RQ70" s="387"/>
      <c r="RR70" s="387"/>
      <c r="RS70" s="387"/>
      <c r="RT70" s="387"/>
      <c r="RU70" s="387"/>
      <c r="RV70" s="387"/>
      <c r="RW70" s="387"/>
      <c r="RX70" s="387"/>
      <c r="RY70" s="387"/>
      <c r="RZ70" s="387"/>
      <c r="SA70" s="387"/>
      <c r="SB70" s="387"/>
      <c r="SC70" s="387"/>
      <c r="SD70" s="387"/>
      <c r="SE70" s="387"/>
      <c r="SF70" s="387"/>
      <c r="SG70" s="387"/>
      <c r="SH70" s="387"/>
      <c r="SI70" s="387"/>
      <c r="SJ70" s="387"/>
      <c r="SK70" s="387"/>
      <c r="SL70" s="387"/>
      <c r="SM70" s="387"/>
      <c r="SN70" s="387"/>
      <c r="SO70" s="387"/>
      <c r="SP70" s="387"/>
      <c r="SQ70" s="387"/>
      <c r="SR70" s="387"/>
      <c r="SS70" s="387"/>
      <c r="ST70" s="387"/>
      <c r="SU70" s="387"/>
      <c r="SV70" s="387"/>
      <c r="SW70" s="387"/>
      <c r="SX70" s="387"/>
      <c r="SY70" s="387"/>
      <c r="SZ70" s="387"/>
      <c r="TA70" s="387"/>
      <c r="TB70" s="387"/>
      <c r="TC70" s="387"/>
      <c r="TD70" s="387"/>
      <c r="TE70" s="387"/>
      <c r="TF70" s="387"/>
      <c r="TG70" s="387"/>
      <c r="TH70" s="387"/>
      <c r="TI70" s="387"/>
      <c r="TJ70" s="387"/>
      <c r="TK70" s="387"/>
      <c r="TL70" s="387"/>
      <c r="TM70" s="387"/>
      <c r="TN70" s="387"/>
      <c r="TO70" s="387"/>
      <c r="TP70" s="387"/>
      <c r="TQ70" s="387"/>
      <c r="TR70" s="387"/>
      <c r="TS70" s="387"/>
      <c r="TT70" s="387"/>
      <c r="TU70" s="387"/>
      <c r="TV70" s="387"/>
      <c r="TW70" s="387"/>
      <c r="TX70" s="387"/>
      <c r="TY70" s="387"/>
      <c r="TZ70" s="387"/>
      <c r="UA70" s="387"/>
      <c r="UB70" s="387"/>
      <c r="UC70" s="387"/>
      <c r="UD70" s="387"/>
      <c r="UE70" s="387"/>
      <c r="UF70" s="387"/>
      <c r="UG70" s="387"/>
      <c r="UH70" s="387"/>
      <c r="UI70" s="387"/>
      <c r="UJ70" s="387"/>
      <c r="UK70" s="387"/>
      <c r="UL70" s="387"/>
      <c r="UM70" s="387"/>
      <c r="UN70" s="387"/>
      <c r="UO70" s="387"/>
      <c r="UP70" s="387"/>
      <c r="UQ70" s="387"/>
      <c r="UR70" s="387"/>
      <c r="US70" s="387"/>
      <c r="UT70" s="387"/>
      <c r="UU70" s="387"/>
      <c r="UV70" s="387"/>
      <c r="UW70" s="387"/>
      <c r="UX70" s="387"/>
      <c r="UY70" s="387"/>
      <c r="UZ70" s="387"/>
      <c r="VA70" s="387"/>
      <c r="VB70" s="387"/>
      <c r="VC70" s="387"/>
      <c r="VD70" s="387"/>
      <c r="VE70" s="387"/>
      <c r="VF70" s="387"/>
      <c r="VG70" s="387"/>
      <c r="VH70" s="387"/>
      <c r="VI70" s="387"/>
      <c r="VJ70" s="387"/>
      <c r="VK70" s="387"/>
      <c r="VL70" s="387"/>
      <c r="VM70" s="387"/>
      <c r="VN70" s="387"/>
      <c r="VO70" s="387"/>
      <c r="VP70" s="387"/>
      <c r="VQ70" s="387"/>
      <c r="VR70" s="387"/>
      <c r="VS70" s="387"/>
      <c r="VT70" s="387"/>
      <c r="VU70" s="387"/>
      <c r="VV70" s="387"/>
      <c r="VW70" s="387"/>
      <c r="VX70" s="387"/>
      <c r="VY70" s="387"/>
      <c r="VZ70" s="387"/>
      <c r="WA70" s="387"/>
      <c r="WB70" s="387"/>
      <c r="WC70" s="387"/>
      <c r="WD70" s="387"/>
      <c r="WE70" s="387"/>
      <c r="WF70" s="387"/>
      <c r="WG70" s="387"/>
      <c r="WH70" s="387"/>
      <c r="WI70" s="387"/>
      <c r="WJ70" s="387"/>
      <c r="WK70" s="387"/>
      <c r="WL70" s="387"/>
      <c r="WM70" s="387"/>
      <c r="WN70" s="387"/>
      <c r="WO70" s="387"/>
      <c r="WP70" s="387"/>
      <c r="WQ70" s="387"/>
      <c r="WR70" s="387"/>
      <c r="WS70" s="387"/>
      <c r="WT70" s="387"/>
      <c r="WU70" s="387"/>
      <c r="WV70" s="387"/>
      <c r="WW70" s="387"/>
      <c r="WX70" s="387"/>
      <c r="WY70" s="387"/>
      <c r="WZ70" s="387"/>
      <c r="XA70" s="387"/>
      <c r="XB70" s="387"/>
      <c r="XC70" s="387"/>
      <c r="XD70" s="387"/>
      <c r="XE70" s="387"/>
      <c r="XF70" s="387"/>
      <c r="XG70" s="387"/>
      <c r="XH70" s="387"/>
      <c r="XI70" s="387"/>
      <c r="XJ70" s="387"/>
      <c r="XK70" s="387"/>
      <c r="XL70" s="387"/>
      <c r="XM70" s="387"/>
      <c r="XN70" s="387"/>
      <c r="XO70" s="387"/>
      <c r="XP70" s="387"/>
      <c r="XQ70" s="387"/>
      <c r="XR70" s="387"/>
      <c r="XS70" s="387"/>
      <c r="XT70" s="387"/>
      <c r="XU70" s="387"/>
      <c r="XV70" s="387"/>
      <c r="XW70" s="387"/>
      <c r="XX70" s="387"/>
      <c r="XY70" s="387"/>
      <c r="XZ70" s="387"/>
      <c r="YA70" s="387"/>
      <c r="YB70" s="387"/>
      <c r="YC70" s="387"/>
      <c r="YD70" s="387"/>
      <c r="YE70" s="387"/>
      <c r="YF70" s="387"/>
      <c r="YG70" s="387"/>
      <c r="YH70" s="387"/>
      <c r="YI70" s="387"/>
      <c r="YJ70" s="387"/>
      <c r="YK70" s="387"/>
      <c r="YL70" s="387"/>
      <c r="YM70" s="387"/>
      <c r="YN70" s="387"/>
      <c r="YO70" s="387"/>
      <c r="YP70" s="387"/>
      <c r="YQ70" s="387"/>
      <c r="YR70" s="387"/>
      <c r="YS70" s="387"/>
      <c r="YT70" s="387"/>
      <c r="YU70" s="387"/>
      <c r="YV70" s="387"/>
      <c r="YW70" s="387"/>
      <c r="YX70" s="387"/>
      <c r="YY70" s="387"/>
      <c r="YZ70" s="387"/>
      <c r="ZA70" s="387"/>
      <c r="ZB70" s="387"/>
      <c r="ZC70" s="387"/>
      <c r="ZD70" s="387"/>
      <c r="ZE70" s="387"/>
      <c r="ZF70" s="387"/>
      <c r="ZG70" s="387"/>
      <c r="ZH70" s="387"/>
      <c r="ZI70" s="387"/>
      <c r="ZJ70" s="387"/>
      <c r="ZK70" s="387"/>
      <c r="ZL70" s="387"/>
      <c r="ZM70" s="387"/>
      <c r="ZN70" s="387"/>
      <c r="ZO70" s="387"/>
      <c r="ZP70" s="387"/>
      <c r="ZQ70" s="387"/>
      <c r="ZR70" s="387"/>
      <c r="ZS70" s="387"/>
      <c r="ZT70" s="387"/>
      <c r="ZU70" s="387"/>
      <c r="ZV70" s="387"/>
      <c r="ZW70" s="387"/>
      <c r="ZX70" s="387"/>
      <c r="ZY70" s="387"/>
      <c r="ZZ70" s="387"/>
      <c r="AAA70" s="387"/>
      <c r="AAB70" s="387"/>
      <c r="AAC70" s="387"/>
      <c r="AAD70" s="387"/>
      <c r="AAE70" s="387"/>
      <c r="AAF70" s="387"/>
      <c r="AAG70" s="387"/>
      <c r="AAH70" s="387"/>
      <c r="AAI70" s="387"/>
      <c r="AAJ70" s="387"/>
      <c r="AAK70" s="387"/>
      <c r="AAL70" s="387"/>
      <c r="AAM70" s="387"/>
      <c r="AAN70" s="387"/>
      <c r="AAO70" s="387"/>
      <c r="AAP70" s="387"/>
      <c r="AAQ70" s="387"/>
      <c r="AAR70" s="387"/>
      <c r="AAS70" s="387"/>
      <c r="AAT70" s="387"/>
      <c r="AAU70" s="387"/>
      <c r="AAV70" s="387"/>
      <c r="AAW70" s="387"/>
      <c r="AAX70" s="387"/>
      <c r="AAY70" s="387"/>
      <c r="AAZ70" s="387"/>
      <c r="ABA70" s="387"/>
      <c r="ABB70" s="387"/>
      <c r="ABC70" s="387"/>
      <c r="ABD70" s="387"/>
      <c r="ABE70" s="387"/>
      <c r="ABF70" s="387"/>
      <c r="ABG70" s="387"/>
      <c r="ABH70" s="387"/>
      <c r="ABI70" s="387"/>
      <c r="ABJ70" s="387"/>
      <c r="ABK70" s="387"/>
      <c r="ABL70" s="387"/>
      <c r="ABM70" s="387"/>
      <c r="ABN70" s="387"/>
      <c r="ABO70" s="387"/>
      <c r="ABP70" s="387"/>
      <c r="ABQ70" s="387"/>
      <c r="ABR70" s="387"/>
      <c r="ABS70" s="387"/>
      <c r="ABT70" s="387"/>
      <c r="ABU70" s="387"/>
      <c r="ABV70" s="387"/>
      <c r="ABW70" s="387"/>
      <c r="ABX70" s="387"/>
      <c r="ABY70" s="387"/>
      <c r="ABZ70" s="387"/>
      <c r="ACA70" s="387"/>
      <c r="ACB70" s="387"/>
      <c r="ACC70" s="387"/>
      <c r="ACD70" s="387"/>
      <c r="ACE70" s="387"/>
      <c r="ACF70" s="387"/>
      <c r="ACG70" s="387"/>
      <c r="ACH70" s="387"/>
      <c r="ACI70" s="387"/>
      <c r="ACJ70" s="387"/>
      <c r="ACK70" s="387"/>
      <c r="ACL70" s="387"/>
      <c r="ACM70" s="387"/>
      <c r="ACN70" s="387"/>
      <c r="ACO70" s="387"/>
      <c r="ACP70" s="387"/>
      <c r="ACQ70" s="387"/>
      <c r="ACR70" s="387"/>
      <c r="ACS70" s="387"/>
      <c r="ACT70" s="387"/>
      <c r="ACU70" s="387"/>
      <c r="ACV70" s="387"/>
      <c r="ACW70" s="387"/>
      <c r="ACX70" s="387"/>
      <c r="ACY70" s="387"/>
      <c r="ACZ70" s="387"/>
      <c r="ADA70" s="387"/>
      <c r="ADB70" s="387"/>
      <c r="ADC70" s="387"/>
      <c r="ADD70" s="387"/>
      <c r="ADE70" s="387"/>
      <c r="ADF70" s="387"/>
      <c r="ADG70" s="387"/>
      <c r="ADH70" s="387"/>
      <c r="ADI70" s="387"/>
      <c r="ADJ70" s="387"/>
      <c r="ADK70" s="387"/>
      <c r="ADL70" s="387"/>
      <c r="ADM70" s="387"/>
      <c r="ADN70" s="387"/>
      <c r="ADO70" s="387"/>
      <c r="ADP70" s="387"/>
      <c r="ADQ70" s="387"/>
      <c r="ADR70" s="387"/>
      <c r="ADS70" s="387"/>
      <c r="ADT70" s="387"/>
      <c r="ADU70" s="387"/>
      <c r="ADV70" s="387"/>
      <c r="ADW70" s="387"/>
      <c r="ADX70" s="387"/>
      <c r="ADY70" s="387"/>
      <c r="ADZ70" s="387"/>
      <c r="AEA70" s="387"/>
      <c r="AEB70" s="387"/>
      <c r="AEC70" s="387"/>
      <c r="AED70" s="387"/>
      <c r="AEE70" s="387"/>
      <c r="AEF70" s="387"/>
      <c r="AEG70" s="387"/>
      <c r="AEH70" s="387"/>
      <c r="AEI70" s="387"/>
      <c r="AEJ70" s="387"/>
      <c r="AEK70" s="387"/>
      <c r="AEL70" s="387"/>
      <c r="AEM70" s="387"/>
      <c r="AEN70" s="387"/>
      <c r="AEO70" s="387"/>
      <c r="AEP70" s="387"/>
      <c r="AEQ70" s="387"/>
      <c r="AER70" s="387"/>
      <c r="AES70" s="387"/>
      <c r="AET70" s="387"/>
      <c r="AEU70" s="387"/>
      <c r="AEV70" s="387"/>
      <c r="AEW70" s="387"/>
      <c r="AEX70" s="387"/>
      <c r="AEY70" s="387"/>
      <c r="AEZ70" s="387"/>
      <c r="AFA70" s="387"/>
      <c r="AFB70" s="387"/>
      <c r="AFC70" s="387"/>
      <c r="AFD70" s="387"/>
      <c r="AFE70" s="387"/>
      <c r="AFF70" s="387"/>
      <c r="AFG70" s="387"/>
      <c r="AFH70" s="387"/>
      <c r="AFI70" s="387"/>
      <c r="AFJ70" s="387"/>
      <c r="AFK70" s="387"/>
      <c r="AFL70" s="387"/>
      <c r="AFM70" s="387"/>
      <c r="AFN70" s="387"/>
      <c r="AFO70" s="387"/>
      <c r="AFP70" s="387"/>
      <c r="AFQ70" s="387"/>
      <c r="AFR70" s="387"/>
      <c r="AFS70" s="387"/>
      <c r="AFT70" s="387"/>
      <c r="AFU70" s="387"/>
      <c r="AFV70" s="387"/>
      <c r="AFW70" s="387"/>
      <c r="AFX70" s="387"/>
      <c r="AFY70" s="387"/>
      <c r="AFZ70" s="387"/>
      <c r="AGA70" s="387"/>
      <c r="AGB70" s="387"/>
      <c r="AGC70" s="387"/>
      <c r="AGD70" s="387"/>
      <c r="AGE70" s="387"/>
      <c r="AGF70" s="387"/>
      <c r="AGG70" s="387"/>
      <c r="AGH70" s="387"/>
      <c r="AGI70" s="387"/>
      <c r="AGJ70" s="387"/>
      <c r="AGK70" s="387"/>
      <c r="AGL70" s="387"/>
      <c r="AGM70" s="387"/>
      <c r="AGN70" s="387"/>
      <c r="AGO70" s="387"/>
      <c r="AGP70" s="387"/>
      <c r="AGQ70" s="387"/>
      <c r="AGR70" s="387"/>
      <c r="AGS70" s="387"/>
      <c r="AGT70" s="387"/>
      <c r="AGU70" s="387"/>
      <c r="AGV70" s="387"/>
      <c r="AGW70" s="387"/>
      <c r="AGX70" s="387"/>
      <c r="AGY70" s="387"/>
      <c r="AGZ70" s="387"/>
      <c r="AHA70" s="387"/>
      <c r="AHB70" s="387"/>
      <c r="AHC70" s="387"/>
      <c r="AHD70" s="387"/>
      <c r="AHE70" s="387"/>
      <c r="AHF70" s="387"/>
      <c r="AHG70" s="387"/>
      <c r="AHH70" s="387"/>
      <c r="AHI70" s="387"/>
      <c r="AHJ70" s="387"/>
      <c r="AHK70" s="387"/>
      <c r="AHL70" s="387"/>
      <c r="AHM70" s="387"/>
      <c r="AHN70" s="387"/>
      <c r="AHO70" s="387"/>
      <c r="AHP70" s="387"/>
      <c r="AHQ70" s="387"/>
      <c r="AHR70" s="387"/>
      <c r="AHS70" s="387"/>
      <c r="AHT70" s="387"/>
      <c r="AHU70" s="387"/>
      <c r="AHV70" s="387"/>
      <c r="AHW70" s="387"/>
      <c r="AHX70" s="387"/>
      <c r="AHY70" s="387"/>
      <c r="AHZ70" s="387"/>
      <c r="AIA70" s="387"/>
      <c r="AIB70" s="387"/>
      <c r="AIC70" s="387"/>
      <c r="AID70" s="387"/>
      <c r="AIE70" s="387"/>
      <c r="AIF70" s="387"/>
      <c r="AIG70" s="387"/>
      <c r="AIH70" s="387"/>
      <c r="AII70" s="387"/>
      <c r="AIJ70" s="387"/>
      <c r="AIK70" s="387"/>
      <c r="AIL70" s="387"/>
      <c r="AIM70" s="387"/>
      <c r="AIN70" s="387"/>
      <c r="AIO70" s="387"/>
      <c r="AIP70" s="387"/>
      <c r="AIQ70" s="387"/>
      <c r="AIR70" s="387"/>
      <c r="AIS70" s="387"/>
      <c r="AIT70" s="387"/>
      <c r="AIU70" s="387"/>
      <c r="AIV70" s="387"/>
      <c r="AIW70" s="387"/>
      <c r="AIX70" s="387"/>
      <c r="AIY70" s="387"/>
      <c r="AIZ70" s="387"/>
      <c r="AJA70" s="387"/>
      <c r="AJB70" s="387"/>
      <c r="AJC70" s="387"/>
      <c r="AJD70" s="387"/>
      <c r="AJE70" s="387"/>
      <c r="AJF70" s="387"/>
      <c r="AJG70" s="387"/>
      <c r="AJH70" s="387"/>
      <c r="AJI70" s="387"/>
      <c r="AJJ70" s="387"/>
      <c r="AJK70" s="387"/>
      <c r="AJL70" s="387"/>
      <c r="AJM70" s="387"/>
      <c r="AJN70" s="387"/>
      <c r="AJO70" s="387"/>
      <c r="AJP70" s="387"/>
      <c r="AJQ70" s="387"/>
      <c r="AJR70" s="387"/>
      <c r="AJS70" s="387"/>
      <c r="AJT70" s="387"/>
      <c r="AJU70" s="387"/>
      <c r="AJV70" s="387"/>
      <c r="AJW70" s="387"/>
      <c r="AJX70" s="387"/>
      <c r="AJY70" s="387"/>
      <c r="AJZ70" s="387"/>
      <c r="AKA70" s="387"/>
      <c r="AKB70" s="387"/>
      <c r="AKC70" s="387"/>
      <c r="AKD70" s="387"/>
      <c r="AKE70" s="387"/>
      <c r="AKF70" s="387"/>
      <c r="AKG70" s="387"/>
      <c r="AKH70" s="387"/>
      <c r="AKI70" s="387"/>
      <c r="AKJ70" s="387"/>
      <c r="AKK70" s="387"/>
      <c r="AKL70" s="387"/>
      <c r="AKM70" s="387"/>
      <c r="AKN70" s="387"/>
      <c r="AKO70" s="387"/>
      <c r="AKP70" s="387"/>
      <c r="AKQ70" s="387"/>
      <c r="AKR70" s="387"/>
      <c r="AKS70" s="387"/>
      <c r="AKT70" s="387"/>
      <c r="AKU70" s="387"/>
      <c r="AKV70" s="387"/>
      <c r="AKW70" s="387"/>
      <c r="AKX70" s="387"/>
      <c r="AKY70" s="387"/>
      <c r="AKZ70" s="387"/>
      <c r="ALA70" s="387"/>
      <c r="ALB70" s="387"/>
      <c r="ALC70" s="387"/>
      <c r="ALD70" s="387"/>
      <c r="ALE70" s="387"/>
      <c r="ALF70" s="387"/>
      <c r="ALG70" s="387"/>
      <c r="ALH70" s="387"/>
      <c r="ALI70" s="387"/>
      <c r="ALJ70" s="387"/>
      <c r="ALK70" s="387"/>
      <c r="ALL70" s="387"/>
      <c r="ALM70" s="387"/>
      <c r="ALN70" s="387"/>
      <c r="ALO70" s="387"/>
      <c r="ALP70" s="387"/>
      <c r="ALQ70" s="387"/>
      <c r="ALR70" s="387"/>
      <c r="ALS70" s="387"/>
      <c r="ALT70" s="387"/>
      <c r="ALU70" s="387"/>
      <c r="ALV70" s="387"/>
      <c r="ALW70" s="387"/>
      <c r="ALX70" s="387"/>
      <c r="ALY70" s="387"/>
      <c r="ALZ70" s="387"/>
      <c r="AMA70" s="387"/>
      <c r="AMB70" s="387"/>
      <c r="AMC70" s="387"/>
      <c r="AMD70" s="387"/>
      <c r="AME70" s="387"/>
      <c r="AMF70" s="387"/>
      <c r="AMG70" s="387"/>
      <c r="AMH70" s="387"/>
      <c r="AMI70" s="387"/>
      <c r="AMJ70" s="387"/>
      <c r="AMK70" s="387"/>
      <c r="AML70" s="387"/>
      <c r="AMM70" s="387"/>
      <c r="AMN70" s="387"/>
      <c r="AMO70" s="387"/>
      <c r="AMP70" s="387"/>
      <c r="AMQ70" s="387"/>
      <c r="AMR70" s="387"/>
      <c r="AMS70" s="387"/>
      <c r="AMT70" s="387"/>
      <c r="AMU70" s="387"/>
      <c r="AMV70" s="387"/>
      <c r="AMW70" s="387"/>
      <c r="AMX70" s="387"/>
      <c r="AMY70" s="387"/>
      <c r="AMZ70" s="387"/>
      <c r="ANA70" s="387"/>
      <c r="ANB70" s="387"/>
      <c r="ANC70" s="387"/>
      <c r="AND70" s="387"/>
      <c r="ANE70" s="387"/>
      <c r="ANF70" s="387"/>
      <c r="ANG70" s="387"/>
      <c r="ANH70" s="387"/>
      <c r="ANI70" s="387"/>
      <c r="ANJ70" s="387"/>
      <c r="ANK70" s="387"/>
      <c r="ANL70" s="387"/>
      <c r="ANM70" s="387"/>
      <c r="ANN70" s="387"/>
      <c r="ANO70" s="387"/>
      <c r="ANP70" s="387"/>
      <c r="ANQ70" s="387"/>
      <c r="ANR70" s="387"/>
      <c r="ANS70" s="387"/>
      <c r="ANT70" s="387"/>
      <c r="ANU70" s="387"/>
      <c r="ANV70" s="387"/>
      <c r="ANW70" s="387"/>
      <c r="ANX70" s="387"/>
      <c r="ANY70" s="387"/>
      <c r="ANZ70" s="387"/>
      <c r="AOA70" s="387"/>
      <c r="AOB70" s="387"/>
      <c r="AOC70" s="387"/>
      <c r="AOD70" s="387"/>
      <c r="AOE70" s="387"/>
      <c r="AOF70" s="387"/>
      <c r="AOG70" s="387"/>
      <c r="AOH70" s="387"/>
      <c r="AOI70" s="387"/>
      <c r="AOJ70" s="387"/>
      <c r="AOK70" s="387"/>
      <c r="AOL70" s="387"/>
      <c r="AOM70" s="387"/>
      <c r="AON70" s="387"/>
      <c r="AOO70" s="387"/>
      <c r="AOP70" s="387"/>
      <c r="AOQ70" s="387"/>
      <c r="AOR70" s="387"/>
      <c r="AOS70" s="387"/>
      <c r="AOT70" s="387"/>
      <c r="AOU70" s="387"/>
      <c r="AOV70" s="387"/>
      <c r="AOW70" s="387"/>
      <c r="AOX70" s="387"/>
      <c r="AOY70" s="387"/>
      <c r="AOZ70" s="387"/>
      <c r="APA70" s="387"/>
      <c r="APB70" s="387"/>
      <c r="APC70" s="387"/>
      <c r="APD70" s="387"/>
      <c r="APE70" s="387"/>
      <c r="APF70" s="387"/>
      <c r="APG70" s="387"/>
      <c r="APH70" s="387"/>
      <c r="API70" s="387"/>
      <c r="APJ70" s="387"/>
      <c r="APK70" s="387"/>
      <c r="APL70" s="387"/>
      <c r="APM70" s="387"/>
      <c r="APN70" s="387"/>
      <c r="APO70" s="387"/>
      <c r="APP70" s="387"/>
      <c r="APQ70" s="387"/>
      <c r="APR70" s="387"/>
      <c r="APS70" s="387"/>
      <c r="APT70" s="387"/>
      <c r="APU70" s="387"/>
      <c r="APV70" s="387"/>
      <c r="APW70" s="387"/>
      <c r="APX70" s="387"/>
      <c r="APY70" s="387"/>
      <c r="APZ70" s="387"/>
      <c r="AQA70" s="387"/>
      <c r="AQB70" s="387"/>
      <c r="AQC70" s="387"/>
      <c r="AQD70" s="387"/>
      <c r="AQE70" s="387"/>
      <c r="AQF70" s="387"/>
      <c r="AQG70" s="387"/>
      <c r="AQH70" s="387"/>
      <c r="AQI70" s="387"/>
      <c r="AQJ70" s="387"/>
      <c r="AQK70" s="387"/>
      <c r="AQL70" s="387"/>
      <c r="AQM70" s="387"/>
      <c r="AQN70" s="387"/>
      <c r="AQO70" s="387"/>
      <c r="AQP70" s="387"/>
      <c r="AQQ70" s="387"/>
      <c r="AQR70" s="387"/>
      <c r="AQS70" s="387"/>
      <c r="AQT70" s="387"/>
      <c r="AQU70" s="387"/>
      <c r="AQV70" s="387"/>
      <c r="AQW70" s="387"/>
      <c r="AQX70" s="387"/>
      <c r="AQY70" s="387"/>
      <c r="AQZ70" s="387"/>
      <c r="ARA70" s="387"/>
      <c r="ARB70" s="387"/>
      <c r="ARC70" s="387"/>
      <c r="ARD70" s="387"/>
      <c r="ARE70" s="387"/>
      <c r="ARF70" s="387"/>
      <c r="ARG70" s="387"/>
      <c r="ARH70" s="387"/>
      <c r="ARI70" s="387"/>
      <c r="ARJ70" s="387"/>
      <c r="ARK70" s="387"/>
      <c r="ARL70" s="387"/>
      <c r="ARM70" s="387"/>
      <c r="ARN70" s="387"/>
      <c r="ARO70" s="387"/>
      <c r="ARP70" s="387"/>
      <c r="ARQ70" s="387"/>
      <c r="ARR70" s="387"/>
      <c r="ARS70" s="387"/>
      <c r="ART70" s="387"/>
      <c r="ARU70" s="387"/>
      <c r="ARV70" s="387"/>
      <c r="ARW70" s="387"/>
      <c r="ARX70" s="387"/>
      <c r="ARY70" s="387"/>
      <c r="ARZ70" s="387"/>
      <c r="ASA70" s="387"/>
      <c r="ASB70" s="387"/>
      <c r="ASC70" s="387"/>
      <c r="ASD70" s="387"/>
      <c r="ASE70" s="387"/>
      <c r="ASF70" s="387"/>
      <c r="ASG70" s="387"/>
      <c r="ASH70" s="387"/>
      <c r="ASI70" s="387"/>
      <c r="ASJ70" s="387"/>
      <c r="ASK70" s="387"/>
      <c r="ASL70" s="387"/>
      <c r="ASM70" s="387"/>
      <c r="ASN70" s="387"/>
      <c r="ASO70" s="387"/>
      <c r="ASP70" s="387"/>
      <c r="ASQ70" s="387"/>
      <c r="ASR70" s="387"/>
      <c r="ASS70" s="387"/>
      <c r="AST70" s="387"/>
      <c r="ASU70" s="387"/>
      <c r="ASV70" s="387"/>
      <c r="ASW70" s="387"/>
      <c r="ASX70" s="387"/>
      <c r="ASY70" s="387"/>
      <c r="ASZ70" s="387"/>
      <c r="ATA70" s="387"/>
      <c r="ATB70" s="387"/>
      <c r="ATC70" s="387"/>
      <c r="ATD70" s="387"/>
      <c r="ATE70" s="387"/>
      <c r="ATF70" s="387"/>
      <c r="ATG70" s="387"/>
      <c r="ATH70" s="387"/>
      <c r="ATI70" s="387"/>
      <c r="ATJ70" s="387"/>
      <c r="ATK70" s="387"/>
      <c r="ATL70" s="387"/>
      <c r="ATM70" s="387"/>
      <c r="ATN70" s="387"/>
      <c r="ATO70" s="387"/>
      <c r="ATP70" s="387"/>
      <c r="ATQ70" s="387"/>
      <c r="ATR70" s="387"/>
      <c r="ATS70" s="387"/>
      <c r="ATT70" s="387"/>
      <c r="ATU70" s="387"/>
      <c r="ATV70" s="387"/>
      <c r="ATW70" s="387"/>
      <c r="ATX70" s="387"/>
      <c r="ATY70" s="387"/>
      <c r="ATZ70" s="387"/>
      <c r="AUA70" s="387"/>
      <c r="AUB70" s="387"/>
      <c r="AUC70" s="387"/>
      <c r="AUD70" s="387"/>
      <c r="AUE70" s="387"/>
      <c r="AUF70" s="387"/>
      <c r="AUG70" s="387"/>
      <c r="AUH70" s="387"/>
      <c r="AUI70" s="387"/>
      <c r="AUJ70" s="387"/>
      <c r="AUK70" s="387"/>
      <c r="AUL70" s="387"/>
      <c r="AUM70" s="387"/>
      <c r="AUN70" s="387"/>
      <c r="AUO70" s="387"/>
      <c r="AUP70" s="387"/>
      <c r="AUQ70" s="387"/>
      <c r="AUR70" s="387"/>
      <c r="AUS70" s="387"/>
      <c r="AUT70" s="387"/>
      <c r="AUU70" s="387"/>
      <c r="AUV70" s="387"/>
      <c r="AUW70" s="387"/>
      <c r="AUX70" s="387"/>
      <c r="AUY70" s="387"/>
      <c r="AUZ70" s="387"/>
      <c r="AVA70" s="387"/>
      <c r="AVB70" s="387"/>
      <c r="AVC70" s="387"/>
      <c r="AVD70" s="387"/>
      <c r="AVE70" s="387"/>
      <c r="AVF70" s="387"/>
      <c r="AVG70" s="387"/>
      <c r="AVH70" s="387"/>
      <c r="AVI70" s="387"/>
      <c r="AVJ70" s="387"/>
      <c r="AVK70" s="387"/>
      <c r="AVL70" s="387"/>
      <c r="AVM70" s="387"/>
      <c r="AVN70" s="387"/>
      <c r="AVO70" s="387"/>
      <c r="AVP70" s="387"/>
      <c r="AVQ70" s="387"/>
      <c r="AVR70" s="387"/>
      <c r="AVS70" s="387"/>
      <c r="AVT70" s="387"/>
      <c r="AVU70" s="387"/>
      <c r="AVV70" s="387"/>
      <c r="AVW70" s="387"/>
      <c r="AVX70" s="387"/>
      <c r="AVY70" s="387"/>
      <c r="AVZ70" s="387"/>
      <c r="AWA70" s="387"/>
      <c r="AWB70" s="387"/>
      <c r="AWC70" s="387"/>
      <c r="AWD70" s="387"/>
      <c r="AWE70" s="387"/>
      <c r="AWF70" s="387"/>
      <c r="AWG70" s="387"/>
      <c r="AWH70" s="387"/>
      <c r="AWI70" s="387"/>
      <c r="AWJ70" s="387"/>
      <c r="AWK70" s="387"/>
      <c r="AWL70" s="387"/>
      <c r="AWM70" s="387"/>
      <c r="AWN70" s="387"/>
      <c r="AWO70" s="387"/>
      <c r="AWP70" s="387"/>
      <c r="AWQ70" s="387"/>
      <c r="AWR70" s="387"/>
      <c r="AWS70" s="387"/>
      <c r="AWT70" s="387"/>
      <c r="AWU70" s="387"/>
      <c r="AWV70" s="387"/>
      <c r="AWW70" s="387"/>
      <c r="AWX70" s="387"/>
      <c r="AWY70" s="387"/>
      <c r="AWZ70" s="387"/>
      <c r="AXA70" s="387"/>
      <c r="AXB70" s="387"/>
      <c r="AXC70" s="387"/>
      <c r="AXD70" s="387"/>
      <c r="AXE70" s="387"/>
      <c r="AXF70" s="387"/>
      <c r="AXG70" s="387"/>
      <c r="AXH70" s="387"/>
      <c r="AXI70" s="387"/>
      <c r="AXJ70" s="387"/>
      <c r="AXK70" s="387"/>
      <c r="AXL70" s="387"/>
      <c r="AXM70" s="387"/>
      <c r="AXN70" s="387"/>
      <c r="AXO70" s="387"/>
      <c r="AXP70" s="387"/>
      <c r="AXQ70" s="387"/>
      <c r="AXR70" s="387"/>
      <c r="AXS70" s="387"/>
      <c r="AXT70" s="387"/>
      <c r="AXU70" s="387"/>
      <c r="AXV70" s="387"/>
      <c r="AXW70" s="387"/>
      <c r="AXX70" s="387"/>
      <c r="AXY70" s="387"/>
      <c r="AXZ70" s="387"/>
      <c r="AYA70" s="387"/>
      <c r="AYB70" s="387"/>
      <c r="AYC70" s="387"/>
      <c r="AYD70" s="387"/>
      <c r="AYE70" s="387"/>
      <c r="AYF70" s="387"/>
      <c r="AYG70" s="387"/>
      <c r="AYH70" s="387"/>
      <c r="AYI70" s="387"/>
      <c r="AYJ70" s="387"/>
      <c r="AYK70" s="387"/>
      <c r="AYL70" s="387"/>
      <c r="AYM70" s="387"/>
      <c r="AYN70" s="387"/>
      <c r="AYO70" s="387"/>
      <c r="AYP70" s="387"/>
      <c r="AYQ70" s="387"/>
      <c r="AYR70" s="387"/>
      <c r="AYS70" s="387"/>
      <c r="AYT70" s="387"/>
      <c r="AYU70" s="387"/>
      <c r="AYV70" s="387"/>
      <c r="AYW70" s="387"/>
      <c r="AYX70" s="387"/>
      <c r="AYY70" s="387"/>
      <c r="AYZ70" s="387"/>
      <c r="AZA70" s="387"/>
      <c r="AZB70" s="387"/>
      <c r="AZC70" s="387"/>
      <c r="AZD70" s="387"/>
      <c r="AZE70" s="387"/>
      <c r="AZF70" s="387"/>
      <c r="AZG70" s="387"/>
      <c r="AZH70" s="387"/>
      <c r="AZI70" s="387"/>
      <c r="AZJ70" s="387"/>
      <c r="AZK70" s="387"/>
      <c r="AZL70" s="387"/>
      <c r="AZM70" s="387"/>
      <c r="AZN70" s="387"/>
      <c r="AZO70" s="387"/>
      <c r="AZP70" s="387"/>
      <c r="AZQ70" s="387"/>
      <c r="AZR70" s="387"/>
      <c r="AZS70" s="387"/>
      <c r="AZT70" s="387"/>
      <c r="AZU70" s="387"/>
      <c r="AZV70" s="387"/>
      <c r="AZW70" s="387"/>
      <c r="AZX70" s="387"/>
      <c r="AZY70" s="387"/>
      <c r="AZZ70" s="387"/>
      <c r="BAA70" s="387"/>
      <c r="BAB70" s="387"/>
      <c r="BAC70" s="387"/>
      <c r="BAD70" s="387"/>
      <c r="BAE70" s="387"/>
      <c r="BAF70" s="387"/>
      <c r="BAG70" s="387"/>
      <c r="BAH70" s="387"/>
      <c r="BAI70" s="387"/>
      <c r="BAJ70" s="387"/>
      <c r="BAK70" s="387"/>
      <c r="BAL70" s="387"/>
      <c r="BAM70" s="387"/>
      <c r="BAN70" s="387"/>
      <c r="BAO70" s="387"/>
      <c r="BAP70" s="387"/>
      <c r="BAQ70" s="387"/>
      <c r="BAR70" s="387"/>
      <c r="BAS70" s="387"/>
      <c r="BAT70" s="387"/>
      <c r="BAU70" s="387"/>
      <c r="BAV70" s="387"/>
      <c r="BAW70" s="387"/>
      <c r="BAX70" s="387"/>
      <c r="BAY70" s="387"/>
      <c r="BAZ70" s="387"/>
      <c r="BBA70" s="387"/>
      <c r="BBB70" s="387"/>
      <c r="BBC70" s="387"/>
      <c r="BBD70" s="387"/>
      <c r="BBE70" s="387"/>
      <c r="BBF70" s="387"/>
      <c r="BBG70" s="387"/>
      <c r="BBH70" s="387"/>
      <c r="BBI70" s="387"/>
      <c r="BBJ70" s="387"/>
      <c r="BBK70" s="387"/>
      <c r="BBL70" s="387"/>
      <c r="BBM70" s="387"/>
      <c r="BBN70" s="387"/>
      <c r="BBO70" s="387"/>
      <c r="BBP70" s="387"/>
      <c r="BBQ70" s="387"/>
      <c r="BBR70" s="387"/>
      <c r="BBS70" s="387"/>
      <c r="BBT70" s="387"/>
      <c r="BBU70" s="387"/>
      <c r="BBV70" s="387"/>
      <c r="BBW70" s="387"/>
      <c r="BBX70" s="387"/>
      <c r="BBY70" s="387"/>
      <c r="BBZ70" s="387"/>
      <c r="BCA70" s="387"/>
      <c r="BCB70" s="387"/>
      <c r="BCC70" s="387"/>
      <c r="BCD70" s="387"/>
      <c r="BCE70" s="387"/>
      <c r="BCF70" s="387"/>
      <c r="BCG70" s="387"/>
      <c r="BCH70" s="387"/>
      <c r="BCI70" s="387"/>
      <c r="BCJ70" s="387"/>
      <c r="BCK70" s="387"/>
      <c r="BCL70" s="387"/>
      <c r="BCM70" s="387"/>
      <c r="BCN70" s="387"/>
      <c r="BCO70" s="387"/>
      <c r="BCP70" s="387"/>
      <c r="BCQ70" s="387"/>
      <c r="BCR70" s="387"/>
      <c r="BCS70" s="387"/>
      <c r="BCT70" s="387"/>
      <c r="BCU70" s="387"/>
      <c r="BCV70" s="387"/>
      <c r="BCW70" s="387"/>
      <c r="BCX70" s="387"/>
      <c r="BCY70" s="387"/>
      <c r="BCZ70" s="387"/>
      <c r="BDA70" s="387"/>
      <c r="BDB70" s="387"/>
      <c r="BDC70" s="387"/>
      <c r="BDD70" s="387"/>
      <c r="BDE70" s="387"/>
      <c r="BDF70" s="387"/>
      <c r="BDG70" s="387"/>
      <c r="BDH70" s="387"/>
      <c r="BDI70" s="387"/>
      <c r="BDJ70" s="387"/>
      <c r="BDK70" s="387"/>
      <c r="BDL70" s="387"/>
      <c r="BDM70" s="387"/>
      <c r="BDN70" s="387"/>
      <c r="BDO70" s="387"/>
      <c r="BDP70" s="387"/>
      <c r="BDQ70" s="387"/>
      <c r="BDR70" s="387"/>
      <c r="BDS70" s="387"/>
      <c r="BDT70" s="387"/>
      <c r="BDU70" s="387"/>
      <c r="BDV70" s="387"/>
      <c r="BDW70" s="387"/>
      <c r="BDX70" s="387"/>
      <c r="BDY70" s="387"/>
      <c r="BDZ70" s="387"/>
      <c r="BEA70" s="387"/>
      <c r="BEB70" s="387"/>
      <c r="BEC70" s="387"/>
      <c r="BED70" s="387"/>
      <c r="BEE70" s="387"/>
      <c r="BEF70" s="387"/>
      <c r="BEG70" s="387"/>
      <c r="BEH70" s="387"/>
      <c r="BEI70" s="387"/>
      <c r="BEJ70" s="387"/>
      <c r="BEK70" s="387"/>
      <c r="BEL70" s="387"/>
      <c r="BEM70" s="387"/>
      <c r="BEN70" s="387"/>
      <c r="BEO70" s="387"/>
      <c r="BEP70" s="387"/>
      <c r="BEQ70" s="387"/>
      <c r="BER70" s="387"/>
      <c r="BES70" s="387"/>
      <c r="BET70" s="387"/>
      <c r="BEU70" s="387"/>
      <c r="BEV70" s="387"/>
      <c r="BEW70" s="387"/>
      <c r="BEX70" s="387"/>
      <c r="BEY70" s="387"/>
      <c r="BEZ70" s="387"/>
      <c r="BFA70" s="387"/>
      <c r="BFB70" s="387"/>
      <c r="BFC70" s="387"/>
      <c r="BFD70" s="387"/>
      <c r="BFE70" s="387"/>
      <c r="BFF70" s="387"/>
      <c r="BFG70" s="387"/>
      <c r="BFH70" s="387"/>
      <c r="BFI70" s="387"/>
      <c r="BFJ70" s="387"/>
      <c r="BFK70" s="387"/>
      <c r="BFL70" s="387"/>
      <c r="BFM70" s="387"/>
      <c r="BFN70" s="387"/>
      <c r="BFO70" s="387"/>
      <c r="BFP70" s="387"/>
      <c r="BFQ70" s="387"/>
      <c r="BFR70" s="387"/>
      <c r="BFS70" s="387"/>
      <c r="BFT70" s="387"/>
      <c r="BFU70" s="387"/>
      <c r="BFV70" s="387"/>
      <c r="BFW70" s="387"/>
      <c r="BFX70" s="387"/>
      <c r="BFY70" s="387"/>
      <c r="BFZ70" s="387"/>
      <c r="BGA70" s="387"/>
      <c r="BGB70" s="387"/>
      <c r="BGC70" s="387"/>
      <c r="BGD70" s="387"/>
      <c r="BGE70" s="387"/>
      <c r="BGF70" s="387"/>
      <c r="BGG70" s="387"/>
      <c r="BGH70" s="387"/>
      <c r="BGI70" s="387"/>
      <c r="BGJ70" s="387"/>
      <c r="BGK70" s="387"/>
      <c r="BGL70" s="387"/>
      <c r="BGM70" s="387"/>
      <c r="BGN70" s="387"/>
      <c r="BGO70" s="387"/>
      <c r="BGP70" s="387"/>
      <c r="BGQ70" s="387"/>
      <c r="BGR70" s="387"/>
      <c r="BGS70" s="387"/>
      <c r="BGT70" s="387"/>
      <c r="BGU70" s="387"/>
      <c r="BGV70" s="387"/>
      <c r="BGW70" s="387"/>
      <c r="BGX70" s="387"/>
      <c r="BGY70" s="387"/>
      <c r="BGZ70" s="387"/>
      <c r="BHA70" s="387"/>
      <c r="BHB70" s="387"/>
      <c r="BHC70" s="387"/>
      <c r="BHD70" s="387"/>
      <c r="BHE70" s="387"/>
      <c r="BHF70" s="387"/>
      <c r="BHG70" s="387"/>
      <c r="BHH70" s="387"/>
      <c r="BHI70" s="387"/>
      <c r="BHJ70" s="387"/>
      <c r="BHK70" s="387"/>
      <c r="BHL70" s="387"/>
      <c r="BHM70" s="387"/>
      <c r="BHN70" s="387"/>
      <c r="BHO70" s="387"/>
      <c r="BHP70" s="387"/>
      <c r="BHQ70" s="387"/>
      <c r="BHR70" s="387"/>
      <c r="BHS70" s="387"/>
      <c r="BHT70" s="387"/>
      <c r="BHU70" s="387"/>
      <c r="BHV70" s="387"/>
      <c r="BHW70" s="387"/>
      <c r="BHX70" s="387"/>
      <c r="BHY70" s="387"/>
      <c r="BHZ70" s="387"/>
      <c r="BIA70" s="387"/>
      <c r="BIB70" s="387"/>
      <c r="BIC70" s="387"/>
      <c r="BID70" s="387"/>
      <c r="BIE70" s="387"/>
      <c r="BIF70" s="387"/>
      <c r="BIG70" s="387"/>
      <c r="BIH70" s="387"/>
      <c r="BII70" s="387"/>
      <c r="BIJ70" s="387"/>
      <c r="BIK70" s="387"/>
      <c r="BIL70" s="387"/>
      <c r="BIM70" s="387"/>
      <c r="BIN70" s="387"/>
      <c r="BIO70" s="387"/>
      <c r="BIP70" s="387"/>
      <c r="BIQ70" s="387"/>
      <c r="BIR70" s="387"/>
      <c r="BIS70" s="387"/>
      <c r="BIT70" s="387"/>
      <c r="BIU70" s="387"/>
      <c r="BIV70" s="387"/>
      <c r="BIW70" s="387"/>
      <c r="BIX70" s="387"/>
      <c r="BIY70" s="387"/>
      <c r="BIZ70" s="387"/>
      <c r="BJA70" s="387"/>
      <c r="BJB70" s="387"/>
      <c r="BJC70" s="387"/>
      <c r="BJD70" s="387"/>
      <c r="BJE70" s="387"/>
      <c r="BJF70" s="387"/>
      <c r="BJG70" s="387"/>
      <c r="BJH70" s="387"/>
      <c r="BJI70" s="387"/>
      <c r="BJJ70" s="387"/>
      <c r="BJK70" s="387"/>
      <c r="BJL70" s="387"/>
      <c r="BJM70" s="387"/>
      <c r="BJN70" s="387"/>
      <c r="BJO70" s="387"/>
      <c r="BJP70" s="387"/>
      <c r="BJQ70" s="387"/>
      <c r="BJR70" s="387"/>
      <c r="BJS70" s="387"/>
      <c r="BJT70" s="387"/>
      <c r="BJU70" s="387"/>
      <c r="BJV70" s="387"/>
      <c r="BJW70" s="387"/>
      <c r="BJX70" s="387"/>
      <c r="BJY70" s="387"/>
      <c r="BJZ70" s="387"/>
      <c r="BKA70" s="387"/>
      <c r="BKB70" s="387"/>
      <c r="BKC70" s="387"/>
      <c r="BKD70" s="387"/>
      <c r="BKE70" s="387"/>
      <c r="BKF70" s="387"/>
      <c r="BKG70" s="387"/>
      <c r="BKH70" s="387"/>
      <c r="BKI70" s="387"/>
      <c r="BKJ70" s="387"/>
      <c r="BKK70" s="387"/>
      <c r="BKL70" s="387"/>
      <c r="BKM70" s="387"/>
      <c r="BKN70" s="387"/>
      <c r="BKO70" s="387"/>
      <c r="BKP70" s="387"/>
      <c r="BKQ70" s="387"/>
      <c r="BKR70" s="387"/>
      <c r="BKS70" s="387"/>
      <c r="BKT70" s="387"/>
      <c r="BKU70" s="387"/>
      <c r="BKV70" s="387"/>
      <c r="BKW70" s="387"/>
      <c r="BKX70" s="387"/>
      <c r="BKY70" s="387"/>
      <c r="BKZ70" s="387"/>
      <c r="BLA70" s="387"/>
      <c r="BLB70" s="387"/>
      <c r="BLC70" s="387"/>
      <c r="BLD70" s="387"/>
      <c r="BLE70" s="387"/>
      <c r="BLF70" s="387"/>
      <c r="BLG70" s="387"/>
      <c r="BLH70" s="387"/>
      <c r="BLI70" s="387"/>
      <c r="BLJ70" s="387"/>
      <c r="BLK70" s="387"/>
      <c r="BLL70" s="387"/>
      <c r="BLM70" s="387"/>
      <c r="BLN70" s="387"/>
      <c r="BLO70" s="387"/>
      <c r="BLP70" s="387"/>
      <c r="BLQ70" s="387"/>
      <c r="BLR70" s="387"/>
      <c r="BLS70" s="387"/>
      <c r="BLT70" s="387"/>
      <c r="BLU70" s="387"/>
      <c r="BLV70" s="387"/>
      <c r="BLW70" s="387"/>
      <c r="BLX70" s="387"/>
      <c r="BLY70" s="387"/>
      <c r="BLZ70" s="387"/>
      <c r="BMA70" s="387"/>
      <c r="BMB70" s="387"/>
      <c r="BMC70" s="387"/>
      <c r="BMD70" s="387"/>
      <c r="BME70" s="387"/>
      <c r="BMF70" s="387"/>
      <c r="BMG70" s="387"/>
      <c r="BMH70" s="387"/>
      <c r="BMI70" s="387"/>
      <c r="BMJ70" s="387"/>
      <c r="BMK70" s="387"/>
      <c r="BML70" s="387"/>
      <c r="BMM70" s="387"/>
      <c r="BMN70" s="387"/>
      <c r="BMO70" s="387"/>
      <c r="BMP70" s="387"/>
      <c r="BMQ70" s="387"/>
      <c r="BMR70" s="387"/>
      <c r="BMS70" s="387"/>
      <c r="BMT70" s="387"/>
      <c r="BMU70" s="387"/>
      <c r="BMV70" s="387"/>
      <c r="BMW70" s="387"/>
      <c r="BMX70" s="387"/>
      <c r="BMY70" s="387"/>
      <c r="BMZ70" s="387"/>
      <c r="BNA70" s="387"/>
      <c r="BNB70" s="387"/>
      <c r="BNC70" s="387"/>
      <c r="BND70" s="387"/>
      <c r="BNE70" s="387"/>
      <c r="BNF70" s="387"/>
      <c r="BNG70" s="387"/>
      <c r="BNH70" s="387"/>
      <c r="BNI70" s="387"/>
      <c r="BNJ70" s="387"/>
      <c r="BNK70" s="387"/>
      <c r="BNL70" s="387"/>
      <c r="BNM70" s="387"/>
      <c r="BNN70" s="387"/>
      <c r="BNO70" s="387"/>
      <c r="BNP70" s="387"/>
      <c r="BNQ70" s="387"/>
      <c r="BNR70" s="387"/>
      <c r="BNS70" s="387"/>
      <c r="BNT70" s="387"/>
      <c r="BNU70" s="387"/>
      <c r="BNV70" s="387"/>
      <c r="BNW70" s="387"/>
      <c r="BNX70" s="387"/>
      <c r="BNY70" s="387"/>
      <c r="BNZ70" s="387"/>
      <c r="BOA70" s="387"/>
      <c r="BOB70" s="387"/>
      <c r="BOC70" s="387"/>
      <c r="BOD70" s="387"/>
      <c r="BOE70" s="387"/>
      <c r="BOF70" s="387"/>
      <c r="BOG70" s="387"/>
      <c r="BOH70" s="387"/>
      <c r="BOI70" s="387"/>
      <c r="BOJ70" s="387"/>
      <c r="BOK70" s="387"/>
      <c r="BOL70" s="387"/>
      <c r="BOM70" s="387"/>
      <c r="BON70" s="387"/>
      <c r="BOO70" s="387"/>
      <c r="BOP70" s="387"/>
      <c r="BOQ70" s="387"/>
      <c r="BOR70" s="387"/>
      <c r="BOS70" s="387"/>
      <c r="BOT70" s="387"/>
      <c r="BOU70" s="387"/>
      <c r="BOV70" s="387"/>
      <c r="BOW70" s="387"/>
      <c r="BOX70" s="387"/>
      <c r="BOY70" s="387"/>
      <c r="BOZ70" s="387"/>
      <c r="BPA70" s="387"/>
      <c r="BPB70" s="387"/>
      <c r="BPC70" s="387"/>
      <c r="BPD70" s="387"/>
      <c r="BPE70" s="387"/>
      <c r="BPF70" s="387"/>
      <c r="BPG70" s="387"/>
      <c r="BPH70" s="387"/>
      <c r="BPI70" s="387"/>
      <c r="BPJ70" s="387"/>
      <c r="BPK70" s="387"/>
      <c r="BPL70" s="387"/>
      <c r="BPM70" s="387"/>
      <c r="BPN70" s="387"/>
      <c r="BPO70" s="387"/>
      <c r="BPP70" s="387"/>
      <c r="BPQ70" s="387"/>
      <c r="BPR70" s="387"/>
      <c r="BPS70" s="387"/>
      <c r="BPT70" s="387"/>
      <c r="BPU70" s="387"/>
      <c r="BPV70" s="387"/>
      <c r="BPW70" s="387"/>
      <c r="BPX70" s="387"/>
      <c r="BPY70" s="387"/>
      <c r="BPZ70" s="387"/>
      <c r="BQA70" s="387"/>
      <c r="BQB70" s="387"/>
      <c r="BQC70" s="387"/>
      <c r="BQD70" s="387"/>
      <c r="BQE70" s="387"/>
      <c r="BQF70" s="387"/>
      <c r="BQG70" s="387"/>
      <c r="BQH70" s="387"/>
      <c r="BQI70" s="387"/>
      <c r="BQJ70" s="387"/>
      <c r="BQK70" s="387"/>
      <c r="BQL70" s="387"/>
      <c r="BQM70" s="387"/>
      <c r="BQN70" s="387"/>
      <c r="BQO70" s="387"/>
      <c r="BQP70" s="387"/>
      <c r="BQQ70" s="387"/>
      <c r="BQR70" s="387"/>
      <c r="BQS70" s="387"/>
      <c r="BQT70" s="387"/>
      <c r="BQU70" s="387"/>
      <c r="BQV70" s="387"/>
      <c r="BQW70" s="387"/>
      <c r="BQX70" s="387"/>
      <c r="BQY70" s="387"/>
      <c r="BQZ70" s="387"/>
      <c r="BRA70" s="387"/>
      <c r="BRB70" s="387"/>
      <c r="BRC70" s="387"/>
      <c r="BRD70" s="387"/>
      <c r="BRE70" s="387"/>
      <c r="BRF70" s="387"/>
      <c r="BRG70" s="387"/>
      <c r="BRH70" s="387"/>
      <c r="BRI70" s="387"/>
      <c r="BRJ70" s="387"/>
      <c r="BRK70" s="387"/>
      <c r="BRL70" s="387"/>
      <c r="BRM70" s="387"/>
      <c r="BRN70" s="387"/>
      <c r="BRO70" s="387"/>
      <c r="BRP70" s="387"/>
      <c r="BRQ70" s="387"/>
      <c r="BRR70" s="387"/>
      <c r="BRS70" s="387"/>
      <c r="BRT70" s="387"/>
      <c r="BRU70" s="387"/>
      <c r="BRV70" s="387"/>
      <c r="BRW70" s="387"/>
      <c r="BRX70" s="387"/>
      <c r="BRY70" s="387"/>
      <c r="BRZ70" s="387"/>
      <c r="BSA70" s="387"/>
      <c r="BSB70" s="387"/>
      <c r="BSC70" s="387"/>
      <c r="BSD70" s="387"/>
      <c r="BSE70" s="387"/>
      <c r="BSF70" s="387"/>
      <c r="BSG70" s="387"/>
      <c r="BSH70" s="387"/>
      <c r="BSI70" s="387"/>
      <c r="BSJ70" s="387"/>
      <c r="BSK70" s="387"/>
      <c r="BSL70" s="387"/>
      <c r="BSM70" s="387"/>
      <c r="BSN70" s="387"/>
      <c r="BSO70" s="387"/>
      <c r="BSP70" s="387"/>
      <c r="BSQ70" s="387"/>
      <c r="BSR70" s="387"/>
      <c r="BSS70" s="387"/>
      <c r="BST70" s="387"/>
      <c r="BSU70" s="387"/>
      <c r="BSV70" s="387"/>
      <c r="BSW70" s="387"/>
      <c r="BSX70" s="387"/>
      <c r="BSY70" s="387"/>
      <c r="BSZ70" s="387"/>
      <c r="BTA70" s="387"/>
      <c r="BTB70" s="387"/>
      <c r="BTC70" s="387"/>
      <c r="BTD70" s="387"/>
      <c r="BTE70" s="387"/>
      <c r="BTF70" s="387"/>
      <c r="BTG70" s="387"/>
      <c r="BTH70" s="387"/>
      <c r="BTI70" s="387"/>
    </row>
    <row r="71" spans="1:1881" ht="115.5" customHeight="1" x14ac:dyDescent="0.25">
      <c r="A71" s="186">
        <v>507</v>
      </c>
      <c r="B71" s="62" t="s">
        <v>83</v>
      </c>
      <c r="C71" s="157" t="s">
        <v>183</v>
      </c>
      <c r="D71" s="331" t="s">
        <v>637</v>
      </c>
      <c r="E71" s="683" t="e">
        <f>HLOOKUP('Unit Data from Audit Worksheet'!$D$2,'2019 Data(H)'!$D$1:$BB$202,114,FALSE)</f>
        <v>#N/A</v>
      </c>
      <c r="F71" s="686"/>
      <c r="G71" s="388" t="e">
        <f>IF(F56-F69-F71=E56,,"Error: Beginning Balance does not agree with our records.  Cell F57-F70-F72=E57  The amount of the formula is in the cell to the right")</f>
        <v>#N/A</v>
      </c>
      <c r="H71" s="189" t="e">
        <f>+F56-F69-F71-E56</f>
        <v>#N/A</v>
      </c>
      <c r="I71" s="31"/>
      <c r="L71" s="674"/>
      <c r="M71" s="576"/>
      <c r="N71" s="594"/>
      <c r="S71" s="682"/>
      <c r="X71" s="682"/>
    </row>
    <row r="72" spans="1:1881" s="372" customFormat="1" ht="115.5" customHeight="1" x14ac:dyDescent="0.25">
      <c r="A72" s="447">
        <v>647</v>
      </c>
      <c r="B72" s="448" t="s">
        <v>674</v>
      </c>
      <c r="C72" s="444" t="s">
        <v>677</v>
      </c>
      <c r="D72" s="452" t="s">
        <v>678</v>
      </c>
      <c r="E72" s="446" t="s">
        <v>676</v>
      </c>
      <c r="F72" s="686"/>
      <c r="G72" s="388">
        <f>IF(F72&lt;0,"Error: Enter as positive.",)</f>
        <v>0</v>
      </c>
      <c r="H72" s="453"/>
      <c r="I72" s="314"/>
      <c r="J72" s="387"/>
      <c r="K72" s="387"/>
      <c r="L72" s="674"/>
      <c r="M72" s="576"/>
      <c r="N72" s="594"/>
      <c r="O72" s="387"/>
      <c r="P72" s="387"/>
      <c r="Q72" s="387"/>
      <c r="R72"/>
      <c r="S72" s="682"/>
      <c r="T72" s="387"/>
      <c r="U72" s="387"/>
      <c r="V72" s="387"/>
      <c r="W72" s="387"/>
      <c r="X72" s="682"/>
      <c r="Y72" s="387"/>
      <c r="Z72" s="387"/>
      <c r="AA72" s="387"/>
      <c r="AB72" s="387"/>
      <c r="AC72" s="387"/>
      <c r="AD72" s="387"/>
      <c r="AE72" s="387"/>
      <c r="AF72" s="387"/>
      <c r="AG72" s="387"/>
      <c r="AH72" s="387"/>
      <c r="AI72" s="387"/>
      <c r="AJ72" s="387"/>
      <c r="AK72" s="387"/>
      <c r="AL72" s="387"/>
      <c r="AM72" s="387"/>
      <c r="AN72" s="387"/>
      <c r="AO72" s="387"/>
      <c r="AP72" s="387"/>
      <c r="AQ72" s="387"/>
      <c r="AR72" s="387"/>
      <c r="AS72" s="387"/>
      <c r="AT72" s="387"/>
      <c r="AU72" s="387"/>
      <c r="AV72" s="387"/>
      <c r="AW72" s="387"/>
      <c r="AX72" s="387"/>
      <c r="AY72" s="387"/>
      <c r="AZ72" s="387"/>
      <c r="BA72" s="387"/>
      <c r="BB72" s="387"/>
      <c r="BC72" s="387"/>
      <c r="BD72" s="387"/>
      <c r="BE72" s="387"/>
      <c r="BF72" s="387"/>
      <c r="BG72" s="387"/>
      <c r="BH72" s="387"/>
      <c r="BI72" s="387"/>
      <c r="BJ72" s="387"/>
      <c r="BK72" s="387"/>
      <c r="BL72" s="387"/>
      <c r="BM72" s="387"/>
      <c r="BN72" s="387"/>
      <c r="BO72" s="387"/>
      <c r="BP72" s="387"/>
      <c r="BQ72" s="387"/>
      <c r="BR72" s="387"/>
      <c r="BS72" s="387"/>
      <c r="BT72" s="387"/>
      <c r="BU72" s="387"/>
      <c r="BV72" s="387"/>
      <c r="BW72" s="387"/>
      <c r="BX72" s="387"/>
      <c r="BY72" s="387"/>
      <c r="BZ72" s="387"/>
      <c r="CA72" s="387"/>
      <c r="CB72" s="387"/>
      <c r="CC72" s="387"/>
      <c r="CD72" s="387"/>
      <c r="CE72" s="387"/>
      <c r="CF72" s="387"/>
      <c r="CG72" s="387"/>
      <c r="CH72" s="387"/>
      <c r="CI72" s="387"/>
      <c r="CJ72" s="387"/>
      <c r="CK72" s="387"/>
      <c r="CL72" s="387"/>
      <c r="CM72" s="387"/>
      <c r="CN72" s="387"/>
      <c r="CO72" s="387"/>
      <c r="CP72" s="387"/>
      <c r="CQ72" s="387"/>
      <c r="CR72" s="387"/>
      <c r="CS72" s="387"/>
      <c r="CT72" s="387"/>
      <c r="CU72" s="387"/>
      <c r="CV72" s="387"/>
      <c r="CW72" s="387"/>
      <c r="CX72" s="387"/>
      <c r="CY72" s="387"/>
      <c r="CZ72" s="387"/>
      <c r="DA72" s="387"/>
      <c r="DB72" s="387"/>
      <c r="DC72" s="387"/>
      <c r="DD72" s="387"/>
      <c r="DE72" s="387"/>
      <c r="DF72" s="387"/>
      <c r="DG72" s="387"/>
      <c r="DH72" s="387"/>
      <c r="DI72" s="387"/>
      <c r="DJ72" s="387"/>
      <c r="DK72" s="387"/>
      <c r="DL72" s="387"/>
      <c r="DM72" s="387"/>
      <c r="DN72" s="387"/>
      <c r="DO72" s="387"/>
      <c r="DP72" s="387"/>
      <c r="DQ72" s="387"/>
      <c r="DR72" s="387"/>
      <c r="DS72" s="387"/>
      <c r="DT72" s="387"/>
      <c r="DU72" s="387"/>
      <c r="DV72" s="387"/>
      <c r="DW72" s="387"/>
      <c r="DX72" s="387"/>
      <c r="DY72" s="387"/>
      <c r="DZ72" s="387"/>
      <c r="EA72" s="387"/>
      <c r="EB72" s="387"/>
      <c r="EC72" s="387"/>
      <c r="ED72" s="387"/>
      <c r="EE72" s="387"/>
      <c r="EF72" s="387"/>
      <c r="EG72" s="387"/>
      <c r="EH72" s="387"/>
      <c r="EI72" s="387"/>
      <c r="EJ72" s="387"/>
      <c r="EK72" s="387"/>
      <c r="EL72" s="387"/>
      <c r="EM72" s="387"/>
      <c r="EN72" s="387"/>
      <c r="EO72" s="387"/>
      <c r="EP72" s="387"/>
      <c r="EQ72" s="387"/>
      <c r="ER72" s="387"/>
      <c r="ES72" s="387"/>
      <c r="ET72" s="387"/>
      <c r="EU72" s="387"/>
      <c r="EV72" s="387"/>
      <c r="EW72" s="387"/>
      <c r="EX72" s="387"/>
      <c r="EY72" s="387"/>
      <c r="EZ72" s="387"/>
      <c r="FA72" s="387"/>
      <c r="FB72" s="387"/>
      <c r="FC72" s="387"/>
      <c r="FD72" s="387"/>
      <c r="FE72" s="387"/>
      <c r="FF72" s="387"/>
      <c r="FG72" s="387"/>
      <c r="FH72" s="387"/>
      <c r="FI72" s="387"/>
      <c r="FJ72" s="387"/>
      <c r="FK72" s="387"/>
      <c r="FL72" s="387"/>
      <c r="FM72" s="387"/>
      <c r="FN72" s="387"/>
      <c r="FO72" s="387"/>
      <c r="FP72" s="387"/>
      <c r="FQ72" s="387"/>
      <c r="FR72" s="387"/>
      <c r="FS72" s="387"/>
      <c r="FT72" s="387"/>
      <c r="FU72" s="387"/>
      <c r="FV72" s="387"/>
      <c r="FW72" s="387"/>
      <c r="FX72" s="387"/>
      <c r="FY72" s="387"/>
      <c r="FZ72" s="387"/>
      <c r="GA72" s="387"/>
      <c r="GB72" s="387"/>
      <c r="GC72" s="387"/>
      <c r="GD72" s="387"/>
      <c r="GE72" s="387"/>
      <c r="GF72" s="387"/>
      <c r="GG72" s="387"/>
      <c r="GH72" s="387"/>
      <c r="GI72" s="387"/>
      <c r="GJ72" s="387"/>
      <c r="GK72" s="387"/>
      <c r="GL72" s="387"/>
      <c r="GM72" s="387"/>
      <c r="GN72" s="387"/>
      <c r="GO72" s="387"/>
      <c r="GP72" s="387"/>
      <c r="GQ72" s="387"/>
      <c r="GR72" s="387"/>
      <c r="GS72" s="387"/>
      <c r="GT72" s="387"/>
      <c r="GU72" s="387"/>
      <c r="GV72" s="387"/>
      <c r="GW72" s="387"/>
      <c r="GX72" s="387"/>
      <c r="GY72" s="387"/>
      <c r="GZ72" s="387"/>
      <c r="HA72" s="387"/>
      <c r="HB72" s="387"/>
      <c r="HC72" s="387"/>
      <c r="HD72" s="387"/>
      <c r="HE72" s="387"/>
      <c r="HF72" s="387"/>
      <c r="HG72" s="387"/>
      <c r="HH72" s="387"/>
      <c r="HI72" s="387"/>
      <c r="HJ72" s="387"/>
      <c r="HK72" s="387"/>
      <c r="HL72" s="387"/>
      <c r="HM72" s="387"/>
      <c r="HN72" s="387"/>
      <c r="HO72" s="387"/>
      <c r="HP72" s="387"/>
      <c r="HQ72" s="387"/>
      <c r="HR72" s="387"/>
      <c r="HS72" s="387"/>
      <c r="HT72" s="387"/>
      <c r="HU72" s="387"/>
      <c r="HV72" s="387"/>
      <c r="HW72" s="387"/>
      <c r="HX72" s="387"/>
      <c r="HY72" s="387"/>
      <c r="HZ72" s="387"/>
      <c r="IA72" s="387"/>
      <c r="IB72" s="387"/>
      <c r="IC72" s="387"/>
      <c r="ID72" s="387"/>
      <c r="IE72" s="387"/>
      <c r="IF72" s="387"/>
      <c r="IG72" s="387"/>
      <c r="IH72" s="387"/>
      <c r="II72" s="387"/>
      <c r="IJ72" s="387"/>
      <c r="IK72" s="387"/>
      <c r="IL72" s="387"/>
      <c r="IM72" s="387"/>
      <c r="IN72" s="387"/>
      <c r="IO72" s="387"/>
      <c r="IP72" s="387"/>
      <c r="IQ72" s="387"/>
      <c r="IR72" s="387"/>
      <c r="IS72" s="387"/>
      <c r="IT72" s="387"/>
      <c r="IU72" s="387"/>
      <c r="IV72" s="387"/>
      <c r="IW72" s="387"/>
      <c r="IX72" s="387"/>
      <c r="IY72" s="387"/>
      <c r="IZ72" s="387"/>
      <c r="JA72" s="387"/>
      <c r="JB72" s="387"/>
      <c r="JC72" s="387"/>
      <c r="JD72" s="387"/>
      <c r="JE72" s="387"/>
      <c r="JF72" s="387"/>
      <c r="JG72" s="387"/>
      <c r="JH72" s="387"/>
      <c r="JI72" s="387"/>
      <c r="JJ72" s="387"/>
      <c r="JK72" s="387"/>
      <c r="JL72" s="387"/>
      <c r="JM72" s="387"/>
      <c r="JN72" s="387"/>
      <c r="JO72" s="387"/>
      <c r="JP72" s="387"/>
      <c r="JQ72" s="387"/>
      <c r="JR72" s="387"/>
      <c r="JS72" s="387"/>
      <c r="JT72" s="387"/>
      <c r="JU72" s="387"/>
      <c r="JV72" s="387"/>
      <c r="JW72" s="387"/>
      <c r="JX72" s="387"/>
      <c r="JY72" s="387"/>
      <c r="JZ72" s="387"/>
      <c r="KA72" s="387"/>
      <c r="KB72" s="387"/>
      <c r="KC72" s="387"/>
      <c r="KD72" s="387"/>
      <c r="KE72" s="387"/>
      <c r="KF72" s="387"/>
      <c r="KG72" s="387"/>
      <c r="KH72" s="387"/>
      <c r="KI72" s="387"/>
      <c r="KJ72" s="387"/>
      <c r="KK72" s="387"/>
      <c r="KL72" s="387"/>
      <c r="KM72" s="387"/>
      <c r="KN72" s="387"/>
      <c r="KO72" s="387"/>
      <c r="KP72" s="387"/>
      <c r="KQ72" s="387"/>
      <c r="KR72" s="387"/>
      <c r="KS72" s="387"/>
      <c r="KT72" s="387"/>
      <c r="KU72" s="387"/>
      <c r="KV72" s="387"/>
      <c r="KW72" s="387"/>
      <c r="KX72" s="387"/>
      <c r="KY72" s="387"/>
      <c r="KZ72" s="387"/>
      <c r="LA72" s="387"/>
      <c r="LB72" s="387"/>
      <c r="LC72" s="387"/>
      <c r="LD72" s="387"/>
      <c r="LE72" s="387"/>
      <c r="LF72" s="387"/>
      <c r="LG72" s="387"/>
      <c r="LH72" s="387"/>
      <c r="LI72" s="387"/>
      <c r="LJ72" s="387"/>
      <c r="LK72" s="387"/>
      <c r="LL72" s="387"/>
      <c r="LM72" s="387"/>
      <c r="LN72" s="387"/>
      <c r="LO72" s="387"/>
      <c r="LP72" s="387"/>
      <c r="LQ72" s="387"/>
      <c r="LR72" s="387"/>
      <c r="LS72" s="387"/>
      <c r="LT72" s="387"/>
      <c r="LU72" s="387"/>
      <c r="LV72" s="387"/>
      <c r="LW72" s="387"/>
      <c r="LX72" s="387"/>
      <c r="LY72" s="387"/>
      <c r="LZ72" s="387"/>
      <c r="MA72" s="387"/>
      <c r="MB72" s="387"/>
      <c r="MC72" s="387"/>
      <c r="MD72" s="387"/>
      <c r="ME72" s="387"/>
      <c r="MF72" s="387"/>
      <c r="MG72" s="387"/>
      <c r="MH72" s="387"/>
      <c r="MI72" s="387"/>
      <c r="MJ72" s="387"/>
      <c r="MK72" s="387"/>
      <c r="ML72" s="387"/>
      <c r="MM72" s="387"/>
      <c r="MN72" s="387"/>
      <c r="MO72" s="387"/>
      <c r="MP72" s="387"/>
      <c r="MQ72" s="387"/>
      <c r="MR72" s="387"/>
      <c r="MS72" s="387"/>
      <c r="MT72" s="387"/>
      <c r="MU72" s="387"/>
      <c r="MV72" s="387"/>
      <c r="MW72" s="387"/>
      <c r="MX72" s="387"/>
      <c r="MY72" s="387"/>
      <c r="MZ72" s="387"/>
      <c r="NA72" s="387"/>
      <c r="NB72" s="387"/>
      <c r="NC72" s="387"/>
      <c r="ND72" s="387"/>
      <c r="NE72" s="387"/>
      <c r="NF72" s="387"/>
      <c r="NG72" s="387"/>
      <c r="NH72" s="387"/>
      <c r="NI72" s="387"/>
      <c r="NJ72" s="387"/>
      <c r="NK72" s="387"/>
      <c r="NL72" s="387"/>
      <c r="NM72" s="387"/>
      <c r="NN72" s="387"/>
      <c r="NO72" s="387"/>
      <c r="NP72" s="387"/>
      <c r="NQ72" s="387"/>
      <c r="NR72" s="387"/>
      <c r="NS72" s="387"/>
      <c r="NT72" s="387"/>
      <c r="NU72" s="387"/>
      <c r="NV72" s="387"/>
      <c r="NW72" s="387"/>
      <c r="NX72" s="387"/>
      <c r="NY72" s="387"/>
      <c r="NZ72" s="387"/>
      <c r="OA72" s="387"/>
      <c r="OB72" s="387"/>
      <c r="OC72" s="387"/>
      <c r="OD72" s="387"/>
      <c r="OE72" s="387"/>
      <c r="OF72" s="387"/>
      <c r="OG72" s="387"/>
      <c r="OH72" s="387"/>
      <c r="OI72" s="387"/>
      <c r="OJ72" s="387"/>
      <c r="OK72" s="387"/>
      <c r="OL72" s="387"/>
      <c r="OM72" s="387"/>
      <c r="ON72" s="387"/>
      <c r="OO72" s="387"/>
      <c r="OP72" s="387"/>
      <c r="OQ72" s="387"/>
      <c r="OR72" s="387"/>
      <c r="OS72" s="387"/>
      <c r="OT72" s="387"/>
      <c r="OU72" s="387"/>
      <c r="OV72" s="387"/>
      <c r="OW72" s="387"/>
      <c r="OX72" s="387"/>
      <c r="OY72" s="387"/>
      <c r="OZ72" s="387"/>
      <c r="PA72" s="387"/>
      <c r="PB72" s="387"/>
      <c r="PC72" s="387"/>
      <c r="PD72" s="387"/>
      <c r="PE72" s="387"/>
      <c r="PF72" s="387"/>
      <c r="PG72" s="387"/>
      <c r="PH72" s="387"/>
      <c r="PI72" s="387"/>
      <c r="PJ72" s="387"/>
      <c r="PK72" s="387"/>
      <c r="PL72" s="387"/>
      <c r="PM72" s="387"/>
      <c r="PN72" s="387"/>
      <c r="PO72" s="387"/>
      <c r="PP72" s="387"/>
      <c r="PQ72" s="387"/>
      <c r="PR72" s="387"/>
      <c r="PS72" s="387"/>
      <c r="PT72" s="387"/>
      <c r="PU72" s="387"/>
      <c r="PV72" s="387"/>
      <c r="PW72" s="387"/>
      <c r="PX72" s="387"/>
      <c r="PY72" s="387"/>
      <c r="PZ72" s="387"/>
      <c r="QA72" s="387"/>
      <c r="QB72" s="387"/>
      <c r="QC72" s="387"/>
      <c r="QD72" s="387"/>
      <c r="QE72" s="387"/>
      <c r="QF72" s="387"/>
      <c r="QG72" s="387"/>
      <c r="QH72" s="387"/>
      <c r="QI72" s="387"/>
      <c r="QJ72" s="387"/>
      <c r="QK72" s="387"/>
      <c r="QL72" s="387"/>
      <c r="QM72" s="387"/>
      <c r="QN72" s="387"/>
      <c r="QO72" s="387"/>
      <c r="QP72" s="387"/>
      <c r="QQ72" s="387"/>
      <c r="QR72" s="387"/>
      <c r="QS72" s="387"/>
      <c r="QT72" s="387"/>
      <c r="QU72" s="387"/>
      <c r="QV72" s="387"/>
      <c r="QW72" s="387"/>
      <c r="QX72" s="387"/>
      <c r="QY72" s="387"/>
      <c r="QZ72" s="387"/>
      <c r="RA72" s="387"/>
      <c r="RB72" s="387"/>
      <c r="RC72" s="387"/>
      <c r="RD72" s="387"/>
      <c r="RE72" s="387"/>
      <c r="RF72" s="387"/>
      <c r="RG72" s="387"/>
      <c r="RH72" s="387"/>
      <c r="RI72" s="387"/>
      <c r="RJ72" s="387"/>
      <c r="RK72" s="387"/>
      <c r="RL72" s="387"/>
      <c r="RM72" s="387"/>
      <c r="RN72" s="387"/>
      <c r="RO72" s="387"/>
      <c r="RP72" s="387"/>
      <c r="RQ72" s="387"/>
      <c r="RR72" s="387"/>
      <c r="RS72" s="387"/>
      <c r="RT72" s="387"/>
      <c r="RU72" s="387"/>
      <c r="RV72" s="387"/>
      <c r="RW72" s="387"/>
      <c r="RX72" s="387"/>
      <c r="RY72" s="387"/>
      <c r="RZ72" s="387"/>
      <c r="SA72" s="387"/>
      <c r="SB72" s="387"/>
      <c r="SC72" s="387"/>
      <c r="SD72" s="387"/>
      <c r="SE72" s="387"/>
      <c r="SF72" s="387"/>
      <c r="SG72" s="387"/>
      <c r="SH72" s="387"/>
      <c r="SI72" s="387"/>
      <c r="SJ72" s="387"/>
      <c r="SK72" s="387"/>
      <c r="SL72" s="387"/>
      <c r="SM72" s="387"/>
      <c r="SN72" s="387"/>
      <c r="SO72" s="387"/>
      <c r="SP72" s="387"/>
      <c r="SQ72" s="387"/>
      <c r="SR72" s="387"/>
      <c r="SS72" s="387"/>
      <c r="ST72" s="387"/>
      <c r="SU72" s="387"/>
      <c r="SV72" s="387"/>
      <c r="SW72" s="387"/>
      <c r="SX72" s="387"/>
      <c r="SY72" s="387"/>
      <c r="SZ72" s="387"/>
      <c r="TA72" s="387"/>
      <c r="TB72" s="387"/>
      <c r="TC72" s="387"/>
      <c r="TD72" s="387"/>
      <c r="TE72" s="387"/>
      <c r="TF72" s="387"/>
      <c r="TG72" s="387"/>
      <c r="TH72" s="387"/>
      <c r="TI72" s="387"/>
      <c r="TJ72" s="387"/>
      <c r="TK72" s="387"/>
      <c r="TL72" s="387"/>
      <c r="TM72" s="387"/>
      <c r="TN72" s="387"/>
      <c r="TO72" s="387"/>
      <c r="TP72" s="387"/>
      <c r="TQ72" s="387"/>
      <c r="TR72" s="387"/>
      <c r="TS72" s="387"/>
      <c r="TT72" s="387"/>
      <c r="TU72" s="387"/>
      <c r="TV72" s="387"/>
      <c r="TW72" s="387"/>
      <c r="TX72" s="387"/>
      <c r="TY72" s="387"/>
      <c r="TZ72" s="387"/>
      <c r="UA72" s="387"/>
      <c r="UB72" s="387"/>
      <c r="UC72" s="387"/>
      <c r="UD72" s="387"/>
      <c r="UE72" s="387"/>
      <c r="UF72" s="387"/>
      <c r="UG72" s="387"/>
      <c r="UH72" s="387"/>
      <c r="UI72" s="387"/>
      <c r="UJ72" s="387"/>
      <c r="UK72" s="387"/>
      <c r="UL72" s="387"/>
      <c r="UM72" s="387"/>
      <c r="UN72" s="387"/>
      <c r="UO72" s="387"/>
      <c r="UP72" s="387"/>
      <c r="UQ72" s="387"/>
      <c r="UR72" s="387"/>
      <c r="US72" s="387"/>
      <c r="UT72" s="387"/>
      <c r="UU72" s="387"/>
      <c r="UV72" s="387"/>
      <c r="UW72" s="387"/>
      <c r="UX72" s="387"/>
      <c r="UY72" s="387"/>
      <c r="UZ72" s="387"/>
      <c r="VA72" s="387"/>
      <c r="VB72" s="387"/>
      <c r="VC72" s="387"/>
      <c r="VD72" s="387"/>
      <c r="VE72" s="387"/>
      <c r="VF72" s="387"/>
      <c r="VG72" s="387"/>
      <c r="VH72" s="387"/>
      <c r="VI72" s="387"/>
      <c r="VJ72" s="387"/>
      <c r="VK72" s="387"/>
      <c r="VL72" s="387"/>
      <c r="VM72" s="387"/>
      <c r="VN72" s="387"/>
      <c r="VO72" s="387"/>
      <c r="VP72" s="387"/>
      <c r="VQ72" s="387"/>
      <c r="VR72" s="387"/>
      <c r="VS72" s="387"/>
      <c r="VT72" s="387"/>
      <c r="VU72" s="387"/>
      <c r="VV72" s="387"/>
      <c r="VW72" s="387"/>
      <c r="VX72" s="387"/>
      <c r="VY72" s="387"/>
      <c r="VZ72" s="387"/>
      <c r="WA72" s="387"/>
      <c r="WB72" s="387"/>
      <c r="WC72" s="387"/>
      <c r="WD72" s="387"/>
      <c r="WE72" s="387"/>
      <c r="WF72" s="387"/>
      <c r="WG72" s="387"/>
      <c r="WH72" s="387"/>
      <c r="WI72" s="387"/>
      <c r="WJ72" s="387"/>
      <c r="WK72" s="387"/>
      <c r="WL72" s="387"/>
      <c r="WM72" s="387"/>
      <c r="WN72" s="387"/>
      <c r="WO72" s="387"/>
      <c r="WP72" s="387"/>
      <c r="WQ72" s="387"/>
      <c r="WR72" s="387"/>
      <c r="WS72" s="387"/>
      <c r="WT72" s="387"/>
      <c r="WU72" s="387"/>
      <c r="WV72" s="387"/>
      <c r="WW72" s="387"/>
      <c r="WX72" s="387"/>
      <c r="WY72" s="387"/>
      <c r="WZ72" s="387"/>
      <c r="XA72" s="387"/>
      <c r="XB72" s="387"/>
      <c r="XC72" s="387"/>
      <c r="XD72" s="387"/>
      <c r="XE72" s="387"/>
      <c r="XF72" s="387"/>
      <c r="XG72" s="387"/>
      <c r="XH72" s="387"/>
      <c r="XI72" s="387"/>
      <c r="XJ72" s="387"/>
      <c r="XK72" s="387"/>
      <c r="XL72" s="387"/>
      <c r="XM72" s="387"/>
      <c r="XN72" s="387"/>
      <c r="XO72" s="387"/>
      <c r="XP72" s="387"/>
      <c r="XQ72" s="387"/>
      <c r="XR72" s="387"/>
      <c r="XS72" s="387"/>
      <c r="XT72" s="387"/>
      <c r="XU72" s="387"/>
      <c r="XV72" s="387"/>
      <c r="XW72" s="387"/>
      <c r="XX72" s="387"/>
      <c r="XY72" s="387"/>
      <c r="XZ72" s="387"/>
      <c r="YA72" s="387"/>
      <c r="YB72" s="387"/>
      <c r="YC72" s="387"/>
      <c r="YD72" s="387"/>
      <c r="YE72" s="387"/>
      <c r="YF72" s="387"/>
      <c r="YG72" s="387"/>
      <c r="YH72" s="387"/>
      <c r="YI72" s="387"/>
      <c r="YJ72" s="387"/>
      <c r="YK72" s="387"/>
      <c r="YL72" s="387"/>
      <c r="YM72" s="387"/>
      <c r="YN72" s="387"/>
      <c r="YO72" s="387"/>
      <c r="YP72" s="387"/>
      <c r="YQ72" s="387"/>
      <c r="YR72" s="387"/>
      <c r="YS72" s="387"/>
      <c r="YT72" s="387"/>
      <c r="YU72" s="387"/>
      <c r="YV72" s="387"/>
      <c r="YW72" s="387"/>
      <c r="YX72" s="387"/>
      <c r="YY72" s="387"/>
      <c r="YZ72" s="387"/>
      <c r="ZA72" s="387"/>
      <c r="ZB72" s="387"/>
      <c r="ZC72" s="387"/>
      <c r="ZD72" s="387"/>
      <c r="ZE72" s="387"/>
      <c r="ZF72" s="387"/>
      <c r="ZG72" s="387"/>
      <c r="ZH72" s="387"/>
      <c r="ZI72" s="387"/>
      <c r="ZJ72" s="387"/>
      <c r="ZK72" s="387"/>
      <c r="ZL72" s="387"/>
      <c r="ZM72" s="387"/>
      <c r="ZN72" s="387"/>
      <c r="ZO72" s="387"/>
      <c r="ZP72" s="387"/>
      <c r="ZQ72" s="387"/>
      <c r="ZR72" s="387"/>
      <c r="ZS72" s="387"/>
      <c r="ZT72" s="387"/>
      <c r="ZU72" s="387"/>
      <c r="ZV72" s="387"/>
      <c r="ZW72" s="387"/>
      <c r="ZX72" s="387"/>
      <c r="ZY72" s="387"/>
      <c r="ZZ72" s="387"/>
      <c r="AAA72" s="387"/>
      <c r="AAB72" s="387"/>
      <c r="AAC72" s="387"/>
      <c r="AAD72" s="387"/>
      <c r="AAE72" s="387"/>
      <c r="AAF72" s="387"/>
      <c r="AAG72" s="387"/>
      <c r="AAH72" s="387"/>
      <c r="AAI72" s="387"/>
      <c r="AAJ72" s="387"/>
      <c r="AAK72" s="387"/>
      <c r="AAL72" s="387"/>
      <c r="AAM72" s="387"/>
      <c r="AAN72" s="387"/>
      <c r="AAO72" s="387"/>
      <c r="AAP72" s="387"/>
      <c r="AAQ72" s="387"/>
      <c r="AAR72" s="387"/>
      <c r="AAS72" s="387"/>
      <c r="AAT72" s="387"/>
      <c r="AAU72" s="387"/>
      <c r="AAV72" s="387"/>
      <c r="AAW72" s="387"/>
      <c r="AAX72" s="387"/>
      <c r="AAY72" s="387"/>
      <c r="AAZ72" s="387"/>
      <c r="ABA72" s="387"/>
      <c r="ABB72" s="387"/>
      <c r="ABC72" s="387"/>
      <c r="ABD72" s="387"/>
      <c r="ABE72" s="387"/>
      <c r="ABF72" s="387"/>
      <c r="ABG72" s="387"/>
      <c r="ABH72" s="387"/>
      <c r="ABI72" s="387"/>
      <c r="ABJ72" s="387"/>
      <c r="ABK72" s="387"/>
      <c r="ABL72" s="387"/>
      <c r="ABM72" s="387"/>
      <c r="ABN72" s="387"/>
      <c r="ABO72" s="387"/>
      <c r="ABP72" s="387"/>
      <c r="ABQ72" s="387"/>
      <c r="ABR72" s="387"/>
      <c r="ABS72" s="387"/>
      <c r="ABT72" s="387"/>
      <c r="ABU72" s="387"/>
      <c r="ABV72" s="387"/>
      <c r="ABW72" s="387"/>
      <c r="ABX72" s="387"/>
      <c r="ABY72" s="387"/>
      <c r="ABZ72" s="387"/>
      <c r="ACA72" s="387"/>
      <c r="ACB72" s="387"/>
      <c r="ACC72" s="387"/>
      <c r="ACD72" s="387"/>
      <c r="ACE72" s="387"/>
      <c r="ACF72" s="387"/>
      <c r="ACG72" s="387"/>
      <c r="ACH72" s="387"/>
      <c r="ACI72" s="387"/>
      <c r="ACJ72" s="387"/>
      <c r="ACK72" s="387"/>
      <c r="ACL72" s="387"/>
      <c r="ACM72" s="387"/>
      <c r="ACN72" s="387"/>
      <c r="ACO72" s="387"/>
      <c r="ACP72" s="387"/>
      <c r="ACQ72" s="387"/>
      <c r="ACR72" s="387"/>
      <c r="ACS72" s="387"/>
      <c r="ACT72" s="387"/>
      <c r="ACU72" s="387"/>
      <c r="ACV72" s="387"/>
      <c r="ACW72" s="387"/>
      <c r="ACX72" s="387"/>
      <c r="ACY72" s="387"/>
      <c r="ACZ72" s="387"/>
      <c r="ADA72" s="387"/>
      <c r="ADB72" s="387"/>
      <c r="ADC72" s="387"/>
      <c r="ADD72" s="387"/>
      <c r="ADE72" s="387"/>
      <c r="ADF72" s="387"/>
      <c r="ADG72" s="387"/>
      <c r="ADH72" s="387"/>
      <c r="ADI72" s="387"/>
      <c r="ADJ72" s="387"/>
      <c r="ADK72" s="387"/>
      <c r="ADL72" s="387"/>
      <c r="ADM72" s="387"/>
      <c r="ADN72" s="387"/>
      <c r="ADO72" s="387"/>
      <c r="ADP72" s="387"/>
      <c r="ADQ72" s="387"/>
      <c r="ADR72" s="387"/>
      <c r="ADS72" s="387"/>
      <c r="ADT72" s="387"/>
      <c r="ADU72" s="387"/>
      <c r="ADV72" s="387"/>
      <c r="ADW72" s="387"/>
      <c r="ADX72" s="387"/>
      <c r="ADY72" s="387"/>
      <c r="ADZ72" s="387"/>
      <c r="AEA72" s="387"/>
      <c r="AEB72" s="387"/>
      <c r="AEC72" s="387"/>
      <c r="AED72" s="387"/>
      <c r="AEE72" s="387"/>
      <c r="AEF72" s="387"/>
      <c r="AEG72" s="387"/>
      <c r="AEH72" s="387"/>
      <c r="AEI72" s="387"/>
      <c r="AEJ72" s="387"/>
      <c r="AEK72" s="387"/>
      <c r="AEL72" s="387"/>
      <c r="AEM72" s="387"/>
      <c r="AEN72" s="387"/>
      <c r="AEO72" s="387"/>
      <c r="AEP72" s="387"/>
      <c r="AEQ72" s="387"/>
      <c r="AER72" s="387"/>
      <c r="AES72" s="387"/>
      <c r="AET72" s="387"/>
      <c r="AEU72" s="387"/>
      <c r="AEV72" s="387"/>
      <c r="AEW72" s="387"/>
      <c r="AEX72" s="387"/>
      <c r="AEY72" s="387"/>
      <c r="AEZ72" s="387"/>
      <c r="AFA72" s="387"/>
      <c r="AFB72" s="387"/>
      <c r="AFC72" s="387"/>
      <c r="AFD72" s="387"/>
      <c r="AFE72" s="387"/>
      <c r="AFF72" s="387"/>
      <c r="AFG72" s="387"/>
      <c r="AFH72" s="387"/>
      <c r="AFI72" s="387"/>
      <c r="AFJ72" s="387"/>
      <c r="AFK72" s="387"/>
      <c r="AFL72" s="387"/>
      <c r="AFM72" s="387"/>
      <c r="AFN72" s="387"/>
      <c r="AFO72" s="387"/>
      <c r="AFP72" s="387"/>
      <c r="AFQ72" s="387"/>
      <c r="AFR72" s="387"/>
      <c r="AFS72" s="387"/>
      <c r="AFT72" s="387"/>
      <c r="AFU72" s="387"/>
      <c r="AFV72" s="387"/>
      <c r="AFW72" s="387"/>
      <c r="AFX72" s="387"/>
      <c r="AFY72" s="387"/>
      <c r="AFZ72" s="387"/>
      <c r="AGA72" s="387"/>
      <c r="AGB72" s="387"/>
      <c r="AGC72" s="387"/>
      <c r="AGD72" s="387"/>
      <c r="AGE72" s="387"/>
      <c r="AGF72" s="387"/>
      <c r="AGG72" s="387"/>
      <c r="AGH72" s="387"/>
      <c r="AGI72" s="387"/>
      <c r="AGJ72" s="387"/>
      <c r="AGK72" s="387"/>
      <c r="AGL72" s="387"/>
      <c r="AGM72" s="387"/>
      <c r="AGN72" s="387"/>
      <c r="AGO72" s="387"/>
      <c r="AGP72" s="387"/>
      <c r="AGQ72" s="387"/>
      <c r="AGR72" s="387"/>
      <c r="AGS72" s="387"/>
      <c r="AGT72" s="387"/>
      <c r="AGU72" s="387"/>
      <c r="AGV72" s="387"/>
      <c r="AGW72" s="387"/>
      <c r="AGX72" s="387"/>
      <c r="AGY72" s="387"/>
      <c r="AGZ72" s="387"/>
      <c r="AHA72" s="387"/>
      <c r="AHB72" s="387"/>
      <c r="AHC72" s="387"/>
      <c r="AHD72" s="387"/>
      <c r="AHE72" s="387"/>
      <c r="AHF72" s="387"/>
      <c r="AHG72" s="387"/>
      <c r="AHH72" s="387"/>
      <c r="AHI72" s="387"/>
      <c r="AHJ72" s="387"/>
      <c r="AHK72" s="387"/>
      <c r="AHL72" s="387"/>
      <c r="AHM72" s="387"/>
      <c r="AHN72" s="387"/>
      <c r="AHO72" s="387"/>
      <c r="AHP72" s="387"/>
      <c r="AHQ72" s="387"/>
      <c r="AHR72" s="387"/>
      <c r="AHS72" s="387"/>
      <c r="AHT72" s="387"/>
      <c r="AHU72" s="387"/>
      <c r="AHV72" s="387"/>
      <c r="AHW72" s="387"/>
      <c r="AHX72" s="387"/>
      <c r="AHY72" s="387"/>
      <c r="AHZ72" s="387"/>
      <c r="AIA72" s="387"/>
      <c r="AIB72" s="387"/>
      <c r="AIC72" s="387"/>
      <c r="AID72" s="387"/>
      <c r="AIE72" s="387"/>
      <c r="AIF72" s="387"/>
      <c r="AIG72" s="387"/>
      <c r="AIH72" s="387"/>
      <c r="AII72" s="387"/>
      <c r="AIJ72" s="387"/>
      <c r="AIK72" s="387"/>
      <c r="AIL72" s="387"/>
      <c r="AIM72" s="387"/>
      <c r="AIN72" s="387"/>
      <c r="AIO72" s="387"/>
      <c r="AIP72" s="387"/>
      <c r="AIQ72" s="387"/>
      <c r="AIR72" s="387"/>
      <c r="AIS72" s="387"/>
      <c r="AIT72" s="387"/>
      <c r="AIU72" s="387"/>
      <c r="AIV72" s="387"/>
      <c r="AIW72" s="387"/>
      <c r="AIX72" s="387"/>
      <c r="AIY72" s="387"/>
      <c r="AIZ72" s="387"/>
      <c r="AJA72" s="387"/>
      <c r="AJB72" s="387"/>
      <c r="AJC72" s="387"/>
      <c r="AJD72" s="387"/>
      <c r="AJE72" s="387"/>
      <c r="AJF72" s="387"/>
      <c r="AJG72" s="387"/>
      <c r="AJH72" s="387"/>
      <c r="AJI72" s="387"/>
      <c r="AJJ72" s="387"/>
      <c r="AJK72" s="387"/>
      <c r="AJL72" s="387"/>
      <c r="AJM72" s="387"/>
      <c r="AJN72" s="387"/>
      <c r="AJO72" s="387"/>
      <c r="AJP72" s="387"/>
      <c r="AJQ72" s="387"/>
      <c r="AJR72" s="387"/>
      <c r="AJS72" s="387"/>
      <c r="AJT72" s="387"/>
      <c r="AJU72" s="387"/>
      <c r="AJV72" s="387"/>
      <c r="AJW72" s="387"/>
      <c r="AJX72" s="387"/>
      <c r="AJY72" s="387"/>
      <c r="AJZ72" s="387"/>
      <c r="AKA72" s="387"/>
      <c r="AKB72" s="387"/>
      <c r="AKC72" s="387"/>
      <c r="AKD72" s="387"/>
      <c r="AKE72" s="387"/>
      <c r="AKF72" s="387"/>
      <c r="AKG72" s="387"/>
      <c r="AKH72" s="387"/>
      <c r="AKI72" s="387"/>
      <c r="AKJ72" s="387"/>
      <c r="AKK72" s="387"/>
      <c r="AKL72" s="387"/>
      <c r="AKM72" s="387"/>
      <c r="AKN72" s="387"/>
      <c r="AKO72" s="387"/>
      <c r="AKP72" s="387"/>
      <c r="AKQ72" s="387"/>
      <c r="AKR72" s="387"/>
      <c r="AKS72" s="387"/>
      <c r="AKT72" s="387"/>
      <c r="AKU72" s="387"/>
      <c r="AKV72" s="387"/>
      <c r="AKW72" s="387"/>
      <c r="AKX72" s="387"/>
      <c r="AKY72" s="387"/>
      <c r="AKZ72" s="387"/>
      <c r="ALA72" s="387"/>
      <c r="ALB72" s="387"/>
      <c r="ALC72" s="387"/>
      <c r="ALD72" s="387"/>
      <c r="ALE72" s="387"/>
      <c r="ALF72" s="387"/>
      <c r="ALG72" s="387"/>
      <c r="ALH72" s="387"/>
      <c r="ALI72" s="387"/>
      <c r="ALJ72" s="387"/>
      <c r="ALK72" s="387"/>
      <c r="ALL72" s="387"/>
      <c r="ALM72" s="387"/>
      <c r="ALN72" s="387"/>
      <c r="ALO72" s="387"/>
      <c r="ALP72" s="387"/>
      <c r="ALQ72" s="387"/>
      <c r="ALR72" s="387"/>
      <c r="ALS72" s="387"/>
      <c r="ALT72" s="387"/>
      <c r="ALU72" s="387"/>
      <c r="ALV72" s="387"/>
      <c r="ALW72" s="387"/>
      <c r="ALX72" s="387"/>
      <c r="ALY72" s="387"/>
      <c r="ALZ72" s="387"/>
      <c r="AMA72" s="387"/>
      <c r="AMB72" s="387"/>
      <c r="AMC72" s="387"/>
      <c r="AMD72" s="387"/>
      <c r="AME72" s="387"/>
      <c r="AMF72" s="387"/>
      <c r="AMG72" s="387"/>
      <c r="AMH72" s="387"/>
      <c r="AMI72" s="387"/>
      <c r="AMJ72" s="387"/>
      <c r="AMK72" s="387"/>
      <c r="AML72" s="387"/>
      <c r="AMM72" s="387"/>
      <c r="AMN72" s="387"/>
      <c r="AMO72" s="387"/>
      <c r="AMP72" s="387"/>
      <c r="AMQ72" s="387"/>
      <c r="AMR72" s="387"/>
      <c r="AMS72" s="387"/>
      <c r="AMT72" s="387"/>
      <c r="AMU72" s="387"/>
      <c r="AMV72" s="387"/>
      <c r="AMW72" s="387"/>
      <c r="AMX72" s="387"/>
      <c r="AMY72" s="387"/>
      <c r="AMZ72" s="387"/>
      <c r="ANA72" s="387"/>
      <c r="ANB72" s="387"/>
      <c r="ANC72" s="387"/>
      <c r="AND72" s="387"/>
      <c r="ANE72" s="387"/>
      <c r="ANF72" s="387"/>
      <c r="ANG72" s="387"/>
      <c r="ANH72" s="387"/>
      <c r="ANI72" s="387"/>
      <c r="ANJ72" s="387"/>
      <c r="ANK72" s="387"/>
      <c r="ANL72" s="387"/>
      <c r="ANM72" s="387"/>
      <c r="ANN72" s="387"/>
      <c r="ANO72" s="387"/>
      <c r="ANP72" s="387"/>
      <c r="ANQ72" s="387"/>
      <c r="ANR72" s="387"/>
      <c r="ANS72" s="387"/>
      <c r="ANT72" s="387"/>
      <c r="ANU72" s="387"/>
      <c r="ANV72" s="387"/>
      <c r="ANW72" s="387"/>
      <c r="ANX72" s="387"/>
      <c r="ANY72" s="387"/>
      <c r="ANZ72" s="387"/>
      <c r="AOA72" s="387"/>
      <c r="AOB72" s="387"/>
      <c r="AOC72" s="387"/>
      <c r="AOD72" s="387"/>
      <c r="AOE72" s="387"/>
      <c r="AOF72" s="387"/>
      <c r="AOG72" s="387"/>
      <c r="AOH72" s="387"/>
      <c r="AOI72" s="387"/>
      <c r="AOJ72" s="387"/>
      <c r="AOK72" s="387"/>
      <c r="AOL72" s="387"/>
      <c r="AOM72" s="387"/>
      <c r="AON72" s="387"/>
      <c r="AOO72" s="387"/>
      <c r="AOP72" s="387"/>
      <c r="AOQ72" s="387"/>
      <c r="AOR72" s="387"/>
      <c r="AOS72" s="387"/>
      <c r="AOT72" s="387"/>
      <c r="AOU72" s="387"/>
      <c r="AOV72" s="387"/>
      <c r="AOW72" s="387"/>
      <c r="AOX72" s="387"/>
      <c r="AOY72" s="387"/>
      <c r="AOZ72" s="387"/>
      <c r="APA72" s="387"/>
      <c r="APB72" s="387"/>
      <c r="APC72" s="387"/>
      <c r="APD72" s="387"/>
      <c r="APE72" s="387"/>
      <c r="APF72" s="387"/>
      <c r="APG72" s="387"/>
      <c r="APH72" s="387"/>
      <c r="API72" s="387"/>
      <c r="APJ72" s="387"/>
      <c r="APK72" s="387"/>
      <c r="APL72" s="387"/>
      <c r="APM72" s="387"/>
      <c r="APN72" s="387"/>
      <c r="APO72" s="387"/>
      <c r="APP72" s="387"/>
      <c r="APQ72" s="387"/>
      <c r="APR72" s="387"/>
      <c r="APS72" s="387"/>
      <c r="APT72" s="387"/>
      <c r="APU72" s="387"/>
      <c r="APV72" s="387"/>
      <c r="APW72" s="387"/>
      <c r="APX72" s="387"/>
      <c r="APY72" s="387"/>
      <c r="APZ72" s="387"/>
      <c r="AQA72" s="387"/>
      <c r="AQB72" s="387"/>
      <c r="AQC72" s="387"/>
      <c r="AQD72" s="387"/>
      <c r="AQE72" s="387"/>
      <c r="AQF72" s="387"/>
      <c r="AQG72" s="387"/>
      <c r="AQH72" s="387"/>
      <c r="AQI72" s="387"/>
      <c r="AQJ72" s="387"/>
      <c r="AQK72" s="387"/>
      <c r="AQL72" s="387"/>
      <c r="AQM72" s="387"/>
      <c r="AQN72" s="387"/>
      <c r="AQO72" s="387"/>
      <c r="AQP72" s="387"/>
      <c r="AQQ72" s="387"/>
      <c r="AQR72" s="387"/>
      <c r="AQS72" s="387"/>
      <c r="AQT72" s="387"/>
      <c r="AQU72" s="387"/>
      <c r="AQV72" s="387"/>
      <c r="AQW72" s="387"/>
      <c r="AQX72" s="387"/>
      <c r="AQY72" s="387"/>
      <c r="AQZ72" s="387"/>
      <c r="ARA72" s="387"/>
      <c r="ARB72" s="387"/>
      <c r="ARC72" s="387"/>
      <c r="ARD72" s="387"/>
      <c r="ARE72" s="387"/>
      <c r="ARF72" s="387"/>
      <c r="ARG72" s="387"/>
      <c r="ARH72" s="387"/>
      <c r="ARI72" s="387"/>
      <c r="ARJ72" s="387"/>
      <c r="ARK72" s="387"/>
      <c r="ARL72" s="387"/>
      <c r="ARM72" s="387"/>
      <c r="ARN72" s="387"/>
      <c r="ARO72" s="387"/>
      <c r="ARP72" s="387"/>
      <c r="ARQ72" s="387"/>
      <c r="ARR72" s="387"/>
      <c r="ARS72" s="387"/>
      <c r="ART72" s="387"/>
      <c r="ARU72" s="387"/>
      <c r="ARV72" s="387"/>
      <c r="ARW72" s="387"/>
      <c r="ARX72" s="387"/>
      <c r="ARY72" s="387"/>
      <c r="ARZ72" s="387"/>
      <c r="ASA72" s="387"/>
      <c r="ASB72" s="387"/>
      <c r="ASC72" s="387"/>
      <c r="ASD72" s="387"/>
      <c r="ASE72" s="387"/>
      <c r="ASF72" s="387"/>
      <c r="ASG72" s="387"/>
      <c r="ASH72" s="387"/>
      <c r="ASI72" s="387"/>
      <c r="ASJ72" s="387"/>
      <c r="ASK72" s="387"/>
      <c r="ASL72" s="387"/>
      <c r="ASM72" s="387"/>
      <c r="ASN72" s="387"/>
      <c r="ASO72" s="387"/>
      <c r="ASP72" s="387"/>
      <c r="ASQ72" s="387"/>
      <c r="ASR72" s="387"/>
      <c r="ASS72" s="387"/>
      <c r="AST72" s="387"/>
      <c r="ASU72" s="387"/>
      <c r="ASV72" s="387"/>
      <c r="ASW72" s="387"/>
      <c r="ASX72" s="387"/>
      <c r="ASY72" s="387"/>
      <c r="ASZ72" s="387"/>
      <c r="ATA72" s="387"/>
      <c r="ATB72" s="387"/>
      <c r="ATC72" s="387"/>
      <c r="ATD72" s="387"/>
      <c r="ATE72" s="387"/>
      <c r="ATF72" s="387"/>
      <c r="ATG72" s="387"/>
      <c r="ATH72" s="387"/>
      <c r="ATI72" s="387"/>
      <c r="ATJ72" s="387"/>
      <c r="ATK72" s="387"/>
      <c r="ATL72" s="387"/>
      <c r="ATM72" s="387"/>
      <c r="ATN72" s="387"/>
      <c r="ATO72" s="387"/>
      <c r="ATP72" s="387"/>
      <c r="ATQ72" s="387"/>
      <c r="ATR72" s="387"/>
      <c r="ATS72" s="387"/>
      <c r="ATT72" s="387"/>
      <c r="ATU72" s="387"/>
      <c r="ATV72" s="387"/>
      <c r="ATW72" s="387"/>
      <c r="ATX72" s="387"/>
      <c r="ATY72" s="387"/>
      <c r="ATZ72" s="387"/>
      <c r="AUA72" s="387"/>
      <c r="AUB72" s="387"/>
      <c r="AUC72" s="387"/>
      <c r="AUD72" s="387"/>
      <c r="AUE72" s="387"/>
      <c r="AUF72" s="387"/>
      <c r="AUG72" s="387"/>
      <c r="AUH72" s="387"/>
      <c r="AUI72" s="387"/>
      <c r="AUJ72" s="387"/>
      <c r="AUK72" s="387"/>
      <c r="AUL72" s="387"/>
      <c r="AUM72" s="387"/>
      <c r="AUN72" s="387"/>
      <c r="AUO72" s="387"/>
      <c r="AUP72" s="387"/>
      <c r="AUQ72" s="387"/>
      <c r="AUR72" s="387"/>
      <c r="AUS72" s="387"/>
      <c r="AUT72" s="387"/>
      <c r="AUU72" s="387"/>
      <c r="AUV72" s="387"/>
      <c r="AUW72" s="387"/>
      <c r="AUX72" s="387"/>
      <c r="AUY72" s="387"/>
      <c r="AUZ72" s="387"/>
      <c r="AVA72" s="387"/>
      <c r="AVB72" s="387"/>
      <c r="AVC72" s="387"/>
      <c r="AVD72" s="387"/>
      <c r="AVE72" s="387"/>
      <c r="AVF72" s="387"/>
      <c r="AVG72" s="387"/>
      <c r="AVH72" s="387"/>
      <c r="AVI72" s="387"/>
      <c r="AVJ72" s="387"/>
      <c r="AVK72" s="387"/>
      <c r="AVL72" s="387"/>
      <c r="AVM72" s="387"/>
      <c r="AVN72" s="387"/>
      <c r="AVO72" s="387"/>
      <c r="AVP72" s="387"/>
      <c r="AVQ72" s="387"/>
      <c r="AVR72" s="387"/>
      <c r="AVS72" s="387"/>
      <c r="AVT72" s="387"/>
      <c r="AVU72" s="387"/>
      <c r="AVV72" s="387"/>
      <c r="AVW72" s="387"/>
      <c r="AVX72" s="387"/>
      <c r="AVY72" s="387"/>
      <c r="AVZ72" s="387"/>
      <c r="AWA72" s="387"/>
      <c r="AWB72" s="387"/>
      <c r="AWC72" s="387"/>
      <c r="AWD72" s="387"/>
      <c r="AWE72" s="387"/>
      <c r="AWF72" s="387"/>
      <c r="AWG72" s="387"/>
      <c r="AWH72" s="387"/>
      <c r="AWI72" s="387"/>
      <c r="AWJ72" s="387"/>
      <c r="AWK72" s="387"/>
      <c r="AWL72" s="387"/>
      <c r="AWM72" s="387"/>
      <c r="AWN72" s="387"/>
      <c r="AWO72" s="387"/>
      <c r="AWP72" s="387"/>
      <c r="AWQ72" s="387"/>
      <c r="AWR72" s="387"/>
      <c r="AWS72" s="387"/>
      <c r="AWT72" s="387"/>
      <c r="AWU72" s="387"/>
      <c r="AWV72" s="387"/>
      <c r="AWW72" s="387"/>
      <c r="AWX72" s="387"/>
      <c r="AWY72" s="387"/>
      <c r="AWZ72" s="387"/>
      <c r="AXA72" s="387"/>
      <c r="AXB72" s="387"/>
      <c r="AXC72" s="387"/>
      <c r="AXD72" s="387"/>
      <c r="AXE72" s="387"/>
      <c r="AXF72" s="387"/>
      <c r="AXG72" s="387"/>
      <c r="AXH72" s="387"/>
      <c r="AXI72" s="387"/>
      <c r="AXJ72" s="387"/>
      <c r="AXK72" s="387"/>
      <c r="AXL72" s="387"/>
      <c r="AXM72" s="387"/>
      <c r="AXN72" s="387"/>
      <c r="AXO72" s="387"/>
      <c r="AXP72" s="387"/>
      <c r="AXQ72" s="387"/>
      <c r="AXR72" s="387"/>
      <c r="AXS72" s="387"/>
      <c r="AXT72" s="387"/>
      <c r="AXU72" s="387"/>
      <c r="AXV72" s="387"/>
      <c r="AXW72" s="387"/>
      <c r="AXX72" s="387"/>
      <c r="AXY72" s="387"/>
      <c r="AXZ72" s="387"/>
      <c r="AYA72" s="387"/>
      <c r="AYB72" s="387"/>
      <c r="AYC72" s="387"/>
      <c r="AYD72" s="387"/>
      <c r="AYE72" s="387"/>
      <c r="AYF72" s="387"/>
      <c r="AYG72" s="387"/>
      <c r="AYH72" s="387"/>
      <c r="AYI72" s="387"/>
      <c r="AYJ72" s="387"/>
      <c r="AYK72" s="387"/>
      <c r="AYL72" s="387"/>
      <c r="AYM72" s="387"/>
      <c r="AYN72" s="387"/>
      <c r="AYO72" s="387"/>
      <c r="AYP72" s="387"/>
      <c r="AYQ72" s="387"/>
      <c r="AYR72" s="387"/>
      <c r="AYS72" s="387"/>
      <c r="AYT72" s="387"/>
      <c r="AYU72" s="387"/>
      <c r="AYV72" s="387"/>
      <c r="AYW72" s="387"/>
      <c r="AYX72" s="387"/>
      <c r="AYY72" s="387"/>
      <c r="AYZ72" s="387"/>
      <c r="AZA72" s="387"/>
      <c r="AZB72" s="387"/>
      <c r="AZC72" s="387"/>
      <c r="AZD72" s="387"/>
      <c r="AZE72" s="387"/>
      <c r="AZF72" s="387"/>
      <c r="AZG72" s="387"/>
      <c r="AZH72" s="387"/>
      <c r="AZI72" s="387"/>
      <c r="AZJ72" s="387"/>
      <c r="AZK72" s="387"/>
      <c r="AZL72" s="387"/>
      <c r="AZM72" s="387"/>
      <c r="AZN72" s="387"/>
      <c r="AZO72" s="387"/>
      <c r="AZP72" s="387"/>
      <c r="AZQ72" s="387"/>
      <c r="AZR72" s="387"/>
      <c r="AZS72" s="387"/>
      <c r="AZT72" s="387"/>
      <c r="AZU72" s="387"/>
      <c r="AZV72" s="387"/>
      <c r="AZW72" s="387"/>
      <c r="AZX72" s="387"/>
      <c r="AZY72" s="387"/>
      <c r="AZZ72" s="387"/>
      <c r="BAA72" s="387"/>
      <c r="BAB72" s="387"/>
      <c r="BAC72" s="387"/>
      <c r="BAD72" s="387"/>
      <c r="BAE72" s="387"/>
      <c r="BAF72" s="387"/>
      <c r="BAG72" s="387"/>
      <c r="BAH72" s="387"/>
      <c r="BAI72" s="387"/>
      <c r="BAJ72" s="387"/>
      <c r="BAK72" s="387"/>
      <c r="BAL72" s="387"/>
      <c r="BAM72" s="387"/>
      <c r="BAN72" s="387"/>
      <c r="BAO72" s="387"/>
      <c r="BAP72" s="387"/>
      <c r="BAQ72" s="387"/>
      <c r="BAR72" s="387"/>
      <c r="BAS72" s="387"/>
      <c r="BAT72" s="387"/>
      <c r="BAU72" s="387"/>
      <c r="BAV72" s="387"/>
      <c r="BAW72" s="387"/>
      <c r="BAX72" s="387"/>
      <c r="BAY72" s="387"/>
      <c r="BAZ72" s="387"/>
      <c r="BBA72" s="387"/>
      <c r="BBB72" s="387"/>
      <c r="BBC72" s="387"/>
      <c r="BBD72" s="387"/>
      <c r="BBE72" s="387"/>
      <c r="BBF72" s="387"/>
      <c r="BBG72" s="387"/>
      <c r="BBH72" s="387"/>
      <c r="BBI72" s="387"/>
      <c r="BBJ72" s="387"/>
      <c r="BBK72" s="387"/>
      <c r="BBL72" s="387"/>
      <c r="BBM72" s="387"/>
      <c r="BBN72" s="387"/>
      <c r="BBO72" s="387"/>
      <c r="BBP72" s="387"/>
      <c r="BBQ72" s="387"/>
      <c r="BBR72" s="387"/>
      <c r="BBS72" s="387"/>
      <c r="BBT72" s="387"/>
      <c r="BBU72" s="387"/>
      <c r="BBV72" s="387"/>
      <c r="BBW72" s="387"/>
      <c r="BBX72" s="387"/>
      <c r="BBY72" s="387"/>
      <c r="BBZ72" s="387"/>
      <c r="BCA72" s="387"/>
      <c r="BCB72" s="387"/>
      <c r="BCC72" s="387"/>
      <c r="BCD72" s="387"/>
      <c r="BCE72" s="387"/>
      <c r="BCF72" s="387"/>
      <c r="BCG72" s="387"/>
      <c r="BCH72" s="387"/>
      <c r="BCI72" s="387"/>
      <c r="BCJ72" s="387"/>
      <c r="BCK72" s="387"/>
      <c r="BCL72" s="387"/>
      <c r="BCM72" s="387"/>
      <c r="BCN72" s="387"/>
      <c r="BCO72" s="387"/>
      <c r="BCP72" s="387"/>
      <c r="BCQ72" s="387"/>
      <c r="BCR72" s="387"/>
      <c r="BCS72" s="387"/>
      <c r="BCT72" s="387"/>
      <c r="BCU72" s="387"/>
      <c r="BCV72" s="387"/>
      <c r="BCW72" s="387"/>
      <c r="BCX72" s="387"/>
      <c r="BCY72" s="387"/>
      <c r="BCZ72" s="387"/>
      <c r="BDA72" s="387"/>
      <c r="BDB72" s="387"/>
      <c r="BDC72" s="387"/>
      <c r="BDD72" s="387"/>
      <c r="BDE72" s="387"/>
      <c r="BDF72" s="387"/>
      <c r="BDG72" s="387"/>
      <c r="BDH72" s="387"/>
      <c r="BDI72" s="387"/>
      <c r="BDJ72" s="387"/>
      <c r="BDK72" s="387"/>
      <c r="BDL72" s="387"/>
      <c r="BDM72" s="387"/>
      <c r="BDN72" s="387"/>
      <c r="BDO72" s="387"/>
      <c r="BDP72" s="387"/>
      <c r="BDQ72" s="387"/>
      <c r="BDR72" s="387"/>
      <c r="BDS72" s="387"/>
      <c r="BDT72" s="387"/>
      <c r="BDU72" s="387"/>
      <c r="BDV72" s="387"/>
      <c r="BDW72" s="387"/>
      <c r="BDX72" s="387"/>
      <c r="BDY72" s="387"/>
      <c r="BDZ72" s="387"/>
      <c r="BEA72" s="387"/>
      <c r="BEB72" s="387"/>
      <c r="BEC72" s="387"/>
      <c r="BED72" s="387"/>
      <c r="BEE72" s="387"/>
      <c r="BEF72" s="387"/>
      <c r="BEG72" s="387"/>
      <c r="BEH72" s="387"/>
      <c r="BEI72" s="387"/>
      <c r="BEJ72" s="387"/>
      <c r="BEK72" s="387"/>
      <c r="BEL72" s="387"/>
      <c r="BEM72" s="387"/>
      <c r="BEN72" s="387"/>
      <c r="BEO72" s="387"/>
      <c r="BEP72" s="387"/>
      <c r="BEQ72" s="387"/>
      <c r="BER72" s="387"/>
      <c r="BES72" s="387"/>
      <c r="BET72" s="387"/>
      <c r="BEU72" s="387"/>
      <c r="BEV72" s="387"/>
      <c r="BEW72" s="387"/>
      <c r="BEX72" s="387"/>
      <c r="BEY72" s="387"/>
      <c r="BEZ72" s="387"/>
      <c r="BFA72" s="387"/>
      <c r="BFB72" s="387"/>
      <c r="BFC72" s="387"/>
      <c r="BFD72" s="387"/>
      <c r="BFE72" s="387"/>
      <c r="BFF72" s="387"/>
      <c r="BFG72" s="387"/>
      <c r="BFH72" s="387"/>
      <c r="BFI72" s="387"/>
      <c r="BFJ72" s="387"/>
      <c r="BFK72" s="387"/>
      <c r="BFL72" s="387"/>
      <c r="BFM72" s="387"/>
      <c r="BFN72" s="387"/>
      <c r="BFO72" s="387"/>
      <c r="BFP72" s="387"/>
      <c r="BFQ72" s="387"/>
      <c r="BFR72" s="387"/>
      <c r="BFS72" s="387"/>
      <c r="BFT72" s="387"/>
      <c r="BFU72" s="387"/>
      <c r="BFV72" s="387"/>
      <c r="BFW72" s="387"/>
      <c r="BFX72" s="387"/>
      <c r="BFY72" s="387"/>
      <c r="BFZ72" s="387"/>
      <c r="BGA72" s="387"/>
      <c r="BGB72" s="387"/>
      <c r="BGC72" s="387"/>
      <c r="BGD72" s="387"/>
      <c r="BGE72" s="387"/>
      <c r="BGF72" s="387"/>
      <c r="BGG72" s="387"/>
      <c r="BGH72" s="387"/>
      <c r="BGI72" s="387"/>
      <c r="BGJ72" s="387"/>
      <c r="BGK72" s="387"/>
      <c r="BGL72" s="387"/>
      <c r="BGM72" s="387"/>
      <c r="BGN72" s="387"/>
      <c r="BGO72" s="387"/>
      <c r="BGP72" s="387"/>
      <c r="BGQ72" s="387"/>
      <c r="BGR72" s="387"/>
      <c r="BGS72" s="387"/>
      <c r="BGT72" s="387"/>
      <c r="BGU72" s="387"/>
      <c r="BGV72" s="387"/>
      <c r="BGW72" s="387"/>
      <c r="BGX72" s="387"/>
      <c r="BGY72" s="387"/>
      <c r="BGZ72" s="387"/>
      <c r="BHA72" s="387"/>
      <c r="BHB72" s="387"/>
      <c r="BHC72" s="387"/>
      <c r="BHD72" s="387"/>
      <c r="BHE72" s="387"/>
      <c r="BHF72" s="387"/>
      <c r="BHG72" s="387"/>
      <c r="BHH72" s="387"/>
      <c r="BHI72" s="387"/>
      <c r="BHJ72" s="387"/>
      <c r="BHK72" s="387"/>
      <c r="BHL72" s="387"/>
      <c r="BHM72" s="387"/>
      <c r="BHN72" s="387"/>
      <c r="BHO72" s="387"/>
      <c r="BHP72" s="387"/>
      <c r="BHQ72" s="387"/>
      <c r="BHR72" s="387"/>
      <c r="BHS72" s="387"/>
      <c r="BHT72" s="387"/>
      <c r="BHU72" s="387"/>
      <c r="BHV72" s="387"/>
      <c r="BHW72" s="387"/>
      <c r="BHX72" s="387"/>
      <c r="BHY72" s="387"/>
      <c r="BHZ72" s="387"/>
      <c r="BIA72" s="387"/>
      <c r="BIB72" s="387"/>
      <c r="BIC72" s="387"/>
      <c r="BID72" s="387"/>
      <c r="BIE72" s="387"/>
      <c r="BIF72" s="387"/>
      <c r="BIG72" s="387"/>
      <c r="BIH72" s="387"/>
      <c r="BII72" s="387"/>
      <c r="BIJ72" s="387"/>
      <c r="BIK72" s="387"/>
      <c r="BIL72" s="387"/>
      <c r="BIM72" s="387"/>
      <c r="BIN72" s="387"/>
      <c r="BIO72" s="387"/>
      <c r="BIP72" s="387"/>
      <c r="BIQ72" s="387"/>
      <c r="BIR72" s="387"/>
      <c r="BIS72" s="387"/>
      <c r="BIT72" s="387"/>
      <c r="BIU72" s="387"/>
      <c r="BIV72" s="387"/>
      <c r="BIW72" s="387"/>
      <c r="BIX72" s="387"/>
      <c r="BIY72" s="387"/>
      <c r="BIZ72" s="387"/>
      <c r="BJA72" s="387"/>
      <c r="BJB72" s="387"/>
      <c r="BJC72" s="387"/>
      <c r="BJD72" s="387"/>
      <c r="BJE72" s="387"/>
      <c r="BJF72" s="387"/>
      <c r="BJG72" s="387"/>
      <c r="BJH72" s="387"/>
      <c r="BJI72" s="387"/>
      <c r="BJJ72" s="387"/>
      <c r="BJK72" s="387"/>
      <c r="BJL72" s="387"/>
      <c r="BJM72" s="387"/>
      <c r="BJN72" s="387"/>
      <c r="BJO72" s="387"/>
      <c r="BJP72" s="387"/>
      <c r="BJQ72" s="387"/>
      <c r="BJR72" s="387"/>
      <c r="BJS72" s="387"/>
      <c r="BJT72" s="387"/>
      <c r="BJU72" s="387"/>
      <c r="BJV72" s="387"/>
      <c r="BJW72" s="387"/>
      <c r="BJX72" s="387"/>
      <c r="BJY72" s="387"/>
      <c r="BJZ72" s="387"/>
      <c r="BKA72" s="387"/>
      <c r="BKB72" s="387"/>
      <c r="BKC72" s="387"/>
      <c r="BKD72" s="387"/>
      <c r="BKE72" s="387"/>
      <c r="BKF72" s="387"/>
      <c r="BKG72" s="387"/>
      <c r="BKH72" s="387"/>
      <c r="BKI72" s="387"/>
      <c r="BKJ72" s="387"/>
      <c r="BKK72" s="387"/>
      <c r="BKL72" s="387"/>
      <c r="BKM72" s="387"/>
      <c r="BKN72" s="387"/>
      <c r="BKO72" s="387"/>
      <c r="BKP72" s="387"/>
      <c r="BKQ72" s="387"/>
      <c r="BKR72" s="387"/>
      <c r="BKS72" s="387"/>
      <c r="BKT72" s="387"/>
      <c r="BKU72" s="387"/>
      <c r="BKV72" s="387"/>
      <c r="BKW72" s="387"/>
      <c r="BKX72" s="387"/>
      <c r="BKY72" s="387"/>
      <c r="BKZ72" s="387"/>
      <c r="BLA72" s="387"/>
      <c r="BLB72" s="387"/>
      <c r="BLC72" s="387"/>
      <c r="BLD72" s="387"/>
      <c r="BLE72" s="387"/>
      <c r="BLF72" s="387"/>
      <c r="BLG72" s="387"/>
      <c r="BLH72" s="387"/>
      <c r="BLI72" s="387"/>
      <c r="BLJ72" s="387"/>
      <c r="BLK72" s="387"/>
      <c r="BLL72" s="387"/>
      <c r="BLM72" s="387"/>
      <c r="BLN72" s="387"/>
      <c r="BLO72" s="387"/>
      <c r="BLP72" s="387"/>
      <c r="BLQ72" s="387"/>
      <c r="BLR72" s="387"/>
      <c r="BLS72" s="387"/>
      <c r="BLT72" s="387"/>
      <c r="BLU72" s="387"/>
      <c r="BLV72" s="387"/>
      <c r="BLW72" s="387"/>
      <c r="BLX72" s="387"/>
      <c r="BLY72" s="387"/>
      <c r="BLZ72" s="387"/>
      <c r="BMA72" s="387"/>
      <c r="BMB72" s="387"/>
      <c r="BMC72" s="387"/>
      <c r="BMD72" s="387"/>
      <c r="BME72" s="387"/>
      <c r="BMF72" s="387"/>
      <c r="BMG72" s="387"/>
      <c r="BMH72" s="387"/>
      <c r="BMI72" s="387"/>
      <c r="BMJ72" s="387"/>
      <c r="BMK72" s="387"/>
      <c r="BML72" s="387"/>
      <c r="BMM72" s="387"/>
      <c r="BMN72" s="387"/>
      <c r="BMO72" s="387"/>
      <c r="BMP72" s="387"/>
      <c r="BMQ72" s="387"/>
      <c r="BMR72" s="387"/>
      <c r="BMS72" s="387"/>
      <c r="BMT72" s="387"/>
      <c r="BMU72" s="387"/>
      <c r="BMV72" s="387"/>
      <c r="BMW72" s="387"/>
      <c r="BMX72" s="387"/>
      <c r="BMY72" s="387"/>
      <c r="BMZ72" s="387"/>
      <c r="BNA72" s="387"/>
      <c r="BNB72" s="387"/>
      <c r="BNC72" s="387"/>
      <c r="BND72" s="387"/>
      <c r="BNE72" s="387"/>
      <c r="BNF72" s="387"/>
      <c r="BNG72" s="387"/>
      <c r="BNH72" s="387"/>
      <c r="BNI72" s="387"/>
      <c r="BNJ72" s="387"/>
      <c r="BNK72" s="387"/>
      <c r="BNL72" s="387"/>
      <c r="BNM72" s="387"/>
      <c r="BNN72" s="387"/>
      <c r="BNO72" s="387"/>
      <c r="BNP72" s="387"/>
      <c r="BNQ72" s="387"/>
      <c r="BNR72" s="387"/>
      <c r="BNS72" s="387"/>
      <c r="BNT72" s="387"/>
      <c r="BNU72" s="387"/>
      <c r="BNV72" s="387"/>
      <c r="BNW72" s="387"/>
      <c r="BNX72" s="387"/>
      <c r="BNY72" s="387"/>
      <c r="BNZ72" s="387"/>
      <c r="BOA72" s="387"/>
      <c r="BOB72" s="387"/>
      <c r="BOC72" s="387"/>
      <c r="BOD72" s="387"/>
      <c r="BOE72" s="387"/>
      <c r="BOF72" s="387"/>
      <c r="BOG72" s="387"/>
      <c r="BOH72" s="387"/>
      <c r="BOI72" s="387"/>
      <c r="BOJ72" s="387"/>
      <c r="BOK72" s="387"/>
      <c r="BOL72" s="387"/>
      <c r="BOM72" s="387"/>
      <c r="BON72" s="387"/>
      <c r="BOO72" s="387"/>
      <c r="BOP72" s="387"/>
      <c r="BOQ72" s="387"/>
      <c r="BOR72" s="387"/>
      <c r="BOS72" s="387"/>
      <c r="BOT72" s="387"/>
      <c r="BOU72" s="387"/>
      <c r="BOV72" s="387"/>
      <c r="BOW72" s="387"/>
      <c r="BOX72" s="387"/>
      <c r="BOY72" s="387"/>
      <c r="BOZ72" s="387"/>
      <c r="BPA72" s="387"/>
      <c r="BPB72" s="387"/>
      <c r="BPC72" s="387"/>
      <c r="BPD72" s="387"/>
      <c r="BPE72" s="387"/>
      <c r="BPF72" s="387"/>
      <c r="BPG72" s="387"/>
      <c r="BPH72" s="387"/>
      <c r="BPI72" s="387"/>
      <c r="BPJ72" s="387"/>
      <c r="BPK72" s="387"/>
      <c r="BPL72" s="387"/>
      <c r="BPM72" s="387"/>
      <c r="BPN72" s="387"/>
      <c r="BPO72" s="387"/>
      <c r="BPP72" s="387"/>
      <c r="BPQ72" s="387"/>
      <c r="BPR72" s="387"/>
      <c r="BPS72" s="387"/>
      <c r="BPT72" s="387"/>
      <c r="BPU72" s="387"/>
      <c r="BPV72" s="387"/>
      <c r="BPW72" s="387"/>
      <c r="BPX72" s="387"/>
      <c r="BPY72" s="387"/>
      <c r="BPZ72" s="387"/>
      <c r="BQA72" s="387"/>
      <c r="BQB72" s="387"/>
      <c r="BQC72" s="387"/>
      <c r="BQD72" s="387"/>
      <c r="BQE72" s="387"/>
      <c r="BQF72" s="387"/>
      <c r="BQG72" s="387"/>
      <c r="BQH72" s="387"/>
      <c r="BQI72" s="387"/>
      <c r="BQJ72" s="387"/>
      <c r="BQK72" s="387"/>
      <c r="BQL72" s="387"/>
      <c r="BQM72" s="387"/>
      <c r="BQN72" s="387"/>
      <c r="BQO72" s="387"/>
      <c r="BQP72" s="387"/>
      <c r="BQQ72" s="387"/>
      <c r="BQR72" s="387"/>
      <c r="BQS72" s="387"/>
      <c r="BQT72" s="387"/>
      <c r="BQU72" s="387"/>
      <c r="BQV72" s="387"/>
      <c r="BQW72" s="387"/>
      <c r="BQX72" s="387"/>
      <c r="BQY72" s="387"/>
      <c r="BQZ72" s="387"/>
      <c r="BRA72" s="387"/>
      <c r="BRB72" s="387"/>
      <c r="BRC72" s="387"/>
      <c r="BRD72" s="387"/>
      <c r="BRE72" s="387"/>
      <c r="BRF72" s="387"/>
      <c r="BRG72" s="387"/>
      <c r="BRH72" s="387"/>
      <c r="BRI72" s="387"/>
      <c r="BRJ72" s="387"/>
      <c r="BRK72" s="387"/>
      <c r="BRL72" s="387"/>
      <c r="BRM72" s="387"/>
      <c r="BRN72" s="387"/>
      <c r="BRO72" s="387"/>
      <c r="BRP72" s="387"/>
      <c r="BRQ72" s="387"/>
      <c r="BRR72" s="387"/>
      <c r="BRS72" s="387"/>
      <c r="BRT72" s="387"/>
      <c r="BRU72" s="387"/>
      <c r="BRV72" s="387"/>
      <c r="BRW72" s="387"/>
      <c r="BRX72" s="387"/>
      <c r="BRY72" s="387"/>
      <c r="BRZ72" s="387"/>
      <c r="BSA72" s="387"/>
      <c r="BSB72" s="387"/>
      <c r="BSC72" s="387"/>
      <c r="BSD72" s="387"/>
      <c r="BSE72" s="387"/>
      <c r="BSF72" s="387"/>
      <c r="BSG72" s="387"/>
      <c r="BSH72" s="387"/>
      <c r="BSI72" s="387"/>
      <c r="BSJ72" s="387"/>
      <c r="BSK72" s="387"/>
      <c r="BSL72" s="387"/>
      <c r="BSM72" s="387"/>
      <c r="BSN72" s="387"/>
      <c r="BSO72" s="387"/>
      <c r="BSP72" s="387"/>
      <c r="BSQ72" s="387"/>
      <c r="BSR72" s="387"/>
      <c r="BSS72" s="387"/>
      <c r="BST72" s="387"/>
      <c r="BSU72" s="387"/>
      <c r="BSV72" s="387"/>
      <c r="BSW72" s="387"/>
      <c r="BSX72" s="387"/>
      <c r="BSY72" s="387"/>
      <c r="BSZ72" s="387"/>
      <c r="BTA72" s="387"/>
      <c r="BTB72" s="387"/>
      <c r="BTC72" s="387"/>
      <c r="BTD72" s="387"/>
      <c r="BTE72" s="387"/>
      <c r="BTF72" s="387"/>
      <c r="BTG72" s="387"/>
      <c r="BTH72" s="387"/>
      <c r="BTI72" s="387"/>
    </row>
    <row r="73" spans="1:1881" ht="18.75" x14ac:dyDescent="0.3">
      <c r="A73" s="187"/>
      <c r="B73" s="137" t="s">
        <v>187</v>
      </c>
      <c r="C73" s="137"/>
      <c r="D73" s="153"/>
      <c r="E73" s="153"/>
      <c r="F73" s="748"/>
      <c r="G73" s="528"/>
      <c r="H73" s="14"/>
      <c r="I73" s="31"/>
      <c r="J73" s="61"/>
      <c r="S73" s="682"/>
      <c r="X73" s="682"/>
    </row>
    <row r="74" spans="1:1881" ht="18.75" x14ac:dyDescent="0.3">
      <c r="A74" s="187"/>
      <c r="B74" s="137" t="s">
        <v>25</v>
      </c>
      <c r="C74" s="137"/>
      <c r="D74" s="142"/>
      <c r="E74" s="143"/>
      <c r="F74" s="749"/>
      <c r="G74" s="529"/>
      <c r="H74" s="14"/>
      <c r="I74" s="31"/>
      <c r="S74" s="682"/>
      <c r="X74" s="682"/>
    </row>
    <row r="75" spans="1:1881" ht="18.75" x14ac:dyDescent="0.3">
      <c r="A75" s="187"/>
      <c r="B75" s="137" t="s">
        <v>23</v>
      </c>
      <c r="C75" s="137"/>
      <c r="D75" s="142"/>
      <c r="E75" s="143"/>
      <c r="F75" s="749"/>
      <c r="G75" s="529"/>
      <c r="H75" s="50"/>
      <c r="I75" s="31"/>
      <c r="S75" s="682"/>
      <c r="X75" s="682"/>
    </row>
    <row r="76" spans="1:1881" s="219" customFormat="1" ht="78" customHeight="1" x14ac:dyDescent="0.3">
      <c r="A76" s="186">
        <v>596</v>
      </c>
      <c r="B76" s="148" t="s">
        <v>80</v>
      </c>
      <c r="C76" s="335"/>
      <c r="D76" s="320" t="s">
        <v>605</v>
      </c>
      <c r="E76" s="683" t="e">
        <f>HLOOKUP('Unit Data from Audit Worksheet'!$D$2,'2019 Data(H)'!$D$1:$BB$202,170,FALSE)</f>
        <v>#N/A</v>
      </c>
      <c r="F76" s="686"/>
      <c r="G76" s="530"/>
      <c r="H76" s="50"/>
      <c r="I76" s="31"/>
      <c r="J76" s="387"/>
      <c r="K76" s="387"/>
      <c r="L76" s="387"/>
      <c r="M76" s="387"/>
      <c r="N76"/>
      <c r="O76" s="387"/>
      <c r="P76" s="387"/>
      <c r="Q76" s="387"/>
      <c r="R76"/>
      <c r="S76" s="682"/>
      <c r="T76" s="387"/>
      <c r="U76" s="387"/>
      <c r="V76" s="387"/>
      <c r="W76" s="387"/>
      <c r="X76" s="682"/>
      <c r="Y76" s="387"/>
      <c r="Z76" s="387"/>
      <c r="AA76" s="387"/>
      <c r="AB76" s="387"/>
      <c r="AC76" s="387"/>
      <c r="AD76" s="387"/>
      <c r="AE76" s="387"/>
      <c r="AF76" s="387"/>
      <c r="AG76" s="387"/>
      <c r="AH76" s="387"/>
      <c r="AI76" s="387"/>
      <c r="AJ76" s="387"/>
      <c r="AK76" s="387"/>
      <c r="AL76" s="387"/>
      <c r="AM76" s="387"/>
      <c r="AN76" s="387"/>
      <c r="AO76" s="387"/>
      <c r="AP76" s="387"/>
      <c r="AQ76" s="387"/>
      <c r="AR76" s="387"/>
      <c r="AS76" s="387"/>
      <c r="AT76" s="387"/>
      <c r="AU76" s="387"/>
      <c r="AV76" s="387"/>
      <c r="AW76" s="387"/>
      <c r="AX76" s="387"/>
      <c r="AY76" s="387"/>
      <c r="AZ76" s="387"/>
      <c r="BA76" s="387"/>
      <c r="BB76" s="387"/>
      <c r="BC76" s="387"/>
      <c r="BD76" s="387"/>
      <c r="BE76" s="387"/>
      <c r="BF76" s="387"/>
      <c r="BG76" s="387"/>
      <c r="BH76" s="387"/>
      <c r="BI76" s="387"/>
      <c r="BJ76" s="387"/>
      <c r="BK76" s="387"/>
      <c r="BL76" s="387"/>
      <c r="BM76" s="387"/>
      <c r="BN76" s="387"/>
      <c r="BO76" s="387"/>
      <c r="BP76" s="387"/>
      <c r="BQ76" s="387"/>
      <c r="BR76" s="387"/>
      <c r="BS76" s="387"/>
      <c r="BT76" s="387"/>
      <c r="BU76" s="387"/>
      <c r="BV76" s="387"/>
      <c r="BW76" s="387"/>
      <c r="BX76" s="387"/>
      <c r="BY76" s="387"/>
      <c r="BZ76" s="387"/>
      <c r="CA76" s="387"/>
      <c r="CB76" s="387"/>
      <c r="CC76" s="387"/>
      <c r="CD76" s="387"/>
      <c r="CE76" s="387"/>
      <c r="CF76" s="387"/>
      <c r="CG76" s="387"/>
      <c r="CH76" s="387"/>
      <c r="CI76" s="387"/>
      <c r="CJ76" s="387"/>
      <c r="CK76" s="387"/>
      <c r="CL76" s="387"/>
      <c r="CM76" s="387"/>
      <c r="CN76" s="387"/>
      <c r="CO76" s="387"/>
      <c r="CP76" s="387"/>
      <c r="CQ76" s="387"/>
      <c r="CR76" s="387"/>
      <c r="CS76" s="387"/>
      <c r="CT76" s="387"/>
      <c r="CU76" s="387"/>
      <c r="CV76" s="387"/>
      <c r="CW76" s="387"/>
      <c r="CX76" s="387"/>
      <c r="CY76" s="387"/>
      <c r="CZ76" s="387"/>
      <c r="DA76" s="387"/>
      <c r="DB76" s="387"/>
      <c r="DC76" s="387"/>
      <c r="DD76" s="387"/>
      <c r="DE76" s="387"/>
      <c r="DF76" s="387"/>
      <c r="DG76" s="387"/>
      <c r="DH76" s="387"/>
      <c r="DI76" s="387"/>
      <c r="DJ76" s="387"/>
      <c r="DK76" s="387"/>
      <c r="DL76" s="387"/>
      <c r="DM76" s="387"/>
      <c r="DN76" s="387"/>
      <c r="DO76" s="387"/>
      <c r="DP76" s="387"/>
      <c r="DQ76" s="387"/>
      <c r="DR76" s="387"/>
      <c r="DS76" s="387"/>
      <c r="DT76" s="387"/>
      <c r="DU76" s="387"/>
      <c r="DV76" s="387"/>
      <c r="DW76" s="387"/>
      <c r="DX76" s="387"/>
      <c r="DY76" s="387"/>
      <c r="DZ76" s="387"/>
      <c r="EA76" s="387"/>
      <c r="EB76" s="387"/>
      <c r="EC76" s="387"/>
      <c r="ED76" s="387"/>
      <c r="EE76" s="387"/>
      <c r="EF76" s="387"/>
      <c r="EG76" s="387"/>
      <c r="EH76" s="387"/>
      <c r="EI76" s="387"/>
      <c r="EJ76" s="387"/>
      <c r="EK76" s="387"/>
      <c r="EL76" s="387"/>
      <c r="EM76" s="387"/>
      <c r="EN76" s="387"/>
      <c r="EO76" s="387"/>
      <c r="EP76" s="387"/>
      <c r="EQ76" s="387"/>
      <c r="ER76" s="387"/>
      <c r="ES76" s="387"/>
      <c r="ET76" s="387"/>
      <c r="EU76" s="387"/>
      <c r="EV76" s="387"/>
      <c r="EW76" s="387"/>
      <c r="EX76" s="387"/>
      <c r="EY76" s="387"/>
      <c r="EZ76" s="387"/>
      <c r="FA76" s="387"/>
      <c r="FB76" s="387"/>
      <c r="FC76" s="387"/>
      <c r="FD76" s="387"/>
      <c r="FE76" s="387"/>
      <c r="FF76" s="387"/>
      <c r="FG76" s="387"/>
      <c r="FH76" s="387"/>
      <c r="FI76" s="387"/>
      <c r="FJ76" s="387"/>
      <c r="FK76" s="387"/>
      <c r="FL76" s="387"/>
      <c r="FM76" s="387"/>
      <c r="FN76" s="387"/>
      <c r="FO76" s="387"/>
      <c r="FP76" s="387"/>
      <c r="FQ76" s="387"/>
      <c r="FR76" s="387"/>
      <c r="FS76" s="387"/>
      <c r="FT76" s="387"/>
      <c r="FU76" s="387"/>
      <c r="FV76" s="387"/>
      <c r="FW76" s="387"/>
      <c r="FX76" s="387"/>
      <c r="FY76" s="387"/>
      <c r="FZ76" s="387"/>
      <c r="GA76" s="387"/>
      <c r="GB76" s="387"/>
      <c r="GC76" s="387"/>
      <c r="GD76" s="387"/>
      <c r="GE76" s="387"/>
      <c r="GF76" s="387"/>
      <c r="GG76" s="387"/>
      <c r="GH76" s="387"/>
      <c r="GI76" s="387"/>
      <c r="GJ76" s="387"/>
      <c r="GK76" s="387"/>
      <c r="GL76" s="387"/>
      <c r="GM76" s="387"/>
      <c r="GN76" s="387"/>
      <c r="GO76" s="387"/>
      <c r="GP76" s="387"/>
      <c r="GQ76" s="387"/>
      <c r="GR76" s="387"/>
      <c r="GS76" s="387"/>
      <c r="GT76" s="387"/>
      <c r="GU76" s="387"/>
      <c r="GV76" s="387"/>
      <c r="GW76" s="387"/>
      <c r="GX76" s="387"/>
      <c r="GY76" s="387"/>
      <c r="GZ76" s="387"/>
      <c r="HA76" s="387"/>
      <c r="HB76" s="387"/>
      <c r="HC76" s="387"/>
      <c r="HD76" s="387"/>
      <c r="HE76" s="387"/>
      <c r="HF76" s="387"/>
      <c r="HG76" s="387"/>
      <c r="HH76" s="387"/>
      <c r="HI76" s="387"/>
      <c r="HJ76" s="387"/>
      <c r="HK76" s="387"/>
      <c r="HL76" s="387"/>
      <c r="HM76" s="387"/>
      <c r="HN76" s="387"/>
      <c r="HO76" s="387"/>
      <c r="HP76" s="387"/>
      <c r="HQ76" s="387"/>
      <c r="HR76" s="387"/>
      <c r="HS76" s="387"/>
      <c r="HT76" s="387"/>
      <c r="HU76" s="387"/>
      <c r="HV76" s="387"/>
      <c r="HW76" s="387"/>
      <c r="HX76" s="387"/>
      <c r="HY76" s="387"/>
      <c r="HZ76" s="387"/>
      <c r="IA76" s="387"/>
      <c r="IB76" s="387"/>
      <c r="IC76" s="387"/>
      <c r="ID76" s="387"/>
      <c r="IE76" s="387"/>
      <c r="IF76" s="387"/>
      <c r="IG76" s="387"/>
      <c r="IH76" s="387"/>
      <c r="II76" s="387"/>
      <c r="IJ76" s="387"/>
      <c r="IK76" s="387"/>
      <c r="IL76" s="387"/>
      <c r="IM76" s="387"/>
      <c r="IN76" s="387"/>
      <c r="IO76" s="387"/>
      <c r="IP76" s="387"/>
      <c r="IQ76" s="387"/>
      <c r="IR76" s="387"/>
      <c r="IS76" s="387"/>
      <c r="IT76" s="387"/>
      <c r="IU76" s="387"/>
      <c r="IV76" s="387"/>
      <c r="IW76" s="387"/>
      <c r="IX76" s="387"/>
      <c r="IY76" s="387"/>
      <c r="IZ76" s="387"/>
      <c r="JA76" s="387"/>
      <c r="JB76" s="387"/>
      <c r="JC76" s="387"/>
      <c r="JD76" s="387"/>
      <c r="JE76" s="387"/>
      <c r="JF76" s="387"/>
      <c r="JG76" s="387"/>
      <c r="JH76" s="387"/>
      <c r="JI76" s="387"/>
      <c r="JJ76" s="387"/>
      <c r="JK76" s="387"/>
      <c r="JL76" s="387"/>
      <c r="JM76" s="387"/>
      <c r="JN76" s="387"/>
      <c r="JO76" s="387"/>
      <c r="JP76" s="387"/>
      <c r="JQ76" s="387"/>
      <c r="JR76" s="387"/>
      <c r="JS76" s="387"/>
      <c r="JT76" s="387"/>
      <c r="JU76" s="387"/>
      <c r="JV76" s="387"/>
      <c r="JW76" s="387"/>
      <c r="JX76" s="387"/>
      <c r="JY76" s="387"/>
      <c r="JZ76" s="387"/>
      <c r="KA76" s="387"/>
      <c r="KB76" s="387"/>
      <c r="KC76" s="387"/>
      <c r="KD76" s="387"/>
      <c r="KE76" s="387"/>
      <c r="KF76" s="387"/>
      <c r="KG76" s="387"/>
      <c r="KH76" s="387"/>
      <c r="KI76" s="387"/>
      <c r="KJ76" s="387"/>
      <c r="KK76" s="387"/>
      <c r="KL76" s="387"/>
      <c r="KM76" s="387"/>
      <c r="KN76" s="387"/>
      <c r="KO76" s="387"/>
      <c r="KP76" s="387"/>
      <c r="KQ76" s="387"/>
      <c r="KR76" s="387"/>
      <c r="KS76" s="387"/>
      <c r="KT76" s="387"/>
      <c r="KU76" s="387"/>
      <c r="KV76" s="387"/>
      <c r="KW76" s="387"/>
      <c r="KX76" s="387"/>
      <c r="KY76" s="387"/>
      <c r="KZ76" s="387"/>
      <c r="LA76" s="387"/>
      <c r="LB76" s="387"/>
      <c r="LC76" s="387"/>
      <c r="LD76" s="387"/>
      <c r="LE76" s="387"/>
      <c r="LF76" s="387"/>
      <c r="LG76" s="387"/>
      <c r="LH76" s="387"/>
      <c r="LI76" s="387"/>
      <c r="LJ76" s="387"/>
      <c r="LK76" s="387"/>
      <c r="LL76" s="387"/>
      <c r="LM76" s="387"/>
      <c r="LN76" s="387"/>
      <c r="LO76" s="387"/>
      <c r="LP76" s="387"/>
      <c r="LQ76" s="387"/>
      <c r="LR76" s="387"/>
      <c r="LS76" s="387"/>
      <c r="LT76" s="387"/>
      <c r="LU76" s="387"/>
      <c r="LV76" s="387"/>
      <c r="LW76" s="387"/>
      <c r="LX76" s="387"/>
      <c r="LY76" s="387"/>
      <c r="LZ76" s="387"/>
      <c r="MA76" s="387"/>
      <c r="MB76" s="387"/>
      <c r="MC76" s="387"/>
      <c r="MD76" s="387"/>
      <c r="ME76" s="387"/>
      <c r="MF76" s="387"/>
      <c r="MG76" s="387"/>
      <c r="MH76" s="387"/>
      <c r="MI76" s="387"/>
      <c r="MJ76" s="387"/>
      <c r="MK76" s="387"/>
      <c r="ML76" s="387"/>
      <c r="MM76" s="387"/>
      <c r="MN76" s="387"/>
      <c r="MO76" s="387"/>
      <c r="MP76" s="387"/>
      <c r="MQ76" s="387"/>
      <c r="MR76" s="387"/>
      <c r="MS76" s="387"/>
      <c r="MT76" s="387"/>
      <c r="MU76" s="387"/>
      <c r="MV76" s="387"/>
      <c r="MW76" s="387"/>
      <c r="MX76" s="387"/>
      <c r="MY76" s="387"/>
      <c r="MZ76" s="387"/>
      <c r="NA76" s="387"/>
      <c r="NB76" s="387"/>
      <c r="NC76" s="387"/>
      <c r="ND76" s="387"/>
      <c r="NE76" s="387"/>
      <c r="NF76" s="387"/>
      <c r="NG76" s="387"/>
      <c r="NH76" s="387"/>
      <c r="NI76" s="387"/>
      <c r="NJ76" s="387"/>
      <c r="NK76" s="387"/>
      <c r="NL76" s="387"/>
      <c r="NM76" s="387"/>
      <c r="NN76" s="387"/>
      <c r="NO76" s="387"/>
      <c r="NP76" s="387"/>
      <c r="NQ76" s="387"/>
      <c r="NR76" s="387"/>
      <c r="NS76" s="387"/>
      <c r="NT76" s="387"/>
      <c r="NU76" s="387"/>
      <c r="NV76" s="387"/>
      <c r="NW76" s="387"/>
      <c r="NX76" s="387"/>
      <c r="NY76" s="387"/>
      <c r="NZ76" s="387"/>
      <c r="OA76" s="387"/>
      <c r="OB76" s="387"/>
      <c r="OC76" s="387"/>
      <c r="OD76" s="387"/>
      <c r="OE76" s="387"/>
      <c r="OF76" s="387"/>
      <c r="OG76" s="387"/>
      <c r="OH76" s="387"/>
      <c r="OI76" s="387"/>
      <c r="OJ76" s="387"/>
      <c r="OK76" s="387"/>
      <c r="OL76" s="387"/>
      <c r="OM76" s="387"/>
      <c r="ON76" s="387"/>
      <c r="OO76" s="387"/>
      <c r="OP76" s="387"/>
      <c r="OQ76" s="387"/>
      <c r="OR76" s="387"/>
      <c r="OS76" s="387"/>
      <c r="OT76" s="387"/>
      <c r="OU76" s="387"/>
      <c r="OV76" s="387"/>
      <c r="OW76" s="387"/>
      <c r="OX76" s="387"/>
      <c r="OY76" s="387"/>
      <c r="OZ76" s="387"/>
      <c r="PA76" s="387"/>
      <c r="PB76" s="387"/>
      <c r="PC76" s="387"/>
      <c r="PD76" s="387"/>
      <c r="PE76" s="387"/>
      <c r="PF76" s="387"/>
      <c r="PG76" s="387"/>
      <c r="PH76" s="387"/>
      <c r="PI76" s="387"/>
      <c r="PJ76" s="387"/>
      <c r="PK76" s="387"/>
      <c r="PL76" s="387"/>
      <c r="PM76" s="387"/>
      <c r="PN76" s="387"/>
      <c r="PO76" s="387"/>
      <c r="PP76" s="387"/>
      <c r="PQ76" s="387"/>
      <c r="PR76" s="387"/>
      <c r="PS76" s="387"/>
      <c r="PT76" s="387"/>
      <c r="PU76" s="387"/>
      <c r="PV76" s="387"/>
      <c r="PW76" s="387"/>
      <c r="PX76" s="387"/>
      <c r="PY76" s="387"/>
      <c r="PZ76" s="387"/>
      <c r="QA76" s="387"/>
      <c r="QB76" s="387"/>
      <c r="QC76" s="387"/>
      <c r="QD76" s="387"/>
      <c r="QE76" s="387"/>
      <c r="QF76" s="387"/>
      <c r="QG76" s="387"/>
      <c r="QH76" s="387"/>
      <c r="QI76" s="387"/>
      <c r="QJ76" s="387"/>
      <c r="QK76" s="387"/>
      <c r="QL76" s="387"/>
      <c r="QM76" s="387"/>
      <c r="QN76" s="387"/>
      <c r="QO76" s="387"/>
      <c r="QP76" s="387"/>
      <c r="QQ76" s="387"/>
      <c r="QR76" s="387"/>
      <c r="QS76" s="387"/>
      <c r="QT76" s="387"/>
      <c r="QU76" s="387"/>
      <c r="QV76" s="387"/>
      <c r="QW76" s="387"/>
      <c r="QX76" s="387"/>
      <c r="QY76" s="387"/>
      <c r="QZ76" s="387"/>
      <c r="RA76" s="387"/>
      <c r="RB76" s="387"/>
      <c r="RC76" s="387"/>
      <c r="RD76" s="387"/>
      <c r="RE76" s="387"/>
      <c r="RF76" s="387"/>
      <c r="RG76" s="387"/>
      <c r="RH76" s="387"/>
      <c r="RI76" s="387"/>
      <c r="RJ76" s="387"/>
      <c r="RK76" s="387"/>
      <c r="RL76" s="387"/>
      <c r="RM76" s="387"/>
      <c r="RN76" s="387"/>
      <c r="RO76" s="387"/>
      <c r="RP76" s="387"/>
      <c r="RQ76" s="387"/>
      <c r="RR76" s="387"/>
      <c r="RS76" s="387"/>
      <c r="RT76" s="387"/>
      <c r="RU76" s="387"/>
      <c r="RV76" s="387"/>
      <c r="RW76" s="387"/>
      <c r="RX76" s="387"/>
      <c r="RY76" s="387"/>
      <c r="RZ76" s="387"/>
      <c r="SA76" s="387"/>
      <c r="SB76" s="387"/>
      <c r="SC76" s="387"/>
      <c r="SD76" s="387"/>
      <c r="SE76" s="387"/>
      <c r="SF76" s="387"/>
      <c r="SG76" s="387"/>
      <c r="SH76" s="387"/>
      <c r="SI76" s="387"/>
      <c r="SJ76" s="387"/>
      <c r="SK76" s="387"/>
      <c r="SL76" s="387"/>
      <c r="SM76" s="387"/>
      <c r="SN76" s="387"/>
      <c r="SO76" s="387"/>
      <c r="SP76" s="387"/>
      <c r="SQ76" s="387"/>
      <c r="SR76" s="387"/>
      <c r="SS76" s="387"/>
      <c r="ST76" s="387"/>
      <c r="SU76" s="387"/>
      <c r="SV76" s="387"/>
      <c r="SW76" s="387"/>
      <c r="SX76" s="387"/>
      <c r="SY76" s="387"/>
      <c r="SZ76" s="387"/>
      <c r="TA76" s="387"/>
      <c r="TB76" s="387"/>
      <c r="TC76" s="387"/>
      <c r="TD76" s="387"/>
      <c r="TE76" s="387"/>
      <c r="TF76" s="387"/>
      <c r="TG76" s="387"/>
      <c r="TH76" s="387"/>
      <c r="TI76" s="387"/>
      <c r="TJ76" s="387"/>
      <c r="TK76" s="387"/>
      <c r="TL76" s="387"/>
      <c r="TM76" s="387"/>
      <c r="TN76" s="387"/>
      <c r="TO76" s="387"/>
      <c r="TP76" s="387"/>
      <c r="TQ76" s="387"/>
      <c r="TR76" s="387"/>
      <c r="TS76" s="387"/>
      <c r="TT76" s="387"/>
      <c r="TU76" s="387"/>
      <c r="TV76" s="387"/>
      <c r="TW76" s="387"/>
      <c r="TX76" s="387"/>
      <c r="TY76" s="387"/>
      <c r="TZ76" s="387"/>
      <c r="UA76" s="387"/>
      <c r="UB76" s="387"/>
      <c r="UC76" s="387"/>
      <c r="UD76" s="387"/>
      <c r="UE76" s="387"/>
      <c r="UF76" s="387"/>
      <c r="UG76" s="387"/>
      <c r="UH76" s="387"/>
      <c r="UI76" s="387"/>
      <c r="UJ76" s="387"/>
      <c r="UK76" s="387"/>
      <c r="UL76" s="387"/>
      <c r="UM76" s="387"/>
      <c r="UN76" s="387"/>
      <c r="UO76" s="387"/>
      <c r="UP76" s="387"/>
      <c r="UQ76" s="387"/>
      <c r="UR76" s="387"/>
      <c r="US76" s="387"/>
      <c r="UT76" s="387"/>
      <c r="UU76" s="387"/>
      <c r="UV76" s="387"/>
      <c r="UW76" s="387"/>
      <c r="UX76" s="387"/>
      <c r="UY76" s="387"/>
      <c r="UZ76" s="387"/>
      <c r="VA76" s="387"/>
      <c r="VB76" s="387"/>
      <c r="VC76" s="387"/>
      <c r="VD76" s="387"/>
      <c r="VE76" s="387"/>
      <c r="VF76" s="387"/>
      <c r="VG76" s="387"/>
      <c r="VH76" s="387"/>
      <c r="VI76" s="387"/>
      <c r="VJ76" s="387"/>
      <c r="VK76" s="387"/>
      <c r="VL76" s="387"/>
      <c r="VM76" s="387"/>
      <c r="VN76" s="387"/>
      <c r="VO76" s="387"/>
      <c r="VP76" s="387"/>
      <c r="VQ76" s="387"/>
      <c r="VR76" s="387"/>
      <c r="VS76" s="387"/>
      <c r="VT76" s="387"/>
      <c r="VU76" s="387"/>
      <c r="VV76" s="387"/>
      <c r="VW76" s="387"/>
      <c r="VX76" s="387"/>
      <c r="VY76" s="387"/>
      <c r="VZ76" s="387"/>
      <c r="WA76" s="387"/>
      <c r="WB76" s="387"/>
      <c r="WC76" s="387"/>
      <c r="WD76" s="387"/>
      <c r="WE76" s="387"/>
      <c r="WF76" s="387"/>
      <c r="WG76" s="387"/>
      <c r="WH76" s="387"/>
      <c r="WI76" s="387"/>
      <c r="WJ76" s="387"/>
      <c r="WK76" s="387"/>
      <c r="WL76" s="387"/>
      <c r="WM76" s="387"/>
      <c r="WN76" s="387"/>
      <c r="WO76" s="387"/>
      <c r="WP76" s="387"/>
      <c r="WQ76" s="387"/>
      <c r="WR76" s="387"/>
      <c r="WS76" s="387"/>
      <c r="WT76" s="387"/>
      <c r="WU76" s="387"/>
      <c r="WV76" s="387"/>
      <c r="WW76" s="387"/>
      <c r="WX76" s="387"/>
      <c r="WY76" s="387"/>
      <c r="WZ76" s="387"/>
      <c r="XA76" s="387"/>
      <c r="XB76" s="387"/>
      <c r="XC76" s="387"/>
      <c r="XD76" s="387"/>
      <c r="XE76" s="387"/>
      <c r="XF76" s="387"/>
      <c r="XG76" s="387"/>
      <c r="XH76" s="387"/>
      <c r="XI76" s="387"/>
      <c r="XJ76" s="387"/>
      <c r="XK76" s="387"/>
      <c r="XL76" s="387"/>
      <c r="XM76" s="387"/>
      <c r="XN76" s="387"/>
      <c r="XO76" s="387"/>
      <c r="XP76" s="387"/>
      <c r="XQ76" s="387"/>
      <c r="XR76" s="387"/>
      <c r="XS76" s="387"/>
      <c r="XT76" s="387"/>
      <c r="XU76" s="387"/>
      <c r="XV76" s="387"/>
      <c r="XW76" s="387"/>
      <c r="XX76" s="387"/>
      <c r="XY76" s="387"/>
      <c r="XZ76" s="387"/>
      <c r="YA76" s="387"/>
      <c r="YB76" s="387"/>
      <c r="YC76" s="387"/>
      <c r="YD76" s="387"/>
      <c r="YE76" s="387"/>
      <c r="YF76" s="387"/>
      <c r="YG76" s="387"/>
      <c r="YH76" s="387"/>
      <c r="YI76" s="387"/>
      <c r="YJ76" s="387"/>
      <c r="YK76" s="387"/>
      <c r="YL76" s="387"/>
      <c r="YM76" s="387"/>
      <c r="YN76" s="387"/>
      <c r="YO76" s="387"/>
      <c r="YP76" s="387"/>
      <c r="YQ76" s="387"/>
      <c r="YR76" s="387"/>
      <c r="YS76" s="387"/>
      <c r="YT76" s="387"/>
      <c r="YU76" s="387"/>
      <c r="YV76" s="387"/>
      <c r="YW76" s="387"/>
      <c r="YX76" s="387"/>
      <c r="YY76" s="387"/>
      <c r="YZ76" s="387"/>
      <c r="ZA76" s="387"/>
      <c r="ZB76" s="387"/>
      <c r="ZC76" s="387"/>
      <c r="ZD76" s="387"/>
      <c r="ZE76" s="387"/>
      <c r="ZF76" s="387"/>
      <c r="ZG76" s="387"/>
      <c r="ZH76" s="387"/>
      <c r="ZI76" s="387"/>
      <c r="ZJ76" s="387"/>
      <c r="ZK76" s="387"/>
      <c r="ZL76" s="387"/>
      <c r="ZM76" s="387"/>
      <c r="ZN76" s="387"/>
      <c r="ZO76" s="387"/>
      <c r="ZP76" s="387"/>
      <c r="ZQ76" s="387"/>
      <c r="ZR76" s="387"/>
      <c r="ZS76" s="387"/>
      <c r="ZT76" s="387"/>
      <c r="ZU76" s="387"/>
      <c r="ZV76" s="387"/>
      <c r="ZW76" s="387"/>
      <c r="ZX76" s="387"/>
      <c r="ZY76" s="387"/>
      <c r="ZZ76" s="387"/>
      <c r="AAA76" s="387"/>
      <c r="AAB76" s="387"/>
      <c r="AAC76" s="387"/>
      <c r="AAD76" s="387"/>
      <c r="AAE76" s="387"/>
      <c r="AAF76" s="387"/>
      <c r="AAG76" s="387"/>
      <c r="AAH76" s="387"/>
      <c r="AAI76" s="387"/>
      <c r="AAJ76" s="387"/>
      <c r="AAK76" s="387"/>
      <c r="AAL76" s="387"/>
      <c r="AAM76" s="387"/>
      <c r="AAN76" s="387"/>
      <c r="AAO76" s="387"/>
      <c r="AAP76" s="387"/>
      <c r="AAQ76" s="387"/>
      <c r="AAR76" s="387"/>
      <c r="AAS76" s="387"/>
      <c r="AAT76" s="387"/>
      <c r="AAU76" s="387"/>
      <c r="AAV76" s="387"/>
      <c r="AAW76" s="387"/>
      <c r="AAX76" s="387"/>
      <c r="AAY76" s="387"/>
      <c r="AAZ76" s="387"/>
      <c r="ABA76" s="387"/>
      <c r="ABB76" s="387"/>
      <c r="ABC76" s="387"/>
      <c r="ABD76" s="387"/>
      <c r="ABE76" s="387"/>
      <c r="ABF76" s="387"/>
      <c r="ABG76" s="387"/>
      <c r="ABH76" s="387"/>
      <c r="ABI76" s="387"/>
      <c r="ABJ76" s="387"/>
      <c r="ABK76" s="387"/>
      <c r="ABL76" s="387"/>
      <c r="ABM76" s="387"/>
      <c r="ABN76" s="387"/>
      <c r="ABO76" s="387"/>
      <c r="ABP76" s="387"/>
      <c r="ABQ76" s="387"/>
      <c r="ABR76" s="387"/>
      <c r="ABS76" s="387"/>
      <c r="ABT76" s="387"/>
      <c r="ABU76" s="387"/>
      <c r="ABV76" s="387"/>
      <c r="ABW76" s="387"/>
      <c r="ABX76" s="387"/>
      <c r="ABY76" s="387"/>
      <c r="ABZ76" s="387"/>
      <c r="ACA76" s="387"/>
      <c r="ACB76" s="387"/>
      <c r="ACC76" s="387"/>
      <c r="ACD76" s="387"/>
      <c r="ACE76" s="387"/>
      <c r="ACF76" s="387"/>
      <c r="ACG76" s="387"/>
      <c r="ACH76" s="387"/>
      <c r="ACI76" s="387"/>
      <c r="ACJ76" s="387"/>
      <c r="ACK76" s="387"/>
      <c r="ACL76" s="387"/>
      <c r="ACM76" s="387"/>
      <c r="ACN76" s="387"/>
      <c r="ACO76" s="387"/>
      <c r="ACP76" s="387"/>
      <c r="ACQ76" s="387"/>
      <c r="ACR76" s="387"/>
      <c r="ACS76" s="387"/>
      <c r="ACT76" s="387"/>
      <c r="ACU76" s="387"/>
      <c r="ACV76" s="387"/>
      <c r="ACW76" s="387"/>
      <c r="ACX76" s="387"/>
      <c r="ACY76" s="387"/>
      <c r="ACZ76" s="387"/>
      <c r="ADA76" s="387"/>
      <c r="ADB76" s="387"/>
      <c r="ADC76" s="387"/>
      <c r="ADD76" s="387"/>
      <c r="ADE76" s="387"/>
      <c r="ADF76" s="387"/>
      <c r="ADG76" s="387"/>
      <c r="ADH76" s="387"/>
      <c r="ADI76" s="387"/>
      <c r="ADJ76" s="387"/>
      <c r="ADK76" s="387"/>
      <c r="ADL76" s="387"/>
      <c r="ADM76" s="387"/>
      <c r="ADN76" s="387"/>
      <c r="ADO76" s="387"/>
      <c r="ADP76" s="387"/>
      <c r="ADQ76" s="387"/>
      <c r="ADR76" s="387"/>
      <c r="ADS76" s="387"/>
      <c r="ADT76" s="387"/>
      <c r="ADU76" s="387"/>
      <c r="ADV76" s="387"/>
      <c r="ADW76" s="387"/>
      <c r="ADX76" s="387"/>
      <c r="ADY76" s="387"/>
      <c r="ADZ76" s="387"/>
      <c r="AEA76" s="387"/>
      <c r="AEB76" s="387"/>
      <c r="AEC76" s="387"/>
      <c r="AED76" s="387"/>
      <c r="AEE76" s="387"/>
      <c r="AEF76" s="387"/>
      <c r="AEG76" s="387"/>
      <c r="AEH76" s="387"/>
      <c r="AEI76" s="387"/>
      <c r="AEJ76" s="387"/>
      <c r="AEK76" s="387"/>
      <c r="AEL76" s="387"/>
      <c r="AEM76" s="387"/>
      <c r="AEN76" s="387"/>
      <c r="AEO76" s="387"/>
      <c r="AEP76" s="387"/>
      <c r="AEQ76" s="387"/>
      <c r="AER76" s="387"/>
      <c r="AES76" s="387"/>
      <c r="AET76" s="387"/>
      <c r="AEU76" s="387"/>
      <c r="AEV76" s="387"/>
      <c r="AEW76" s="387"/>
      <c r="AEX76" s="387"/>
      <c r="AEY76" s="387"/>
      <c r="AEZ76" s="387"/>
      <c r="AFA76" s="387"/>
      <c r="AFB76" s="387"/>
      <c r="AFC76" s="387"/>
      <c r="AFD76" s="387"/>
      <c r="AFE76" s="387"/>
      <c r="AFF76" s="387"/>
      <c r="AFG76" s="387"/>
      <c r="AFH76" s="387"/>
      <c r="AFI76" s="387"/>
      <c r="AFJ76" s="387"/>
      <c r="AFK76" s="387"/>
      <c r="AFL76" s="387"/>
      <c r="AFM76" s="387"/>
      <c r="AFN76" s="387"/>
      <c r="AFO76" s="387"/>
      <c r="AFP76" s="387"/>
      <c r="AFQ76" s="387"/>
      <c r="AFR76" s="387"/>
      <c r="AFS76" s="387"/>
      <c r="AFT76" s="387"/>
      <c r="AFU76" s="387"/>
      <c r="AFV76" s="387"/>
      <c r="AFW76" s="387"/>
      <c r="AFX76" s="387"/>
      <c r="AFY76" s="387"/>
      <c r="AFZ76" s="387"/>
      <c r="AGA76" s="387"/>
      <c r="AGB76" s="387"/>
      <c r="AGC76" s="387"/>
      <c r="AGD76" s="387"/>
      <c r="AGE76" s="387"/>
      <c r="AGF76" s="387"/>
      <c r="AGG76" s="387"/>
      <c r="AGH76" s="387"/>
      <c r="AGI76" s="387"/>
      <c r="AGJ76" s="387"/>
      <c r="AGK76" s="387"/>
      <c r="AGL76" s="387"/>
      <c r="AGM76" s="387"/>
      <c r="AGN76" s="387"/>
      <c r="AGO76" s="387"/>
      <c r="AGP76" s="387"/>
      <c r="AGQ76" s="387"/>
      <c r="AGR76" s="387"/>
      <c r="AGS76" s="387"/>
      <c r="AGT76" s="387"/>
      <c r="AGU76" s="387"/>
      <c r="AGV76" s="387"/>
      <c r="AGW76" s="387"/>
      <c r="AGX76" s="387"/>
      <c r="AGY76" s="387"/>
      <c r="AGZ76" s="387"/>
      <c r="AHA76" s="387"/>
      <c r="AHB76" s="387"/>
      <c r="AHC76" s="387"/>
      <c r="AHD76" s="387"/>
      <c r="AHE76" s="387"/>
      <c r="AHF76" s="387"/>
      <c r="AHG76" s="387"/>
      <c r="AHH76" s="387"/>
      <c r="AHI76" s="387"/>
      <c r="AHJ76" s="387"/>
      <c r="AHK76" s="387"/>
      <c r="AHL76" s="387"/>
      <c r="AHM76" s="387"/>
      <c r="AHN76" s="387"/>
      <c r="AHO76" s="387"/>
      <c r="AHP76" s="387"/>
      <c r="AHQ76" s="387"/>
      <c r="AHR76" s="387"/>
      <c r="AHS76" s="387"/>
      <c r="AHT76" s="387"/>
      <c r="AHU76" s="387"/>
      <c r="AHV76" s="387"/>
      <c r="AHW76" s="387"/>
      <c r="AHX76" s="387"/>
      <c r="AHY76" s="387"/>
      <c r="AHZ76" s="387"/>
      <c r="AIA76" s="387"/>
      <c r="AIB76" s="387"/>
      <c r="AIC76" s="387"/>
      <c r="AID76" s="387"/>
      <c r="AIE76" s="387"/>
      <c r="AIF76" s="387"/>
      <c r="AIG76" s="387"/>
      <c r="AIH76" s="387"/>
      <c r="AII76" s="387"/>
      <c r="AIJ76" s="387"/>
      <c r="AIK76" s="387"/>
      <c r="AIL76" s="387"/>
      <c r="AIM76" s="387"/>
      <c r="AIN76" s="387"/>
      <c r="AIO76" s="387"/>
      <c r="AIP76" s="387"/>
      <c r="AIQ76" s="387"/>
      <c r="AIR76" s="387"/>
      <c r="AIS76" s="387"/>
      <c r="AIT76" s="387"/>
      <c r="AIU76" s="387"/>
      <c r="AIV76" s="387"/>
      <c r="AIW76" s="387"/>
      <c r="AIX76" s="387"/>
      <c r="AIY76" s="387"/>
      <c r="AIZ76" s="387"/>
      <c r="AJA76" s="387"/>
      <c r="AJB76" s="387"/>
      <c r="AJC76" s="387"/>
      <c r="AJD76" s="387"/>
      <c r="AJE76" s="387"/>
      <c r="AJF76" s="387"/>
      <c r="AJG76" s="387"/>
      <c r="AJH76" s="387"/>
      <c r="AJI76" s="387"/>
      <c r="AJJ76" s="387"/>
      <c r="AJK76" s="387"/>
      <c r="AJL76" s="387"/>
      <c r="AJM76" s="387"/>
      <c r="AJN76" s="387"/>
      <c r="AJO76" s="387"/>
      <c r="AJP76" s="387"/>
      <c r="AJQ76" s="387"/>
      <c r="AJR76" s="387"/>
      <c r="AJS76" s="387"/>
      <c r="AJT76" s="387"/>
      <c r="AJU76" s="387"/>
      <c r="AJV76" s="387"/>
      <c r="AJW76" s="387"/>
      <c r="AJX76" s="387"/>
      <c r="AJY76" s="387"/>
      <c r="AJZ76" s="387"/>
      <c r="AKA76" s="387"/>
      <c r="AKB76" s="387"/>
      <c r="AKC76" s="387"/>
      <c r="AKD76" s="387"/>
      <c r="AKE76" s="387"/>
      <c r="AKF76" s="387"/>
      <c r="AKG76" s="387"/>
      <c r="AKH76" s="387"/>
      <c r="AKI76" s="387"/>
      <c r="AKJ76" s="387"/>
      <c r="AKK76" s="387"/>
      <c r="AKL76" s="387"/>
      <c r="AKM76" s="387"/>
      <c r="AKN76" s="387"/>
      <c r="AKO76" s="387"/>
      <c r="AKP76" s="387"/>
      <c r="AKQ76" s="387"/>
      <c r="AKR76" s="387"/>
      <c r="AKS76" s="387"/>
      <c r="AKT76" s="387"/>
      <c r="AKU76" s="387"/>
      <c r="AKV76" s="387"/>
      <c r="AKW76" s="387"/>
      <c r="AKX76" s="387"/>
      <c r="AKY76" s="387"/>
      <c r="AKZ76" s="387"/>
      <c r="ALA76" s="387"/>
      <c r="ALB76" s="387"/>
      <c r="ALC76" s="387"/>
      <c r="ALD76" s="387"/>
      <c r="ALE76" s="387"/>
      <c r="ALF76" s="387"/>
      <c r="ALG76" s="387"/>
      <c r="ALH76" s="387"/>
      <c r="ALI76" s="387"/>
      <c r="ALJ76" s="387"/>
      <c r="ALK76" s="387"/>
      <c r="ALL76" s="387"/>
      <c r="ALM76" s="387"/>
      <c r="ALN76" s="387"/>
      <c r="ALO76" s="387"/>
      <c r="ALP76" s="387"/>
      <c r="ALQ76" s="387"/>
      <c r="ALR76" s="387"/>
      <c r="ALS76" s="387"/>
      <c r="ALT76" s="387"/>
      <c r="ALU76" s="387"/>
      <c r="ALV76" s="387"/>
      <c r="ALW76" s="387"/>
      <c r="ALX76" s="387"/>
      <c r="ALY76" s="387"/>
      <c r="ALZ76" s="387"/>
      <c r="AMA76" s="387"/>
      <c r="AMB76" s="387"/>
      <c r="AMC76" s="387"/>
      <c r="AMD76" s="387"/>
      <c r="AME76" s="387"/>
      <c r="AMF76" s="387"/>
      <c r="AMG76" s="387"/>
      <c r="AMH76" s="387"/>
      <c r="AMI76" s="387"/>
      <c r="AMJ76" s="387"/>
      <c r="AMK76" s="387"/>
      <c r="AML76" s="387"/>
      <c r="AMM76" s="387"/>
      <c r="AMN76" s="387"/>
      <c r="AMO76" s="387"/>
      <c r="AMP76" s="387"/>
      <c r="AMQ76" s="387"/>
      <c r="AMR76" s="387"/>
      <c r="AMS76" s="387"/>
      <c r="AMT76" s="387"/>
      <c r="AMU76" s="387"/>
      <c r="AMV76" s="387"/>
      <c r="AMW76" s="387"/>
      <c r="AMX76" s="387"/>
      <c r="AMY76" s="387"/>
      <c r="AMZ76" s="387"/>
      <c r="ANA76" s="387"/>
      <c r="ANB76" s="387"/>
      <c r="ANC76" s="387"/>
      <c r="AND76" s="387"/>
      <c r="ANE76" s="387"/>
      <c r="ANF76" s="387"/>
      <c r="ANG76" s="387"/>
      <c r="ANH76" s="387"/>
      <c r="ANI76" s="387"/>
      <c r="ANJ76" s="387"/>
      <c r="ANK76" s="387"/>
      <c r="ANL76" s="387"/>
      <c r="ANM76" s="387"/>
      <c r="ANN76" s="387"/>
      <c r="ANO76" s="387"/>
      <c r="ANP76" s="387"/>
      <c r="ANQ76" s="387"/>
      <c r="ANR76" s="387"/>
      <c r="ANS76" s="387"/>
      <c r="ANT76" s="387"/>
      <c r="ANU76" s="387"/>
      <c r="ANV76" s="387"/>
      <c r="ANW76" s="387"/>
      <c r="ANX76" s="387"/>
      <c r="ANY76" s="387"/>
      <c r="ANZ76" s="387"/>
      <c r="AOA76" s="387"/>
      <c r="AOB76" s="387"/>
      <c r="AOC76" s="387"/>
      <c r="AOD76" s="387"/>
      <c r="AOE76" s="387"/>
      <c r="AOF76" s="387"/>
      <c r="AOG76" s="387"/>
      <c r="AOH76" s="387"/>
      <c r="AOI76" s="387"/>
      <c r="AOJ76" s="387"/>
      <c r="AOK76" s="387"/>
      <c r="AOL76" s="387"/>
      <c r="AOM76" s="387"/>
      <c r="AON76" s="387"/>
      <c r="AOO76" s="387"/>
      <c r="AOP76" s="387"/>
      <c r="AOQ76" s="387"/>
      <c r="AOR76" s="387"/>
      <c r="AOS76" s="387"/>
      <c r="AOT76" s="387"/>
      <c r="AOU76" s="387"/>
      <c r="AOV76" s="387"/>
      <c r="AOW76" s="387"/>
      <c r="AOX76" s="387"/>
      <c r="AOY76" s="387"/>
      <c r="AOZ76" s="387"/>
      <c r="APA76" s="387"/>
      <c r="APB76" s="387"/>
      <c r="APC76" s="387"/>
      <c r="APD76" s="387"/>
      <c r="APE76" s="387"/>
      <c r="APF76" s="387"/>
      <c r="APG76" s="387"/>
      <c r="APH76" s="387"/>
      <c r="API76" s="387"/>
      <c r="APJ76" s="387"/>
      <c r="APK76" s="387"/>
      <c r="APL76" s="387"/>
      <c r="APM76" s="387"/>
      <c r="APN76" s="387"/>
      <c r="APO76" s="387"/>
      <c r="APP76" s="387"/>
      <c r="APQ76" s="387"/>
      <c r="APR76" s="387"/>
      <c r="APS76" s="387"/>
      <c r="APT76" s="387"/>
      <c r="APU76" s="387"/>
      <c r="APV76" s="387"/>
      <c r="APW76" s="387"/>
      <c r="APX76" s="387"/>
      <c r="APY76" s="387"/>
      <c r="APZ76" s="387"/>
      <c r="AQA76" s="387"/>
      <c r="AQB76" s="387"/>
      <c r="AQC76" s="387"/>
      <c r="AQD76" s="387"/>
      <c r="AQE76" s="387"/>
      <c r="AQF76" s="387"/>
      <c r="AQG76" s="387"/>
      <c r="AQH76" s="387"/>
      <c r="AQI76" s="387"/>
      <c r="AQJ76" s="387"/>
      <c r="AQK76" s="387"/>
      <c r="AQL76" s="387"/>
      <c r="AQM76" s="387"/>
      <c r="AQN76" s="387"/>
      <c r="AQO76" s="387"/>
      <c r="AQP76" s="387"/>
      <c r="AQQ76" s="387"/>
      <c r="AQR76" s="387"/>
      <c r="AQS76" s="387"/>
      <c r="AQT76" s="387"/>
      <c r="AQU76" s="387"/>
      <c r="AQV76" s="387"/>
      <c r="AQW76" s="387"/>
      <c r="AQX76" s="387"/>
      <c r="AQY76" s="387"/>
      <c r="AQZ76" s="387"/>
      <c r="ARA76" s="387"/>
      <c r="ARB76" s="387"/>
      <c r="ARC76" s="387"/>
      <c r="ARD76" s="387"/>
      <c r="ARE76" s="387"/>
      <c r="ARF76" s="387"/>
      <c r="ARG76" s="387"/>
      <c r="ARH76" s="387"/>
      <c r="ARI76" s="387"/>
      <c r="ARJ76" s="387"/>
      <c r="ARK76" s="387"/>
      <c r="ARL76" s="387"/>
      <c r="ARM76" s="387"/>
      <c r="ARN76" s="387"/>
      <c r="ARO76" s="387"/>
      <c r="ARP76" s="387"/>
      <c r="ARQ76" s="387"/>
      <c r="ARR76" s="387"/>
      <c r="ARS76" s="387"/>
      <c r="ART76" s="387"/>
      <c r="ARU76" s="387"/>
      <c r="ARV76" s="387"/>
      <c r="ARW76" s="387"/>
      <c r="ARX76" s="387"/>
      <c r="ARY76" s="387"/>
      <c r="ARZ76" s="387"/>
      <c r="ASA76" s="387"/>
      <c r="ASB76" s="387"/>
      <c r="ASC76" s="387"/>
      <c r="ASD76" s="387"/>
      <c r="ASE76" s="387"/>
      <c r="ASF76" s="387"/>
      <c r="ASG76" s="387"/>
      <c r="ASH76" s="387"/>
      <c r="ASI76" s="387"/>
      <c r="ASJ76" s="387"/>
      <c r="ASK76" s="387"/>
      <c r="ASL76" s="387"/>
      <c r="ASM76" s="387"/>
      <c r="ASN76" s="387"/>
      <c r="ASO76" s="387"/>
      <c r="ASP76" s="387"/>
      <c r="ASQ76" s="387"/>
      <c r="ASR76" s="387"/>
      <c r="ASS76" s="387"/>
      <c r="AST76" s="387"/>
      <c r="ASU76" s="387"/>
      <c r="ASV76" s="387"/>
      <c r="ASW76" s="387"/>
      <c r="ASX76" s="387"/>
      <c r="ASY76" s="387"/>
      <c r="ASZ76" s="387"/>
      <c r="ATA76" s="387"/>
      <c r="ATB76" s="387"/>
      <c r="ATC76" s="387"/>
      <c r="ATD76" s="387"/>
      <c r="ATE76" s="387"/>
      <c r="ATF76" s="387"/>
      <c r="ATG76" s="387"/>
      <c r="ATH76" s="387"/>
      <c r="ATI76" s="387"/>
      <c r="ATJ76" s="387"/>
      <c r="ATK76" s="387"/>
      <c r="ATL76" s="387"/>
      <c r="ATM76" s="387"/>
      <c r="ATN76" s="387"/>
      <c r="ATO76" s="387"/>
      <c r="ATP76" s="387"/>
      <c r="ATQ76" s="387"/>
      <c r="ATR76" s="387"/>
      <c r="ATS76" s="387"/>
      <c r="ATT76" s="387"/>
      <c r="ATU76" s="387"/>
      <c r="ATV76" s="387"/>
      <c r="ATW76" s="387"/>
      <c r="ATX76" s="387"/>
      <c r="ATY76" s="387"/>
      <c r="ATZ76" s="387"/>
      <c r="AUA76" s="387"/>
      <c r="AUB76" s="387"/>
      <c r="AUC76" s="387"/>
      <c r="AUD76" s="387"/>
      <c r="AUE76" s="387"/>
      <c r="AUF76" s="387"/>
      <c r="AUG76" s="387"/>
      <c r="AUH76" s="387"/>
      <c r="AUI76" s="387"/>
      <c r="AUJ76" s="387"/>
      <c r="AUK76" s="387"/>
      <c r="AUL76" s="387"/>
      <c r="AUM76" s="387"/>
      <c r="AUN76" s="387"/>
      <c r="AUO76" s="387"/>
      <c r="AUP76" s="387"/>
      <c r="AUQ76" s="387"/>
      <c r="AUR76" s="387"/>
      <c r="AUS76" s="387"/>
      <c r="AUT76" s="387"/>
      <c r="AUU76" s="387"/>
      <c r="AUV76" s="387"/>
      <c r="AUW76" s="387"/>
      <c r="AUX76" s="387"/>
      <c r="AUY76" s="387"/>
      <c r="AUZ76" s="387"/>
      <c r="AVA76" s="387"/>
      <c r="AVB76" s="387"/>
      <c r="AVC76" s="387"/>
      <c r="AVD76" s="387"/>
      <c r="AVE76" s="387"/>
      <c r="AVF76" s="387"/>
      <c r="AVG76" s="387"/>
      <c r="AVH76" s="387"/>
      <c r="AVI76" s="387"/>
      <c r="AVJ76" s="387"/>
      <c r="AVK76" s="387"/>
      <c r="AVL76" s="387"/>
      <c r="AVM76" s="387"/>
      <c r="AVN76" s="387"/>
      <c r="AVO76" s="387"/>
      <c r="AVP76" s="387"/>
      <c r="AVQ76" s="387"/>
      <c r="AVR76" s="387"/>
      <c r="AVS76" s="387"/>
      <c r="AVT76" s="387"/>
      <c r="AVU76" s="387"/>
      <c r="AVV76" s="387"/>
      <c r="AVW76" s="387"/>
      <c r="AVX76" s="387"/>
      <c r="AVY76" s="387"/>
      <c r="AVZ76" s="387"/>
      <c r="AWA76" s="387"/>
      <c r="AWB76" s="387"/>
      <c r="AWC76" s="387"/>
      <c r="AWD76" s="387"/>
      <c r="AWE76" s="387"/>
      <c r="AWF76" s="387"/>
      <c r="AWG76" s="387"/>
      <c r="AWH76" s="387"/>
      <c r="AWI76" s="387"/>
      <c r="AWJ76" s="387"/>
      <c r="AWK76" s="387"/>
      <c r="AWL76" s="387"/>
      <c r="AWM76" s="387"/>
      <c r="AWN76" s="387"/>
      <c r="AWO76" s="387"/>
      <c r="AWP76" s="387"/>
      <c r="AWQ76" s="387"/>
      <c r="AWR76" s="387"/>
      <c r="AWS76" s="387"/>
      <c r="AWT76" s="387"/>
      <c r="AWU76" s="387"/>
      <c r="AWV76" s="387"/>
      <c r="AWW76" s="387"/>
      <c r="AWX76" s="387"/>
      <c r="AWY76" s="387"/>
      <c r="AWZ76" s="387"/>
      <c r="AXA76" s="387"/>
      <c r="AXB76" s="387"/>
      <c r="AXC76" s="387"/>
      <c r="AXD76" s="387"/>
      <c r="AXE76" s="387"/>
      <c r="AXF76" s="387"/>
      <c r="AXG76" s="387"/>
      <c r="AXH76" s="387"/>
      <c r="AXI76" s="387"/>
      <c r="AXJ76" s="387"/>
      <c r="AXK76" s="387"/>
      <c r="AXL76" s="387"/>
      <c r="AXM76" s="387"/>
      <c r="AXN76" s="387"/>
      <c r="AXO76" s="387"/>
      <c r="AXP76" s="387"/>
      <c r="AXQ76" s="387"/>
      <c r="AXR76" s="387"/>
      <c r="AXS76" s="387"/>
      <c r="AXT76" s="387"/>
      <c r="AXU76" s="387"/>
      <c r="AXV76" s="387"/>
      <c r="AXW76" s="387"/>
      <c r="AXX76" s="387"/>
      <c r="AXY76" s="387"/>
      <c r="AXZ76" s="387"/>
      <c r="AYA76" s="387"/>
      <c r="AYB76" s="387"/>
      <c r="AYC76" s="387"/>
      <c r="AYD76" s="387"/>
      <c r="AYE76" s="387"/>
      <c r="AYF76" s="387"/>
      <c r="AYG76" s="387"/>
      <c r="AYH76" s="387"/>
      <c r="AYI76" s="387"/>
      <c r="AYJ76" s="387"/>
      <c r="AYK76" s="387"/>
      <c r="AYL76" s="387"/>
      <c r="AYM76" s="387"/>
      <c r="AYN76" s="387"/>
      <c r="AYO76" s="387"/>
      <c r="AYP76" s="387"/>
      <c r="AYQ76" s="387"/>
      <c r="AYR76" s="387"/>
      <c r="AYS76" s="387"/>
      <c r="AYT76" s="387"/>
      <c r="AYU76" s="387"/>
      <c r="AYV76" s="387"/>
      <c r="AYW76" s="387"/>
      <c r="AYX76" s="387"/>
      <c r="AYY76" s="387"/>
      <c r="AYZ76" s="387"/>
      <c r="AZA76" s="387"/>
      <c r="AZB76" s="387"/>
      <c r="AZC76" s="387"/>
      <c r="AZD76" s="387"/>
      <c r="AZE76" s="387"/>
      <c r="AZF76" s="387"/>
      <c r="AZG76" s="387"/>
      <c r="AZH76" s="387"/>
      <c r="AZI76" s="387"/>
      <c r="AZJ76" s="387"/>
      <c r="AZK76" s="387"/>
      <c r="AZL76" s="387"/>
      <c r="AZM76" s="387"/>
      <c r="AZN76" s="387"/>
      <c r="AZO76" s="387"/>
      <c r="AZP76" s="387"/>
      <c r="AZQ76" s="387"/>
      <c r="AZR76" s="387"/>
      <c r="AZS76" s="387"/>
      <c r="AZT76" s="387"/>
      <c r="AZU76" s="387"/>
      <c r="AZV76" s="387"/>
      <c r="AZW76" s="387"/>
      <c r="AZX76" s="387"/>
      <c r="AZY76" s="387"/>
      <c r="AZZ76" s="387"/>
      <c r="BAA76" s="387"/>
      <c r="BAB76" s="387"/>
      <c r="BAC76" s="387"/>
      <c r="BAD76" s="387"/>
      <c r="BAE76" s="387"/>
      <c r="BAF76" s="387"/>
      <c r="BAG76" s="387"/>
      <c r="BAH76" s="387"/>
      <c r="BAI76" s="387"/>
      <c r="BAJ76" s="387"/>
      <c r="BAK76" s="387"/>
      <c r="BAL76" s="387"/>
      <c r="BAM76" s="387"/>
      <c r="BAN76" s="387"/>
      <c r="BAO76" s="387"/>
      <c r="BAP76" s="387"/>
      <c r="BAQ76" s="387"/>
      <c r="BAR76" s="387"/>
      <c r="BAS76" s="387"/>
      <c r="BAT76" s="387"/>
      <c r="BAU76" s="387"/>
      <c r="BAV76" s="387"/>
      <c r="BAW76" s="387"/>
      <c r="BAX76" s="387"/>
      <c r="BAY76" s="387"/>
      <c r="BAZ76" s="387"/>
      <c r="BBA76" s="387"/>
      <c r="BBB76" s="387"/>
      <c r="BBC76" s="387"/>
      <c r="BBD76" s="387"/>
      <c r="BBE76" s="387"/>
      <c r="BBF76" s="387"/>
      <c r="BBG76" s="387"/>
      <c r="BBH76" s="387"/>
      <c r="BBI76" s="387"/>
      <c r="BBJ76" s="387"/>
      <c r="BBK76" s="387"/>
      <c r="BBL76" s="387"/>
      <c r="BBM76" s="387"/>
      <c r="BBN76" s="387"/>
      <c r="BBO76" s="387"/>
      <c r="BBP76" s="387"/>
      <c r="BBQ76" s="387"/>
      <c r="BBR76" s="387"/>
      <c r="BBS76" s="387"/>
      <c r="BBT76" s="387"/>
      <c r="BBU76" s="387"/>
      <c r="BBV76" s="387"/>
      <c r="BBW76" s="387"/>
      <c r="BBX76" s="387"/>
      <c r="BBY76" s="387"/>
      <c r="BBZ76" s="387"/>
      <c r="BCA76" s="387"/>
      <c r="BCB76" s="387"/>
      <c r="BCC76" s="387"/>
      <c r="BCD76" s="387"/>
      <c r="BCE76" s="387"/>
      <c r="BCF76" s="387"/>
      <c r="BCG76" s="387"/>
      <c r="BCH76" s="387"/>
      <c r="BCI76" s="387"/>
      <c r="BCJ76" s="387"/>
      <c r="BCK76" s="387"/>
      <c r="BCL76" s="387"/>
      <c r="BCM76" s="387"/>
      <c r="BCN76" s="387"/>
      <c r="BCO76" s="387"/>
      <c r="BCP76" s="387"/>
      <c r="BCQ76" s="387"/>
      <c r="BCR76" s="387"/>
      <c r="BCS76" s="387"/>
      <c r="BCT76" s="387"/>
      <c r="BCU76" s="387"/>
      <c r="BCV76" s="387"/>
      <c r="BCW76" s="387"/>
      <c r="BCX76" s="387"/>
      <c r="BCY76" s="387"/>
      <c r="BCZ76" s="387"/>
      <c r="BDA76" s="387"/>
      <c r="BDB76" s="387"/>
      <c r="BDC76" s="387"/>
      <c r="BDD76" s="387"/>
      <c r="BDE76" s="387"/>
      <c r="BDF76" s="387"/>
      <c r="BDG76" s="387"/>
      <c r="BDH76" s="387"/>
      <c r="BDI76" s="387"/>
      <c r="BDJ76" s="387"/>
      <c r="BDK76" s="387"/>
      <c r="BDL76" s="387"/>
      <c r="BDM76" s="387"/>
      <c r="BDN76" s="387"/>
      <c r="BDO76" s="387"/>
      <c r="BDP76" s="387"/>
      <c r="BDQ76" s="387"/>
      <c r="BDR76" s="387"/>
      <c r="BDS76" s="387"/>
      <c r="BDT76" s="387"/>
      <c r="BDU76" s="387"/>
      <c r="BDV76" s="387"/>
      <c r="BDW76" s="387"/>
      <c r="BDX76" s="387"/>
      <c r="BDY76" s="387"/>
      <c r="BDZ76" s="387"/>
      <c r="BEA76" s="387"/>
      <c r="BEB76" s="387"/>
      <c r="BEC76" s="387"/>
      <c r="BED76" s="387"/>
      <c r="BEE76" s="387"/>
      <c r="BEF76" s="387"/>
      <c r="BEG76" s="387"/>
      <c r="BEH76" s="387"/>
      <c r="BEI76" s="387"/>
      <c r="BEJ76" s="387"/>
      <c r="BEK76" s="387"/>
      <c r="BEL76" s="387"/>
      <c r="BEM76" s="387"/>
      <c r="BEN76" s="387"/>
      <c r="BEO76" s="387"/>
      <c r="BEP76" s="387"/>
      <c r="BEQ76" s="387"/>
      <c r="BER76" s="387"/>
      <c r="BES76" s="387"/>
      <c r="BET76" s="387"/>
      <c r="BEU76" s="387"/>
      <c r="BEV76" s="387"/>
      <c r="BEW76" s="387"/>
      <c r="BEX76" s="387"/>
      <c r="BEY76" s="387"/>
      <c r="BEZ76" s="387"/>
      <c r="BFA76" s="387"/>
      <c r="BFB76" s="387"/>
      <c r="BFC76" s="387"/>
      <c r="BFD76" s="387"/>
      <c r="BFE76" s="387"/>
      <c r="BFF76" s="387"/>
      <c r="BFG76" s="387"/>
      <c r="BFH76" s="387"/>
      <c r="BFI76" s="387"/>
      <c r="BFJ76" s="387"/>
      <c r="BFK76" s="387"/>
      <c r="BFL76" s="387"/>
      <c r="BFM76" s="387"/>
      <c r="BFN76" s="387"/>
      <c r="BFO76" s="387"/>
      <c r="BFP76" s="387"/>
      <c r="BFQ76" s="387"/>
      <c r="BFR76" s="387"/>
      <c r="BFS76" s="387"/>
      <c r="BFT76" s="387"/>
      <c r="BFU76" s="387"/>
      <c r="BFV76" s="387"/>
      <c r="BFW76" s="387"/>
      <c r="BFX76" s="387"/>
      <c r="BFY76" s="387"/>
      <c r="BFZ76" s="387"/>
      <c r="BGA76" s="387"/>
      <c r="BGB76" s="387"/>
      <c r="BGC76" s="387"/>
      <c r="BGD76" s="387"/>
      <c r="BGE76" s="387"/>
      <c r="BGF76" s="387"/>
      <c r="BGG76" s="387"/>
      <c r="BGH76" s="387"/>
      <c r="BGI76" s="387"/>
      <c r="BGJ76" s="387"/>
      <c r="BGK76" s="387"/>
      <c r="BGL76" s="387"/>
      <c r="BGM76" s="387"/>
      <c r="BGN76" s="387"/>
      <c r="BGO76" s="387"/>
      <c r="BGP76" s="387"/>
      <c r="BGQ76" s="387"/>
      <c r="BGR76" s="387"/>
      <c r="BGS76" s="387"/>
      <c r="BGT76" s="387"/>
      <c r="BGU76" s="387"/>
      <c r="BGV76" s="387"/>
      <c r="BGW76" s="387"/>
      <c r="BGX76" s="387"/>
      <c r="BGY76" s="387"/>
      <c r="BGZ76" s="387"/>
      <c r="BHA76" s="387"/>
      <c r="BHB76" s="387"/>
      <c r="BHC76" s="387"/>
      <c r="BHD76" s="387"/>
      <c r="BHE76" s="387"/>
      <c r="BHF76" s="387"/>
      <c r="BHG76" s="387"/>
      <c r="BHH76" s="387"/>
      <c r="BHI76" s="387"/>
      <c r="BHJ76" s="387"/>
      <c r="BHK76" s="387"/>
      <c r="BHL76" s="387"/>
      <c r="BHM76" s="387"/>
      <c r="BHN76" s="387"/>
      <c r="BHO76" s="387"/>
      <c r="BHP76" s="387"/>
      <c r="BHQ76" s="387"/>
      <c r="BHR76" s="387"/>
      <c r="BHS76" s="387"/>
      <c r="BHT76" s="387"/>
      <c r="BHU76" s="387"/>
      <c r="BHV76" s="387"/>
      <c r="BHW76" s="387"/>
      <c r="BHX76" s="387"/>
      <c r="BHY76" s="387"/>
      <c r="BHZ76" s="387"/>
      <c r="BIA76" s="387"/>
      <c r="BIB76" s="387"/>
      <c r="BIC76" s="387"/>
      <c r="BID76" s="387"/>
      <c r="BIE76" s="387"/>
      <c r="BIF76" s="387"/>
      <c r="BIG76" s="387"/>
      <c r="BIH76" s="387"/>
      <c r="BII76" s="387"/>
      <c r="BIJ76" s="387"/>
      <c r="BIK76" s="387"/>
      <c r="BIL76" s="387"/>
      <c r="BIM76" s="387"/>
      <c r="BIN76" s="387"/>
      <c r="BIO76" s="387"/>
      <c r="BIP76" s="387"/>
      <c r="BIQ76" s="387"/>
      <c r="BIR76" s="387"/>
      <c r="BIS76" s="387"/>
      <c r="BIT76" s="387"/>
      <c r="BIU76" s="387"/>
      <c r="BIV76" s="387"/>
      <c r="BIW76" s="387"/>
      <c r="BIX76" s="387"/>
      <c r="BIY76" s="387"/>
      <c r="BIZ76" s="387"/>
      <c r="BJA76" s="387"/>
      <c r="BJB76" s="387"/>
      <c r="BJC76" s="387"/>
      <c r="BJD76" s="387"/>
      <c r="BJE76" s="387"/>
      <c r="BJF76" s="387"/>
      <c r="BJG76" s="387"/>
      <c r="BJH76" s="387"/>
      <c r="BJI76" s="387"/>
      <c r="BJJ76" s="387"/>
      <c r="BJK76" s="387"/>
      <c r="BJL76" s="387"/>
      <c r="BJM76" s="387"/>
      <c r="BJN76" s="387"/>
      <c r="BJO76" s="387"/>
      <c r="BJP76" s="387"/>
      <c r="BJQ76" s="387"/>
      <c r="BJR76" s="387"/>
      <c r="BJS76" s="387"/>
      <c r="BJT76" s="387"/>
      <c r="BJU76" s="387"/>
      <c r="BJV76" s="387"/>
      <c r="BJW76" s="387"/>
      <c r="BJX76" s="387"/>
      <c r="BJY76" s="387"/>
      <c r="BJZ76" s="387"/>
      <c r="BKA76" s="387"/>
      <c r="BKB76" s="387"/>
      <c r="BKC76" s="387"/>
      <c r="BKD76" s="387"/>
      <c r="BKE76" s="387"/>
      <c r="BKF76" s="387"/>
      <c r="BKG76" s="387"/>
      <c r="BKH76" s="387"/>
      <c r="BKI76" s="387"/>
      <c r="BKJ76" s="387"/>
      <c r="BKK76" s="387"/>
      <c r="BKL76" s="387"/>
      <c r="BKM76" s="387"/>
      <c r="BKN76" s="387"/>
      <c r="BKO76" s="387"/>
      <c r="BKP76" s="387"/>
      <c r="BKQ76" s="387"/>
      <c r="BKR76" s="387"/>
      <c r="BKS76" s="387"/>
      <c r="BKT76" s="387"/>
      <c r="BKU76" s="387"/>
      <c r="BKV76" s="387"/>
      <c r="BKW76" s="387"/>
      <c r="BKX76" s="387"/>
      <c r="BKY76" s="387"/>
      <c r="BKZ76" s="387"/>
      <c r="BLA76" s="387"/>
      <c r="BLB76" s="387"/>
      <c r="BLC76" s="387"/>
      <c r="BLD76" s="387"/>
      <c r="BLE76" s="387"/>
      <c r="BLF76" s="387"/>
      <c r="BLG76" s="387"/>
      <c r="BLH76" s="387"/>
      <c r="BLI76" s="387"/>
      <c r="BLJ76" s="387"/>
      <c r="BLK76" s="387"/>
      <c r="BLL76" s="387"/>
      <c r="BLM76" s="387"/>
      <c r="BLN76" s="387"/>
      <c r="BLO76" s="387"/>
      <c r="BLP76" s="387"/>
      <c r="BLQ76" s="387"/>
      <c r="BLR76" s="387"/>
      <c r="BLS76" s="387"/>
      <c r="BLT76" s="387"/>
      <c r="BLU76" s="387"/>
      <c r="BLV76" s="387"/>
      <c r="BLW76" s="387"/>
      <c r="BLX76" s="387"/>
      <c r="BLY76" s="387"/>
      <c r="BLZ76" s="387"/>
      <c r="BMA76" s="387"/>
      <c r="BMB76" s="387"/>
      <c r="BMC76" s="387"/>
      <c r="BMD76" s="387"/>
      <c r="BME76" s="387"/>
      <c r="BMF76" s="387"/>
      <c r="BMG76" s="387"/>
      <c r="BMH76" s="387"/>
      <c r="BMI76" s="387"/>
      <c r="BMJ76" s="387"/>
      <c r="BMK76" s="387"/>
      <c r="BML76" s="387"/>
      <c r="BMM76" s="387"/>
      <c r="BMN76" s="387"/>
      <c r="BMO76" s="387"/>
      <c r="BMP76" s="387"/>
      <c r="BMQ76" s="387"/>
      <c r="BMR76" s="387"/>
      <c r="BMS76" s="387"/>
      <c r="BMT76" s="387"/>
      <c r="BMU76" s="387"/>
      <c r="BMV76" s="387"/>
      <c r="BMW76" s="387"/>
      <c r="BMX76" s="387"/>
      <c r="BMY76" s="387"/>
      <c r="BMZ76" s="387"/>
      <c r="BNA76" s="387"/>
      <c r="BNB76" s="387"/>
      <c r="BNC76" s="387"/>
      <c r="BND76" s="387"/>
      <c r="BNE76" s="387"/>
      <c r="BNF76" s="387"/>
      <c r="BNG76" s="387"/>
      <c r="BNH76" s="387"/>
      <c r="BNI76" s="387"/>
      <c r="BNJ76" s="387"/>
      <c r="BNK76" s="387"/>
      <c r="BNL76" s="387"/>
      <c r="BNM76" s="387"/>
      <c r="BNN76" s="387"/>
      <c r="BNO76" s="387"/>
      <c r="BNP76" s="387"/>
      <c r="BNQ76" s="387"/>
      <c r="BNR76" s="387"/>
      <c r="BNS76" s="387"/>
      <c r="BNT76" s="387"/>
      <c r="BNU76" s="387"/>
      <c r="BNV76" s="387"/>
      <c r="BNW76" s="387"/>
      <c r="BNX76" s="387"/>
      <c r="BNY76" s="387"/>
      <c r="BNZ76" s="387"/>
      <c r="BOA76" s="387"/>
      <c r="BOB76" s="387"/>
      <c r="BOC76" s="387"/>
      <c r="BOD76" s="387"/>
      <c r="BOE76" s="387"/>
      <c r="BOF76" s="387"/>
      <c r="BOG76" s="387"/>
      <c r="BOH76" s="387"/>
      <c r="BOI76" s="387"/>
      <c r="BOJ76" s="387"/>
      <c r="BOK76" s="387"/>
      <c r="BOL76" s="387"/>
      <c r="BOM76" s="387"/>
      <c r="BON76" s="387"/>
      <c r="BOO76" s="387"/>
      <c r="BOP76" s="387"/>
      <c r="BOQ76" s="387"/>
      <c r="BOR76" s="387"/>
      <c r="BOS76" s="387"/>
      <c r="BOT76" s="387"/>
      <c r="BOU76" s="387"/>
      <c r="BOV76" s="387"/>
      <c r="BOW76" s="387"/>
      <c r="BOX76" s="387"/>
      <c r="BOY76" s="387"/>
      <c r="BOZ76" s="387"/>
      <c r="BPA76" s="387"/>
      <c r="BPB76" s="387"/>
      <c r="BPC76" s="387"/>
      <c r="BPD76" s="387"/>
      <c r="BPE76" s="387"/>
      <c r="BPF76" s="387"/>
      <c r="BPG76" s="387"/>
      <c r="BPH76" s="387"/>
      <c r="BPI76" s="387"/>
      <c r="BPJ76" s="387"/>
      <c r="BPK76" s="387"/>
      <c r="BPL76" s="387"/>
      <c r="BPM76" s="387"/>
      <c r="BPN76" s="387"/>
      <c r="BPO76" s="387"/>
      <c r="BPP76" s="387"/>
      <c r="BPQ76" s="387"/>
      <c r="BPR76" s="387"/>
      <c r="BPS76" s="387"/>
      <c r="BPT76" s="387"/>
      <c r="BPU76" s="387"/>
      <c r="BPV76" s="387"/>
      <c r="BPW76" s="387"/>
      <c r="BPX76" s="387"/>
      <c r="BPY76" s="387"/>
      <c r="BPZ76" s="387"/>
      <c r="BQA76" s="387"/>
      <c r="BQB76" s="387"/>
      <c r="BQC76" s="387"/>
      <c r="BQD76" s="387"/>
      <c r="BQE76" s="387"/>
      <c r="BQF76" s="387"/>
      <c r="BQG76" s="387"/>
      <c r="BQH76" s="387"/>
      <c r="BQI76" s="387"/>
      <c r="BQJ76" s="387"/>
      <c r="BQK76" s="387"/>
      <c r="BQL76" s="387"/>
      <c r="BQM76" s="387"/>
      <c r="BQN76" s="387"/>
      <c r="BQO76" s="387"/>
      <c r="BQP76" s="387"/>
      <c r="BQQ76" s="387"/>
      <c r="BQR76" s="387"/>
      <c r="BQS76" s="387"/>
      <c r="BQT76" s="387"/>
      <c r="BQU76" s="387"/>
      <c r="BQV76" s="387"/>
      <c r="BQW76" s="387"/>
      <c r="BQX76" s="387"/>
      <c r="BQY76" s="387"/>
      <c r="BQZ76" s="387"/>
      <c r="BRA76" s="387"/>
      <c r="BRB76" s="387"/>
      <c r="BRC76" s="387"/>
      <c r="BRD76" s="387"/>
      <c r="BRE76" s="387"/>
      <c r="BRF76" s="387"/>
      <c r="BRG76" s="387"/>
      <c r="BRH76" s="387"/>
      <c r="BRI76" s="387"/>
      <c r="BRJ76" s="387"/>
      <c r="BRK76" s="387"/>
      <c r="BRL76" s="387"/>
      <c r="BRM76" s="387"/>
      <c r="BRN76" s="387"/>
      <c r="BRO76" s="387"/>
      <c r="BRP76" s="387"/>
      <c r="BRQ76" s="387"/>
      <c r="BRR76" s="387"/>
      <c r="BRS76" s="387"/>
      <c r="BRT76" s="387"/>
      <c r="BRU76" s="387"/>
      <c r="BRV76" s="387"/>
      <c r="BRW76" s="387"/>
      <c r="BRX76" s="387"/>
      <c r="BRY76" s="387"/>
      <c r="BRZ76" s="387"/>
      <c r="BSA76" s="387"/>
      <c r="BSB76" s="387"/>
      <c r="BSC76" s="387"/>
      <c r="BSD76" s="387"/>
      <c r="BSE76" s="387"/>
      <c r="BSF76" s="387"/>
      <c r="BSG76" s="387"/>
      <c r="BSH76" s="387"/>
      <c r="BSI76" s="387"/>
      <c r="BSJ76" s="387"/>
      <c r="BSK76" s="387"/>
      <c r="BSL76" s="387"/>
      <c r="BSM76" s="387"/>
      <c r="BSN76" s="387"/>
      <c r="BSO76" s="387"/>
      <c r="BSP76" s="387"/>
      <c r="BSQ76" s="387"/>
      <c r="BSR76" s="387"/>
      <c r="BSS76" s="387"/>
      <c r="BST76" s="387"/>
      <c r="BSU76" s="387"/>
      <c r="BSV76" s="387"/>
      <c r="BSW76" s="387"/>
      <c r="BSX76" s="387"/>
      <c r="BSY76" s="387"/>
      <c r="BSZ76" s="387"/>
      <c r="BTA76" s="387"/>
      <c r="BTB76" s="387"/>
      <c r="BTC76" s="387"/>
      <c r="BTD76" s="387"/>
      <c r="BTE76" s="387"/>
      <c r="BTF76" s="387"/>
      <c r="BTG76" s="387"/>
      <c r="BTH76" s="387"/>
      <c r="BTI76" s="387"/>
    </row>
    <row r="77" spans="1:1881" ht="79.5" customHeight="1" x14ac:dyDescent="0.25">
      <c r="A77" s="186">
        <v>80</v>
      </c>
      <c r="B77" s="62" t="s">
        <v>84</v>
      </c>
      <c r="C77" s="157" t="s">
        <v>201</v>
      </c>
      <c r="D77" s="163" t="s">
        <v>188</v>
      </c>
      <c r="E77" s="683" t="e">
        <f>HLOOKUP('Unit Data from Audit Worksheet'!$D$2,'2019 Data(H)'!$D$1:$BB$202,25,FALSE)</f>
        <v>#N/A</v>
      </c>
      <c r="F77" s="686"/>
      <c r="G77" s="561"/>
      <c r="H77" s="60"/>
      <c r="I77" s="31"/>
      <c r="S77" s="682"/>
      <c r="X77" s="682"/>
    </row>
    <row r="78" spans="1:1881" ht="53.25" customHeight="1" x14ac:dyDescent="0.25">
      <c r="A78" s="186">
        <v>81</v>
      </c>
      <c r="B78" s="62" t="s">
        <v>85</v>
      </c>
      <c r="C78" s="157" t="s">
        <v>201</v>
      </c>
      <c r="D78" s="163" t="s">
        <v>189</v>
      </c>
      <c r="E78" s="683" t="e">
        <f>HLOOKUP('Unit Data from Audit Worksheet'!$D$2,'2019 Data(H)'!$D$1:$BB$202,26,FALSE)</f>
        <v>#N/A</v>
      </c>
      <c r="F78" s="686"/>
      <c r="G78" s="311"/>
      <c r="H78" s="14"/>
      <c r="I78" s="31"/>
      <c r="S78" s="682"/>
      <c r="X78" s="682"/>
    </row>
    <row r="79" spans="1:1881" s="219" customFormat="1" ht="84" customHeight="1" x14ac:dyDescent="0.25">
      <c r="A79" s="186">
        <v>579</v>
      </c>
      <c r="B79" s="63" t="s">
        <v>577</v>
      </c>
      <c r="C79" s="180" t="s">
        <v>201</v>
      </c>
      <c r="D79" s="304" t="s">
        <v>581</v>
      </c>
      <c r="E79" s="683" t="e">
        <f>HLOOKUP('Unit Data from Audit Worksheet'!$D$2,'2019 Data(H)'!$D$1:$BB$202,163,FALSE)</f>
        <v>#N/A</v>
      </c>
      <c r="F79" s="686"/>
      <c r="G79" s="388"/>
      <c r="H79" s="65"/>
      <c r="I79" s="147"/>
      <c r="J79" s="387"/>
      <c r="K79" s="387"/>
      <c r="L79" s="387"/>
      <c r="M79" s="387"/>
      <c r="N79"/>
      <c r="O79" s="387"/>
      <c r="P79" s="387"/>
      <c r="Q79" s="387"/>
      <c r="R79"/>
      <c r="S79" s="682"/>
      <c r="T79" s="387"/>
      <c r="U79" s="387"/>
      <c r="V79" s="387"/>
      <c r="W79" s="387"/>
      <c r="X79" s="682"/>
      <c r="Y79" s="387"/>
      <c r="Z79" s="387"/>
      <c r="AA79" s="387"/>
      <c r="AB79" s="387"/>
      <c r="AC79" s="387"/>
      <c r="AD79" s="387"/>
      <c r="AE79" s="387"/>
      <c r="AF79" s="387"/>
      <c r="AG79" s="387"/>
      <c r="AH79" s="387"/>
      <c r="AI79" s="387"/>
      <c r="AJ79" s="387"/>
      <c r="AK79" s="387"/>
      <c r="AL79" s="387"/>
      <c r="AM79" s="387"/>
      <c r="AN79" s="387"/>
      <c r="AO79" s="387"/>
      <c r="AP79" s="387"/>
      <c r="AQ79" s="387"/>
      <c r="AR79" s="387"/>
      <c r="AS79" s="387"/>
      <c r="AT79" s="387"/>
      <c r="AU79" s="387"/>
      <c r="AV79" s="387"/>
      <c r="AW79" s="387"/>
      <c r="AX79" s="387"/>
      <c r="AY79" s="387"/>
      <c r="AZ79" s="387"/>
      <c r="BA79" s="387"/>
      <c r="BB79" s="387"/>
      <c r="BC79" s="387"/>
      <c r="BD79" s="387"/>
      <c r="BE79" s="387"/>
      <c r="BF79" s="387"/>
      <c r="BG79" s="387"/>
      <c r="BH79" s="387"/>
      <c r="BI79" s="387"/>
      <c r="BJ79" s="387"/>
      <c r="BK79" s="387"/>
      <c r="BL79" s="387"/>
      <c r="BM79" s="387"/>
      <c r="BN79" s="387"/>
      <c r="BO79" s="387"/>
      <c r="BP79" s="387"/>
      <c r="BQ79" s="387"/>
      <c r="BR79" s="387"/>
      <c r="BS79" s="387"/>
      <c r="BT79" s="387"/>
      <c r="BU79" s="387"/>
      <c r="BV79" s="387"/>
      <c r="BW79" s="387"/>
      <c r="BX79" s="387"/>
      <c r="BY79" s="387"/>
      <c r="BZ79" s="387"/>
      <c r="CA79" s="387"/>
      <c r="CB79" s="387"/>
      <c r="CC79" s="387"/>
      <c r="CD79" s="387"/>
      <c r="CE79" s="387"/>
      <c r="CF79" s="387"/>
      <c r="CG79" s="387"/>
      <c r="CH79" s="387"/>
      <c r="CI79" s="387"/>
      <c r="CJ79" s="387"/>
      <c r="CK79" s="387"/>
      <c r="CL79" s="387"/>
      <c r="CM79" s="387"/>
      <c r="CN79" s="387"/>
      <c r="CO79" s="387"/>
      <c r="CP79" s="387"/>
      <c r="CQ79" s="387"/>
      <c r="CR79" s="387"/>
      <c r="CS79" s="387"/>
      <c r="CT79" s="387"/>
      <c r="CU79" s="387"/>
      <c r="CV79" s="387"/>
      <c r="CW79" s="387"/>
      <c r="CX79" s="387"/>
      <c r="CY79" s="387"/>
      <c r="CZ79" s="387"/>
      <c r="DA79" s="387"/>
      <c r="DB79" s="387"/>
      <c r="DC79" s="387"/>
      <c r="DD79" s="387"/>
      <c r="DE79" s="387"/>
      <c r="DF79" s="387"/>
      <c r="DG79" s="387"/>
      <c r="DH79" s="387"/>
      <c r="DI79" s="387"/>
      <c r="DJ79" s="387"/>
      <c r="DK79" s="387"/>
      <c r="DL79" s="387"/>
      <c r="DM79" s="387"/>
      <c r="DN79" s="387"/>
      <c r="DO79" s="387"/>
      <c r="DP79" s="387"/>
      <c r="DQ79" s="387"/>
      <c r="DR79" s="387"/>
      <c r="DS79" s="387"/>
      <c r="DT79" s="387"/>
      <c r="DU79" s="387"/>
      <c r="DV79" s="387"/>
      <c r="DW79" s="387"/>
      <c r="DX79" s="387"/>
      <c r="DY79" s="387"/>
      <c r="DZ79" s="387"/>
      <c r="EA79" s="387"/>
      <c r="EB79" s="387"/>
      <c r="EC79" s="387"/>
      <c r="ED79" s="387"/>
      <c r="EE79" s="387"/>
      <c r="EF79" s="387"/>
      <c r="EG79" s="387"/>
      <c r="EH79" s="387"/>
      <c r="EI79" s="387"/>
      <c r="EJ79" s="387"/>
      <c r="EK79" s="387"/>
      <c r="EL79" s="387"/>
      <c r="EM79" s="387"/>
      <c r="EN79" s="387"/>
      <c r="EO79" s="387"/>
      <c r="EP79" s="387"/>
      <c r="EQ79" s="387"/>
      <c r="ER79" s="387"/>
      <c r="ES79" s="387"/>
      <c r="ET79" s="387"/>
      <c r="EU79" s="387"/>
      <c r="EV79" s="387"/>
      <c r="EW79" s="387"/>
      <c r="EX79" s="387"/>
      <c r="EY79" s="387"/>
      <c r="EZ79" s="387"/>
      <c r="FA79" s="387"/>
      <c r="FB79" s="387"/>
      <c r="FC79" s="387"/>
      <c r="FD79" s="387"/>
      <c r="FE79" s="387"/>
      <c r="FF79" s="387"/>
      <c r="FG79" s="387"/>
      <c r="FH79" s="387"/>
      <c r="FI79" s="387"/>
      <c r="FJ79" s="387"/>
      <c r="FK79" s="387"/>
      <c r="FL79" s="387"/>
      <c r="FM79" s="387"/>
      <c r="FN79" s="387"/>
      <c r="FO79" s="387"/>
      <c r="FP79" s="387"/>
      <c r="FQ79" s="387"/>
      <c r="FR79" s="387"/>
      <c r="FS79" s="387"/>
      <c r="FT79" s="387"/>
      <c r="FU79" s="387"/>
      <c r="FV79" s="387"/>
      <c r="FW79" s="387"/>
      <c r="FX79" s="387"/>
      <c r="FY79" s="387"/>
      <c r="FZ79" s="387"/>
      <c r="GA79" s="387"/>
      <c r="GB79" s="387"/>
      <c r="GC79" s="387"/>
      <c r="GD79" s="387"/>
      <c r="GE79" s="387"/>
      <c r="GF79" s="387"/>
      <c r="GG79" s="387"/>
      <c r="GH79" s="387"/>
      <c r="GI79" s="387"/>
      <c r="GJ79" s="387"/>
      <c r="GK79" s="387"/>
      <c r="GL79" s="387"/>
      <c r="GM79" s="387"/>
      <c r="GN79" s="387"/>
      <c r="GO79" s="387"/>
      <c r="GP79" s="387"/>
      <c r="GQ79" s="387"/>
      <c r="GR79" s="387"/>
      <c r="GS79" s="387"/>
      <c r="GT79" s="387"/>
      <c r="GU79" s="387"/>
      <c r="GV79" s="387"/>
      <c r="GW79" s="387"/>
      <c r="GX79" s="387"/>
      <c r="GY79" s="387"/>
      <c r="GZ79" s="387"/>
      <c r="HA79" s="387"/>
      <c r="HB79" s="387"/>
      <c r="HC79" s="387"/>
      <c r="HD79" s="387"/>
      <c r="HE79" s="387"/>
      <c r="HF79" s="387"/>
      <c r="HG79" s="387"/>
      <c r="HH79" s="387"/>
      <c r="HI79" s="387"/>
      <c r="HJ79" s="387"/>
      <c r="HK79" s="387"/>
      <c r="HL79" s="387"/>
      <c r="HM79" s="387"/>
      <c r="HN79" s="387"/>
      <c r="HO79" s="387"/>
      <c r="HP79" s="387"/>
      <c r="HQ79" s="387"/>
      <c r="HR79" s="387"/>
      <c r="HS79" s="387"/>
      <c r="HT79" s="387"/>
      <c r="HU79" s="387"/>
      <c r="HV79" s="387"/>
      <c r="HW79" s="387"/>
      <c r="HX79" s="387"/>
      <c r="HY79" s="387"/>
      <c r="HZ79" s="387"/>
      <c r="IA79" s="387"/>
      <c r="IB79" s="387"/>
      <c r="IC79" s="387"/>
      <c r="ID79" s="387"/>
      <c r="IE79" s="387"/>
      <c r="IF79" s="387"/>
      <c r="IG79" s="387"/>
      <c r="IH79" s="387"/>
      <c r="II79" s="387"/>
      <c r="IJ79" s="387"/>
      <c r="IK79" s="387"/>
      <c r="IL79" s="387"/>
      <c r="IM79" s="387"/>
      <c r="IN79" s="387"/>
      <c r="IO79" s="387"/>
      <c r="IP79" s="387"/>
      <c r="IQ79" s="387"/>
      <c r="IR79" s="387"/>
      <c r="IS79" s="387"/>
      <c r="IT79" s="387"/>
      <c r="IU79" s="387"/>
      <c r="IV79" s="387"/>
      <c r="IW79" s="387"/>
      <c r="IX79" s="387"/>
      <c r="IY79" s="387"/>
      <c r="IZ79" s="387"/>
      <c r="JA79" s="387"/>
      <c r="JB79" s="387"/>
      <c r="JC79" s="387"/>
      <c r="JD79" s="387"/>
      <c r="JE79" s="387"/>
      <c r="JF79" s="387"/>
      <c r="JG79" s="387"/>
      <c r="JH79" s="387"/>
      <c r="JI79" s="387"/>
      <c r="JJ79" s="387"/>
      <c r="JK79" s="387"/>
      <c r="JL79" s="387"/>
      <c r="JM79" s="387"/>
      <c r="JN79" s="387"/>
      <c r="JO79" s="387"/>
      <c r="JP79" s="387"/>
      <c r="JQ79" s="387"/>
      <c r="JR79" s="387"/>
      <c r="JS79" s="387"/>
      <c r="JT79" s="387"/>
      <c r="JU79" s="387"/>
      <c r="JV79" s="387"/>
      <c r="JW79" s="387"/>
      <c r="JX79" s="387"/>
      <c r="JY79" s="387"/>
      <c r="JZ79" s="387"/>
      <c r="KA79" s="387"/>
      <c r="KB79" s="387"/>
      <c r="KC79" s="387"/>
      <c r="KD79" s="387"/>
      <c r="KE79" s="387"/>
      <c r="KF79" s="387"/>
      <c r="KG79" s="387"/>
      <c r="KH79" s="387"/>
      <c r="KI79" s="387"/>
      <c r="KJ79" s="387"/>
      <c r="KK79" s="387"/>
      <c r="KL79" s="387"/>
      <c r="KM79" s="387"/>
      <c r="KN79" s="387"/>
      <c r="KO79" s="387"/>
      <c r="KP79" s="387"/>
      <c r="KQ79" s="387"/>
      <c r="KR79" s="387"/>
      <c r="KS79" s="387"/>
      <c r="KT79" s="387"/>
      <c r="KU79" s="387"/>
      <c r="KV79" s="387"/>
      <c r="KW79" s="387"/>
      <c r="KX79" s="387"/>
      <c r="KY79" s="387"/>
      <c r="KZ79" s="387"/>
      <c r="LA79" s="387"/>
      <c r="LB79" s="387"/>
      <c r="LC79" s="387"/>
      <c r="LD79" s="387"/>
      <c r="LE79" s="387"/>
      <c r="LF79" s="387"/>
      <c r="LG79" s="387"/>
      <c r="LH79" s="387"/>
      <c r="LI79" s="387"/>
      <c r="LJ79" s="387"/>
      <c r="LK79" s="387"/>
      <c r="LL79" s="387"/>
      <c r="LM79" s="387"/>
      <c r="LN79" s="387"/>
      <c r="LO79" s="387"/>
      <c r="LP79" s="387"/>
      <c r="LQ79" s="387"/>
      <c r="LR79" s="387"/>
      <c r="LS79" s="387"/>
      <c r="LT79" s="387"/>
      <c r="LU79" s="387"/>
      <c r="LV79" s="387"/>
      <c r="LW79" s="387"/>
      <c r="LX79" s="387"/>
      <c r="LY79" s="387"/>
      <c r="LZ79" s="387"/>
      <c r="MA79" s="387"/>
      <c r="MB79" s="387"/>
      <c r="MC79" s="387"/>
      <c r="MD79" s="387"/>
      <c r="ME79" s="387"/>
      <c r="MF79" s="387"/>
      <c r="MG79" s="387"/>
      <c r="MH79" s="387"/>
      <c r="MI79" s="387"/>
      <c r="MJ79" s="387"/>
      <c r="MK79" s="387"/>
      <c r="ML79" s="387"/>
      <c r="MM79" s="387"/>
      <c r="MN79" s="387"/>
      <c r="MO79" s="387"/>
      <c r="MP79" s="387"/>
      <c r="MQ79" s="387"/>
      <c r="MR79" s="387"/>
      <c r="MS79" s="387"/>
      <c r="MT79" s="387"/>
      <c r="MU79" s="387"/>
      <c r="MV79" s="387"/>
      <c r="MW79" s="387"/>
      <c r="MX79" s="387"/>
      <c r="MY79" s="387"/>
      <c r="MZ79" s="387"/>
      <c r="NA79" s="387"/>
      <c r="NB79" s="387"/>
      <c r="NC79" s="387"/>
      <c r="ND79" s="387"/>
      <c r="NE79" s="387"/>
      <c r="NF79" s="387"/>
      <c r="NG79" s="387"/>
      <c r="NH79" s="387"/>
      <c r="NI79" s="387"/>
      <c r="NJ79" s="387"/>
      <c r="NK79" s="387"/>
      <c r="NL79" s="387"/>
      <c r="NM79" s="387"/>
      <c r="NN79" s="387"/>
      <c r="NO79" s="387"/>
      <c r="NP79" s="387"/>
      <c r="NQ79" s="387"/>
      <c r="NR79" s="387"/>
      <c r="NS79" s="387"/>
      <c r="NT79" s="387"/>
      <c r="NU79" s="387"/>
      <c r="NV79" s="387"/>
      <c r="NW79" s="387"/>
      <c r="NX79" s="387"/>
      <c r="NY79" s="387"/>
      <c r="NZ79" s="387"/>
      <c r="OA79" s="387"/>
      <c r="OB79" s="387"/>
      <c r="OC79" s="387"/>
      <c r="OD79" s="387"/>
      <c r="OE79" s="387"/>
      <c r="OF79" s="387"/>
      <c r="OG79" s="387"/>
      <c r="OH79" s="387"/>
      <c r="OI79" s="387"/>
      <c r="OJ79" s="387"/>
      <c r="OK79" s="387"/>
      <c r="OL79" s="387"/>
      <c r="OM79" s="387"/>
      <c r="ON79" s="387"/>
      <c r="OO79" s="387"/>
      <c r="OP79" s="387"/>
      <c r="OQ79" s="387"/>
      <c r="OR79" s="387"/>
      <c r="OS79" s="387"/>
      <c r="OT79" s="387"/>
      <c r="OU79" s="387"/>
      <c r="OV79" s="387"/>
      <c r="OW79" s="387"/>
      <c r="OX79" s="387"/>
      <c r="OY79" s="387"/>
      <c r="OZ79" s="387"/>
      <c r="PA79" s="387"/>
      <c r="PB79" s="387"/>
      <c r="PC79" s="387"/>
      <c r="PD79" s="387"/>
      <c r="PE79" s="387"/>
      <c r="PF79" s="387"/>
      <c r="PG79" s="387"/>
      <c r="PH79" s="387"/>
      <c r="PI79" s="387"/>
      <c r="PJ79" s="387"/>
      <c r="PK79" s="387"/>
      <c r="PL79" s="387"/>
      <c r="PM79" s="387"/>
      <c r="PN79" s="387"/>
      <c r="PO79" s="387"/>
      <c r="PP79" s="387"/>
      <c r="PQ79" s="387"/>
      <c r="PR79" s="387"/>
      <c r="PS79" s="387"/>
      <c r="PT79" s="387"/>
      <c r="PU79" s="387"/>
      <c r="PV79" s="387"/>
      <c r="PW79" s="387"/>
      <c r="PX79" s="387"/>
      <c r="PY79" s="387"/>
      <c r="PZ79" s="387"/>
      <c r="QA79" s="387"/>
      <c r="QB79" s="387"/>
      <c r="QC79" s="387"/>
      <c r="QD79" s="387"/>
      <c r="QE79" s="387"/>
      <c r="QF79" s="387"/>
      <c r="QG79" s="387"/>
      <c r="QH79" s="387"/>
      <c r="QI79" s="387"/>
      <c r="QJ79" s="387"/>
      <c r="QK79" s="387"/>
      <c r="QL79" s="387"/>
      <c r="QM79" s="387"/>
      <c r="QN79" s="387"/>
      <c r="QO79" s="387"/>
      <c r="QP79" s="387"/>
      <c r="QQ79" s="387"/>
      <c r="QR79" s="387"/>
      <c r="QS79" s="387"/>
      <c r="QT79" s="387"/>
      <c r="QU79" s="387"/>
      <c r="QV79" s="387"/>
      <c r="QW79" s="387"/>
      <c r="QX79" s="387"/>
      <c r="QY79" s="387"/>
      <c r="QZ79" s="387"/>
      <c r="RA79" s="387"/>
      <c r="RB79" s="387"/>
      <c r="RC79" s="387"/>
      <c r="RD79" s="387"/>
      <c r="RE79" s="387"/>
      <c r="RF79" s="387"/>
      <c r="RG79" s="387"/>
      <c r="RH79" s="387"/>
      <c r="RI79" s="387"/>
      <c r="RJ79" s="387"/>
      <c r="RK79" s="387"/>
      <c r="RL79" s="387"/>
      <c r="RM79" s="387"/>
      <c r="RN79" s="387"/>
      <c r="RO79" s="387"/>
      <c r="RP79" s="387"/>
      <c r="RQ79" s="387"/>
      <c r="RR79" s="387"/>
      <c r="RS79" s="387"/>
      <c r="RT79" s="387"/>
      <c r="RU79" s="387"/>
      <c r="RV79" s="387"/>
      <c r="RW79" s="387"/>
      <c r="RX79" s="387"/>
      <c r="RY79" s="387"/>
      <c r="RZ79" s="387"/>
      <c r="SA79" s="387"/>
      <c r="SB79" s="387"/>
      <c r="SC79" s="387"/>
      <c r="SD79" s="387"/>
      <c r="SE79" s="387"/>
      <c r="SF79" s="387"/>
      <c r="SG79" s="387"/>
      <c r="SH79" s="387"/>
      <c r="SI79" s="387"/>
      <c r="SJ79" s="387"/>
      <c r="SK79" s="387"/>
      <c r="SL79" s="387"/>
      <c r="SM79" s="387"/>
      <c r="SN79" s="387"/>
      <c r="SO79" s="387"/>
      <c r="SP79" s="387"/>
      <c r="SQ79" s="387"/>
      <c r="SR79" s="387"/>
      <c r="SS79" s="387"/>
      <c r="ST79" s="387"/>
      <c r="SU79" s="387"/>
      <c r="SV79" s="387"/>
      <c r="SW79" s="387"/>
      <c r="SX79" s="387"/>
      <c r="SY79" s="387"/>
      <c r="SZ79" s="387"/>
      <c r="TA79" s="387"/>
      <c r="TB79" s="387"/>
      <c r="TC79" s="387"/>
      <c r="TD79" s="387"/>
      <c r="TE79" s="387"/>
      <c r="TF79" s="387"/>
      <c r="TG79" s="387"/>
      <c r="TH79" s="387"/>
      <c r="TI79" s="387"/>
      <c r="TJ79" s="387"/>
      <c r="TK79" s="387"/>
      <c r="TL79" s="387"/>
      <c r="TM79" s="387"/>
      <c r="TN79" s="387"/>
      <c r="TO79" s="387"/>
      <c r="TP79" s="387"/>
      <c r="TQ79" s="387"/>
      <c r="TR79" s="387"/>
      <c r="TS79" s="387"/>
      <c r="TT79" s="387"/>
      <c r="TU79" s="387"/>
      <c r="TV79" s="387"/>
      <c r="TW79" s="387"/>
      <c r="TX79" s="387"/>
      <c r="TY79" s="387"/>
      <c r="TZ79" s="387"/>
      <c r="UA79" s="387"/>
      <c r="UB79" s="387"/>
      <c r="UC79" s="387"/>
      <c r="UD79" s="387"/>
      <c r="UE79" s="387"/>
      <c r="UF79" s="387"/>
      <c r="UG79" s="387"/>
      <c r="UH79" s="387"/>
      <c r="UI79" s="387"/>
      <c r="UJ79" s="387"/>
      <c r="UK79" s="387"/>
      <c r="UL79" s="387"/>
      <c r="UM79" s="387"/>
      <c r="UN79" s="387"/>
      <c r="UO79" s="387"/>
      <c r="UP79" s="387"/>
      <c r="UQ79" s="387"/>
      <c r="UR79" s="387"/>
      <c r="US79" s="387"/>
      <c r="UT79" s="387"/>
      <c r="UU79" s="387"/>
      <c r="UV79" s="387"/>
      <c r="UW79" s="387"/>
      <c r="UX79" s="387"/>
      <c r="UY79" s="387"/>
      <c r="UZ79" s="387"/>
      <c r="VA79" s="387"/>
      <c r="VB79" s="387"/>
      <c r="VC79" s="387"/>
      <c r="VD79" s="387"/>
      <c r="VE79" s="387"/>
      <c r="VF79" s="387"/>
      <c r="VG79" s="387"/>
      <c r="VH79" s="387"/>
      <c r="VI79" s="387"/>
      <c r="VJ79" s="387"/>
      <c r="VK79" s="387"/>
      <c r="VL79" s="387"/>
      <c r="VM79" s="387"/>
      <c r="VN79" s="387"/>
      <c r="VO79" s="387"/>
      <c r="VP79" s="387"/>
      <c r="VQ79" s="387"/>
      <c r="VR79" s="387"/>
      <c r="VS79" s="387"/>
      <c r="VT79" s="387"/>
      <c r="VU79" s="387"/>
      <c r="VV79" s="387"/>
      <c r="VW79" s="387"/>
      <c r="VX79" s="387"/>
      <c r="VY79" s="387"/>
      <c r="VZ79" s="387"/>
      <c r="WA79" s="387"/>
      <c r="WB79" s="387"/>
      <c r="WC79" s="387"/>
      <c r="WD79" s="387"/>
      <c r="WE79" s="387"/>
      <c r="WF79" s="387"/>
      <c r="WG79" s="387"/>
      <c r="WH79" s="387"/>
      <c r="WI79" s="387"/>
      <c r="WJ79" s="387"/>
      <c r="WK79" s="387"/>
      <c r="WL79" s="387"/>
      <c r="WM79" s="387"/>
      <c r="WN79" s="387"/>
      <c r="WO79" s="387"/>
      <c r="WP79" s="387"/>
      <c r="WQ79" s="387"/>
      <c r="WR79" s="387"/>
      <c r="WS79" s="387"/>
      <c r="WT79" s="387"/>
      <c r="WU79" s="387"/>
      <c r="WV79" s="387"/>
      <c r="WW79" s="387"/>
      <c r="WX79" s="387"/>
      <c r="WY79" s="387"/>
      <c r="WZ79" s="387"/>
      <c r="XA79" s="387"/>
      <c r="XB79" s="387"/>
      <c r="XC79" s="387"/>
      <c r="XD79" s="387"/>
      <c r="XE79" s="387"/>
      <c r="XF79" s="387"/>
      <c r="XG79" s="387"/>
      <c r="XH79" s="387"/>
      <c r="XI79" s="387"/>
      <c r="XJ79" s="387"/>
      <c r="XK79" s="387"/>
      <c r="XL79" s="387"/>
      <c r="XM79" s="387"/>
      <c r="XN79" s="387"/>
      <c r="XO79" s="387"/>
      <c r="XP79" s="387"/>
      <c r="XQ79" s="387"/>
      <c r="XR79" s="387"/>
      <c r="XS79" s="387"/>
      <c r="XT79" s="387"/>
      <c r="XU79" s="387"/>
      <c r="XV79" s="387"/>
      <c r="XW79" s="387"/>
      <c r="XX79" s="387"/>
      <c r="XY79" s="387"/>
      <c r="XZ79" s="387"/>
      <c r="YA79" s="387"/>
      <c r="YB79" s="387"/>
      <c r="YC79" s="387"/>
      <c r="YD79" s="387"/>
      <c r="YE79" s="387"/>
      <c r="YF79" s="387"/>
      <c r="YG79" s="387"/>
      <c r="YH79" s="387"/>
      <c r="YI79" s="387"/>
      <c r="YJ79" s="387"/>
      <c r="YK79" s="387"/>
      <c r="YL79" s="387"/>
      <c r="YM79" s="387"/>
      <c r="YN79" s="387"/>
      <c r="YO79" s="387"/>
      <c r="YP79" s="387"/>
      <c r="YQ79" s="387"/>
      <c r="YR79" s="387"/>
      <c r="YS79" s="387"/>
      <c r="YT79" s="387"/>
      <c r="YU79" s="387"/>
      <c r="YV79" s="387"/>
      <c r="YW79" s="387"/>
      <c r="YX79" s="387"/>
      <c r="YY79" s="387"/>
      <c r="YZ79" s="387"/>
      <c r="ZA79" s="387"/>
      <c r="ZB79" s="387"/>
      <c r="ZC79" s="387"/>
      <c r="ZD79" s="387"/>
      <c r="ZE79" s="387"/>
      <c r="ZF79" s="387"/>
      <c r="ZG79" s="387"/>
      <c r="ZH79" s="387"/>
      <c r="ZI79" s="387"/>
      <c r="ZJ79" s="387"/>
      <c r="ZK79" s="387"/>
      <c r="ZL79" s="387"/>
      <c r="ZM79" s="387"/>
      <c r="ZN79" s="387"/>
      <c r="ZO79" s="387"/>
      <c r="ZP79" s="387"/>
      <c r="ZQ79" s="387"/>
      <c r="ZR79" s="387"/>
      <c r="ZS79" s="387"/>
      <c r="ZT79" s="387"/>
      <c r="ZU79" s="387"/>
      <c r="ZV79" s="387"/>
      <c r="ZW79" s="387"/>
      <c r="ZX79" s="387"/>
      <c r="ZY79" s="387"/>
      <c r="ZZ79" s="387"/>
      <c r="AAA79" s="387"/>
      <c r="AAB79" s="387"/>
      <c r="AAC79" s="387"/>
      <c r="AAD79" s="387"/>
      <c r="AAE79" s="387"/>
      <c r="AAF79" s="387"/>
      <c r="AAG79" s="387"/>
      <c r="AAH79" s="387"/>
      <c r="AAI79" s="387"/>
      <c r="AAJ79" s="387"/>
      <c r="AAK79" s="387"/>
      <c r="AAL79" s="387"/>
      <c r="AAM79" s="387"/>
      <c r="AAN79" s="387"/>
      <c r="AAO79" s="387"/>
      <c r="AAP79" s="387"/>
      <c r="AAQ79" s="387"/>
      <c r="AAR79" s="387"/>
      <c r="AAS79" s="387"/>
      <c r="AAT79" s="387"/>
      <c r="AAU79" s="387"/>
      <c r="AAV79" s="387"/>
      <c r="AAW79" s="387"/>
      <c r="AAX79" s="387"/>
      <c r="AAY79" s="387"/>
      <c r="AAZ79" s="387"/>
      <c r="ABA79" s="387"/>
      <c r="ABB79" s="387"/>
      <c r="ABC79" s="387"/>
      <c r="ABD79" s="387"/>
      <c r="ABE79" s="387"/>
      <c r="ABF79" s="387"/>
      <c r="ABG79" s="387"/>
      <c r="ABH79" s="387"/>
      <c r="ABI79" s="387"/>
      <c r="ABJ79" s="387"/>
      <c r="ABK79" s="387"/>
      <c r="ABL79" s="387"/>
      <c r="ABM79" s="387"/>
      <c r="ABN79" s="387"/>
      <c r="ABO79" s="387"/>
      <c r="ABP79" s="387"/>
      <c r="ABQ79" s="387"/>
      <c r="ABR79" s="387"/>
      <c r="ABS79" s="387"/>
      <c r="ABT79" s="387"/>
      <c r="ABU79" s="387"/>
      <c r="ABV79" s="387"/>
      <c r="ABW79" s="387"/>
      <c r="ABX79" s="387"/>
      <c r="ABY79" s="387"/>
      <c r="ABZ79" s="387"/>
      <c r="ACA79" s="387"/>
      <c r="ACB79" s="387"/>
      <c r="ACC79" s="387"/>
      <c r="ACD79" s="387"/>
      <c r="ACE79" s="387"/>
      <c r="ACF79" s="387"/>
      <c r="ACG79" s="387"/>
      <c r="ACH79" s="387"/>
      <c r="ACI79" s="387"/>
      <c r="ACJ79" s="387"/>
      <c r="ACK79" s="387"/>
      <c r="ACL79" s="387"/>
      <c r="ACM79" s="387"/>
      <c r="ACN79" s="387"/>
      <c r="ACO79" s="387"/>
      <c r="ACP79" s="387"/>
      <c r="ACQ79" s="387"/>
      <c r="ACR79" s="387"/>
      <c r="ACS79" s="387"/>
      <c r="ACT79" s="387"/>
      <c r="ACU79" s="387"/>
      <c r="ACV79" s="387"/>
      <c r="ACW79" s="387"/>
      <c r="ACX79" s="387"/>
      <c r="ACY79" s="387"/>
      <c r="ACZ79" s="387"/>
      <c r="ADA79" s="387"/>
      <c r="ADB79" s="387"/>
      <c r="ADC79" s="387"/>
      <c r="ADD79" s="387"/>
      <c r="ADE79" s="387"/>
      <c r="ADF79" s="387"/>
      <c r="ADG79" s="387"/>
      <c r="ADH79" s="387"/>
      <c r="ADI79" s="387"/>
      <c r="ADJ79" s="387"/>
      <c r="ADK79" s="387"/>
      <c r="ADL79" s="387"/>
      <c r="ADM79" s="387"/>
      <c r="ADN79" s="387"/>
      <c r="ADO79" s="387"/>
      <c r="ADP79" s="387"/>
      <c r="ADQ79" s="387"/>
      <c r="ADR79" s="387"/>
      <c r="ADS79" s="387"/>
      <c r="ADT79" s="387"/>
      <c r="ADU79" s="387"/>
      <c r="ADV79" s="387"/>
      <c r="ADW79" s="387"/>
      <c r="ADX79" s="387"/>
      <c r="ADY79" s="387"/>
      <c r="ADZ79" s="387"/>
      <c r="AEA79" s="387"/>
      <c r="AEB79" s="387"/>
      <c r="AEC79" s="387"/>
      <c r="AED79" s="387"/>
      <c r="AEE79" s="387"/>
      <c r="AEF79" s="387"/>
      <c r="AEG79" s="387"/>
      <c r="AEH79" s="387"/>
      <c r="AEI79" s="387"/>
      <c r="AEJ79" s="387"/>
      <c r="AEK79" s="387"/>
      <c r="AEL79" s="387"/>
      <c r="AEM79" s="387"/>
      <c r="AEN79" s="387"/>
      <c r="AEO79" s="387"/>
      <c r="AEP79" s="387"/>
      <c r="AEQ79" s="387"/>
      <c r="AER79" s="387"/>
      <c r="AES79" s="387"/>
      <c r="AET79" s="387"/>
      <c r="AEU79" s="387"/>
      <c r="AEV79" s="387"/>
      <c r="AEW79" s="387"/>
      <c r="AEX79" s="387"/>
      <c r="AEY79" s="387"/>
      <c r="AEZ79" s="387"/>
      <c r="AFA79" s="387"/>
      <c r="AFB79" s="387"/>
      <c r="AFC79" s="387"/>
      <c r="AFD79" s="387"/>
      <c r="AFE79" s="387"/>
      <c r="AFF79" s="387"/>
      <c r="AFG79" s="387"/>
      <c r="AFH79" s="387"/>
      <c r="AFI79" s="387"/>
      <c r="AFJ79" s="387"/>
      <c r="AFK79" s="387"/>
      <c r="AFL79" s="387"/>
      <c r="AFM79" s="387"/>
      <c r="AFN79" s="387"/>
      <c r="AFO79" s="387"/>
      <c r="AFP79" s="387"/>
      <c r="AFQ79" s="387"/>
      <c r="AFR79" s="387"/>
      <c r="AFS79" s="387"/>
      <c r="AFT79" s="387"/>
      <c r="AFU79" s="387"/>
      <c r="AFV79" s="387"/>
      <c r="AFW79" s="387"/>
      <c r="AFX79" s="387"/>
      <c r="AFY79" s="387"/>
      <c r="AFZ79" s="387"/>
      <c r="AGA79" s="387"/>
      <c r="AGB79" s="387"/>
      <c r="AGC79" s="387"/>
      <c r="AGD79" s="387"/>
      <c r="AGE79" s="387"/>
      <c r="AGF79" s="387"/>
      <c r="AGG79" s="387"/>
      <c r="AGH79" s="387"/>
      <c r="AGI79" s="387"/>
      <c r="AGJ79" s="387"/>
      <c r="AGK79" s="387"/>
      <c r="AGL79" s="387"/>
      <c r="AGM79" s="387"/>
      <c r="AGN79" s="387"/>
      <c r="AGO79" s="387"/>
      <c r="AGP79" s="387"/>
      <c r="AGQ79" s="387"/>
      <c r="AGR79" s="387"/>
      <c r="AGS79" s="387"/>
      <c r="AGT79" s="387"/>
      <c r="AGU79" s="387"/>
      <c r="AGV79" s="387"/>
      <c r="AGW79" s="387"/>
      <c r="AGX79" s="387"/>
      <c r="AGY79" s="387"/>
      <c r="AGZ79" s="387"/>
      <c r="AHA79" s="387"/>
      <c r="AHB79" s="387"/>
      <c r="AHC79" s="387"/>
      <c r="AHD79" s="387"/>
      <c r="AHE79" s="387"/>
      <c r="AHF79" s="387"/>
      <c r="AHG79" s="387"/>
      <c r="AHH79" s="387"/>
      <c r="AHI79" s="387"/>
      <c r="AHJ79" s="387"/>
      <c r="AHK79" s="387"/>
      <c r="AHL79" s="387"/>
      <c r="AHM79" s="387"/>
      <c r="AHN79" s="387"/>
      <c r="AHO79" s="387"/>
      <c r="AHP79" s="387"/>
      <c r="AHQ79" s="387"/>
      <c r="AHR79" s="387"/>
      <c r="AHS79" s="387"/>
      <c r="AHT79" s="387"/>
      <c r="AHU79" s="387"/>
      <c r="AHV79" s="387"/>
      <c r="AHW79" s="387"/>
      <c r="AHX79" s="387"/>
      <c r="AHY79" s="387"/>
      <c r="AHZ79" s="387"/>
      <c r="AIA79" s="387"/>
      <c r="AIB79" s="387"/>
      <c r="AIC79" s="387"/>
      <c r="AID79" s="387"/>
      <c r="AIE79" s="387"/>
      <c r="AIF79" s="387"/>
      <c r="AIG79" s="387"/>
      <c r="AIH79" s="387"/>
      <c r="AII79" s="387"/>
      <c r="AIJ79" s="387"/>
      <c r="AIK79" s="387"/>
      <c r="AIL79" s="387"/>
      <c r="AIM79" s="387"/>
      <c r="AIN79" s="387"/>
      <c r="AIO79" s="387"/>
      <c r="AIP79" s="387"/>
      <c r="AIQ79" s="387"/>
      <c r="AIR79" s="387"/>
      <c r="AIS79" s="387"/>
      <c r="AIT79" s="387"/>
      <c r="AIU79" s="387"/>
      <c r="AIV79" s="387"/>
      <c r="AIW79" s="387"/>
      <c r="AIX79" s="387"/>
      <c r="AIY79" s="387"/>
      <c r="AIZ79" s="387"/>
      <c r="AJA79" s="387"/>
      <c r="AJB79" s="387"/>
      <c r="AJC79" s="387"/>
      <c r="AJD79" s="387"/>
      <c r="AJE79" s="387"/>
      <c r="AJF79" s="387"/>
      <c r="AJG79" s="387"/>
      <c r="AJH79" s="387"/>
      <c r="AJI79" s="387"/>
      <c r="AJJ79" s="387"/>
      <c r="AJK79" s="387"/>
      <c r="AJL79" s="387"/>
      <c r="AJM79" s="387"/>
      <c r="AJN79" s="387"/>
      <c r="AJO79" s="387"/>
      <c r="AJP79" s="387"/>
      <c r="AJQ79" s="387"/>
      <c r="AJR79" s="387"/>
      <c r="AJS79" s="387"/>
      <c r="AJT79" s="387"/>
      <c r="AJU79" s="387"/>
      <c r="AJV79" s="387"/>
      <c r="AJW79" s="387"/>
      <c r="AJX79" s="387"/>
      <c r="AJY79" s="387"/>
      <c r="AJZ79" s="387"/>
      <c r="AKA79" s="387"/>
      <c r="AKB79" s="387"/>
      <c r="AKC79" s="387"/>
      <c r="AKD79" s="387"/>
      <c r="AKE79" s="387"/>
      <c r="AKF79" s="387"/>
      <c r="AKG79" s="387"/>
      <c r="AKH79" s="387"/>
      <c r="AKI79" s="387"/>
      <c r="AKJ79" s="387"/>
      <c r="AKK79" s="387"/>
      <c r="AKL79" s="387"/>
      <c r="AKM79" s="387"/>
      <c r="AKN79" s="387"/>
      <c r="AKO79" s="387"/>
      <c r="AKP79" s="387"/>
      <c r="AKQ79" s="387"/>
      <c r="AKR79" s="387"/>
      <c r="AKS79" s="387"/>
      <c r="AKT79" s="387"/>
      <c r="AKU79" s="387"/>
      <c r="AKV79" s="387"/>
      <c r="AKW79" s="387"/>
      <c r="AKX79" s="387"/>
      <c r="AKY79" s="387"/>
      <c r="AKZ79" s="387"/>
      <c r="ALA79" s="387"/>
      <c r="ALB79" s="387"/>
      <c r="ALC79" s="387"/>
      <c r="ALD79" s="387"/>
      <c r="ALE79" s="387"/>
      <c r="ALF79" s="387"/>
      <c r="ALG79" s="387"/>
      <c r="ALH79" s="387"/>
      <c r="ALI79" s="387"/>
      <c r="ALJ79" s="387"/>
      <c r="ALK79" s="387"/>
      <c r="ALL79" s="387"/>
      <c r="ALM79" s="387"/>
      <c r="ALN79" s="387"/>
      <c r="ALO79" s="387"/>
      <c r="ALP79" s="387"/>
      <c r="ALQ79" s="387"/>
      <c r="ALR79" s="387"/>
      <c r="ALS79" s="387"/>
      <c r="ALT79" s="387"/>
      <c r="ALU79" s="387"/>
      <c r="ALV79" s="387"/>
      <c r="ALW79" s="387"/>
      <c r="ALX79" s="387"/>
      <c r="ALY79" s="387"/>
      <c r="ALZ79" s="387"/>
      <c r="AMA79" s="387"/>
      <c r="AMB79" s="387"/>
      <c r="AMC79" s="387"/>
      <c r="AMD79" s="387"/>
      <c r="AME79" s="387"/>
      <c r="AMF79" s="387"/>
      <c r="AMG79" s="387"/>
      <c r="AMH79" s="387"/>
      <c r="AMI79" s="387"/>
      <c r="AMJ79" s="387"/>
      <c r="AMK79" s="387"/>
      <c r="AML79" s="387"/>
      <c r="AMM79" s="387"/>
      <c r="AMN79" s="387"/>
      <c r="AMO79" s="387"/>
      <c r="AMP79" s="387"/>
      <c r="AMQ79" s="387"/>
      <c r="AMR79" s="387"/>
      <c r="AMS79" s="387"/>
      <c r="AMT79" s="387"/>
      <c r="AMU79" s="387"/>
      <c r="AMV79" s="387"/>
      <c r="AMW79" s="387"/>
      <c r="AMX79" s="387"/>
      <c r="AMY79" s="387"/>
      <c r="AMZ79" s="387"/>
      <c r="ANA79" s="387"/>
      <c r="ANB79" s="387"/>
      <c r="ANC79" s="387"/>
      <c r="AND79" s="387"/>
      <c r="ANE79" s="387"/>
      <c r="ANF79" s="387"/>
      <c r="ANG79" s="387"/>
      <c r="ANH79" s="387"/>
      <c r="ANI79" s="387"/>
      <c r="ANJ79" s="387"/>
      <c r="ANK79" s="387"/>
      <c r="ANL79" s="387"/>
      <c r="ANM79" s="387"/>
      <c r="ANN79" s="387"/>
      <c r="ANO79" s="387"/>
      <c r="ANP79" s="387"/>
      <c r="ANQ79" s="387"/>
      <c r="ANR79" s="387"/>
      <c r="ANS79" s="387"/>
      <c r="ANT79" s="387"/>
      <c r="ANU79" s="387"/>
      <c r="ANV79" s="387"/>
      <c r="ANW79" s="387"/>
      <c r="ANX79" s="387"/>
      <c r="ANY79" s="387"/>
      <c r="ANZ79" s="387"/>
      <c r="AOA79" s="387"/>
      <c r="AOB79" s="387"/>
      <c r="AOC79" s="387"/>
      <c r="AOD79" s="387"/>
      <c r="AOE79" s="387"/>
      <c r="AOF79" s="387"/>
      <c r="AOG79" s="387"/>
      <c r="AOH79" s="387"/>
      <c r="AOI79" s="387"/>
      <c r="AOJ79" s="387"/>
      <c r="AOK79" s="387"/>
      <c r="AOL79" s="387"/>
      <c r="AOM79" s="387"/>
      <c r="AON79" s="387"/>
      <c r="AOO79" s="387"/>
      <c r="AOP79" s="387"/>
      <c r="AOQ79" s="387"/>
      <c r="AOR79" s="387"/>
      <c r="AOS79" s="387"/>
      <c r="AOT79" s="387"/>
      <c r="AOU79" s="387"/>
      <c r="AOV79" s="387"/>
      <c r="AOW79" s="387"/>
      <c r="AOX79" s="387"/>
      <c r="AOY79" s="387"/>
      <c r="AOZ79" s="387"/>
      <c r="APA79" s="387"/>
      <c r="APB79" s="387"/>
      <c r="APC79" s="387"/>
      <c r="APD79" s="387"/>
      <c r="APE79" s="387"/>
      <c r="APF79" s="387"/>
      <c r="APG79" s="387"/>
      <c r="APH79" s="387"/>
      <c r="API79" s="387"/>
      <c r="APJ79" s="387"/>
      <c r="APK79" s="387"/>
      <c r="APL79" s="387"/>
      <c r="APM79" s="387"/>
      <c r="APN79" s="387"/>
      <c r="APO79" s="387"/>
      <c r="APP79" s="387"/>
      <c r="APQ79" s="387"/>
      <c r="APR79" s="387"/>
      <c r="APS79" s="387"/>
      <c r="APT79" s="387"/>
      <c r="APU79" s="387"/>
      <c r="APV79" s="387"/>
      <c r="APW79" s="387"/>
      <c r="APX79" s="387"/>
      <c r="APY79" s="387"/>
      <c r="APZ79" s="387"/>
      <c r="AQA79" s="387"/>
      <c r="AQB79" s="387"/>
      <c r="AQC79" s="387"/>
      <c r="AQD79" s="387"/>
      <c r="AQE79" s="387"/>
      <c r="AQF79" s="387"/>
      <c r="AQG79" s="387"/>
      <c r="AQH79" s="387"/>
      <c r="AQI79" s="387"/>
      <c r="AQJ79" s="387"/>
      <c r="AQK79" s="387"/>
      <c r="AQL79" s="387"/>
      <c r="AQM79" s="387"/>
      <c r="AQN79" s="387"/>
      <c r="AQO79" s="387"/>
      <c r="AQP79" s="387"/>
      <c r="AQQ79" s="387"/>
      <c r="AQR79" s="387"/>
      <c r="AQS79" s="387"/>
      <c r="AQT79" s="387"/>
      <c r="AQU79" s="387"/>
      <c r="AQV79" s="387"/>
      <c r="AQW79" s="387"/>
      <c r="AQX79" s="387"/>
      <c r="AQY79" s="387"/>
      <c r="AQZ79" s="387"/>
      <c r="ARA79" s="387"/>
      <c r="ARB79" s="387"/>
      <c r="ARC79" s="387"/>
      <c r="ARD79" s="387"/>
      <c r="ARE79" s="387"/>
      <c r="ARF79" s="387"/>
      <c r="ARG79" s="387"/>
      <c r="ARH79" s="387"/>
      <c r="ARI79" s="387"/>
      <c r="ARJ79" s="387"/>
      <c r="ARK79" s="387"/>
      <c r="ARL79" s="387"/>
      <c r="ARM79" s="387"/>
      <c r="ARN79" s="387"/>
      <c r="ARO79" s="387"/>
      <c r="ARP79" s="387"/>
      <c r="ARQ79" s="387"/>
      <c r="ARR79" s="387"/>
      <c r="ARS79" s="387"/>
      <c r="ART79" s="387"/>
      <c r="ARU79" s="387"/>
      <c r="ARV79" s="387"/>
      <c r="ARW79" s="387"/>
      <c r="ARX79" s="387"/>
      <c r="ARY79" s="387"/>
      <c r="ARZ79" s="387"/>
      <c r="ASA79" s="387"/>
      <c r="ASB79" s="387"/>
      <c r="ASC79" s="387"/>
      <c r="ASD79" s="387"/>
      <c r="ASE79" s="387"/>
      <c r="ASF79" s="387"/>
      <c r="ASG79" s="387"/>
      <c r="ASH79" s="387"/>
      <c r="ASI79" s="387"/>
      <c r="ASJ79" s="387"/>
      <c r="ASK79" s="387"/>
      <c r="ASL79" s="387"/>
      <c r="ASM79" s="387"/>
      <c r="ASN79" s="387"/>
      <c r="ASO79" s="387"/>
      <c r="ASP79" s="387"/>
      <c r="ASQ79" s="387"/>
      <c r="ASR79" s="387"/>
      <c r="ASS79" s="387"/>
      <c r="AST79" s="387"/>
      <c r="ASU79" s="387"/>
      <c r="ASV79" s="387"/>
      <c r="ASW79" s="387"/>
      <c r="ASX79" s="387"/>
      <c r="ASY79" s="387"/>
      <c r="ASZ79" s="387"/>
      <c r="ATA79" s="387"/>
      <c r="ATB79" s="387"/>
      <c r="ATC79" s="387"/>
      <c r="ATD79" s="387"/>
      <c r="ATE79" s="387"/>
      <c r="ATF79" s="387"/>
      <c r="ATG79" s="387"/>
      <c r="ATH79" s="387"/>
      <c r="ATI79" s="387"/>
      <c r="ATJ79" s="387"/>
      <c r="ATK79" s="387"/>
      <c r="ATL79" s="387"/>
      <c r="ATM79" s="387"/>
      <c r="ATN79" s="387"/>
      <c r="ATO79" s="387"/>
      <c r="ATP79" s="387"/>
      <c r="ATQ79" s="387"/>
      <c r="ATR79" s="387"/>
      <c r="ATS79" s="387"/>
      <c r="ATT79" s="387"/>
      <c r="ATU79" s="387"/>
      <c r="ATV79" s="387"/>
      <c r="ATW79" s="387"/>
      <c r="ATX79" s="387"/>
      <c r="ATY79" s="387"/>
      <c r="ATZ79" s="387"/>
      <c r="AUA79" s="387"/>
      <c r="AUB79" s="387"/>
      <c r="AUC79" s="387"/>
      <c r="AUD79" s="387"/>
      <c r="AUE79" s="387"/>
      <c r="AUF79" s="387"/>
      <c r="AUG79" s="387"/>
      <c r="AUH79" s="387"/>
      <c r="AUI79" s="387"/>
      <c r="AUJ79" s="387"/>
      <c r="AUK79" s="387"/>
      <c r="AUL79" s="387"/>
      <c r="AUM79" s="387"/>
      <c r="AUN79" s="387"/>
      <c r="AUO79" s="387"/>
      <c r="AUP79" s="387"/>
      <c r="AUQ79" s="387"/>
      <c r="AUR79" s="387"/>
      <c r="AUS79" s="387"/>
      <c r="AUT79" s="387"/>
      <c r="AUU79" s="387"/>
      <c r="AUV79" s="387"/>
      <c r="AUW79" s="387"/>
      <c r="AUX79" s="387"/>
      <c r="AUY79" s="387"/>
      <c r="AUZ79" s="387"/>
      <c r="AVA79" s="387"/>
      <c r="AVB79" s="387"/>
      <c r="AVC79" s="387"/>
      <c r="AVD79" s="387"/>
      <c r="AVE79" s="387"/>
      <c r="AVF79" s="387"/>
      <c r="AVG79" s="387"/>
      <c r="AVH79" s="387"/>
      <c r="AVI79" s="387"/>
      <c r="AVJ79" s="387"/>
      <c r="AVK79" s="387"/>
      <c r="AVL79" s="387"/>
      <c r="AVM79" s="387"/>
      <c r="AVN79" s="387"/>
      <c r="AVO79" s="387"/>
      <c r="AVP79" s="387"/>
      <c r="AVQ79" s="387"/>
      <c r="AVR79" s="387"/>
      <c r="AVS79" s="387"/>
      <c r="AVT79" s="387"/>
      <c r="AVU79" s="387"/>
      <c r="AVV79" s="387"/>
      <c r="AVW79" s="387"/>
      <c r="AVX79" s="387"/>
      <c r="AVY79" s="387"/>
      <c r="AVZ79" s="387"/>
      <c r="AWA79" s="387"/>
      <c r="AWB79" s="387"/>
      <c r="AWC79" s="387"/>
      <c r="AWD79" s="387"/>
      <c r="AWE79" s="387"/>
      <c r="AWF79" s="387"/>
      <c r="AWG79" s="387"/>
      <c r="AWH79" s="387"/>
      <c r="AWI79" s="387"/>
      <c r="AWJ79" s="387"/>
      <c r="AWK79" s="387"/>
      <c r="AWL79" s="387"/>
      <c r="AWM79" s="387"/>
      <c r="AWN79" s="387"/>
      <c r="AWO79" s="387"/>
      <c r="AWP79" s="387"/>
      <c r="AWQ79" s="387"/>
      <c r="AWR79" s="387"/>
      <c r="AWS79" s="387"/>
      <c r="AWT79" s="387"/>
      <c r="AWU79" s="387"/>
      <c r="AWV79" s="387"/>
      <c r="AWW79" s="387"/>
      <c r="AWX79" s="387"/>
      <c r="AWY79" s="387"/>
      <c r="AWZ79" s="387"/>
      <c r="AXA79" s="387"/>
      <c r="AXB79" s="387"/>
      <c r="AXC79" s="387"/>
      <c r="AXD79" s="387"/>
      <c r="AXE79" s="387"/>
      <c r="AXF79" s="387"/>
      <c r="AXG79" s="387"/>
      <c r="AXH79" s="387"/>
      <c r="AXI79" s="387"/>
      <c r="AXJ79" s="387"/>
      <c r="AXK79" s="387"/>
      <c r="AXL79" s="387"/>
      <c r="AXM79" s="387"/>
      <c r="AXN79" s="387"/>
      <c r="AXO79" s="387"/>
      <c r="AXP79" s="387"/>
      <c r="AXQ79" s="387"/>
      <c r="AXR79" s="387"/>
      <c r="AXS79" s="387"/>
      <c r="AXT79" s="387"/>
      <c r="AXU79" s="387"/>
      <c r="AXV79" s="387"/>
      <c r="AXW79" s="387"/>
      <c r="AXX79" s="387"/>
      <c r="AXY79" s="387"/>
      <c r="AXZ79" s="387"/>
      <c r="AYA79" s="387"/>
      <c r="AYB79" s="387"/>
      <c r="AYC79" s="387"/>
      <c r="AYD79" s="387"/>
      <c r="AYE79" s="387"/>
      <c r="AYF79" s="387"/>
      <c r="AYG79" s="387"/>
      <c r="AYH79" s="387"/>
      <c r="AYI79" s="387"/>
      <c r="AYJ79" s="387"/>
      <c r="AYK79" s="387"/>
      <c r="AYL79" s="387"/>
      <c r="AYM79" s="387"/>
      <c r="AYN79" s="387"/>
      <c r="AYO79" s="387"/>
      <c r="AYP79" s="387"/>
      <c r="AYQ79" s="387"/>
      <c r="AYR79" s="387"/>
      <c r="AYS79" s="387"/>
      <c r="AYT79" s="387"/>
      <c r="AYU79" s="387"/>
      <c r="AYV79" s="387"/>
      <c r="AYW79" s="387"/>
      <c r="AYX79" s="387"/>
      <c r="AYY79" s="387"/>
      <c r="AYZ79" s="387"/>
      <c r="AZA79" s="387"/>
      <c r="AZB79" s="387"/>
      <c r="AZC79" s="387"/>
      <c r="AZD79" s="387"/>
      <c r="AZE79" s="387"/>
      <c r="AZF79" s="387"/>
      <c r="AZG79" s="387"/>
      <c r="AZH79" s="387"/>
      <c r="AZI79" s="387"/>
      <c r="AZJ79" s="387"/>
      <c r="AZK79" s="387"/>
      <c r="AZL79" s="387"/>
      <c r="AZM79" s="387"/>
      <c r="AZN79" s="387"/>
      <c r="AZO79" s="387"/>
      <c r="AZP79" s="387"/>
      <c r="AZQ79" s="387"/>
      <c r="AZR79" s="387"/>
      <c r="AZS79" s="387"/>
      <c r="AZT79" s="387"/>
      <c r="AZU79" s="387"/>
      <c r="AZV79" s="387"/>
      <c r="AZW79" s="387"/>
      <c r="AZX79" s="387"/>
      <c r="AZY79" s="387"/>
      <c r="AZZ79" s="387"/>
      <c r="BAA79" s="387"/>
      <c r="BAB79" s="387"/>
      <c r="BAC79" s="387"/>
      <c r="BAD79" s="387"/>
      <c r="BAE79" s="387"/>
      <c r="BAF79" s="387"/>
      <c r="BAG79" s="387"/>
      <c r="BAH79" s="387"/>
      <c r="BAI79" s="387"/>
      <c r="BAJ79" s="387"/>
      <c r="BAK79" s="387"/>
      <c r="BAL79" s="387"/>
      <c r="BAM79" s="387"/>
      <c r="BAN79" s="387"/>
      <c r="BAO79" s="387"/>
      <c r="BAP79" s="387"/>
      <c r="BAQ79" s="387"/>
      <c r="BAR79" s="387"/>
      <c r="BAS79" s="387"/>
      <c r="BAT79" s="387"/>
      <c r="BAU79" s="387"/>
      <c r="BAV79" s="387"/>
      <c r="BAW79" s="387"/>
      <c r="BAX79" s="387"/>
      <c r="BAY79" s="387"/>
      <c r="BAZ79" s="387"/>
      <c r="BBA79" s="387"/>
      <c r="BBB79" s="387"/>
      <c r="BBC79" s="387"/>
      <c r="BBD79" s="387"/>
      <c r="BBE79" s="387"/>
      <c r="BBF79" s="387"/>
      <c r="BBG79" s="387"/>
      <c r="BBH79" s="387"/>
      <c r="BBI79" s="387"/>
      <c r="BBJ79" s="387"/>
      <c r="BBK79" s="387"/>
      <c r="BBL79" s="387"/>
      <c r="BBM79" s="387"/>
      <c r="BBN79" s="387"/>
      <c r="BBO79" s="387"/>
      <c r="BBP79" s="387"/>
      <c r="BBQ79" s="387"/>
      <c r="BBR79" s="387"/>
      <c r="BBS79" s="387"/>
      <c r="BBT79" s="387"/>
      <c r="BBU79" s="387"/>
      <c r="BBV79" s="387"/>
      <c r="BBW79" s="387"/>
      <c r="BBX79" s="387"/>
      <c r="BBY79" s="387"/>
      <c r="BBZ79" s="387"/>
      <c r="BCA79" s="387"/>
      <c r="BCB79" s="387"/>
      <c r="BCC79" s="387"/>
      <c r="BCD79" s="387"/>
      <c r="BCE79" s="387"/>
      <c r="BCF79" s="387"/>
      <c r="BCG79" s="387"/>
      <c r="BCH79" s="387"/>
      <c r="BCI79" s="387"/>
      <c r="BCJ79" s="387"/>
      <c r="BCK79" s="387"/>
      <c r="BCL79" s="387"/>
      <c r="BCM79" s="387"/>
      <c r="BCN79" s="387"/>
      <c r="BCO79" s="387"/>
      <c r="BCP79" s="387"/>
      <c r="BCQ79" s="387"/>
      <c r="BCR79" s="387"/>
      <c r="BCS79" s="387"/>
      <c r="BCT79" s="387"/>
      <c r="BCU79" s="387"/>
      <c r="BCV79" s="387"/>
      <c r="BCW79" s="387"/>
      <c r="BCX79" s="387"/>
      <c r="BCY79" s="387"/>
      <c r="BCZ79" s="387"/>
      <c r="BDA79" s="387"/>
      <c r="BDB79" s="387"/>
      <c r="BDC79" s="387"/>
      <c r="BDD79" s="387"/>
      <c r="BDE79" s="387"/>
      <c r="BDF79" s="387"/>
      <c r="BDG79" s="387"/>
      <c r="BDH79" s="387"/>
      <c r="BDI79" s="387"/>
      <c r="BDJ79" s="387"/>
      <c r="BDK79" s="387"/>
      <c r="BDL79" s="387"/>
      <c r="BDM79" s="387"/>
      <c r="BDN79" s="387"/>
      <c r="BDO79" s="387"/>
      <c r="BDP79" s="387"/>
      <c r="BDQ79" s="387"/>
      <c r="BDR79" s="387"/>
      <c r="BDS79" s="387"/>
      <c r="BDT79" s="387"/>
      <c r="BDU79" s="387"/>
      <c r="BDV79" s="387"/>
      <c r="BDW79" s="387"/>
      <c r="BDX79" s="387"/>
      <c r="BDY79" s="387"/>
      <c r="BDZ79" s="387"/>
      <c r="BEA79" s="387"/>
      <c r="BEB79" s="387"/>
      <c r="BEC79" s="387"/>
      <c r="BED79" s="387"/>
      <c r="BEE79" s="387"/>
      <c r="BEF79" s="387"/>
      <c r="BEG79" s="387"/>
      <c r="BEH79" s="387"/>
      <c r="BEI79" s="387"/>
      <c r="BEJ79" s="387"/>
      <c r="BEK79" s="387"/>
      <c r="BEL79" s="387"/>
      <c r="BEM79" s="387"/>
      <c r="BEN79" s="387"/>
      <c r="BEO79" s="387"/>
      <c r="BEP79" s="387"/>
      <c r="BEQ79" s="387"/>
      <c r="BER79" s="387"/>
      <c r="BES79" s="387"/>
      <c r="BET79" s="387"/>
      <c r="BEU79" s="387"/>
      <c r="BEV79" s="387"/>
      <c r="BEW79" s="387"/>
      <c r="BEX79" s="387"/>
      <c r="BEY79" s="387"/>
      <c r="BEZ79" s="387"/>
      <c r="BFA79" s="387"/>
      <c r="BFB79" s="387"/>
      <c r="BFC79" s="387"/>
      <c r="BFD79" s="387"/>
      <c r="BFE79" s="387"/>
      <c r="BFF79" s="387"/>
      <c r="BFG79" s="387"/>
      <c r="BFH79" s="387"/>
      <c r="BFI79" s="387"/>
      <c r="BFJ79" s="387"/>
      <c r="BFK79" s="387"/>
      <c r="BFL79" s="387"/>
      <c r="BFM79" s="387"/>
      <c r="BFN79" s="387"/>
      <c r="BFO79" s="387"/>
      <c r="BFP79" s="387"/>
      <c r="BFQ79" s="387"/>
      <c r="BFR79" s="387"/>
      <c r="BFS79" s="387"/>
      <c r="BFT79" s="387"/>
      <c r="BFU79" s="387"/>
      <c r="BFV79" s="387"/>
      <c r="BFW79" s="387"/>
      <c r="BFX79" s="387"/>
      <c r="BFY79" s="387"/>
      <c r="BFZ79" s="387"/>
      <c r="BGA79" s="387"/>
      <c r="BGB79" s="387"/>
      <c r="BGC79" s="387"/>
      <c r="BGD79" s="387"/>
      <c r="BGE79" s="387"/>
      <c r="BGF79" s="387"/>
      <c r="BGG79" s="387"/>
      <c r="BGH79" s="387"/>
      <c r="BGI79" s="387"/>
      <c r="BGJ79" s="387"/>
      <c r="BGK79" s="387"/>
      <c r="BGL79" s="387"/>
      <c r="BGM79" s="387"/>
      <c r="BGN79" s="387"/>
      <c r="BGO79" s="387"/>
      <c r="BGP79" s="387"/>
      <c r="BGQ79" s="387"/>
      <c r="BGR79" s="387"/>
      <c r="BGS79" s="387"/>
      <c r="BGT79" s="387"/>
      <c r="BGU79" s="387"/>
      <c r="BGV79" s="387"/>
      <c r="BGW79" s="387"/>
      <c r="BGX79" s="387"/>
      <c r="BGY79" s="387"/>
      <c r="BGZ79" s="387"/>
      <c r="BHA79" s="387"/>
      <c r="BHB79" s="387"/>
      <c r="BHC79" s="387"/>
      <c r="BHD79" s="387"/>
      <c r="BHE79" s="387"/>
      <c r="BHF79" s="387"/>
      <c r="BHG79" s="387"/>
      <c r="BHH79" s="387"/>
      <c r="BHI79" s="387"/>
      <c r="BHJ79" s="387"/>
      <c r="BHK79" s="387"/>
      <c r="BHL79" s="387"/>
      <c r="BHM79" s="387"/>
      <c r="BHN79" s="387"/>
      <c r="BHO79" s="387"/>
      <c r="BHP79" s="387"/>
      <c r="BHQ79" s="387"/>
      <c r="BHR79" s="387"/>
      <c r="BHS79" s="387"/>
      <c r="BHT79" s="387"/>
      <c r="BHU79" s="387"/>
      <c r="BHV79" s="387"/>
      <c r="BHW79" s="387"/>
      <c r="BHX79" s="387"/>
      <c r="BHY79" s="387"/>
      <c r="BHZ79" s="387"/>
      <c r="BIA79" s="387"/>
      <c r="BIB79" s="387"/>
      <c r="BIC79" s="387"/>
      <c r="BID79" s="387"/>
      <c r="BIE79" s="387"/>
      <c r="BIF79" s="387"/>
      <c r="BIG79" s="387"/>
      <c r="BIH79" s="387"/>
      <c r="BII79" s="387"/>
      <c r="BIJ79" s="387"/>
      <c r="BIK79" s="387"/>
      <c r="BIL79" s="387"/>
      <c r="BIM79" s="387"/>
      <c r="BIN79" s="387"/>
      <c r="BIO79" s="387"/>
      <c r="BIP79" s="387"/>
      <c r="BIQ79" s="387"/>
      <c r="BIR79" s="387"/>
      <c r="BIS79" s="387"/>
      <c r="BIT79" s="387"/>
      <c r="BIU79" s="387"/>
      <c r="BIV79" s="387"/>
      <c r="BIW79" s="387"/>
      <c r="BIX79" s="387"/>
      <c r="BIY79" s="387"/>
      <c r="BIZ79" s="387"/>
      <c r="BJA79" s="387"/>
      <c r="BJB79" s="387"/>
      <c r="BJC79" s="387"/>
      <c r="BJD79" s="387"/>
      <c r="BJE79" s="387"/>
      <c r="BJF79" s="387"/>
      <c r="BJG79" s="387"/>
      <c r="BJH79" s="387"/>
      <c r="BJI79" s="387"/>
      <c r="BJJ79" s="387"/>
      <c r="BJK79" s="387"/>
      <c r="BJL79" s="387"/>
      <c r="BJM79" s="387"/>
      <c r="BJN79" s="387"/>
      <c r="BJO79" s="387"/>
      <c r="BJP79" s="387"/>
      <c r="BJQ79" s="387"/>
      <c r="BJR79" s="387"/>
      <c r="BJS79" s="387"/>
      <c r="BJT79" s="387"/>
      <c r="BJU79" s="387"/>
      <c r="BJV79" s="387"/>
      <c r="BJW79" s="387"/>
      <c r="BJX79" s="387"/>
      <c r="BJY79" s="387"/>
      <c r="BJZ79" s="387"/>
      <c r="BKA79" s="387"/>
      <c r="BKB79" s="387"/>
      <c r="BKC79" s="387"/>
      <c r="BKD79" s="387"/>
      <c r="BKE79" s="387"/>
      <c r="BKF79" s="387"/>
      <c r="BKG79" s="387"/>
      <c r="BKH79" s="387"/>
      <c r="BKI79" s="387"/>
      <c r="BKJ79" s="387"/>
      <c r="BKK79" s="387"/>
      <c r="BKL79" s="387"/>
      <c r="BKM79" s="387"/>
      <c r="BKN79" s="387"/>
      <c r="BKO79" s="387"/>
      <c r="BKP79" s="387"/>
      <c r="BKQ79" s="387"/>
      <c r="BKR79" s="387"/>
      <c r="BKS79" s="387"/>
      <c r="BKT79" s="387"/>
      <c r="BKU79" s="387"/>
      <c r="BKV79" s="387"/>
      <c r="BKW79" s="387"/>
      <c r="BKX79" s="387"/>
      <c r="BKY79" s="387"/>
      <c r="BKZ79" s="387"/>
      <c r="BLA79" s="387"/>
      <c r="BLB79" s="387"/>
      <c r="BLC79" s="387"/>
      <c r="BLD79" s="387"/>
      <c r="BLE79" s="387"/>
      <c r="BLF79" s="387"/>
      <c r="BLG79" s="387"/>
      <c r="BLH79" s="387"/>
      <c r="BLI79" s="387"/>
      <c r="BLJ79" s="387"/>
      <c r="BLK79" s="387"/>
      <c r="BLL79" s="387"/>
      <c r="BLM79" s="387"/>
      <c r="BLN79" s="387"/>
      <c r="BLO79" s="387"/>
      <c r="BLP79" s="387"/>
      <c r="BLQ79" s="387"/>
      <c r="BLR79" s="387"/>
      <c r="BLS79" s="387"/>
      <c r="BLT79" s="387"/>
      <c r="BLU79" s="387"/>
      <c r="BLV79" s="387"/>
      <c r="BLW79" s="387"/>
      <c r="BLX79" s="387"/>
      <c r="BLY79" s="387"/>
      <c r="BLZ79" s="387"/>
      <c r="BMA79" s="387"/>
      <c r="BMB79" s="387"/>
      <c r="BMC79" s="387"/>
      <c r="BMD79" s="387"/>
      <c r="BME79" s="387"/>
      <c r="BMF79" s="387"/>
      <c r="BMG79" s="387"/>
      <c r="BMH79" s="387"/>
      <c r="BMI79" s="387"/>
      <c r="BMJ79" s="387"/>
      <c r="BMK79" s="387"/>
      <c r="BML79" s="387"/>
      <c r="BMM79" s="387"/>
      <c r="BMN79" s="387"/>
      <c r="BMO79" s="387"/>
      <c r="BMP79" s="387"/>
      <c r="BMQ79" s="387"/>
      <c r="BMR79" s="387"/>
      <c r="BMS79" s="387"/>
      <c r="BMT79" s="387"/>
      <c r="BMU79" s="387"/>
      <c r="BMV79" s="387"/>
      <c r="BMW79" s="387"/>
      <c r="BMX79" s="387"/>
      <c r="BMY79" s="387"/>
      <c r="BMZ79" s="387"/>
      <c r="BNA79" s="387"/>
      <c r="BNB79" s="387"/>
      <c r="BNC79" s="387"/>
      <c r="BND79" s="387"/>
      <c r="BNE79" s="387"/>
      <c r="BNF79" s="387"/>
      <c r="BNG79" s="387"/>
      <c r="BNH79" s="387"/>
      <c r="BNI79" s="387"/>
      <c r="BNJ79" s="387"/>
      <c r="BNK79" s="387"/>
      <c r="BNL79" s="387"/>
      <c r="BNM79" s="387"/>
      <c r="BNN79" s="387"/>
      <c r="BNO79" s="387"/>
      <c r="BNP79" s="387"/>
      <c r="BNQ79" s="387"/>
      <c r="BNR79" s="387"/>
      <c r="BNS79" s="387"/>
      <c r="BNT79" s="387"/>
      <c r="BNU79" s="387"/>
      <c r="BNV79" s="387"/>
      <c r="BNW79" s="387"/>
      <c r="BNX79" s="387"/>
      <c r="BNY79" s="387"/>
      <c r="BNZ79" s="387"/>
      <c r="BOA79" s="387"/>
      <c r="BOB79" s="387"/>
      <c r="BOC79" s="387"/>
      <c r="BOD79" s="387"/>
      <c r="BOE79" s="387"/>
      <c r="BOF79" s="387"/>
      <c r="BOG79" s="387"/>
      <c r="BOH79" s="387"/>
      <c r="BOI79" s="387"/>
      <c r="BOJ79" s="387"/>
      <c r="BOK79" s="387"/>
      <c r="BOL79" s="387"/>
      <c r="BOM79" s="387"/>
      <c r="BON79" s="387"/>
      <c r="BOO79" s="387"/>
      <c r="BOP79" s="387"/>
      <c r="BOQ79" s="387"/>
      <c r="BOR79" s="387"/>
      <c r="BOS79" s="387"/>
      <c r="BOT79" s="387"/>
      <c r="BOU79" s="387"/>
      <c r="BOV79" s="387"/>
      <c r="BOW79" s="387"/>
      <c r="BOX79" s="387"/>
      <c r="BOY79" s="387"/>
      <c r="BOZ79" s="387"/>
      <c r="BPA79" s="387"/>
      <c r="BPB79" s="387"/>
      <c r="BPC79" s="387"/>
      <c r="BPD79" s="387"/>
      <c r="BPE79" s="387"/>
      <c r="BPF79" s="387"/>
      <c r="BPG79" s="387"/>
      <c r="BPH79" s="387"/>
      <c r="BPI79" s="387"/>
      <c r="BPJ79" s="387"/>
      <c r="BPK79" s="387"/>
      <c r="BPL79" s="387"/>
      <c r="BPM79" s="387"/>
      <c r="BPN79" s="387"/>
      <c r="BPO79" s="387"/>
      <c r="BPP79" s="387"/>
      <c r="BPQ79" s="387"/>
      <c r="BPR79" s="387"/>
      <c r="BPS79" s="387"/>
      <c r="BPT79" s="387"/>
      <c r="BPU79" s="387"/>
      <c r="BPV79" s="387"/>
      <c r="BPW79" s="387"/>
      <c r="BPX79" s="387"/>
      <c r="BPY79" s="387"/>
      <c r="BPZ79" s="387"/>
      <c r="BQA79" s="387"/>
      <c r="BQB79" s="387"/>
      <c r="BQC79" s="387"/>
      <c r="BQD79" s="387"/>
      <c r="BQE79" s="387"/>
      <c r="BQF79" s="387"/>
      <c r="BQG79" s="387"/>
      <c r="BQH79" s="387"/>
      <c r="BQI79" s="387"/>
      <c r="BQJ79" s="387"/>
      <c r="BQK79" s="387"/>
      <c r="BQL79" s="387"/>
      <c r="BQM79" s="387"/>
      <c r="BQN79" s="387"/>
      <c r="BQO79" s="387"/>
      <c r="BQP79" s="387"/>
      <c r="BQQ79" s="387"/>
      <c r="BQR79" s="387"/>
      <c r="BQS79" s="387"/>
      <c r="BQT79" s="387"/>
      <c r="BQU79" s="387"/>
      <c r="BQV79" s="387"/>
      <c r="BQW79" s="387"/>
      <c r="BQX79" s="387"/>
      <c r="BQY79" s="387"/>
      <c r="BQZ79" s="387"/>
      <c r="BRA79" s="387"/>
      <c r="BRB79" s="387"/>
      <c r="BRC79" s="387"/>
      <c r="BRD79" s="387"/>
      <c r="BRE79" s="387"/>
      <c r="BRF79" s="387"/>
      <c r="BRG79" s="387"/>
      <c r="BRH79" s="387"/>
      <c r="BRI79" s="387"/>
      <c r="BRJ79" s="387"/>
      <c r="BRK79" s="387"/>
      <c r="BRL79" s="387"/>
      <c r="BRM79" s="387"/>
      <c r="BRN79" s="387"/>
      <c r="BRO79" s="387"/>
      <c r="BRP79" s="387"/>
      <c r="BRQ79" s="387"/>
      <c r="BRR79" s="387"/>
      <c r="BRS79" s="387"/>
      <c r="BRT79" s="387"/>
      <c r="BRU79" s="387"/>
      <c r="BRV79" s="387"/>
      <c r="BRW79" s="387"/>
      <c r="BRX79" s="387"/>
      <c r="BRY79" s="387"/>
      <c r="BRZ79" s="387"/>
      <c r="BSA79" s="387"/>
      <c r="BSB79" s="387"/>
      <c r="BSC79" s="387"/>
      <c r="BSD79" s="387"/>
      <c r="BSE79" s="387"/>
      <c r="BSF79" s="387"/>
      <c r="BSG79" s="387"/>
      <c r="BSH79" s="387"/>
      <c r="BSI79" s="387"/>
      <c r="BSJ79" s="387"/>
      <c r="BSK79" s="387"/>
      <c r="BSL79" s="387"/>
      <c r="BSM79" s="387"/>
      <c r="BSN79" s="387"/>
      <c r="BSO79" s="387"/>
      <c r="BSP79" s="387"/>
      <c r="BSQ79" s="387"/>
      <c r="BSR79" s="387"/>
      <c r="BSS79" s="387"/>
      <c r="BST79" s="387"/>
      <c r="BSU79" s="387"/>
      <c r="BSV79" s="387"/>
      <c r="BSW79" s="387"/>
      <c r="BSX79" s="387"/>
      <c r="BSY79" s="387"/>
      <c r="BSZ79" s="387"/>
      <c r="BTA79" s="387"/>
      <c r="BTB79" s="387"/>
      <c r="BTC79" s="387"/>
      <c r="BTD79" s="387"/>
      <c r="BTE79" s="387"/>
      <c r="BTF79" s="387"/>
      <c r="BTG79" s="387"/>
      <c r="BTH79" s="387"/>
      <c r="BTI79" s="387"/>
    </row>
    <row r="80" spans="1:1881" ht="48.75" customHeight="1" x14ac:dyDescent="0.25">
      <c r="A80" s="186">
        <v>510</v>
      </c>
      <c r="B80" s="62" t="s">
        <v>41</v>
      </c>
      <c r="C80" s="157" t="s">
        <v>201</v>
      </c>
      <c r="D80" s="173" t="s">
        <v>543</v>
      </c>
      <c r="E80" s="683" t="e">
        <f>HLOOKUP('Unit Data from Audit Worksheet'!$D$2,'2019 Data(H)'!$D$1:$BB$202,117,FALSE)</f>
        <v>#N/A</v>
      </c>
      <c r="F80" s="686"/>
      <c r="G80" s="311"/>
      <c r="H80" s="14"/>
      <c r="I80" s="31"/>
      <c r="S80" s="682"/>
      <c r="X80" s="682"/>
    </row>
    <row r="81" spans="1:1881" ht="80.25" customHeight="1" x14ac:dyDescent="0.25">
      <c r="A81" s="726">
        <v>654</v>
      </c>
      <c r="B81" s="733" t="s">
        <v>41</v>
      </c>
      <c r="C81" s="734" t="s">
        <v>201</v>
      </c>
      <c r="D81" s="735" t="s">
        <v>782</v>
      </c>
      <c r="E81" s="732" t="s">
        <v>783</v>
      </c>
      <c r="F81" s="686"/>
      <c r="G81" s="388">
        <f>IF((F77+F78+F80)&gt;F81,"Error: Please review components of current assets above.  Account numbers (80+81+510)&gt;654",)</f>
        <v>0</v>
      </c>
      <c r="H81" s="14"/>
      <c r="I81" s="390"/>
      <c r="S81" s="682"/>
      <c r="X81" s="682"/>
    </row>
    <row r="82" spans="1:1881" s="575" customFormat="1" ht="80.25" customHeight="1" x14ac:dyDescent="0.25">
      <c r="A82" s="726">
        <v>655</v>
      </c>
      <c r="B82" s="733" t="s">
        <v>41</v>
      </c>
      <c r="C82" s="734" t="s">
        <v>201</v>
      </c>
      <c r="D82" s="736" t="s">
        <v>1019</v>
      </c>
      <c r="E82" s="732" t="s">
        <v>783</v>
      </c>
      <c r="F82" s="686"/>
      <c r="G82" s="577"/>
      <c r="H82" s="578"/>
      <c r="I82" s="433"/>
      <c r="J82" s="576"/>
      <c r="K82" s="576"/>
      <c r="L82" s="576"/>
      <c r="M82" s="576"/>
      <c r="N82"/>
      <c r="O82" s="576"/>
      <c r="P82" s="576"/>
      <c r="Q82" s="576"/>
      <c r="R82"/>
      <c r="S82" s="682"/>
      <c r="T82" s="576"/>
      <c r="U82" s="576"/>
      <c r="V82" s="576"/>
      <c r="W82" s="576"/>
      <c r="X82" s="682"/>
      <c r="Y82" s="576"/>
      <c r="Z82" s="576"/>
      <c r="AA82" s="576"/>
      <c r="AB82" s="576"/>
      <c r="AC82" s="576"/>
      <c r="AD82" s="576"/>
      <c r="AE82" s="576"/>
      <c r="AF82" s="576"/>
      <c r="AG82" s="576"/>
      <c r="AH82" s="576"/>
      <c r="AI82" s="576"/>
      <c r="AJ82" s="576"/>
      <c r="AK82" s="576"/>
      <c r="AL82" s="576"/>
      <c r="AM82" s="576"/>
      <c r="AN82" s="576"/>
      <c r="AO82" s="576"/>
      <c r="AP82" s="576"/>
      <c r="AQ82" s="576"/>
      <c r="AR82" s="576"/>
      <c r="AS82" s="576"/>
      <c r="AT82" s="576"/>
      <c r="AU82" s="576"/>
      <c r="AV82" s="576"/>
      <c r="AW82" s="576"/>
      <c r="AX82" s="576"/>
      <c r="AY82" s="576"/>
      <c r="AZ82" s="576"/>
      <c r="BA82" s="576"/>
      <c r="BB82" s="576"/>
      <c r="BC82" s="576"/>
      <c r="BD82" s="576"/>
      <c r="BE82" s="576"/>
      <c r="BF82" s="576"/>
      <c r="BG82" s="576"/>
      <c r="BH82" s="576"/>
      <c r="BI82" s="576"/>
      <c r="BJ82" s="576"/>
      <c r="BK82" s="576"/>
      <c r="BL82" s="576"/>
      <c r="BM82" s="576"/>
      <c r="BN82" s="576"/>
      <c r="BO82" s="576"/>
      <c r="BP82" s="576"/>
      <c r="BQ82" s="576"/>
      <c r="BR82" s="576"/>
      <c r="BS82" s="576"/>
      <c r="BT82" s="576"/>
      <c r="BU82" s="576"/>
      <c r="BV82" s="576"/>
      <c r="BW82" s="576"/>
      <c r="BX82" s="576"/>
      <c r="BY82" s="576"/>
      <c r="BZ82" s="576"/>
      <c r="CA82" s="576"/>
      <c r="CB82" s="576"/>
      <c r="CC82" s="576"/>
      <c r="CD82" s="576"/>
      <c r="CE82" s="576"/>
      <c r="CF82" s="576"/>
      <c r="CG82" s="576"/>
      <c r="CH82" s="576"/>
      <c r="CI82" s="576"/>
      <c r="CJ82" s="576"/>
      <c r="CK82" s="576"/>
      <c r="CL82" s="576"/>
      <c r="CM82" s="576"/>
      <c r="CN82" s="576"/>
      <c r="CO82" s="576"/>
      <c r="CP82" s="576"/>
      <c r="CQ82" s="576"/>
      <c r="CR82" s="576"/>
      <c r="CS82" s="576"/>
      <c r="CT82" s="576"/>
      <c r="CU82" s="576"/>
      <c r="CV82" s="576"/>
      <c r="CW82" s="576"/>
      <c r="CX82" s="576"/>
      <c r="CY82" s="576"/>
      <c r="CZ82" s="576"/>
      <c r="DA82" s="576"/>
      <c r="DB82" s="576"/>
      <c r="DC82" s="576"/>
      <c r="DD82" s="576"/>
      <c r="DE82" s="576"/>
      <c r="DF82" s="576"/>
      <c r="DG82" s="576"/>
      <c r="DH82" s="576"/>
      <c r="DI82" s="576"/>
      <c r="DJ82" s="576"/>
      <c r="DK82" s="576"/>
      <c r="DL82" s="576"/>
      <c r="DM82" s="576"/>
      <c r="DN82" s="576"/>
      <c r="DO82" s="576"/>
      <c r="DP82" s="576"/>
      <c r="DQ82" s="576"/>
      <c r="DR82" s="576"/>
      <c r="DS82" s="576"/>
      <c r="DT82" s="576"/>
      <c r="DU82" s="576"/>
      <c r="DV82" s="576"/>
      <c r="DW82" s="576"/>
      <c r="DX82" s="576"/>
      <c r="DY82" s="576"/>
      <c r="DZ82" s="576"/>
      <c r="EA82" s="576"/>
      <c r="EB82" s="576"/>
      <c r="EC82" s="576"/>
      <c r="ED82" s="576"/>
      <c r="EE82" s="576"/>
      <c r="EF82" s="576"/>
      <c r="EG82" s="576"/>
      <c r="EH82" s="576"/>
      <c r="EI82" s="576"/>
      <c r="EJ82" s="576"/>
      <c r="EK82" s="576"/>
      <c r="EL82" s="576"/>
      <c r="EM82" s="576"/>
      <c r="EN82" s="576"/>
      <c r="EO82" s="576"/>
      <c r="EP82" s="576"/>
      <c r="EQ82" s="576"/>
      <c r="ER82" s="576"/>
      <c r="ES82" s="576"/>
      <c r="ET82" s="576"/>
      <c r="EU82" s="576"/>
      <c r="EV82" s="576"/>
      <c r="EW82" s="576"/>
      <c r="EX82" s="576"/>
      <c r="EY82" s="576"/>
      <c r="EZ82" s="576"/>
      <c r="FA82" s="576"/>
      <c r="FB82" s="576"/>
      <c r="FC82" s="576"/>
      <c r="FD82" s="576"/>
      <c r="FE82" s="576"/>
      <c r="FF82" s="576"/>
      <c r="FG82" s="576"/>
      <c r="FH82" s="576"/>
      <c r="FI82" s="576"/>
      <c r="FJ82" s="576"/>
      <c r="FK82" s="576"/>
      <c r="FL82" s="576"/>
      <c r="FM82" s="576"/>
      <c r="FN82" s="576"/>
      <c r="FO82" s="576"/>
      <c r="FP82" s="576"/>
      <c r="FQ82" s="576"/>
      <c r="FR82" s="576"/>
      <c r="FS82" s="576"/>
      <c r="FT82" s="576"/>
      <c r="FU82" s="576"/>
      <c r="FV82" s="576"/>
      <c r="FW82" s="576"/>
      <c r="FX82" s="576"/>
      <c r="FY82" s="576"/>
      <c r="FZ82" s="576"/>
      <c r="GA82" s="576"/>
      <c r="GB82" s="576"/>
      <c r="GC82" s="576"/>
      <c r="GD82" s="576"/>
      <c r="GE82" s="576"/>
      <c r="GF82" s="576"/>
      <c r="GG82" s="576"/>
      <c r="GH82" s="576"/>
      <c r="GI82" s="576"/>
      <c r="GJ82" s="576"/>
      <c r="GK82" s="576"/>
      <c r="GL82" s="576"/>
      <c r="GM82" s="576"/>
      <c r="GN82" s="576"/>
      <c r="GO82" s="576"/>
      <c r="GP82" s="576"/>
      <c r="GQ82" s="576"/>
      <c r="GR82" s="576"/>
      <c r="GS82" s="576"/>
      <c r="GT82" s="576"/>
      <c r="GU82" s="576"/>
      <c r="GV82" s="576"/>
      <c r="GW82" s="576"/>
      <c r="GX82" s="576"/>
      <c r="GY82" s="576"/>
      <c r="GZ82" s="576"/>
      <c r="HA82" s="576"/>
      <c r="HB82" s="576"/>
      <c r="HC82" s="576"/>
      <c r="HD82" s="576"/>
      <c r="HE82" s="576"/>
      <c r="HF82" s="576"/>
      <c r="HG82" s="576"/>
      <c r="HH82" s="576"/>
      <c r="HI82" s="576"/>
      <c r="HJ82" s="576"/>
      <c r="HK82" s="576"/>
      <c r="HL82" s="576"/>
      <c r="HM82" s="576"/>
      <c r="HN82" s="576"/>
      <c r="HO82" s="576"/>
      <c r="HP82" s="576"/>
      <c r="HQ82" s="576"/>
      <c r="HR82" s="576"/>
      <c r="HS82" s="576"/>
      <c r="HT82" s="576"/>
      <c r="HU82" s="576"/>
      <c r="HV82" s="576"/>
      <c r="HW82" s="576"/>
      <c r="HX82" s="576"/>
      <c r="HY82" s="576"/>
      <c r="HZ82" s="576"/>
      <c r="IA82" s="576"/>
      <c r="IB82" s="576"/>
      <c r="IC82" s="576"/>
      <c r="ID82" s="576"/>
      <c r="IE82" s="576"/>
      <c r="IF82" s="576"/>
      <c r="IG82" s="576"/>
      <c r="IH82" s="576"/>
      <c r="II82" s="576"/>
      <c r="IJ82" s="576"/>
      <c r="IK82" s="576"/>
      <c r="IL82" s="576"/>
      <c r="IM82" s="576"/>
      <c r="IN82" s="576"/>
      <c r="IO82" s="576"/>
      <c r="IP82" s="576"/>
      <c r="IQ82" s="576"/>
      <c r="IR82" s="576"/>
      <c r="IS82" s="576"/>
      <c r="IT82" s="576"/>
      <c r="IU82" s="576"/>
      <c r="IV82" s="576"/>
      <c r="IW82" s="576"/>
      <c r="IX82" s="576"/>
      <c r="IY82" s="576"/>
      <c r="IZ82" s="576"/>
      <c r="JA82" s="576"/>
      <c r="JB82" s="576"/>
      <c r="JC82" s="576"/>
      <c r="JD82" s="576"/>
      <c r="JE82" s="576"/>
      <c r="JF82" s="576"/>
      <c r="JG82" s="576"/>
      <c r="JH82" s="576"/>
      <c r="JI82" s="576"/>
      <c r="JJ82" s="576"/>
      <c r="JK82" s="576"/>
      <c r="JL82" s="576"/>
      <c r="JM82" s="576"/>
      <c r="JN82" s="576"/>
      <c r="JO82" s="576"/>
      <c r="JP82" s="576"/>
      <c r="JQ82" s="576"/>
      <c r="JR82" s="576"/>
      <c r="JS82" s="576"/>
      <c r="JT82" s="576"/>
      <c r="JU82" s="576"/>
      <c r="JV82" s="576"/>
      <c r="JW82" s="576"/>
      <c r="JX82" s="576"/>
      <c r="JY82" s="576"/>
      <c r="JZ82" s="576"/>
      <c r="KA82" s="576"/>
      <c r="KB82" s="576"/>
      <c r="KC82" s="576"/>
      <c r="KD82" s="576"/>
      <c r="KE82" s="576"/>
      <c r="KF82" s="576"/>
      <c r="KG82" s="576"/>
      <c r="KH82" s="576"/>
      <c r="KI82" s="576"/>
      <c r="KJ82" s="576"/>
      <c r="KK82" s="576"/>
      <c r="KL82" s="576"/>
      <c r="KM82" s="576"/>
      <c r="KN82" s="576"/>
      <c r="KO82" s="576"/>
      <c r="KP82" s="576"/>
      <c r="KQ82" s="576"/>
      <c r="KR82" s="576"/>
      <c r="KS82" s="576"/>
      <c r="KT82" s="576"/>
      <c r="KU82" s="576"/>
      <c r="KV82" s="576"/>
      <c r="KW82" s="576"/>
      <c r="KX82" s="576"/>
      <c r="KY82" s="576"/>
      <c r="KZ82" s="576"/>
      <c r="LA82" s="576"/>
      <c r="LB82" s="576"/>
      <c r="LC82" s="576"/>
      <c r="LD82" s="576"/>
      <c r="LE82" s="576"/>
      <c r="LF82" s="576"/>
      <c r="LG82" s="576"/>
      <c r="LH82" s="576"/>
      <c r="LI82" s="576"/>
      <c r="LJ82" s="576"/>
      <c r="LK82" s="576"/>
      <c r="LL82" s="576"/>
      <c r="LM82" s="576"/>
      <c r="LN82" s="576"/>
      <c r="LO82" s="576"/>
      <c r="LP82" s="576"/>
      <c r="LQ82" s="576"/>
      <c r="LR82" s="576"/>
      <c r="LS82" s="576"/>
      <c r="LT82" s="576"/>
      <c r="LU82" s="576"/>
      <c r="LV82" s="576"/>
      <c r="LW82" s="576"/>
      <c r="LX82" s="576"/>
      <c r="LY82" s="576"/>
      <c r="LZ82" s="576"/>
      <c r="MA82" s="576"/>
      <c r="MB82" s="576"/>
      <c r="MC82" s="576"/>
      <c r="MD82" s="576"/>
      <c r="ME82" s="576"/>
      <c r="MF82" s="576"/>
      <c r="MG82" s="576"/>
      <c r="MH82" s="576"/>
      <c r="MI82" s="576"/>
      <c r="MJ82" s="576"/>
      <c r="MK82" s="576"/>
      <c r="ML82" s="576"/>
      <c r="MM82" s="576"/>
      <c r="MN82" s="576"/>
      <c r="MO82" s="576"/>
      <c r="MP82" s="576"/>
      <c r="MQ82" s="576"/>
      <c r="MR82" s="576"/>
      <c r="MS82" s="576"/>
      <c r="MT82" s="576"/>
      <c r="MU82" s="576"/>
      <c r="MV82" s="576"/>
      <c r="MW82" s="576"/>
      <c r="MX82" s="576"/>
      <c r="MY82" s="576"/>
      <c r="MZ82" s="576"/>
      <c r="NA82" s="576"/>
      <c r="NB82" s="576"/>
      <c r="NC82" s="576"/>
      <c r="ND82" s="576"/>
      <c r="NE82" s="576"/>
      <c r="NF82" s="576"/>
      <c r="NG82" s="576"/>
      <c r="NH82" s="576"/>
      <c r="NI82" s="576"/>
      <c r="NJ82" s="576"/>
      <c r="NK82" s="576"/>
      <c r="NL82" s="576"/>
      <c r="NM82" s="576"/>
      <c r="NN82" s="576"/>
      <c r="NO82" s="576"/>
      <c r="NP82" s="576"/>
      <c r="NQ82" s="576"/>
      <c r="NR82" s="576"/>
      <c r="NS82" s="576"/>
      <c r="NT82" s="576"/>
      <c r="NU82" s="576"/>
      <c r="NV82" s="576"/>
      <c r="NW82" s="576"/>
      <c r="NX82" s="576"/>
      <c r="NY82" s="576"/>
      <c r="NZ82" s="576"/>
      <c r="OA82" s="576"/>
      <c r="OB82" s="576"/>
      <c r="OC82" s="576"/>
      <c r="OD82" s="576"/>
      <c r="OE82" s="576"/>
      <c r="OF82" s="576"/>
      <c r="OG82" s="576"/>
      <c r="OH82" s="576"/>
      <c r="OI82" s="576"/>
      <c r="OJ82" s="576"/>
      <c r="OK82" s="576"/>
      <c r="OL82" s="576"/>
      <c r="OM82" s="576"/>
      <c r="ON82" s="576"/>
      <c r="OO82" s="576"/>
      <c r="OP82" s="576"/>
      <c r="OQ82" s="576"/>
      <c r="OR82" s="576"/>
      <c r="OS82" s="576"/>
      <c r="OT82" s="576"/>
      <c r="OU82" s="576"/>
      <c r="OV82" s="576"/>
      <c r="OW82" s="576"/>
      <c r="OX82" s="576"/>
      <c r="OY82" s="576"/>
      <c r="OZ82" s="576"/>
      <c r="PA82" s="576"/>
      <c r="PB82" s="576"/>
      <c r="PC82" s="576"/>
      <c r="PD82" s="576"/>
      <c r="PE82" s="576"/>
      <c r="PF82" s="576"/>
      <c r="PG82" s="576"/>
      <c r="PH82" s="576"/>
      <c r="PI82" s="576"/>
      <c r="PJ82" s="576"/>
      <c r="PK82" s="576"/>
      <c r="PL82" s="576"/>
      <c r="PM82" s="576"/>
      <c r="PN82" s="576"/>
      <c r="PO82" s="576"/>
      <c r="PP82" s="576"/>
      <c r="PQ82" s="576"/>
      <c r="PR82" s="576"/>
      <c r="PS82" s="576"/>
      <c r="PT82" s="576"/>
      <c r="PU82" s="576"/>
      <c r="PV82" s="576"/>
      <c r="PW82" s="576"/>
      <c r="PX82" s="576"/>
      <c r="PY82" s="576"/>
      <c r="PZ82" s="576"/>
      <c r="QA82" s="576"/>
      <c r="QB82" s="576"/>
      <c r="QC82" s="576"/>
      <c r="QD82" s="576"/>
      <c r="QE82" s="576"/>
      <c r="QF82" s="576"/>
      <c r="QG82" s="576"/>
      <c r="QH82" s="576"/>
      <c r="QI82" s="576"/>
      <c r="QJ82" s="576"/>
      <c r="QK82" s="576"/>
      <c r="QL82" s="576"/>
      <c r="QM82" s="576"/>
      <c r="QN82" s="576"/>
      <c r="QO82" s="576"/>
      <c r="QP82" s="576"/>
      <c r="QQ82" s="576"/>
      <c r="QR82" s="576"/>
      <c r="QS82" s="576"/>
      <c r="QT82" s="576"/>
      <c r="QU82" s="576"/>
      <c r="QV82" s="576"/>
      <c r="QW82" s="576"/>
      <c r="QX82" s="576"/>
      <c r="QY82" s="576"/>
      <c r="QZ82" s="576"/>
      <c r="RA82" s="576"/>
      <c r="RB82" s="576"/>
      <c r="RC82" s="576"/>
      <c r="RD82" s="576"/>
      <c r="RE82" s="576"/>
      <c r="RF82" s="576"/>
      <c r="RG82" s="576"/>
      <c r="RH82" s="576"/>
      <c r="RI82" s="576"/>
      <c r="RJ82" s="576"/>
      <c r="RK82" s="576"/>
      <c r="RL82" s="576"/>
      <c r="RM82" s="576"/>
      <c r="RN82" s="576"/>
      <c r="RO82" s="576"/>
      <c r="RP82" s="576"/>
      <c r="RQ82" s="576"/>
      <c r="RR82" s="576"/>
      <c r="RS82" s="576"/>
      <c r="RT82" s="576"/>
      <c r="RU82" s="576"/>
      <c r="RV82" s="576"/>
      <c r="RW82" s="576"/>
      <c r="RX82" s="576"/>
      <c r="RY82" s="576"/>
      <c r="RZ82" s="576"/>
      <c r="SA82" s="576"/>
      <c r="SB82" s="576"/>
      <c r="SC82" s="576"/>
      <c r="SD82" s="576"/>
      <c r="SE82" s="576"/>
      <c r="SF82" s="576"/>
      <c r="SG82" s="576"/>
      <c r="SH82" s="576"/>
      <c r="SI82" s="576"/>
      <c r="SJ82" s="576"/>
      <c r="SK82" s="576"/>
      <c r="SL82" s="576"/>
      <c r="SM82" s="576"/>
      <c r="SN82" s="576"/>
      <c r="SO82" s="576"/>
      <c r="SP82" s="576"/>
      <c r="SQ82" s="576"/>
      <c r="SR82" s="576"/>
      <c r="SS82" s="576"/>
      <c r="ST82" s="576"/>
      <c r="SU82" s="576"/>
      <c r="SV82" s="576"/>
      <c r="SW82" s="576"/>
      <c r="SX82" s="576"/>
      <c r="SY82" s="576"/>
      <c r="SZ82" s="576"/>
      <c r="TA82" s="576"/>
      <c r="TB82" s="576"/>
      <c r="TC82" s="576"/>
      <c r="TD82" s="576"/>
      <c r="TE82" s="576"/>
      <c r="TF82" s="576"/>
      <c r="TG82" s="576"/>
      <c r="TH82" s="576"/>
      <c r="TI82" s="576"/>
      <c r="TJ82" s="576"/>
      <c r="TK82" s="576"/>
      <c r="TL82" s="576"/>
      <c r="TM82" s="576"/>
      <c r="TN82" s="576"/>
      <c r="TO82" s="576"/>
      <c r="TP82" s="576"/>
      <c r="TQ82" s="576"/>
      <c r="TR82" s="576"/>
      <c r="TS82" s="576"/>
      <c r="TT82" s="576"/>
      <c r="TU82" s="576"/>
      <c r="TV82" s="576"/>
      <c r="TW82" s="576"/>
      <c r="TX82" s="576"/>
      <c r="TY82" s="576"/>
      <c r="TZ82" s="576"/>
      <c r="UA82" s="576"/>
      <c r="UB82" s="576"/>
      <c r="UC82" s="576"/>
      <c r="UD82" s="576"/>
      <c r="UE82" s="576"/>
      <c r="UF82" s="576"/>
      <c r="UG82" s="576"/>
      <c r="UH82" s="576"/>
      <c r="UI82" s="576"/>
      <c r="UJ82" s="576"/>
      <c r="UK82" s="576"/>
      <c r="UL82" s="576"/>
      <c r="UM82" s="576"/>
      <c r="UN82" s="576"/>
      <c r="UO82" s="576"/>
      <c r="UP82" s="576"/>
      <c r="UQ82" s="576"/>
      <c r="UR82" s="576"/>
      <c r="US82" s="576"/>
      <c r="UT82" s="576"/>
      <c r="UU82" s="576"/>
      <c r="UV82" s="576"/>
      <c r="UW82" s="576"/>
      <c r="UX82" s="576"/>
      <c r="UY82" s="576"/>
      <c r="UZ82" s="576"/>
      <c r="VA82" s="576"/>
      <c r="VB82" s="576"/>
      <c r="VC82" s="576"/>
      <c r="VD82" s="576"/>
      <c r="VE82" s="576"/>
      <c r="VF82" s="576"/>
      <c r="VG82" s="576"/>
      <c r="VH82" s="576"/>
      <c r="VI82" s="576"/>
      <c r="VJ82" s="576"/>
      <c r="VK82" s="576"/>
      <c r="VL82" s="576"/>
      <c r="VM82" s="576"/>
      <c r="VN82" s="576"/>
      <c r="VO82" s="576"/>
      <c r="VP82" s="576"/>
      <c r="VQ82" s="576"/>
      <c r="VR82" s="576"/>
      <c r="VS82" s="576"/>
      <c r="VT82" s="576"/>
      <c r="VU82" s="576"/>
      <c r="VV82" s="576"/>
      <c r="VW82" s="576"/>
      <c r="VX82" s="576"/>
      <c r="VY82" s="576"/>
      <c r="VZ82" s="576"/>
      <c r="WA82" s="576"/>
      <c r="WB82" s="576"/>
      <c r="WC82" s="576"/>
      <c r="WD82" s="576"/>
      <c r="WE82" s="576"/>
      <c r="WF82" s="576"/>
      <c r="WG82" s="576"/>
      <c r="WH82" s="576"/>
      <c r="WI82" s="576"/>
      <c r="WJ82" s="576"/>
      <c r="WK82" s="576"/>
      <c r="WL82" s="576"/>
      <c r="WM82" s="576"/>
      <c r="WN82" s="576"/>
      <c r="WO82" s="576"/>
      <c r="WP82" s="576"/>
      <c r="WQ82" s="576"/>
      <c r="WR82" s="576"/>
      <c r="WS82" s="576"/>
      <c r="WT82" s="576"/>
      <c r="WU82" s="576"/>
      <c r="WV82" s="576"/>
      <c r="WW82" s="576"/>
      <c r="WX82" s="576"/>
      <c r="WY82" s="576"/>
      <c r="WZ82" s="576"/>
      <c r="XA82" s="576"/>
      <c r="XB82" s="576"/>
      <c r="XC82" s="576"/>
      <c r="XD82" s="576"/>
      <c r="XE82" s="576"/>
      <c r="XF82" s="576"/>
      <c r="XG82" s="576"/>
      <c r="XH82" s="576"/>
      <c r="XI82" s="576"/>
      <c r="XJ82" s="576"/>
      <c r="XK82" s="576"/>
      <c r="XL82" s="576"/>
      <c r="XM82" s="576"/>
      <c r="XN82" s="576"/>
      <c r="XO82" s="576"/>
      <c r="XP82" s="576"/>
      <c r="XQ82" s="576"/>
      <c r="XR82" s="576"/>
      <c r="XS82" s="576"/>
      <c r="XT82" s="576"/>
      <c r="XU82" s="576"/>
      <c r="XV82" s="576"/>
      <c r="XW82" s="576"/>
      <c r="XX82" s="576"/>
      <c r="XY82" s="576"/>
      <c r="XZ82" s="576"/>
      <c r="YA82" s="576"/>
      <c r="YB82" s="576"/>
      <c r="YC82" s="576"/>
      <c r="YD82" s="576"/>
      <c r="YE82" s="576"/>
      <c r="YF82" s="576"/>
      <c r="YG82" s="576"/>
      <c r="YH82" s="576"/>
      <c r="YI82" s="576"/>
      <c r="YJ82" s="576"/>
      <c r="YK82" s="576"/>
      <c r="YL82" s="576"/>
      <c r="YM82" s="576"/>
      <c r="YN82" s="576"/>
      <c r="YO82" s="576"/>
      <c r="YP82" s="576"/>
      <c r="YQ82" s="576"/>
      <c r="YR82" s="576"/>
      <c r="YS82" s="576"/>
      <c r="YT82" s="576"/>
      <c r="YU82" s="576"/>
      <c r="YV82" s="576"/>
      <c r="YW82" s="576"/>
      <c r="YX82" s="576"/>
      <c r="YY82" s="576"/>
      <c r="YZ82" s="576"/>
      <c r="ZA82" s="576"/>
      <c r="ZB82" s="576"/>
      <c r="ZC82" s="576"/>
      <c r="ZD82" s="576"/>
      <c r="ZE82" s="576"/>
      <c r="ZF82" s="576"/>
      <c r="ZG82" s="576"/>
      <c r="ZH82" s="576"/>
      <c r="ZI82" s="576"/>
      <c r="ZJ82" s="576"/>
      <c r="ZK82" s="576"/>
      <c r="ZL82" s="576"/>
      <c r="ZM82" s="576"/>
      <c r="ZN82" s="576"/>
      <c r="ZO82" s="576"/>
      <c r="ZP82" s="576"/>
      <c r="ZQ82" s="576"/>
      <c r="ZR82" s="576"/>
      <c r="ZS82" s="576"/>
      <c r="ZT82" s="576"/>
      <c r="ZU82" s="576"/>
      <c r="ZV82" s="576"/>
      <c r="ZW82" s="576"/>
      <c r="ZX82" s="576"/>
      <c r="ZY82" s="576"/>
      <c r="ZZ82" s="576"/>
      <c r="AAA82" s="576"/>
      <c r="AAB82" s="576"/>
      <c r="AAC82" s="576"/>
      <c r="AAD82" s="576"/>
      <c r="AAE82" s="576"/>
      <c r="AAF82" s="576"/>
      <c r="AAG82" s="576"/>
      <c r="AAH82" s="576"/>
      <c r="AAI82" s="576"/>
      <c r="AAJ82" s="576"/>
      <c r="AAK82" s="576"/>
      <c r="AAL82" s="576"/>
      <c r="AAM82" s="576"/>
      <c r="AAN82" s="576"/>
      <c r="AAO82" s="576"/>
      <c r="AAP82" s="576"/>
      <c r="AAQ82" s="576"/>
      <c r="AAR82" s="576"/>
      <c r="AAS82" s="576"/>
      <c r="AAT82" s="576"/>
      <c r="AAU82" s="576"/>
      <c r="AAV82" s="576"/>
      <c r="AAW82" s="576"/>
      <c r="AAX82" s="576"/>
      <c r="AAY82" s="576"/>
      <c r="AAZ82" s="576"/>
      <c r="ABA82" s="576"/>
      <c r="ABB82" s="576"/>
      <c r="ABC82" s="576"/>
      <c r="ABD82" s="576"/>
      <c r="ABE82" s="576"/>
      <c r="ABF82" s="576"/>
      <c r="ABG82" s="576"/>
      <c r="ABH82" s="576"/>
      <c r="ABI82" s="576"/>
      <c r="ABJ82" s="576"/>
      <c r="ABK82" s="576"/>
      <c r="ABL82" s="576"/>
      <c r="ABM82" s="576"/>
      <c r="ABN82" s="576"/>
      <c r="ABO82" s="576"/>
      <c r="ABP82" s="576"/>
      <c r="ABQ82" s="576"/>
      <c r="ABR82" s="576"/>
      <c r="ABS82" s="576"/>
      <c r="ABT82" s="576"/>
      <c r="ABU82" s="576"/>
      <c r="ABV82" s="576"/>
      <c r="ABW82" s="576"/>
      <c r="ABX82" s="576"/>
      <c r="ABY82" s="576"/>
      <c r="ABZ82" s="576"/>
      <c r="ACA82" s="576"/>
      <c r="ACB82" s="576"/>
      <c r="ACC82" s="576"/>
      <c r="ACD82" s="576"/>
      <c r="ACE82" s="576"/>
      <c r="ACF82" s="576"/>
      <c r="ACG82" s="576"/>
      <c r="ACH82" s="576"/>
      <c r="ACI82" s="576"/>
      <c r="ACJ82" s="576"/>
      <c r="ACK82" s="576"/>
      <c r="ACL82" s="576"/>
      <c r="ACM82" s="576"/>
      <c r="ACN82" s="576"/>
      <c r="ACO82" s="576"/>
      <c r="ACP82" s="576"/>
      <c r="ACQ82" s="576"/>
      <c r="ACR82" s="576"/>
      <c r="ACS82" s="576"/>
      <c r="ACT82" s="576"/>
      <c r="ACU82" s="576"/>
      <c r="ACV82" s="576"/>
      <c r="ACW82" s="576"/>
      <c r="ACX82" s="576"/>
      <c r="ACY82" s="576"/>
      <c r="ACZ82" s="576"/>
      <c r="ADA82" s="576"/>
      <c r="ADB82" s="576"/>
      <c r="ADC82" s="576"/>
      <c r="ADD82" s="576"/>
      <c r="ADE82" s="576"/>
      <c r="ADF82" s="576"/>
      <c r="ADG82" s="576"/>
      <c r="ADH82" s="576"/>
      <c r="ADI82" s="576"/>
      <c r="ADJ82" s="576"/>
      <c r="ADK82" s="576"/>
      <c r="ADL82" s="576"/>
      <c r="ADM82" s="576"/>
      <c r="ADN82" s="576"/>
      <c r="ADO82" s="576"/>
      <c r="ADP82" s="576"/>
      <c r="ADQ82" s="576"/>
      <c r="ADR82" s="576"/>
      <c r="ADS82" s="576"/>
      <c r="ADT82" s="576"/>
      <c r="ADU82" s="576"/>
      <c r="ADV82" s="576"/>
      <c r="ADW82" s="576"/>
      <c r="ADX82" s="576"/>
      <c r="ADY82" s="576"/>
      <c r="ADZ82" s="576"/>
      <c r="AEA82" s="576"/>
      <c r="AEB82" s="576"/>
      <c r="AEC82" s="576"/>
      <c r="AED82" s="576"/>
      <c r="AEE82" s="576"/>
      <c r="AEF82" s="576"/>
      <c r="AEG82" s="576"/>
      <c r="AEH82" s="576"/>
      <c r="AEI82" s="576"/>
      <c r="AEJ82" s="576"/>
      <c r="AEK82" s="576"/>
      <c r="AEL82" s="576"/>
      <c r="AEM82" s="576"/>
      <c r="AEN82" s="576"/>
      <c r="AEO82" s="576"/>
      <c r="AEP82" s="576"/>
      <c r="AEQ82" s="576"/>
      <c r="AER82" s="576"/>
      <c r="AES82" s="576"/>
      <c r="AET82" s="576"/>
      <c r="AEU82" s="576"/>
      <c r="AEV82" s="576"/>
      <c r="AEW82" s="576"/>
      <c r="AEX82" s="576"/>
      <c r="AEY82" s="576"/>
      <c r="AEZ82" s="576"/>
      <c r="AFA82" s="576"/>
      <c r="AFB82" s="576"/>
      <c r="AFC82" s="576"/>
      <c r="AFD82" s="576"/>
      <c r="AFE82" s="576"/>
      <c r="AFF82" s="576"/>
      <c r="AFG82" s="576"/>
      <c r="AFH82" s="576"/>
      <c r="AFI82" s="576"/>
      <c r="AFJ82" s="576"/>
      <c r="AFK82" s="576"/>
      <c r="AFL82" s="576"/>
      <c r="AFM82" s="576"/>
      <c r="AFN82" s="576"/>
      <c r="AFO82" s="576"/>
      <c r="AFP82" s="576"/>
      <c r="AFQ82" s="576"/>
      <c r="AFR82" s="576"/>
      <c r="AFS82" s="576"/>
      <c r="AFT82" s="576"/>
      <c r="AFU82" s="576"/>
      <c r="AFV82" s="576"/>
      <c r="AFW82" s="576"/>
      <c r="AFX82" s="576"/>
      <c r="AFY82" s="576"/>
      <c r="AFZ82" s="576"/>
      <c r="AGA82" s="576"/>
      <c r="AGB82" s="576"/>
      <c r="AGC82" s="576"/>
      <c r="AGD82" s="576"/>
      <c r="AGE82" s="576"/>
      <c r="AGF82" s="576"/>
      <c r="AGG82" s="576"/>
      <c r="AGH82" s="576"/>
      <c r="AGI82" s="576"/>
      <c r="AGJ82" s="576"/>
      <c r="AGK82" s="576"/>
      <c r="AGL82" s="576"/>
      <c r="AGM82" s="576"/>
      <c r="AGN82" s="576"/>
      <c r="AGO82" s="576"/>
      <c r="AGP82" s="576"/>
      <c r="AGQ82" s="576"/>
      <c r="AGR82" s="576"/>
      <c r="AGS82" s="576"/>
      <c r="AGT82" s="576"/>
      <c r="AGU82" s="576"/>
      <c r="AGV82" s="576"/>
      <c r="AGW82" s="576"/>
      <c r="AGX82" s="576"/>
      <c r="AGY82" s="576"/>
      <c r="AGZ82" s="576"/>
      <c r="AHA82" s="576"/>
      <c r="AHB82" s="576"/>
      <c r="AHC82" s="576"/>
      <c r="AHD82" s="576"/>
      <c r="AHE82" s="576"/>
      <c r="AHF82" s="576"/>
      <c r="AHG82" s="576"/>
      <c r="AHH82" s="576"/>
      <c r="AHI82" s="576"/>
      <c r="AHJ82" s="576"/>
      <c r="AHK82" s="576"/>
      <c r="AHL82" s="576"/>
      <c r="AHM82" s="576"/>
      <c r="AHN82" s="576"/>
      <c r="AHO82" s="576"/>
      <c r="AHP82" s="576"/>
      <c r="AHQ82" s="576"/>
      <c r="AHR82" s="576"/>
      <c r="AHS82" s="576"/>
      <c r="AHT82" s="576"/>
      <c r="AHU82" s="576"/>
      <c r="AHV82" s="576"/>
      <c r="AHW82" s="576"/>
      <c r="AHX82" s="576"/>
      <c r="AHY82" s="576"/>
      <c r="AHZ82" s="576"/>
      <c r="AIA82" s="576"/>
      <c r="AIB82" s="576"/>
      <c r="AIC82" s="576"/>
      <c r="AID82" s="576"/>
      <c r="AIE82" s="576"/>
      <c r="AIF82" s="576"/>
      <c r="AIG82" s="576"/>
      <c r="AIH82" s="576"/>
      <c r="AII82" s="576"/>
      <c r="AIJ82" s="576"/>
      <c r="AIK82" s="576"/>
      <c r="AIL82" s="576"/>
      <c r="AIM82" s="576"/>
      <c r="AIN82" s="576"/>
      <c r="AIO82" s="576"/>
      <c r="AIP82" s="576"/>
      <c r="AIQ82" s="576"/>
      <c r="AIR82" s="576"/>
      <c r="AIS82" s="576"/>
      <c r="AIT82" s="576"/>
      <c r="AIU82" s="576"/>
      <c r="AIV82" s="576"/>
      <c r="AIW82" s="576"/>
      <c r="AIX82" s="576"/>
      <c r="AIY82" s="576"/>
      <c r="AIZ82" s="576"/>
      <c r="AJA82" s="576"/>
      <c r="AJB82" s="576"/>
      <c r="AJC82" s="576"/>
      <c r="AJD82" s="576"/>
      <c r="AJE82" s="576"/>
      <c r="AJF82" s="576"/>
      <c r="AJG82" s="576"/>
      <c r="AJH82" s="576"/>
      <c r="AJI82" s="576"/>
      <c r="AJJ82" s="576"/>
      <c r="AJK82" s="576"/>
      <c r="AJL82" s="576"/>
      <c r="AJM82" s="576"/>
      <c r="AJN82" s="576"/>
      <c r="AJO82" s="576"/>
      <c r="AJP82" s="576"/>
      <c r="AJQ82" s="576"/>
      <c r="AJR82" s="576"/>
      <c r="AJS82" s="576"/>
      <c r="AJT82" s="576"/>
      <c r="AJU82" s="576"/>
      <c r="AJV82" s="576"/>
      <c r="AJW82" s="576"/>
      <c r="AJX82" s="576"/>
      <c r="AJY82" s="576"/>
      <c r="AJZ82" s="576"/>
      <c r="AKA82" s="576"/>
      <c r="AKB82" s="576"/>
      <c r="AKC82" s="576"/>
      <c r="AKD82" s="576"/>
      <c r="AKE82" s="576"/>
      <c r="AKF82" s="576"/>
      <c r="AKG82" s="576"/>
      <c r="AKH82" s="576"/>
      <c r="AKI82" s="576"/>
      <c r="AKJ82" s="576"/>
      <c r="AKK82" s="576"/>
      <c r="AKL82" s="576"/>
      <c r="AKM82" s="576"/>
      <c r="AKN82" s="576"/>
      <c r="AKO82" s="576"/>
      <c r="AKP82" s="576"/>
      <c r="AKQ82" s="576"/>
      <c r="AKR82" s="576"/>
      <c r="AKS82" s="576"/>
      <c r="AKT82" s="576"/>
      <c r="AKU82" s="576"/>
      <c r="AKV82" s="576"/>
      <c r="AKW82" s="576"/>
      <c r="AKX82" s="576"/>
      <c r="AKY82" s="576"/>
      <c r="AKZ82" s="576"/>
      <c r="ALA82" s="576"/>
      <c r="ALB82" s="576"/>
      <c r="ALC82" s="576"/>
      <c r="ALD82" s="576"/>
      <c r="ALE82" s="576"/>
      <c r="ALF82" s="576"/>
      <c r="ALG82" s="576"/>
      <c r="ALH82" s="576"/>
      <c r="ALI82" s="576"/>
      <c r="ALJ82" s="576"/>
      <c r="ALK82" s="576"/>
      <c r="ALL82" s="576"/>
      <c r="ALM82" s="576"/>
      <c r="ALN82" s="576"/>
      <c r="ALO82" s="576"/>
      <c r="ALP82" s="576"/>
      <c r="ALQ82" s="576"/>
      <c r="ALR82" s="576"/>
      <c r="ALS82" s="576"/>
      <c r="ALT82" s="576"/>
      <c r="ALU82" s="576"/>
      <c r="ALV82" s="576"/>
      <c r="ALW82" s="576"/>
      <c r="ALX82" s="576"/>
      <c r="ALY82" s="576"/>
      <c r="ALZ82" s="576"/>
      <c r="AMA82" s="576"/>
      <c r="AMB82" s="576"/>
      <c r="AMC82" s="576"/>
      <c r="AMD82" s="576"/>
      <c r="AME82" s="576"/>
      <c r="AMF82" s="576"/>
      <c r="AMG82" s="576"/>
      <c r="AMH82" s="576"/>
      <c r="AMI82" s="576"/>
      <c r="AMJ82" s="576"/>
      <c r="AMK82" s="576"/>
      <c r="AML82" s="576"/>
      <c r="AMM82" s="576"/>
      <c r="AMN82" s="576"/>
      <c r="AMO82" s="576"/>
      <c r="AMP82" s="576"/>
      <c r="AMQ82" s="576"/>
      <c r="AMR82" s="576"/>
      <c r="AMS82" s="576"/>
      <c r="AMT82" s="576"/>
      <c r="AMU82" s="576"/>
      <c r="AMV82" s="576"/>
      <c r="AMW82" s="576"/>
      <c r="AMX82" s="576"/>
      <c r="AMY82" s="576"/>
      <c r="AMZ82" s="576"/>
      <c r="ANA82" s="576"/>
      <c r="ANB82" s="576"/>
      <c r="ANC82" s="576"/>
      <c r="AND82" s="576"/>
      <c r="ANE82" s="576"/>
      <c r="ANF82" s="576"/>
      <c r="ANG82" s="576"/>
      <c r="ANH82" s="576"/>
      <c r="ANI82" s="576"/>
      <c r="ANJ82" s="576"/>
      <c r="ANK82" s="576"/>
      <c r="ANL82" s="576"/>
      <c r="ANM82" s="576"/>
      <c r="ANN82" s="576"/>
      <c r="ANO82" s="576"/>
      <c r="ANP82" s="576"/>
      <c r="ANQ82" s="576"/>
      <c r="ANR82" s="576"/>
      <c r="ANS82" s="576"/>
      <c r="ANT82" s="576"/>
      <c r="ANU82" s="576"/>
      <c r="ANV82" s="576"/>
      <c r="ANW82" s="576"/>
      <c r="ANX82" s="576"/>
      <c r="ANY82" s="576"/>
      <c r="ANZ82" s="576"/>
      <c r="AOA82" s="576"/>
      <c r="AOB82" s="576"/>
      <c r="AOC82" s="576"/>
      <c r="AOD82" s="576"/>
      <c r="AOE82" s="576"/>
      <c r="AOF82" s="576"/>
      <c r="AOG82" s="576"/>
      <c r="AOH82" s="576"/>
      <c r="AOI82" s="576"/>
      <c r="AOJ82" s="576"/>
      <c r="AOK82" s="576"/>
      <c r="AOL82" s="576"/>
      <c r="AOM82" s="576"/>
      <c r="AON82" s="576"/>
      <c r="AOO82" s="576"/>
      <c r="AOP82" s="576"/>
      <c r="AOQ82" s="576"/>
      <c r="AOR82" s="576"/>
      <c r="AOS82" s="576"/>
      <c r="AOT82" s="576"/>
      <c r="AOU82" s="576"/>
      <c r="AOV82" s="576"/>
      <c r="AOW82" s="576"/>
      <c r="AOX82" s="576"/>
      <c r="AOY82" s="576"/>
      <c r="AOZ82" s="576"/>
      <c r="APA82" s="576"/>
      <c r="APB82" s="576"/>
      <c r="APC82" s="576"/>
      <c r="APD82" s="576"/>
      <c r="APE82" s="576"/>
      <c r="APF82" s="576"/>
      <c r="APG82" s="576"/>
      <c r="APH82" s="576"/>
      <c r="API82" s="576"/>
      <c r="APJ82" s="576"/>
      <c r="APK82" s="576"/>
      <c r="APL82" s="576"/>
      <c r="APM82" s="576"/>
      <c r="APN82" s="576"/>
      <c r="APO82" s="576"/>
      <c r="APP82" s="576"/>
      <c r="APQ82" s="576"/>
      <c r="APR82" s="576"/>
      <c r="APS82" s="576"/>
      <c r="APT82" s="576"/>
      <c r="APU82" s="576"/>
      <c r="APV82" s="576"/>
      <c r="APW82" s="576"/>
      <c r="APX82" s="576"/>
      <c r="APY82" s="576"/>
      <c r="APZ82" s="576"/>
      <c r="AQA82" s="576"/>
      <c r="AQB82" s="576"/>
      <c r="AQC82" s="576"/>
      <c r="AQD82" s="576"/>
      <c r="AQE82" s="576"/>
      <c r="AQF82" s="576"/>
      <c r="AQG82" s="576"/>
      <c r="AQH82" s="576"/>
      <c r="AQI82" s="576"/>
      <c r="AQJ82" s="576"/>
      <c r="AQK82" s="576"/>
      <c r="AQL82" s="576"/>
      <c r="AQM82" s="576"/>
      <c r="AQN82" s="576"/>
      <c r="AQO82" s="576"/>
      <c r="AQP82" s="576"/>
      <c r="AQQ82" s="576"/>
      <c r="AQR82" s="576"/>
      <c r="AQS82" s="576"/>
      <c r="AQT82" s="576"/>
      <c r="AQU82" s="576"/>
      <c r="AQV82" s="576"/>
      <c r="AQW82" s="576"/>
      <c r="AQX82" s="576"/>
      <c r="AQY82" s="576"/>
      <c r="AQZ82" s="576"/>
      <c r="ARA82" s="576"/>
      <c r="ARB82" s="576"/>
      <c r="ARC82" s="576"/>
      <c r="ARD82" s="576"/>
      <c r="ARE82" s="576"/>
      <c r="ARF82" s="576"/>
      <c r="ARG82" s="576"/>
      <c r="ARH82" s="576"/>
      <c r="ARI82" s="576"/>
      <c r="ARJ82" s="576"/>
      <c r="ARK82" s="576"/>
      <c r="ARL82" s="576"/>
      <c r="ARM82" s="576"/>
      <c r="ARN82" s="576"/>
      <c r="ARO82" s="576"/>
      <c r="ARP82" s="576"/>
      <c r="ARQ82" s="576"/>
      <c r="ARR82" s="576"/>
      <c r="ARS82" s="576"/>
      <c r="ART82" s="576"/>
      <c r="ARU82" s="576"/>
      <c r="ARV82" s="576"/>
      <c r="ARW82" s="576"/>
      <c r="ARX82" s="576"/>
      <c r="ARY82" s="576"/>
      <c r="ARZ82" s="576"/>
      <c r="ASA82" s="576"/>
      <c r="ASB82" s="576"/>
      <c r="ASC82" s="576"/>
      <c r="ASD82" s="576"/>
      <c r="ASE82" s="576"/>
      <c r="ASF82" s="576"/>
      <c r="ASG82" s="576"/>
      <c r="ASH82" s="576"/>
      <c r="ASI82" s="576"/>
      <c r="ASJ82" s="576"/>
      <c r="ASK82" s="576"/>
      <c r="ASL82" s="576"/>
      <c r="ASM82" s="576"/>
      <c r="ASN82" s="576"/>
      <c r="ASO82" s="576"/>
      <c r="ASP82" s="576"/>
      <c r="ASQ82" s="576"/>
      <c r="ASR82" s="576"/>
      <c r="ASS82" s="576"/>
      <c r="AST82" s="576"/>
      <c r="ASU82" s="576"/>
      <c r="ASV82" s="576"/>
      <c r="ASW82" s="576"/>
      <c r="ASX82" s="576"/>
      <c r="ASY82" s="576"/>
      <c r="ASZ82" s="576"/>
      <c r="ATA82" s="576"/>
      <c r="ATB82" s="576"/>
      <c r="ATC82" s="576"/>
      <c r="ATD82" s="576"/>
      <c r="ATE82" s="576"/>
      <c r="ATF82" s="576"/>
      <c r="ATG82" s="576"/>
      <c r="ATH82" s="576"/>
      <c r="ATI82" s="576"/>
      <c r="ATJ82" s="576"/>
      <c r="ATK82" s="576"/>
      <c r="ATL82" s="576"/>
      <c r="ATM82" s="576"/>
      <c r="ATN82" s="576"/>
      <c r="ATO82" s="576"/>
      <c r="ATP82" s="576"/>
      <c r="ATQ82" s="576"/>
      <c r="ATR82" s="576"/>
      <c r="ATS82" s="576"/>
      <c r="ATT82" s="576"/>
      <c r="ATU82" s="576"/>
      <c r="ATV82" s="576"/>
      <c r="ATW82" s="576"/>
      <c r="ATX82" s="576"/>
      <c r="ATY82" s="576"/>
      <c r="ATZ82" s="576"/>
      <c r="AUA82" s="576"/>
      <c r="AUB82" s="576"/>
      <c r="AUC82" s="576"/>
      <c r="AUD82" s="576"/>
      <c r="AUE82" s="576"/>
      <c r="AUF82" s="576"/>
      <c r="AUG82" s="576"/>
      <c r="AUH82" s="576"/>
      <c r="AUI82" s="576"/>
      <c r="AUJ82" s="576"/>
      <c r="AUK82" s="576"/>
      <c r="AUL82" s="576"/>
      <c r="AUM82" s="576"/>
      <c r="AUN82" s="576"/>
      <c r="AUO82" s="576"/>
      <c r="AUP82" s="576"/>
      <c r="AUQ82" s="576"/>
      <c r="AUR82" s="576"/>
      <c r="AUS82" s="576"/>
      <c r="AUT82" s="576"/>
      <c r="AUU82" s="576"/>
      <c r="AUV82" s="576"/>
      <c r="AUW82" s="576"/>
      <c r="AUX82" s="576"/>
      <c r="AUY82" s="576"/>
      <c r="AUZ82" s="576"/>
      <c r="AVA82" s="576"/>
      <c r="AVB82" s="576"/>
      <c r="AVC82" s="576"/>
      <c r="AVD82" s="576"/>
      <c r="AVE82" s="576"/>
      <c r="AVF82" s="576"/>
      <c r="AVG82" s="576"/>
      <c r="AVH82" s="576"/>
      <c r="AVI82" s="576"/>
      <c r="AVJ82" s="576"/>
      <c r="AVK82" s="576"/>
      <c r="AVL82" s="576"/>
      <c r="AVM82" s="576"/>
      <c r="AVN82" s="576"/>
      <c r="AVO82" s="576"/>
      <c r="AVP82" s="576"/>
      <c r="AVQ82" s="576"/>
      <c r="AVR82" s="576"/>
      <c r="AVS82" s="576"/>
      <c r="AVT82" s="576"/>
      <c r="AVU82" s="576"/>
      <c r="AVV82" s="576"/>
      <c r="AVW82" s="576"/>
      <c r="AVX82" s="576"/>
      <c r="AVY82" s="576"/>
      <c r="AVZ82" s="576"/>
      <c r="AWA82" s="576"/>
      <c r="AWB82" s="576"/>
      <c r="AWC82" s="576"/>
      <c r="AWD82" s="576"/>
      <c r="AWE82" s="576"/>
      <c r="AWF82" s="576"/>
      <c r="AWG82" s="576"/>
      <c r="AWH82" s="576"/>
      <c r="AWI82" s="576"/>
      <c r="AWJ82" s="576"/>
      <c r="AWK82" s="576"/>
      <c r="AWL82" s="576"/>
      <c r="AWM82" s="576"/>
      <c r="AWN82" s="576"/>
      <c r="AWO82" s="576"/>
      <c r="AWP82" s="576"/>
      <c r="AWQ82" s="576"/>
      <c r="AWR82" s="576"/>
      <c r="AWS82" s="576"/>
      <c r="AWT82" s="576"/>
      <c r="AWU82" s="576"/>
      <c r="AWV82" s="576"/>
      <c r="AWW82" s="576"/>
      <c r="AWX82" s="576"/>
      <c r="AWY82" s="576"/>
      <c r="AWZ82" s="576"/>
      <c r="AXA82" s="576"/>
      <c r="AXB82" s="576"/>
      <c r="AXC82" s="576"/>
      <c r="AXD82" s="576"/>
      <c r="AXE82" s="576"/>
      <c r="AXF82" s="576"/>
      <c r="AXG82" s="576"/>
      <c r="AXH82" s="576"/>
      <c r="AXI82" s="576"/>
      <c r="AXJ82" s="576"/>
      <c r="AXK82" s="576"/>
      <c r="AXL82" s="576"/>
      <c r="AXM82" s="576"/>
      <c r="AXN82" s="576"/>
      <c r="AXO82" s="576"/>
      <c r="AXP82" s="576"/>
      <c r="AXQ82" s="576"/>
      <c r="AXR82" s="576"/>
      <c r="AXS82" s="576"/>
      <c r="AXT82" s="576"/>
      <c r="AXU82" s="576"/>
      <c r="AXV82" s="576"/>
      <c r="AXW82" s="576"/>
      <c r="AXX82" s="576"/>
      <c r="AXY82" s="576"/>
      <c r="AXZ82" s="576"/>
      <c r="AYA82" s="576"/>
      <c r="AYB82" s="576"/>
      <c r="AYC82" s="576"/>
      <c r="AYD82" s="576"/>
      <c r="AYE82" s="576"/>
      <c r="AYF82" s="576"/>
      <c r="AYG82" s="576"/>
      <c r="AYH82" s="576"/>
      <c r="AYI82" s="576"/>
      <c r="AYJ82" s="576"/>
      <c r="AYK82" s="576"/>
      <c r="AYL82" s="576"/>
      <c r="AYM82" s="576"/>
      <c r="AYN82" s="576"/>
      <c r="AYO82" s="576"/>
      <c r="AYP82" s="576"/>
      <c r="AYQ82" s="576"/>
      <c r="AYR82" s="576"/>
      <c r="AYS82" s="576"/>
      <c r="AYT82" s="576"/>
      <c r="AYU82" s="576"/>
      <c r="AYV82" s="576"/>
      <c r="AYW82" s="576"/>
      <c r="AYX82" s="576"/>
      <c r="AYY82" s="576"/>
      <c r="AYZ82" s="576"/>
      <c r="AZA82" s="576"/>
      <c r="AZB82" s="576"/>
      <c r="AZC82" s="576"/>
      <c r="AZD82" s="576"/>
      <c r="AZE82" s="576"/>
      <c r="AZF82" s="576"/>
      <c r="AZG82" s="576"/>
      <c r="AZH82" s="576"/>
      <c r="AZI82" s="576"/>
      <c r="AZJ82" s="576"/>
      <c r="AZK82" s="576"/>
      <c r="AZL82" s="576"/>
      <c r="AZM82" s="576"/>
      <c r="AZN82" s="576"/>
      <c r="AZO82" s="576"/>
      <c r="AZP82" s="576"/>
      <c r="AZQ82" s="576"/>
      <c r="AZR82" s="576"/>
      <c r="AZS82" s="576"/>
      <c r="AZT82" s="576"/>
      <c r="AZU82" s="576"/>
      <c r="AZV82" s="576"/>
      <c r="AZW82" s="576"/>
      <c r="AZX82" s="576"/>
      <c r="AZY82" s="576"/>
      <c r="AZZ82" s="576"/>
      <c r="BAA82" s="576"/>
      <c r="BAB82" s="576"/>
      <c r="BAC82" s="576"/>
      <c r="BAD82" s="576"/>
      <c r="BAE82" s="576"/>
      <c r="BAF82" s="576"/>
      <c r="BAG82" s="576"/>
      <c r="BAH82" s="576"/>
      <c r="BAI82" s="576"/>
      <c r="BAJ82" s="576"/>
      <c r="BAK82" s="576"/>
      <c r="BAL82" s="576"/>
      <c r="BAM82" s="576"/>
      <c r="BAN82" s="576"/>
      <c r="BAO82" s="576"/>
      <c r="BAP82" s="576"/>
      <c r="BAQ82" s="576"/>
      <c r="BAR82" s="576"/>
      <c r="BAS82" s="576"/>
      <c r="BAT82" s="576"/>
      <c r="BAU82" s="576"/>
      <c r="BAV82" s="576"/>
      <c r="BAW82" s="576"/>
      <c r="BAX82" s="576"/>
      <c r="BAY82" s="576"/>
      <c r="BAZ82" s="576"/>
      <c r="BBA82" s="576"/>
      <c r="BBB82" s="576"/>
      <c r="BBC82" s="576"/>
      <c r="BBD82" s="576"/>
      <c r="BBE82" s="576"/>
      <c r="BBF82" s="576"/>
      <c r="BBG82" s="576"/>
      <c r="BBH82" s="576"/>
      <c r="BBI82" s="576"/>
      <c r="BBJ82" s="576"/>
      <c r="BBK82" s="576"/>
      <c r="BBL82" s="576"/>
      <c r="BBM82" s="576"/>
      <c r="BBN82" s="576"/>
      <c r="BBO82" s="576"/>
      <c r="BBP82" s="576"/>
      <c r="BBQ82" s="576"/>
      <c r="BBR82" s="576"/>
      <c r="BBS82" s="576"/>
      <c r="BBT82" s="576"/>
      <c r="BBU82" s="576"/>
      <c r="BBV82" s="576"/>
      <c r="BBW82" s="576"/>
      <c r="BBX82" s="576"/>
      <c r="BBY82" s="576"/>
      <c r="BBZ82" s="576"/>
      <c r="BCA82" s="576"/>
      <c r="BCB82" s="576"/>
      <c r="BCC82" s="576"/>
      <c r="BCD82" s="576"/>
      <c r="BCE82" s="576"/>
      <c r="BCF82" s="576"/>
      <c r="BCG82" s="576"/>
      <c r="BCH82" s="576"/>
      <c r="BCI82" s="576"/>
      <c r="BCJ82" s="576"/>
      <c r="BCK82" s="576"/>
      <c r="BCL82" s="576"/>
      <c r="BCM82" s="576"/>
      <c r="BCN82" s="576"/>
      <c r="BCO82" s="576"/>
      <c r="BCP82" s="576"/>
      <c r="BCQ82" s="576"/>
      <c r="BCR82" s="576"/>
      <c r="BCS82" s="576"/>
      <c r="BCT82" s="576"/>
      <c r="BCU82" s="576"/>
      <c r="BCV82" s="576"/>
      <c r="BCW82" s="576"/>
      <c r="BCX82" s="576"/>
      <c r="BCY82" s="576"/>
      <c r="BCZ82" s="576"/>
      <c r="BDA82" s="576"/>
      <c r="BDB82" s="576"/>
      <c r="BDC82" s="576"/>
      <c r="BDD82" s="576"/>
      <c r="BDE82" s="576"/>
      <c r="BDF82" s="576"/>
      <c r="BDG82" s="576"/>
      <c r="BDH82" s="576"/>
      <c r="BDI82" s="576"/>
      <c r="BDJ82" s="576"/>
      <c r="BDK82" s="576"/>
      <c r="BDL82" s="576"/>
      <c r="BDM82" s="576"/>
      <c r="BDN82" s="576"/>
      <c r="BDO82" s="576"/>
      <c r="BDP82" s="576"/>
      <c r="BDQ82" s="576"/>
      <c r="BDR82" s="576"/>
      <c r="BDS82" s="576"/>
      <c r="BDT82" s="576"/>
      <c r="BDU82" s="576"/>
      <c r="BDV82" s="576"/>
      <c r="BDW82" s="576"/>
      <c r="BDX82" s="576"/>
      <c r="BDY82" s="576"/>
      <c r="BDZ82" s="576"/>
      <c r="BEA82" s="576"/>
      <c r="BEB82" s="576"/>
      <c r="BEC82" s="576"/>
      <c r="BED82" s="576"/>
      <c r="BEE82" s="576"/>
      <c r="BEF82" s="576"/>
      <c r="BEG82" s="576"/>
      <c r="BEH82" s="576"/>
      <c r="BEI82" s="576"/>
      <c r="BEJ82" s="576"/>
      <c r="BEK82" s="576"/>
      <c r="BEL82" s="576"/>
      <c r="BEM82" s="576"/>
      <c r="BEN82" s="576"/>
      <c r="BEO82" s="576"/>
      <c r="BEP82" s="576"/>
      <c r="BEQ82" s="576"/>
      <c r="BER82" s="576"/>
      <c r="BES82" s="576"/>
      <c r="BET82" s="576"/>
      <c r="BEU82" s="576"/>
      <c r="BEV82" s="576"/>
      <c r="BEW82" s="576"/>
      <c r="BEX82" s="576"/>
      <c r="BEY82" s="576"/>
      <c r="BEZ82" s="576"/>
      <c r="BFA82" s="576"/>
      <c r="BFB82" s="576"/>
      <c r="BFC82" s="576"/>
      <c r="BFD82" s="576"/>
      <c r="BFE82" s="576"/>
      <c r="BFF82" s="576"/>
      <c r="BFG82" s="576"/>
      <c r="BFH82" s="576"/>
      <c r="BFI82" s="576"/>
      <c r="BFJ82" s="576"/>
      <c r="BFK82" s="576"/>
      <c r="BFL82" s="576"/>
      <c r="BFM82" s="576"/>
      <c r="BFN82" s="576"/>
      <c r="BFO82" s="576"/>
      <c r="BFP82" s="576"/>
      <c r="BFQ82" s="576"/>
      <c r="BFR82" s="576"/>
      <c r="BFS82" s="576"/>
      <c r="BFT82" s="576"/>
      <c r="BFU82" s="576"/>
      <c r="BFV82" s="576"/>
      <c r="BFW82" s="576"/>
      <c r="BFX82" s="576"/>
      <c r="BFY82" s="576"/>
      <c r="BFZ82" s="576"/>
      <c r="BGA82" s="576"/>
      <c r="BGB82" s="576"/>
      <c r="BGC82" s="576"/>
      <c r="BGD82" s="576"/>
      <c r="BGE82" s="576"/>
      <c r="BGF82" s="576"/>
      <c r="BGG82" s="576"/>
      <c r="BGH82" s="576"/>
      <c r="BGI82" s="576"/>
      <c r="BGJ82" s="576"/>
      <c r="BGK82" s="576"/>
      <c r="BGL82" s="576"/>
      <c r="BGM82" s="576"/>
      <c r="BGN82" s="576"/>
      <c r="BGO82" s="576"/>
      <c r="BGP82" s="576"/>
      <c r="BGQ82" s="576"/>
      <c r="BGR82" s="576"/>
      <c r="BGS82" s="576"/>
      <c r="BGT82" s="576"/>
      <c r="BGU82" s="576"/>
      <c r="BGV82" s="576"/>
      <c r="BGW82" s="576"/>
      <c r="BGX82" s="576"/>
      <c r="BGY82" s="576"/>
      <c r="BGZ82" s="576"/>
      <c r="BHA82" s="576"/>
      <c r="BHB82" s="576"/>
      <c r="BHC82" s="576"/>
      <c r="BHD82" s="576"/>
      <c r="BHE82" s="576"/>
      <c r="BHF82" s="576"/>
      <c r="BHG82" s="576"/>
      <c r="BHH82" s="576"/>
      <c r="BHI82" s="576"/>
      <c r="BHJ82" s="576"/>
      <c r="BHK82" s="576"/>
      <c r="BHL82" s="576"/>
      <c r="BHM82" s="576"/>
      <c r="BHN82" s="576"/>
      <c r="BHO82" s="576"/>
      <c r="BHP82" s="576"/>
      <c r="BHQ82" s="576"/>
      <c r="BHR82" s="576"/>
      <c r="BHS82" s="576"/>
      <c r="BHT82" s="576"/>
      <c r="BHU82" s="576"/>
      <c r="BHV82" s="576"/>
      <c r="BHW82" s="576"/>
      <c r="BHX82" s="576"/>
      <c r="BHY82" s="576"/>
      <c r="BHZ82" s="576"/>
      <c r="BIA82" s="576"/>
      <c r="BIB82" s="576"/>
      <c r="BIC82" s="576"/>
      <c r="BID82" s="576"/>
      <c r="BIE82" s="576"/>
      <c r="BIF82" s="576"/>
      <c r="BIG82" s="576"/>
      <c r="BIH82" s="576"/>
      <c r="BII82" s="576"/>
      <c r="BIJ82" s="576"/>
      <c r="BIK82" s="576"/>
      <c r="BIL82" s="576"/>
      <c r="BIM82" s="576"/>
      <c r="BIN82" s="576"/>
      <c r="BIO82" s="576"/>
      <c r="BIP82" s="576"/>
      <c r="BIQ82" s="576"/>
      <c r="BIR82" s="576"/>
      <c r="BIS82" s="576"/>
      <c r="BIT82" s="576"/>
      <c r="BIU82" s="576"/>
      <c r="BIV82" s="576"/>
      <c r="BIW82" s="576"/>
      <c r="BIX82" s="576"/>
      <c r="BIY82" s="576"/>
      <c r="BIZ82" s="576"/>
      <c r="BJA82" s="576"/>
      <c r="BJB82" s="576"/>
      <c r="BJC82" s="576"/>
      <c r="BJD82" s="576"/>
      <c r="BJE82" s="576"/>
      <c r="BJF82" s="576"/>
      <c r="BJG82" s="576"/>
      <c r="BJH82" s="576"/>
      <c r="BJI82" s="576"/>
      <c r="BJJ82" s="576"/>
      <c r="BJK82" s="576"/>
      <c r="BJL82" s="576"/>
      <c r="BJM82" s="576"/>
      <c r="BJN82" s="576"/>
      <c r="BJO82" s="576"/>
      <c r="BJP82" s="576"/>
      <c r="BJQ82" s="576"/>
      <c r="BJR82" s="576"/>
      <c r="BJS82" s="576"/>
      <c r="BJT82" s="576"/>
      <c r="BJU82" s="576"/>
      <c r="BJV82" s="576"/>
      <c r="BJW82" s="576"/>
      <c r="BJX82" s="576"/>
      <c r="BJY82" s="576"/>
      <c r="BJZ82" s="576"/>
      <c r="BKA82" s="576"/>
      <c r="BKB82" s="576"/>
      <c r="BKC82" s="576"/>
      <c r="BKD82" s="576"/>
      <c r="BKE82" s="576"/>
      <c r="BKF82" s="576"/>
      <c r="BKG82" s="576"/>
      <c r="BKH82" s="576"/>
      <c r="BKI82" s="576"/>
      <c r="BKJ82" s="576"/>
      <c r="BKK82" s="576"/>
      <c r="BKL82" s="576"/>
      <c r="BKM82" s="576"/>
      <c r="BKN82" s="576"/>
      <c r="BKO82" s="576"/>
      <c r="BKP82" s="576"/>
      <c r="BKQ82" s="576"/>
      <c r="BKR82" s="576"/>
      <c r="BKS82" s="576"/>
      <c r="BKT82" s="576"/>
      <c r="BKU82" s="576"/>
      <c r="BKV82" s="576"/>
      <c r="BKW82" s="576"/>
      <c r="BKX82" s="576"/>
      <c r="BKY82" s="576"/>
      <c r="BKZ82" s="576"/>
      <c r="BLA82" s="576"/>
      <c r="BLB82" s="576"/>
      <c r="BLC82" s="576"/>
      <c r="BLD82" s="576"/>
      <c r="BLE82" s="576"/>
      <c r="BLF82" s="576"/>
      <c r="BLG82" s="576"/>
      <c r="BLH82" s="576"/>
      <c r="BLI82" s="576"/>
      <c r="BLJ82" s="576"/>
      <c r="BLK82" s="576"/>
      <c r="BLL82" s="576"/>
      <c r="BLM82" s="576"/>
      <c r="BLN82" s="576"/>
      <c r="BLO82" s="576"/>
      <c r="BLP82" s="576"/>
      <c r="BLQ82" s="576"/>
      <c r="BLR82" s="576"/>
      <c r="BLS82" s="576"/>
      <c r="BLT82" s="576"/>
      <c r="BLU82" s="576"/>
      <c r="BLV82" s="576"/>
      <c r="BLW82" s="576"/>
      <c r="BLX82" s="576"/>
      <c r="BLY82" s="576"/>
      <c r="BLZ82" s="576"/>
      <c r="BMA82" s="576"/>
      <c r="BMB82" s="576"/>
      <c r="BMC82" s="576"/>
      <c r="BMD82" s="576"/>
      <c r="BME82" s="576"/>
      <c r="BMF82" s="576"/>
      <c r="BMG82" s="576"/>
      <c r="BMH82" s="576"/>
      <c r="BMI82" s="576"/>
      <c r="BMJ82" s="576"/>
      <c r="BMK82" s="576"/>
      <c r="BML82" s="576"/>
      <c r="BMM82" s="576"/>
      <c r="BMN82" s="576"/>
      <c r="BMO82" s="576"/>
      <c r="BMP82" s="576"/>
      <c r="BMQ82" s="576"/>
      <c r="BMR82" s="576"/>
      <c r="BMS82" s="576"/>
      <c r="BMT82" s="576"/>
      <c r="BMU82" s="576"/>
      <c r="BMV82" s="576"/>
      <c r="BMW82" s="576"/>
      <c r="BMX82" s="576"/>
      <c r="BMY82" s="576"/>
      <c r="BMZ82" s="576"/>
      <c r="BNA82" s="576"/>
      <c r="BNB82" s="576"/>
      <c r="BNC82" s="576"/>
      <c r="BND82" s="576"/>
      <c r="BNE82" s="576"/>
      <c r="BNF82" s="576"/>
      <c r="BNG82" s="576"/>
      <c r="BNH82" s="576"/>
      <c r="BNI82" s="576"/>
      <c r="BNJ82" s="576"/>
      <c r="BNK82" s="576"/>
      <c r="BNL82" s="576"/>
      <c r="BNM82" s="576"/>
      <c r="BNN82" s="576"/>
      <c r="BNO82" s="576"/>
      <c r="BNP82" s="576"/>
      <c r="BNQ82" s="576"/>
      <c r="BNR82" s="576"/>
      <c r="BNS82" s="576"/>
      <c r="BNT82" s="576"/>
      <c r="BNU82" s="576"/>
      <c r="BNV82" s="576"/>
      <c r="BNW82" s="576"/>
      <c r="BNX82" s="576"/>
      <c r="BNY82" s="576"/>
      <c r="BNZ82" s="576"/>
      <c r="BOA82" s="576"/>
      <c r="BOB82" s="576"/>
      <c r="BOC82" s="576"/>
      <c r="BOD82" s="576"/>
      <c r="BOE82" s="576"/>
      <c r="BOF82" s="576"/>
      <c r="BOG82" s="576"/>
      <c r="BOH82" s="576"/>
      <c r="BOI82" s="576"/>
      <c r="BOJ82" s="576"/>
      <c r="BOK82" s="576"/>
      <c r="BOL82" s="576"/>
      <c r="BOM82" s="576"/>
      <c r="BON82" s="576"/>
      <c r="BOO82" s="576"/>
      <c r="BOP82" s="576"/>
      <c r="BOQ82" s="576"/>
      <c r="BOR82" s="576"/>
      <c r="BOS82" s="576"/>
      <c r="BOT82" s="576"/>
      <c r="BOU82" s="576"/>
      <c r="BOV82" s="576"/>
      <c r="BOW82" s="576"/>
      <c r="BOX82" s="576"/>
      <c r="BOY82" s="576"/>
      <c r="BOZ82" s="576"/>
      <c r="BPA82" s="576"/>
      <c r="BPB82" s="576"/>
      <c r="BPC82" s="576"/>
      <c r="BPD82" s="576"/>
      <c r="BPE82" s="576"/>
      <c r="BPF82" s="576"/>
      <c r="BPG82" s="576"/>
      <c r="BPH82" s="576"/>
      <c r="BPI82" s="576"/>
      <c r="BPJ82" s="576"/>
      <c r="BPK82" s="576"/>
      <c r="BPL82" s="576"/>
      <c r="BPM82" s="576"/>
      <c r="BPN82" s="576"/>
      <c r="BPO82" s="576"/>
      <c r="BPP82" s="576"/>
      <c r="BPQ82" s="576"/>
      <c r="BPR82" s="576"/>
      <c r="BPS82" s="576"/>
      <c r="BPT82" s="576"/>
      <c r="BPU82" s="576"/>
      <c r="BPV82" s="576"/>
      <c r="BPW82" s="576"/>
      <c r="BPX82" s="576"/>
      <c r="BPY82" s="576"/>
      <c r="BPZ82" s="576"/>
      <c r="BQA82" s="576"/>
      <c r="BQB82" s="576"/>
      <c r="BQC82" s="576"/>
      <c r="BQD82" s="576"/>
      <c r="BQE82" s="576"/>
      <c r="BQF82" s="576"/>
      <c r="BQG82" s="576"/>
      <c r="BQH82" s="576"/>
      <c r="BQI82" s="576"/>
      <c r="BQJ82" s="576"/>
      <c r="BQK82" s="576"/>
      <c r="BQL82" s="576"/>
      <c r="BQM82" s="576"/>
      <c r="BQN82" s="576"/>
      <c r="BQO82" s="576"/>
      <c r="BQP82" s="576"/>
      <c r="BQQ82" s="576"/>
      <c r="BQR82" s="576"/>
      <c r="BQS82" s="576"/>
      <c r="BQT82" s="576"/>
      <c r="BQU82" s="576"/>
      <c r="BQV82" s="576"/>
      <c r="BQW82" s="576"/>
      <c r="BQX82" s="576"/>
      <c r="BQY82" s="576"/>
      <c r="BQZ82" s="576"/>
      <c r="BRA82" s="576"/>
      <c r="BRB82" s="576"/>
      <c r="BRC82" s="576"/>
      <c r="BRD82" s="576"/>
      <c r="BRE82" s="576"/>
      <c r="BRF82" s="576"/>
      <c r="BRG82" s="576"/>
      <c r="BRH82" s="576"/>
      <c r="BRI82" s="576"/>
      <c r="BRJ82" s="576"/>
      <c r="BRK82" s="576"/>
      <c r="BRL82" s="576"/>
      <c r="BRM82" s="576"/>
      <c r="BRN82" s="576"/>
      <c r="BRO82" s="576"/>
      <c r="BRP82" s="576"/>
      <c r="BRQ82" s="576"/>
      <c r="BRR82" s="576"/>
      <c r="BRS82" s="576"/>
      <c r="BRT82" s="576"/>
      <c r="BRU82" s="576"/>
      <c r="BRV82" s="576"/>
      <c r="BRW82" s="576"/>
      <c r="BRX82" s="576"/>
      <c r="BRY82" s="576"/>
      <c r="BRZ82" s="576"/>
      <c r="BSA82" s="576"/>
      <c r="BSB82" s="576"/>
      <c r="BSC82" s="576"/>
      <c r="BSD82" s="576"/>
      <c r="BSE82" s="576"/>
      <c r="BSF82" s="576"/>
      <c r="BSG82" s="576"/>
      <c r="BSH82" s="576"/>
      <c r="BSI82" s="576"/>
      <c r="BSJ82" s="576"/>
      <c r="BSK82" s="576"/>
      <c r="BSL82" s="576"/>
      <c r="BSM82" s="576"/>
      <c r="BSN82" s="576"/>
      <c r="BSO82" s="576"/>
      <c r="BSP82" s="576"/>
      <c r="BSQ82" s="576"/>
      <c r="BSR82" s="576"/>
      <c r="BSS82" s="576"/>
      <c r="BST82" s="576"/>
      <c r="BSU82" s="576"/>
      <c r="BSV82" s="576"/>
      <c r="BSW82" s="576"/>
      <c r="BSX82" s="576"/>
      <c r="BSY82" s="576"/>
      <c r="BSZ82" s="576"/>
      <c r="BTA82" s="576"/>
      <c r="BTB82" s="576"/>
      <c r="BTC82" s="576"/>
      <c r="BTD82" s="576"/>
      <c r="BTE82" s="576"/>
      <c r="BTF82" s="576"/>
      <c r="BTG82" s="576"/>
      <c r="BTH82" s="576"/>
      <c r="BTI82" s="576"/>
    </row>
    <row r="83" spans="1:1881" ht="48" customHeight="1" x14ac:dyDescent="0.25">
      <c r="A83" s="186">
        <v>381</v>
      </c>
      <c r="B83" s="62" t="s">
        <v>41</v>
      </c>
      <c r="C83" s="157" t="s">
        <v>201</v>
      </c>
      <c r="D83" s="129" t="s">
        <v>154</v>
      </c>
      <c r="E83" s="683" t="e">
        <f>HLOOKUP('Unit Data from Audit Worksheet'!$D$2,'2019 Data(H)'!$D$1:$BB$202,98,FALSE)</f>
        <v>#N/A</v>
      </c>
      <c r="F83" s="686"/>
      <c r="G83" s="388">
        <f>IF(F81&gt;F83,"Error: Please review components of current assets above. Account numbers 654&gt;381",)</f>
        <v>0</v>
      </c>
      <c r="H83" s="14"/>
      <c r="I83" s="31"/>
      <c r="S83" s="682"/>
      <c r="X83" s="682"/>
    </row>
    <row r="84" spans="1:1881" s="219" customFormat="1" ht="63" customHeight="1" x14ac:dyDescent="0.25">
      <c r="A84" s="186">
        <v>578</v>
      </c>
      <c r="B84" s="148" t="s">
        <v>82</v>
      </c>
      <c r="C84" s="180" t="s">
        <v>201</v>
      </c>
      <c r="D84" s="304" t="s">
        <v>582</v>
      </c>
      <c r="E84" s="683" t="e">
        <f>HLOOKUP('Unit Data from Audit Worksheet'!$D$2,'2019 Data(H)'!$D$1:$BB$202,162,FALSE)</f>
        <v>#N/A</v>
      </c>
      <c r="F84" s="686"/>
      <c r="G84" s="388"/>
      <c r="H84" s="147"/>
      <c r="I84" s="292"/>
      <c r="J84" s="387"/>
      <c r="K84" s="387"/>
      <c r="L84" s="387"/>
      <c r="M84" s="387"/>
      <c r="N84"/>
      <c r="O84" s="387"/>
      <c r="P84" s="387"/>
      <c r="Q84" s="387"/>
      <c r="R84"/>
      <c r="S84" s="682"/>
      <c r="T84" s="387"/>
      <c r="U84" s="387"/>
      <c r="V84" s="387"/>
      <c r="W84" s="387"/>
      <c r="X84" s="682"/>
      <c r="Y84" s="387"/>
      <c r="Z84" s="387"/>
      <c r="AA84" s="387"/>
      <c r="AB84" s="387"/>
      <c r="AC84" s="387"/>
      <c r="AD84" s="387"/>
      <c r="AE84" s="387"/>
      <c r="AF84" s="387"/>
      <c r="AG84" s="387"/>
      <c r="AH84" s="387"/>
      <c r="AI84" s="387"/>
      <c r="AJ84" s="387"/>
      <c r="AK84" s="387"/>
      <c r="AL84" s="387"/>
      <c r="AM84" s="387"/>
      <c r="AN84" s="387"/>
      <c r="AO84" s="387"/>
      <c r="AP84" s="387"/>
      <c r="AQ84" s="387"/>
      <c r="AR84" s="387"/>
      <c r="AS84" s="387"/>
      <c r="AT84" s="387"/>
      <c r="AU84" s="387"/>
      <c r="AV84" s="387"/>
      <c r="AW84" s="387"/>
      <c r="AX84" s="387"/>
      <c r="AY84" s="387"/>
      <c r="AZ84" s="387"/>
      <c r="BA84" s="387"/>
      <c r="BB84" s="387"/>
      <c r="BC84" s="387"/>
      <c r="BD84" s="387"/>
      <c r="BE84" s="387"/>
      <c r="BF84" s="387"/>
      <c r="BG84" s="387"/>
      <c r="BH84" s="387"/>
      <c r="BI84" s="387"/>
      <c r="BJ84" s="387"/>
      <c r="BK84" s="387"/>
      <c r="BL84" s="387"/>
      <c r="BM84" s="387"/>
      <c r="BN84" s="387"/>
      <c r="BO84" s="387"/>
      <c r="BP84" s="387"/>
      <c r="BQ84" s="387"/>
      <c r="BR84" s="387"/>
      <c r="BS84" s="387"/>
      <c r="BT84" s="387"/>
      <c r="BU84" s="387"/>
      <c r="BV84" s="387"/>
      <c r="BW84" s="387"/>
      <c r="BX84" s="387"/>
      <c r="BY84" s="387"/>
      <c r="BZ84" s="387"/>
      <c r="CA84" s="387"/>
      <c r="CB84" s="387"/>
      <c r="CC84" s="387"/>
      <c r="CD84" s="387"/>
      <c r="CE84" s="387"/>
      <c r="CF84" s="387"/>
      <c r="CG84" s="387"/>
      <c r="CH84" s="387"/>
      <c r="CI84" s="387"/>
      <c r="CJ84" s="387"/>
      <c r="CK84" s="387"/>
      <c r="CL84" s="387"/>
      <c r="CM84" s="387"/>
      <c r="CN84" s="387"/>
      <c r="CO84" s="387"/>
      <c r="CP84" s="387"/>
      <c r="CQ84" s="387"/>
      <c r="CR84" s="387"/>
      <c r="CS84" s="387"/>
      <c r="CT84" s="387"/>
      <c r="CU84" s="387"/>
      <c r="CV84" s="387"/>
      <c r="CW84" s="387"/>
      <c r="CX84" s="387"/>
      <c r="CY84" s="387"/>
      <c r="CZ84" s="387"/>
      <c r="DA84" s="387"/>
      <c r="DB84" s="387"/>
      <c r="DC84" s="387"/>
      <c r="DD84" s="387"/>
      <c r="DE84" s="387"/>
      <c r="DF84" s="387"/>
      <c r="DG84" s="387"/>
      <c r="DH84" s="387"/>
      <c r="DI84" s="387"/>
      <c r="DJ84" s="387"/>
      <c r="DK84" s="387"/>
      <c r="DL84" s="387"/>
      <c r="DM84" s="387"/>
      <c r="DN84" s="387"/>
      <c r="DO84" s="387"/>
      <c r="DP84" s="387"/>
      <c r="DQ84" s="387"/>
      <c r="DR84" s="387"/>
      <c r="DS84" s="387"/>
      <c r="DT84" s="387"/>
      <c r="DU84" s="387"/>
      <c r="DV84" s="387"/>
      <c r="DW84" s="387"/>
      <c r="DX84" s="387"/>
      <c r="DY84" s="387"/>
      <c r="DZ84" s="387"/>
      <c r="EA84" s="387"/>
      <c r="EB84" s="387"/>
      <c r="EC84" s="387"/>
      <c r="ED84" s="387"/>
      <c r="EE84" s="387"/>
      <c r="EF84" s="387"/>
      <c r="EG84" s="387"/>
      <c r="EH84" s="387"/>
      <c r="EI84" s="387"/>
      <c r="EJ84" s="387"/>
      <c r="EK84" s="387"/>
      <c r="EL84" s="387"/>
      <c r="EM84" s="387"/>
      <c r="EN84" s="387"/>
      <c r="EO84" s="387"/>
      <c r="EP84" s="387"/>
      <c r="EQ84" s="387"/>
      <c r="ER84" s="387"/>
      <c r="ES84" s="387"/>
      <c r="ET84" s="387"/>
      <c r="EU84" s="387"/>
      <c r="EV84" s="387"/>
      <c r="EW84" s="387"/>
      <c r="EX84" s="387"/>
      <c r="EY84" s="387"/>
      <c r="EZ84" s="387"/>
      <c r="FA84" s="387"/>
      <c r="FB84" s="387"/>
      <c r="FC84" s="387"/>
      <c r="FD84" s="387"/>
      <c r="FE84" s="387"/>
      <c r="FF84" s="387"/>
      <c r="FG84" s="387"/>
      <c r="FH84" s="387"/>
      <c r="FI84" s="387"/>
      <c r="FJ84" s="387"/>
      <c r="FK84" s="387"/>
      <c r="FL84" s="387"/>
      <c r="FM84" s="387"/>
      <c r="FN84" s="387"/>
      <c r="FO84" s="387"/>
      <c r="FP84" s="387"/>
      <c r="FQ84" s="387"/>
      <c r="FR84" s="387"/>
      <c r="FS84" s="387"/>
      <c r="FT84" s="387"/>
      <c r="FU84" s="387"/>
      <c r="FV84" s="387"/>
      <c r="FW84" s="387"/>
      <c r="FX84" s="387"/>
      <c r="FY84" s="387"/>
      <c r="FZ84" s="387"/>
      <c r="GA84" s="387"/>
      <c r="GB84" s="387"/>
      <c r="GC84" s="387"/>
      <c r="GD84" s="387"/>
      <c r="GE84" s="387"/>
      <c r="GF84" s="387"/>
      <c r="GG84" s="387"/>
      <c r="GH84" s="387"/>
      <c r="GI84" s="387"/>
      <c r="GJ84" s="387"/>
      <c r="GK84" s="387"/>
      <c r="GL84" s="387"/>
      <c r="GM84" s="387"/>
      <c r="GN84" s="387"/>
      <c r="GO84" s="387"/>
      <c r="GP84" s="387"/>
      <c r="GQ84" s="387"/>
      <c r="GR84" s="387"/>
      <c r="GS84" s="387"/>
      <c r="GT84" s="387"/>
      <c r="GU84" s="387"/>
      <c r="GV84" s="387"/>
      <c r="GW84" s="387"/>
      <c r="GX84" s="387"/>
      <c r="GY84" s="387"/>
      <c r="GZ84" s="387"/>
      <c r="HA84" s="387"/>
      <c r="HB84" s="387"/>
      <c r="HC84" s="387"/>
      <c r="HD84" s="387"/>
      <c r="HE84" s="387"/>
      <c r="HF84" s="387"/>
      <c r="HG84" s="387"/>
      <c r="HH84" s="387"/>
      <c r="HI84" s="387"/>
      <c r="HJ84" s="387"/>
      <c r="HK84" s="387"/>
      <c r="HL84" s="387"/>
      <c r="HM84" s="387"/>
      <c r="HN84" s="387"/>
      <c r="HO84" s="387"/>
      <c r="HP84" s="387"/>
      <c r="HQ84" s="387"/>
      <c r="HR84" s="387"/>
      <c r="HS84" s="387"/>
      <c r="HT84" s="387"/>
      <c r="HU84" s="387"/>
      <c r="HV84" s="387"/>
      <c r="HW84" s="387"/>
      <c r="HX84" s="387"/>
      <c r="HY84" s="387"/>
      <c r="HZ84" s="387"/>
      <c r="IA84" s="387"/>
      <c r="IB84" s="387"/>
      <c r="IC84" s="387"/>
      <c r="ID84" s="387"/>
      <c r="IE84" s="387"/>
      <c r="IF84" s="387"/>
      <c r="IG84" s="387"/>
      <c r="IH84" s="387"/>
      <c r="II84" s="387"/>
      <c r="IJ84" s="387"/>
      <c r="IK84" s="387"/>
      <c r="IL84" s="387"/>
      <c r="IM84" s="387"/>
      <c r="IN84" s="387"/>
      <c r="IO84" s="387"/>
      <c r="IP84" s="387"/>
      <c r="IQ84" s="387"/>
      <c r="IR84" s="387"/>
      <c r="IS84" s="387"/>
      <c r="IT84" s="387"/>
      <c r="IU84" s="387"/>
      <c r="IV84" s="387"/>
      <c r="IW84" s="387"/>
      <c r="IX84" s="387"/>
      <c r="IY84" s="387"/>
      <c r="IZ84" s="387"/>
      <c r="JA84" s="387"/>
      <c r="JB84" s="387"/>
      <c r="JC84" s="387"/>
      <c r="JD84" s="387"/>
      <c r="JE84" s="387"/>
      <c r="JF84" s="387"/>
      <c r="JG84" s="387"/>
      <c r="JH84" s="387"/>
      <c r="JI84" s="387"/>
      <c r="JJ84" s="387"/>
      <c r="JK84" s="387"/>
      <c r="JL84" s="387"/>
      <c r="JM84" s="387"/>
      <c r="JN84" s="387"/>
      <c r="JO84" s="387"/>
      <c r="JP84" s="387"/>
      <c r="JQ84" s="387"/>
      <c r="JR84" s="387"/>
      <c r="JS84" s="387"/>
      <c r="JT84" s="387"/>
      <c r="JU84" s="387"/>
      <c r="JV84" s="387"/>
      <c r="JW84" s="387"/>
      <c r="JX84" s="387"/>
      <c r="JY84" s="387"/>
      <c r="JZ84" s="387"/>
      <c r="KA84" s="387"/>
      <c r="KB84" s="387"/>
      <c r="KC84" s="387"/>
      <c r="KD84" s="387"/>
      <c r="KE84" s="387"/>
      <c r="KF84" s="387"/>
      <c r="KG84" s="387"/>
      <c r="KH84" s="387"/>
      <c r="KI84" s="387"/>
      <c r="KJ84" s="387"/>
      <c r="KK84" s="387"/>
      <c r="KL84" s="387"/>
      <c r="KM84" s="387"/>
      <c r="KN84" s="387"/>
      <c r="KO84" s="387"/>
      <c r="KP84" s="387"/>
      <c r="KQ84" s="387"/>
      <c r="KR84" s="387"/>
      <c r="KS84" s="387"/>
      <c r="KT84" s="387"/>
      <c r="KU84" s="387"/>
      <c r="KV84" s="387"/>
      <c r="KW84" s="387"/>
      <c r="KX84" s="387"/>
      <c r="KY84" s="387"/>
      <c r="KZ84" s="387"/>
      <c r="LA84" s="387"/>
      <c r="LB84" s="387"/>
      <c r="LC84" s="387"/>
      <c r="LD84" s="387"/>
      <c r="LE84" s="387"/>
      <c r="LF84" s="387"/>
      <c r="LG84" s="387"/>
      <c r="LH84" s="387"/>
      <c r="LI84" s="387"/>
      <c r="LJ84" s="387"/>
      <c r="LK84" s="387"/>
      <c r="LL84" s="387"/>
      <c r="LM84" s="387"/>
      <c r="LN84" s="387"/>
      <c r="LO84" s="387"/>
      <c r="LP84" s="387"/>
      <c r="LQ84" s="387"/>
      <c r="LR84" s="387"/>
      <c r="LS84" s="387"/>
      <c r="LT84" s="387"/>
      <c r="LU84" s="387"/>
      <c r="LV84" s="387"/>
      <c r="LW84" s="387"/>
      <c r="LX84" s="387"/>
      <c r="LY84" s="387"/>
      <c r="LZ84" s="387"/>
      <c r="MA84" s="387"/>
      <c r="MB84" s="387"/>
      <c r="MC84" s="387"/>
      <c r="MD84" s="387"/>
      <c r="ME84" s="387"/>
      <c r="MF84" s="387"/>
      <c r="MG84" s="387"/>
      <c r="MH84" s="387"/>
      <c r="MI84" s="387"/>
      <c r="MJ84" s="387"/>
      <c r="MK84" s="387"/>
      <c r="ML84" s="387"/>
      <c r="MM84" s="387"/>
      <c r="MN84" s="387"/>
      <c r="MO84" s="387"/>
      <c r="MP84" s="387"/>
      <c r="MQ84" s="387"/>
      <c r="MR84" s="387"/>
      <c r="MS84" s="387"/>
      <c r="MT84" s="387"/>
      <c r="MU84" s="387"/>
      <c r="MV84" s="387"/>
      <c r="MW84" s="387"/>
      <c r="MX84" s="387"/>
      <c r="MY84" s="387"/>
      <c r="MZ84" s="387"/>
      <c r="NA84" s="387"/>
      <c r="NB84" s="387"/>
      <c r="NC84" s="387"/>
      <c r="ND84" s="387"/>
      <c r="NE84" s="387"/>
      <c r="NF84" s="387"/>
      <c r="NG84" s="387"/>
      <c r="NH84" s="387"/>
      <c r="NI84" s="387"/>
      <c r="NJ84" s="387"/>
      <c r="NK84" s="387"/>
      <c r="NL84" s="387"/>
      <c r="NM84" s="387"/>
      <c r="NN84" s="387"/>
      <c r="NO84" s="387"/>
      <c r="NP84" s="387"/>
      <c r="NQ84" s="387"/>
      <c r="NR84" s="387"/>
      <c r="NS84" s="387"/>
      <c r="NT84" s="387"/>
      <c r="NU84" s="387"/>
      <c r="NV84" s="387"/>
      <c r="NW84" s="387"/>
      <c r="NX84" s="387"/>
      <c r="NY84" s="387"/>
      <c r="NZ84" s="387"/>
      <c r="OA84" s="387"/>
      <c r="OB84" s="387"/>
      <c r="OC84" s="387"/>
      <c r="OD84" s="387"/>
      <c r="OE84" s="387"/>
      <c r="OF84" s="387"/>
      <c r="OG84" s="387"/>
      <c r="OH84" s="387"/>
      <c r="OI84" s="387"/>
      <c r="OJ84" s="387"/>
      <c r="OK84" s="387"/>
      <c r="OL84" s="387"/>
      <c r="OM84" s="387"/>
      <c r="ON84" s="387"/>
      <c r="OO84" s="387"/>
      <c r="OP84" s="387"/>
      <c r="OQ84" s="387"/>
      <c r="OR84" s="387"/>
      <c r="OS84" s="387"/>
      <c r="OT84" s="387"/>
      <c r="OU84" s="387"/>
      <c r="OV84" s="387"/>
      <c r="OW84" s="387"/>
      <c r="OX84" s="387"/>
      <c r="OY84" s="387"/>
      <c r="OZ84" s="387"/>
      <c r="PA84" s="387"/>
      <c r="PB84" s="387"/>
      <c r="PC84" s="387"/>
      <c r="PD84" s="387"/>
      <c r="PE84" s="387"/>
      <c r="PF84" s="387"/>
      <c r="PG84" s="387"/>
      <c r="PH84" s="387"/>
      <c r="PI84" s="387"/>
      <c r="PJ84" s="387"/>
      <c r="PK84" s="387"/>
      <c r="PL84" s="387"/>
      <c r="PM84" s="387"/>
      <c r="PN84" s="387"/>
      <c r="PO84" s="387"/>
      <c r="PP84" s="387"/>
      <c r="PQ84" s="387"/>
      <c r="PR84" s="387"/>
      <c r="PS84" s="387"/>
      <c r="PT84" s="387"/>
      <c r="PU84" s="387"/>
      <c r="PV84" s="387"/>
      <c r="PW84" s="387"/>
      <c r="PX84" s="387"/>
      <c r="PY84" s="387"/>
      <c r="PZ84" s="387"/>
      <c r="QA84" s="387"/>
      <c r="QB84" s="387"/>
      <c r="QC84" s="387"/>
      <c r="QD84" s="387"/>
      <c r="QE84" s="387"/>
      <c r="QF84" s="387"/>
      <c r="QG84" s="387"/>
      <c r="QH84" s="387"/>
      <c r="QI84" s="387"/>
      <c r="QJ84" s="387"/>
      <c r="QK84" s="387"/>
      <c r="QL84" s="387"/>
      <c r="QM84" s="387"/>
      <c r="QN84" s="387"/>
      <c r="QO84" s="387"/>
      <c r="QP84" s="387"/>
      <c r="QQ84" s="387"/>
      <c r="QR84" s="387"/>
      <c r="QS84" s="387"/>
      <c r="QT84" s="387"/>
      <c r="QU84" s="387"/>
      <c r="QV84" s="387"/>
      <c r="QW84" s="387"/>
      <c r="QX84" s="387"/>
      <c r="QY84" s="387"/>
      <c r="QZ84" s="387"/>
      <c r="RA84" s="387"/>
      <c r="RB84" s="387"/>
      <c r="RC84" s="387"/>
      <c r="RD84" s="387"/>
      <c r="RE84" s="387"/>
      <c r="RF84" s="387"/>
      <c r="RG84" s="387"/>
      <c r="RH84" s="387"/>
      <c r="RI84" s="387"/>
      <c r="RJ84" s="387"/>
      <c r="RK84" s="387"/>
      <c r="RL84" s="387"/>
      <c r="RM84" s="387"/>
      <c r="RN84" s="387"/>
      <c r="RO84" s="387"/>
      <c r="RP84" s="387"/>
      <c r="RQ84" s="387"/>
      <c r="RR84" s="387"/>
      <c r="RS84" s="387"/>
      <c r="RT84" s="387"/>
      <c r="RU84" s="387"/>
      <c r="RV84" s="387"/>
      <c r="RW84" s="387"/>
      <c r="RX84" s="387"/>
      <c r="RY84" s="387"/>
      <c r="RZ84" s="387"/>
      <c r="SA84" s="387"/>
      <c r="SB84" s="387"/>
      <c r="SC84" s="387"/>
      <c r="SD84" s="387"/>
      <c r="SE84" s="387"/>
      <c r="SF84" s="387"/>
      <c r="SG84" s="387"/>
      <c r="SH84" s="387"/>
      <c r="SI84" s="387"/>
      <c r="SJ84" s="387"/>
      <c r="SK84" s="387"/>
      <c r="SL84" s="387"/>
      <c r="SM84" s="387"/>
      <c r="SN84" s="387"/>
      <c r="SO84" s="387"/>
      <c r="SP84" s="387"/>
      <c r="SQ84" s="387"/>
      <c r="SR84" s="387"/>
      <c r="SS84" s="387"/>
      <c r="ST84" s="387"/>
      <c r="SU84" s="387"/>
      <c r="SV84" s="387"/>
      <c r="SW84" s="387"/>
      <c r="SX84" s="387"/>
      <c r="SY84" s="387"/>
      <c r="SZ84" s="387"/>
      <c r="TA84" s="387"/>
      <c r="TB84" s="387"/>
      <c r="TC84" s="387"/>
      <c r="TD84" s="387"/>
      <c r="TE84" s="387"/>
      <c r="TF84" s="387"/>
      <c r="TG84" s="387"/>
      <c r="TH84" s="387"/>
      <c r="TI84" s="387"/>
      <c r="TJ84" s="387"/>
      <c r="TK84" s="387"/>
      <c r="TL84" s="387"/>
      <c r="TM84" s="387"/>
      <c r="TN84" s="387"/>
      <c r="TO84" s="387"/>
      <c r="TP84" s="387"/>
      <c r="TQ84" s="387"/>
      <c r="TR84" s="387"/>
      <c r="TS84" s="387"/>
      <c r="TT84" s="387"/>
      <c r="TU84" s="387"/>
      <c r="TV84" s="387"/>
      <c r="TW84" s="387"/>
      <c r="TX84" s="387"/>
      <c r="TY84" s="387"/>
      <c r="TZ84" s="387"/>
      <c r="UA84" s="387"/>
      <c r="UB84" s="387"/>
      <c r="UC84" s="387"/>
      <c r="UD84" s="387"/>
      <c r="UE84" s="387"/>
      <c r="UF84" s="387"/>
      <c r="UG84" s="387"/>
      <c r="UH84" s="387"/>
      <c r="UI84" s="387"/>
      <c r="UJ84" s="387"/>
      <c r="UK84" s="387"/>
      <c r="UL84" s="387"/>
      <c r="UM84" s="387"/>
      <c r="UN84" s="387"/>
      <c r="UO84" s="387"/>
      <c r="UP84" s="387"/>
      <c r="UQ84" s="387"/>
      <c r="UR84" s="387"/>
      <c r="US84" s="387"/>
      <c r="UT84" s="387"/>
      <c r="UU84" s="387"/>
      <c r="UV84" s="387"/>
      <c r="UW84" s="387"/>
      <c r="UX84" s="387"/>
      <c r="UY84" s="387"/>
      <c r="UZ84" s="387"/>
      <c r="VA84" s="387"/>
      <c r="VB84" s="387"/>
      <c r="VC84" s="387"/>
      <c r="VD84" s="387"/>
      <c r="VE84" s="387"/>
      <c r="VF84" s="387"/>
      <c r="VG84" s="387"/>
      <c r="VH84" s="387"/>
      <c r="VI84" s="387"/>
      <c r="VJ84" s="387"/>
      <c r="VK84" s="387"/>
      <c r="VL84" s="387"/>
      <c r="VM84" s="387"/>
      <c r="VN84" s="387"/>
      <c r="VO84" s="387"/>
      <c r="VP84" s="387"/>
      <c r="VQ84" s="387"/>
      <c r="VR84" s="387"/>
      <c r="VS84" s="387"/>
      <c r="VT84" s="387"/>
      <c r="VU84" s="387"/>
      <c r="VV84" s="387"/>
      <c r="VW84" s="387"/>
      <c r="VX84" s="387"/>
      <c r="VY84" s="387"/>
      <c r="VZ84" s="387"/>
      <c r="WA84" s="387"/>
      <c r="WB84" s="387"/>
      <c r="WC84" s="387"/>
      <c r="WD84" s="387"/>
      <c r="WE84" s="387"/>
      <c r="WF84" s="387"/>
      <c r="WG84" s="387"/>
      <c r="WH84" s="387"/>
      <c r="WI84" s="387"/>
      <c r="WJ84" s="387"/>
      <c r="WK84" s="387"/>
      <c r="WL84" s="387"/>
      <c r="WM84" s="387"/>
      <c r="WN84" s="387"/>
      <c r="WO84" s="387"/>
      <c r="WP84" s="387"/>
      <c r="WQ84" s="387"/>
      <c r="WR84" s="387"/>
      <c r="WS84" s="387"/>
      <c r="WT84" s="387"/>
      <c r="WU84" s="387"/>
      <c r="WV84" s="387"/>
      <c r="WW84" s="387"/>
      <c r="WX84" s="387"/>
      <c r="WY84" s="387"/>
      <c r="WZ84" s="387"/>
      <c r="XA84" s="387"/>
      <c r="XB84" s="387"/>
      <c r="XC84" s="387"/>
      <c r="XD84" s="387"/>
      <c r="XE84" s="387"/>
      <c r="XF84" s="387"/>
      <c r="XG84" s="387"/>
      <c r="XH84" s="387"/>
      <c r="XI84" s="387"/>
      <c r="XJ84" s="387"/>
      <c r="XK84" s="387"/>
      <c r="XL84" s="387"/>
      <c r="XM84" s="387"/>
      <c r="XN84" s="387"/>
      <c r="XO84" s="387"/>
      <c r="XP84" s="387"/>
      <c r="XQ84" s="387"/>
      <c r="XR84" s="387"/>
      <c r="XS84" s="387"/>
      <c r="XT84" s="387"/>
      <c r="XU84" s="387"/>
      <c r="XV84" s="387"/>
      <c r="XW84" s="387"/>
      <c r="XX84" s="387"/>
      <c r="XY84" s="387"/>
      <c r="XZ84" s="387"/>
      <c r="YA84" s="387"/>
      <c r="YB84" s="387"/>
      <c r="YC84" s="387"/>
      <c r="YD84" s="387"/>
      <c r="YE84" s="387"/>
      <c r="YF84" s="387"/>
      <c r="YG84" s="387"/>
      <c r="YH84" s="387"/>
      <c r="YI84" s="387"/>
      <c r="YJ84" s="387"/>
      <c r="YK84" s="387"/>
      <c r="YL84" s="387"/>
      <c r="YM84" s="387"/>
      <c r="YN84" s="387"/>
      <c r="YO84" s="387"/>
      <c r="YP84" s="387"/>
      <c r="YQ84" s="387"/>
      <c r="YR84" s="387"/>
      <c r="YS84" s="387"/>
      <c r="YT84" s="387"/>
      <c r="YU84" s="387"/>
      <c r="YV84" s="387"/>
      <c r="YW84" s="387"/>
      <c r="YX84" s="387"/>
      <c r="YY84" s="387"/>
      <c r="YZ84" s="387"/>
      <c r="ZA84" s="387"/>
      <c r="ZB84" s="387"/>
      <c r="ZC84" s="387"/>
      <c r="ZD84" s="387"/>
      <c r="ZE84" s="387"/>
      <c r="ZF84" s="387"/>
      <c r="ZG84" s="387"/>
      <c r="ZH84" s="387"/>
      <c r="ZI84" s="387"/>
      <c r="ZJ84" s="387"/>
      <c r="ZK84" s="387"/>
      <c r="ZL84" s="387"/>
      <c r="ZM84" s="387"/>
      <c r="ZN84" s="387"/>
      <c r="ZO84" s="387"/>
      <c r="ZP84" s="387"/>
      <c r="ZQ84" s="387"/>
      <c r="ZR84" s="387"/>
      <c r="ZS84" s="387"/>
      <c r="ZT84" s="387"/>
      <c r="ZU84" s="387"/>
      <c r="ZV84" s="387"/>
      <c r="ZW84" s="387"/>
      <c r="ZX84" s="387"/>
      <c r="ZY84" s="387"/>
      <c r="ZZ84" s="387"/>
      <c r="AAA84" s="387"/>
      <c r="AAB84" s="387"/>
      <c r="AAC84" s="387"/>
      <c r="AAD84" s="387"/>
      <c r="AAE84" s="387"/>
      <c r="AAF84" s="387"/>
      <c r="AAG84" s="387"/>
      <c r="AAH84" s="387"/>
      <c r="AAI84" s="387"/>
      <c r="AAJ84" s="387"/>
      <c r="AAK84" s="387"/>
      <c r="AAL84" s="387"/>
      <c r="AAM84" s="387"/>
      <c r="AAN84" s="387"/>
      <c r="AAO84" s="387"/>
      <c r="AAP84" s="387"/>
      <c r="AAQ84" s="387"/>
      <c r="AAR84" s="387"/>
      <c r="AAS84" s="387"/>
      <c r="AAT84" s="387"/>
      <c r="AAU84" s="387"/>
      <c r="AAV84" s="387"/>
      <c r="AAW84" s="387"/>
      <c r="AAX84" s="387"/>
      <c r="AAY84" s="387"/>
      <c r="AAZ84" s="387"/>
      <c r="ABA84" s="387"/>
      <c r="ABB84" s="387"/>
      <c r="ABC84" s="387"/>
      <c r="ABD84" s="387"/>
      <c r="ABE84" s="387"/>
      <c r="ABF84" s="387"/>
      <c r="ABG84" s="387"/>
      <c r="ABH84" s="387"/>
      <c r="ABI84" s="387"/>
      <c r="ABJ84" s="387"/>
      <c r="ABK84" s="387"/>
      <c r="ABL84" s="387"/>
      <c r="ABM84" s="387"/>
      <c r="ABN84" s="387"/>
      <c r="ABO84" s="387"/>
      <c r="ABP84" s="387"/>
      <c r="ABQ84" s="387"/>
      <c r="ABR84" s="387"/>
      <c r="ABS84" s="387"/>
      <c r="ABT84" s="387"/>
      <c r="ABU84" s="387"/>
      <c r="ABV84" s="387"/>
      <c r="ABW84" s="387"/>
      <c r="ABX84" s="387"/>
      <c r="ABY84" s="387"/>
      <c r="ABZ84" s="387"/>
      <c r="ACA84" s="387"/>
      <c r="ACB84" s="387"/>
      <c r="ACC84" s="387"/>
      <c r="ACD84" s="387"/>
      <c r="ACE84" s="387"/>
      <c r="ACF84" s="387"/>
      <c r="ACG84" s="387"/>
      <c r="ACH84" s="387"/>
      <c r="ACI84" s="387"/>
      <c r="ACJ84" s="387"/>
      <c r="ACK84" s="387"/>
      <c r="ACL84" s="387"/>
      <c r="ACM84" s="387"/>
      <c r="ACN84" s="387"/>
      <c r="ACO84" s="387"/>
      <c r="ACP84" s="387"/>
      <c r="ACQ84" s="387"/>
      <c r="ACR84" s="387"/>
      <c r="ACS84" s="387"/>
      <c r="ACT84" s="387"/>
      <c r="ACU84" s="387"/>
      <c r="ACV84" s="387"/>
      <c r="ACW84" s="387"/>
      <c r="ACX84" s="387"/>
      <c r="ACY84" s="387"/>
      <c r="ACZ84" s="387"/>
      <c r="ADA84" s="387"/>
      <c r="ADB84" s="387"/>
      <c r="ADC84" s="387"/>
      <c r="ADD84" s="387"/>
      <c r="ADE84" s="387"/>
      <c r="ADF84" s="387"/>
      <c r="ADG84" s="387"/>
      <c r="ADH84" s="387"/>
      <c r="ADI84" s="387"/>
      <c r="ADJ84" s="387"/>
      <c r="ADK84" s="387"/>
      <c r="ADL84" s="387"/>
      <c r="ADM84" s="387"/>
      <c r="ADN84" s="387"/>
      <c r="ADO84" s="387"/>
      <c r="ADP84" s="387"/>
      <c r="ADQ84" s="387"/>
      <c r="ADR84" s="387"/>
      <c r="ADS84" s="387"/>
      <c r="ADT84" s="387"/>
      <c r="ADU84" s="387"/>
      <c r="ADV84" s="387"/>
      <c r="ADW84" s="387"/>
      <c r="ADX84" s="387"/>
      <c r="ADY84" s="387"/>
      <c r="ADZ84" s="387"/>
      <c r="AEA84" s="387"/>
      <c r="AEB84" s="387"/>
      <c r="AEC84" s="387"/>
      <c r="AED84" s="387"/>
      <c r="AEE84" s="387"/>
      <c r="AEF84" s="387"/>
      <c r="AEG84" s="387"/>
      <c r="AEH84" s="387"/>
      <c r="AEI84" s="387"/>
      <c r="AEJ84" s="387"/>
      <c r="AEK84" s="387"/>
      <c r="AEL84" s="387"/>
      <c r="AEM84" s="387"/>
      <c r="AEN84" s="387"/>
      <c r="AEO84" s="387"/>
      <c r="AEP84" s="387"/>
      <c r="AEQ84" s="387"/>
      <c r="AER84" s="387"/>
      <c r="AES84" s="387"/>
      <c r="AET84" s="387"/>
      <c r="AEU84" s="387"/>
      <c r="AEV84" s="387"/>
      <c r="AEW84" s="387"/>
      <c r="AEX84" s="387"/>
      <c r="AEY84" s="387"/>
      <c r="AEZ84" s="387"/>
      <c r="AFA84" s="387"/>
      <c r="AFB84" s="387"/>
      <c r="AFC84" s="387"/>
      <c r="AFD84" s="387"/>
      <c r="AFE84" s="387"/>
      <c r="AFF84" s="387"/>
      <c r="AFG84" s="387"/>
      <c r="AFH84" s="387"/>
      <c r="AFI84" s="387"/>
      <c r="AFJ84" s="387"/>
      <c r="AFK84" s="387"/>
      <c r="AFL84" s="387"/>
      <c r="AFM84" s="387"/>
      <c r="AFN84" s="387"/>
      <c r="AFO84" s="387"/>
      <c r="AFP84" s="387"/>
      <c r="AFQ84" s="387"/>
      <c r="AFR84" s="387"/>
      <c r="AFS84" s="387"/>
      <c r="AFT84" s="387"/>
      <c r="AFU84" s="387"/>
      <c r="AFV84" s="387"/>
      <c r="AFW84" s="387"/>
      <c r="AFX84" s="387"/>
      <c r="AFY84" s="387"/>
      <c r="AFZ84" s="387"/>
      <c r="AGA84" s="387"/>
      <c r="AGB84" s="387"/>
      <c r="AGC84" s="387"/>
      <c r="AGD84" s="387"/>
      <c r="AGE84" s="387"/>
      <c r="AGF84" s="387"/>
      <c r="AGG84" s="387"/>
      <c r="AGH84" s="387"/>
      <c r="AGI84" s="387"/>
      <c r="AGJ84" s="387"/>
      <c r="AGK84" s="387"/>
      <c r="AGL84" s="387"/>
      <c r="AGM84" s="387"/>
      <c r="AGN84" s="387"/>
      <c r="AGO84" s="387"/>
      <c r="AGP84" s="387"/>
      <c r="AGQ84" s="387"/>
      <c r="AGR84" s="387"/>
      <c r="AGS84" s="387"/>
      <c r="AGT84" s="387"/>
      <c r="AGU84" s="387"/>
      <c r="AGV84" s="387"/>
      <c r="AGW84" s="387"/>
      <c r="AGX84" s="387"/>
      <c r="AGY84" s="387"/>
      <c r="AGZ84" s="387"/>
      <c r="AHA84" s="387"/>
      <c r="AHB84" s="387"/>
      <c r="AHC84" s="387"/>
      <c r="AHD84" s="387"/>
      <c r="AHE84" s="387"/>
      <c r="AHF84" s="387"/>
      <c r="AHG84" s="387"/>
      <c r="AHH84" s="387"/>
      <c r="AHI84" s="387"/>
      <c r="AHJ84" s="387"/>
      <c r="AHK84" s="387"/>
      <c r="AHL84" s="387"/>
      <c r="AHM84" s="387"/>
      <c r="AHN84" s="387"/>
      <c r="AHO84" s="387"/>
      <c r="AHP84" s="387"/>
      <c r="AHQ84" s="387"/>
      <c r="AHR84" s="387"/>
      <c r="AHS84" s="387"/>
      <c r="AHT84" s="387"/>
      <c r="AHU84" s="387"/>
      <c r="AHV84" s="387"/>
      <c r="AHW84" s="387"/>
      <c r="AHX84" s="387"/>
      <c r="AHY84" s="387"/>
      <c r="AHZ84" s="387"/>
      <c r="AIA84" s="387"/>
      <c r="AIB84" s="387"/>
      <c r="AIC84" s="387"/>
      <c r="AID84" s="387"/>
      <c r="AIE84" s="387"/>
      <c r="AIF84" s="387"/>
      <c r="AIG84" s="387"/>
      <c r="AIH84" s="387"/>
      <c r="AII84" s="387"/>
      <c r="AIJ84" s="387"/>
      <c r="AIK84" s="387"/>
      <c r="AIL84" s="387"/>
      <c r="AIM84" s="387"/>
      <c r="AIN84" s="387"/>
      <c r="AIO84" s="387"/>
      <c r="AIP84" s="387"/>
      <c r="AIQ84" s="387"/>
      <c r="AIR84" s="387"/>
      <c r="AIS84" s="387"/>
      <c r="AIT84" s="387"/>
      <c r="AIU84" s="387"/>
      <c r="AIV84" s="387"/>
      <c r="AIW84" s="387"/>
      <c r="AIX84" s="387"/>
      <c r="AIY84" s="387"/>
      <c r="AIZ84" s="387"/>
      <c r="AJA84" s="387"/>
      <c r="AJB84" s="387"/>
      <c r="AJC84" s="387"/>
      <c r="AJD84" s="387"/>
      <c r="AJE84" s="387"/>
      <c r="AJF84" s="387"/>
      <c r="AJG84" s="387"/>
      <c r="AJH84" s="387"/>
      <c r="AJI84" s="387"/>
      <c r="AJJ84" s="387"/>
      <c r="AJK84" s="387"/>
      <c r="AJL84" s="387"/>
      <c r="AJM84" s="387"/>
      <c r="AJN84" s="387"/>
      <c r="AJO84" s="387"/>
      <c r="AJP84" s="387"/>
      <c r="AJQ84" s="387"/>
      <c r="AJR84" s="387"/>
      <c r="AJS84" s="387"/>
      <c r="AJT84" s="387"/>
      <c r="AJU84" s="387"/>
      <c r="AJV84" s="387"/>
      <c r="AJW84" s="387"/>
      <c r="AJX84" s="387"/>
      <c r="AJY84" s="387"/>
      <c r="AJZ84" s="387"/>
      <c r="AKA84" s="387"/>
      <c r="AKB84" s="387"/>
      <c r="AKC84" s="387"/>
      <c r="AKD84" s="387"/>
      <c r="AKE84" s="387"/>
      <c r="AKF84" s="387"/>
      <c r="AKG84" s="387"/>
      <c r="AKH84" s="387"/>
      <c r="AKI84" s="387"/>
      <c r="AKJ84" s="387"/>
      <c r="AKK84" s="387"/>
      <c r="AKL84" s="387"/>
      <c r="AKM84" s="387"/>
      <c r="AKN84" s="387"/>
      <c r="AKO84" s="387"/>
      <c r="AKP84" s="387"/>
      <c r="AKQ84" s="387"/>
      <c r="AKR84" s="387"/>
      <c r="AKS84" s="387"/>
      <c r="AKT84" s="387"/>
      <c r="AKU84" s="387"/>
      <c r="AKV84" s="387"/>
      <c r="AKW84" s="387"/>
      <c r="AKX84" s="387"/>
      <c r="AKY84" s="387"/>
      <c r="AKZ84" s="387"/>
      <c r="ALA84" s="387"/>
      <c r="ALB84" s="387"/>
      <c r="ALC84" s="387"/>
      <c r="ALD84" s="387"/>
      <c r="ALE84" s="387"/>
      <c r="ALF84" s="387"/>
      <c r="ALG84" s="387"/>
      <c r="ALH84" s="387"/>
      <c r="ALI84" s="387"/>
      <c r="ALJ84" s="387"/>
      <c r="ALK84" s="387"/>
      <c r="ALL84" s="387"/>
      <c r="ALM84" s="387"/>
      <c r="ALN84" s="387"/>
      <c r="ALO84" s="387"/>
      <c r="ALP84" s="387"/>
      <c r="ALQ84" s="387"/>
      <c r="ALR84" s="387"/>
      <c r="ALS84" s="387"/>
      <c r="ALT84" s="387"/>
      <c r="ALU84" s="387"/>
      <c r="ALV84" s="387"/>
      <c r="ALW84" s="387"/>
      <c r="ALX84" s="387"/>
      <c r="ALY84" s="387"/>
      <c r="ALZ84" s="387"/>
      <c r="AMA84" s="387"/>
      <c r="AMB84" s="387"/>
      <c r="AMC84" s="387"/>
      <c r="AMD84" s="387"/>
      <c r="AME84" s="387"/>
      <c r="AMF84" s="387"/>
      <c r="AMG84" s="387"/>
      <c r="AMH84" s="387"/>
      <c r="AMI84" s="387"/>
      <c r="AMJ84" s="387"/>
      <c r="AMK84" s="387"/>
      <c r="AML84" s="387"/>
      <c r="AMM84" s="387"/>
      <c r="AMN84" s="387"/>
      <c r="AMO84" s="387"/>
      <c r="AMP84" s="387"/>
      <c r="AMQ84" s="387"/>
      <c r="AMR84" s="387"/>
      <c r="AMS84" s="387"/>
      <c r="AMT84" s="387"/>
      <c r="AMU84" s="387"/>
      <c r="AMV84" s="387"/>
      <c r="AMW84" s="387"/>
      <c r="AMX84" s="387"/>
      <c r="AMY84" s="387"/>
      <c r="AMZ84" s="387"/>
      <c r="ANA84" s="387"/>
      <c r="ANB84" s="387"/>
      <c r="ANC84" s="387"/>
      <c r="AND84" s="387"/>
      <c r="ANE84" s="387"/>
      <c r="ANF84" s="387"/>
      <c r="ANG84" s="387"/>
      <c r="ANH84" s="387"/>
      <c r="ANI84" s="387"/>
      <c r="ANJ84" s="387"/>
      <c r="ANK84" s="387"/>
      <c r="ANL84" s="387"/>
      <c r="ANM84" s="387"/>
      <c r="ANN84" s="387"/>
      <c r="ANO84" s="387"/>
      <c r="ANP84" s="387"/>
      <c r="ANQ84" s="387"/>
      <c r="ANR84" s="387"/>
      <c r="ANS84" s="387"/>
      <c r="ANT84" s="387"/>
      <c r="ANU84" s="387"/>
      <c r="ANV84" s="387"/>
      <c r="ANW84" s="387"/>
      <c r="ANX84" s="387"/>
      <c r="ANY84" s="387"/>
      <c r="ANZ84" s="387"/>
      <c r="AOA84" s="387"/>
      <c r="AOB84" s="387"/>
      <c r="AOC84" s="387"/>
      <c r="AOD84" s="387"/>
      <c r="AOE84" s="387"/>
      <c r="AOF84" s="387"/>
      <c r="AOG84" s="387"/>
      <c r="AOH84" s="387"/>
      <c r="AOI84" s="387"/>
      <c r="AOJ84" s="387"/>
      <c r="AOK84" s="387"/>
      <c r="AOL84" s="387"/>
      <c r="AOM84" s="387"/>
      <c r="AON84" s="387"/>
      <c r="AOO84" s="387"/>
      <c r="AOP84" s="387"/>
      <c r="AOQ84" s="387"/>
      <c r="AOR84" s="387"/>
      <c r="AOS84" s="387"/>
      <c r="AOT84" s="387"/>
      <c r="AOU84" s="387"/>
      <c r="AOV84" s="387"/>
      <c r="AOW84" s="387"/>
      <c r="AOX84" s="387"/>
      <c r="AOY84" s="387"/>
      <c r="AOZ84" s="387"/>
      <c r="APA84" s="387"/>
      <c r="APB84" s="387"/>
      <c r="APC84" s="387"/>
      <c r="APD84" s="387"/>
      <c r="APE84" s="387"/>
      <c r="APF84" s="387"/>
      <c r="APG84" s="387"/>
      <c r="APH84" s="387"/>
      <c r="API84" s="387"/>
      <c r="APJ84" s="387"/>
      <c r="APK84" s="387"/>
      <c r="APL84" s="387"/>
      <c r="APM84" s="387"/>
      <c r="APN84" s="387"/>
      <c r="APO84" s="387"/>
      <c r="APP84" s="387"/>
      <c r="APQ84" s="387"/>
      <c r="APR84" s="387"/>
      <c r="APS84" s="387"/>
      <c r="APT84" s="387"/>
      <c r="APU84" s="387"/>
      <c r="APV84" s="387"/>
      <c r="APW84" s="387"/>
      <c r="APX84" s="387"/>
      <c r="APY84" s="387"/>
      <c r="APZ84" s="387"/>
      <c r="AQA84" s="387"/>
      <c r="AQB84" s="387"/>
      <c r="AQC84" s="387"/>
      <c r="AQD84" s="387"/>
      <c r="AQE84" s="387"/>
      <c r="AQF84" s="387"/>
      <c r="AQG84" s="387"/>
      <c r="AQH84" s="387"/>
      <c r="AQI84" s="387"/>
      <c r="AQJ84" s="387"/>
      <c r="AQK84" s="387"/>
      <c r="AQL84" s="387"/>
      <c r="AQM84" s="387"/>
      <c r="AQN84" s="387"/>
      <c r="AQO84" s="387"/>
      <c r="AQP84" s="387"/>
      <c r="AQQ84" s="387"/>
      <c r="AQR84" s="387"/>
      <c r="AQS84" s="387"/>
      <c r="AQT84" s="387"/>
      <c r="AQU84" s="387"/>
      <c r="AQV84" s="387"/>
      <c r="AQW84" s="387"/>
      <c r="AQX84" s="387"/>
      <c r="AQY84" s="387"/>
      <c r="AQZ84" s="387"/>
      <c r="ARA84" s="387"/>
      <c r="ARB84" s="387"/>
      <c r="ARC84" s="387"/>
      <c r="ARD84" s="387"/>
      <c r="ARE84" s="387"/>
      <c r="ARF84" s="387"/>
      <c r="ARG84" s="387"/>
      <c r="ARH84" s="387"/>
      <c r="ARI84" s="387"/>
      <c r="ARJ84" s="387"/>
      <c r="ARK84" s="387"/>
      <c r="ARL84" s="387"/>
      <c r="ARM84" s="387"/>
      <c r="ARN84" s="387"/>
      <c r="ARO84" s="387"/>
      <c r="ARP84" s="387"/>
      <c r="ARQ84" s="387"/>
      <c r="ARR84" s="387"/>
      <c r="ARS84" s="387"/>
      <c r="ART84" s="387"/>
      <c r="ARU84" s="387"/>
      <c r="ARV84" s="387"/>
      <c r="ARW84" s="387"/>
      <c r="ARX84" s="387"/>
      <c r="ARY84" s="387"/>
      <c r="ARZ84" s="387"/>
      <c r="ASA84" s="387"/>
      <c r="ASB84" s="387"/>
      <c r="ASC84" s="387"/>
      <c r="ASD84" s="387"/>
      <c r="ASE84" s="387"/>
      <c r="ASF84" s="387"/>
      <c r="ASG84" s="387"/>
      <c r="ASH84" s="387"/>
      <c r="ASI84" s="387"/>
      <c r="ASJ84" s="387"/>
      <c r="ASK84" s="387"/>
      <c r="ASL84" s="387"/>
      <c r="ASM84" s="387"/>
      <c r="ASN84" s="387"/>
      <c r="ASO84" s="387"/>
      <c r="ASP84" s="387"/>
      <c r="ASQ84" s="387"/>
      <c r="ASR84" s="387"/>
      <c r="ASS84" s="387"/>
      <c r="AST84" s="387"/>
      <c r="ASU84" s="387"/>
      <c r="ASV84" s="387"/>
      <c r="ASW84" s="387"/>
      <c r="ASX84" s="387"/>
      <c r="ASY84" s="387"/>
      <c r="ASZ84" s="387"/>
      <c r="ATA84" s="387"/>
      <c r="ATB84" s="387"/>
      <c r="ATC84" s="387"/>
      <c r="ATD84" s="387"/>
      <c r="ATE84" s="387"/>
      <c r="ATF84" s="387"/>
      <c r="ATG84" s="387"/>
      <c r="ATH84" s="387"/>
      <c r="ATI84" s="387"/>
      <c r="ATJ84" s="387"/>
      <c r="ATK84" s="387"/>
      <c r="ATL84" s="387"/>
      <c r="ATM84" s="387"/>
      <c r="ATN84" s="387"/>
      <c r="ATO84" s="387"/>
      <c r="ATP84" s="387"/>
      <c r="ATQ84" s="387"/>
      <c r="ATR84" s="387"/>
      <c r="ATS84" s="387"/>
      <c r="ATT84" s="387"/>
      <c r="ATU84" s="387"/>
      <c r="ATV84" s="387"/>
      <c r="ATW84" s="387"/>
      <c r="ATX84" s="387"/>
      <c r="ATY84" s="387"/>
      <c r="ATZ84" s="387"/>
      <c r="AUA84" s="387"/>
      <c r="AUB84" s="387"/>
      <c r="AUC84" s="387"/>
      <c r="AUD84" s="387"/>
      <c r="AUE84" s="387"/>
      <c r="AUF84" s="387"/>
      <c r="AUG84" s="387"/>
      <c r="AUH84" s="387"/>
      <c r="AUI84" s="387"/>
      <c r="AUJ84" s="387"/>
      <c r="AUK84" s="387"/>
      <c r="AUL84" s="387"/>
      <c r="AUM84" s="387"/>
      <c r="AUN84" s="387"/>
      <c r="AUO84" s="387"/>
      <c r="AUP84" s="387"/>
      <c r="AUQ84" s="387"/>
      <c r="AUR84" s="387"/>
      <c r="AUS84" s="387"/>
      <c r="AUT84" s="387"/>
      <c r="AUU84" s="387"/>
      <c r="AUV84" s="387"/>
      <c r="AUW84" s="387"/>
      <c r="AUX84" s="387"/>
      <c r="AUY84" s="387"/>
      <c r="AUZ84" s="387"/>
      <c r="AVA84" s="387"/>
      <c r="AVB84" s="387"/>
      <c r="AVC84" s="387"/>
      <c r="AVD84" s="387"/>
      <c r="AVE84" s="387"/>
      <c r="AVF84" s="387"/>
      <c r="AVG84" s="387"/>
      <c r="AVH84" s="387"/>
      <c r="AVI84" s="387"/>
      <c r="AVJ84" s="387"/>
      <c r="AVK84" s="387"/>
      <c r="AVL84" s="387"/>
      <c r="AVM84" s="387"/>
      <c r="AVN84" s="387"/>
      <c r="AVO84" s="387"/>
      <c r="AVP84" s="387"/>
      <c r="AVQ84" s="387"/>
      <c r="AVR84" s="387"/>
      <c r="AVS84" s="387"/>
      <c r="AVT84" s="387"/>
      <c r="AVU84" s="387"/>
      <c r="AVV84" s="387"/>
      <c r="AVW84" s="387"/>
      <c r="AVX84" s="387"/>
      <c r="AVY84" s="387"/>
      <c r="AVZ84" s="387"/>
      <c r="AWA84" s="387"/>
      <c r="AWB84" s="387"/>
      <c r="AWC84" s="387"/>
      <c r="AWD84" s="387"/>
      <c r="AWE84" s="387"/>
      <c r="AWF84" s="387"/>
      <c r="AWG84" s="387"/>
      <c r="AWH84" s="387"/>
      <c r="AWI84" s="387"/>
      <c r="AWJ84" s="387"/>
      <c r="AWK84" s="387"/>
      <c r="AWL84" s="387"/>
      <c r="AWM84" s="387"/>
      <c r="AWN84" s="387"/>
      <c r="AWO84" s="387"/>
      <c r="AWP84" s="387"/>
      <c r="AWQ84" s="387"/>
      <c r="AWR84" s="387"/>
      <c r="AWS84" s="387"/>
      <c r="AWT84" s="387"/>
      <c r="AWU84" s="387"/>
      <c r="AWV84" s="387"/>
      <c r="AWW84" s="387"/>
      <c r="AWX84" s="387"/>
      <c r="AWY84" s="387"/>
      <c r="AWZ84" s="387"/>
      <c r="AXA84" s="387"/>
      <c r="AXB84" s="387"/>
      <c r="AXC84" s="387"/>
      <c r="AXD84" s="387"/>
      <c r="AXE84" s="387"/>
      <c r="AXF84" s="387"/>
      <c r="AXG84" s="387"/>
      <c r="AXH84" s="387"/>
      <c r="AXI84" s="387"/>
      <c r="AXJ84" s="387"/>
      <c r="AXK84" s="387"/>
      <c r="AXL84" s="387"/>
      <c r="AXM84" s="387"/>
      <c r="AXN84" s="387"/>
      <c r="AXO84" s="387"/>
      <c r="AXP84" s="387"/>
      <c r="AXQ84" s="387"/>
      <c r="AXR84" s="387"/>
      <c r="AXS84" s="387"/>
      <c r="AXT84" s="387"/>
      <c r="AXU84" s="387"/>
      <c r="AXV84" s="387"/>
      <c r="AXW84" s="387"/>
      <c r="AXX84" s="387"/>
      <c r="AXY84" s="387"/>
      <c r="AXZ84" s="387"/>
      <c r="AYA84" s="387"/>
      <c r="AYB84" s="387"/>
      <c r="AYC84" s="387"/>
      <c r="AYD84" s="387"/>
      <c r="AYE84" s="387"/>
      <c r="AYF84" s="387"/>
      <c r="AYG84" s="387"/>
      <c r="AYH84" s="387"/>
      <c r="AYI84" s="387"/>
      <c r="AYJ84" s="387"/>
      <c r="AYK84" s="387"/>
      <c r="AYL84" s="387"/>
      <c r="AYM84" s="387"/>
      <c r="AYN84" s="387"/>
      <c r="AYO84" s="387"/>
      <c r="AYP84" s="387"/>
      <c r="AYQ84" s="387"/>
      <c r="AYR84" s="387"/>
      <c r="AYS84" s="387"/>
      <c r="AYT84" s="387"/>
      <c r="AYU84" s="387"/>
      <c r="AYV84" s="387"/>
      <c r="AYW84" s="387"/>
      <c r="AYX84" s="387"/>
      <c r="AYY84" s="387"/>
      <c r="AYZ84" s="387"/>
      <c r="AZA84" s="387"/>
      <c r="AZB84" s="387"/>
      <c r="AZC84" s="387"/>
      <c r="AZD84" s="387"/>
      <c r="AZE84" s="387"/>
      <c r="AZF84" s="387"/>
      <c r="AZG84" s="387"/>
      <c r="AZH84" s="387"/>
      <c r="AZI84" s="387"/>
      <c r="AZJ84" s="387"/>
      <c r="AZK84" s="387"/>
      <c r="AZL84" s="387"/>
      <c r="AZM84" s="387"/>
      <c r="AZN84" s="387"/>
      <c r="AZO84" s="387"/>
      <c r="AZP84" s="387"/>
      <c r="AZQ84" s="387"/>
      <c r="AZR84" s="387"/>
      <c r="AZS84" s="387"/>
      <c r="AZT84" s="387"/>
      <c r="AZU84" s="387"/>
      <c r="AZV84" s="387"/>
      <c r="AZW84" s="387"/>
      <c r="AZX84" s="387"/>
      <c r="AZY84" s="387"/>
      <c r="AZZ84" s="387"/>
      <c r="BAA84" s="387"/>
      <c r="BAB84" s="387"/>
      <c r="BAC84" s="387"/>
      <c r="BAD84" s="387"/>
      <c r="BAE84" s="387"/>
      <c r="BAF84" s="387"/>
      <c r="BAG84" s="387"/>
      <c r="BAH84" s="387"/>
      <c r="BAI84" s="387"/>
      <c r="BAJ84" s="387"/>
      <c r="BAK84" s="387"/>
      <c r="BAL84" s="387"/>
      <c r="BAM84" s="387"/>
      <c r="BAN84" s="387"/>
      <c r="BAO84" s="387"/>
      <c r="BAP84" s="387"/>
      <c r="BAQ84" s="387"/>
      <c r="BAR84" s="387"/>
      <c r="BAS84" s="387"/>
      <c r="BAT84" s="387"/>
      <c r="BAU84" s="387"/>
      <c r="BAV84" s="387"/>
      <c r="BAW84" s="387"/>
      <c r="BAX84" s="387"/>
      <c r="BAY84" s="387"/>
      <c r="BAZ84" s="387"/>
      <c r="BBA84" s="387"/>
      <c r="BBB84" s="387"/>
      <c r="BBC84" s="387"/>
      <c r="BBD84" s="387"/>
      <c r="BBE84" s="387"/>
      <c r="BBF84" s="387"/>
      <c r="BBG84" s="387"/>
      <c r="BBH84" s="387"/>
      <c r="BBI84" s="387"/>
      <c r="BBJ84" s="387"/>
      <c r="BBK84" s="387"/>
      <c r="BBL84" s="387"/>
      <c r="BBM84" s="387"/>
      <c r="BBN84" s="387"/>
      <c r="BBO84" s="387"/>
      <c r="BBP84" s="387"/>
      <c r="BBQ84" s="387"/>
      <c r="BBR84" s="387"/>
      <c r="BBS84" s="387"/>
      <c r="BBT84" s="387"/>
      <c r="BBU84" s="387"/>
      <c r="BBV84" s="387"/>
      <c r="BBW84" s="387"/>
      <c r="BBX84" s="387"/>
      <c r="BBY84" s="387"/>
      <c r="BBZ84" s="387"/>
      <c r="BCA84" s="387"/>
      <c r="BCB84" s="387"/>
      <c r="BCC84" s="387"/>
      <c r="BCD84" s="387"/>
      <c r="BCE84" s="387"/>
      <c r="BCF84" s="387"/>
      <c r="BCG84" s="387"/>
      <c r="BCH84" s="387"/>
      <c r="BCI84" s="387"/>
      <c r="BCJ84" s="387"/>
      <c r="BCK84" s="387"/>
      <c r="BCL84" s="387"/>
      <c r="BCM84" s="387"/>
      <c r="BCN84" s="387"/>
      <c r="BCO84" s="387"/>
      <c r="BCP84" s="387"/>
      <c r="BCQ84" s="387"/>
      <c r="BCR84" s="387"/>
      <c r="BCS84" s="387"/>
      <c r="BCT84" s="387"/>
      <c r="BCU84" s="387"/>
      <c r="BCV84" s="387"/>
      <c r="BCW84" s="387"/>
      <c r="BCX84" s="387"/>
      <c r="BCY84" s="387"/>
      <c r="BCZ84" s="387"/>
      <c r="BDA84" s="387"/>
      <c r="BDB84" s="387"/>
      <c r="BDC84" s="387"/>
      <c r="BDD84" s="387"/>
      <c r="BDE84" s="387"/>
      <c r="BDF84" s="387"/>
      <c r="BDG84" s="387"/>
      <c r="BDH84" s="387"/>
      <c r="BDI84" s="387"/>
      <c r="BDJ84" s="387"/>
      <c r="BDK84" s="387"/>
      <c r="BDL84" s="387"/>
      <c r="BDM84" s="387"/>
      <c r="BDN84" s="387"/>
      <c r="BDO84" s="387"/>
      <c r="BDP84" s="387"/>
      <c r="BDQ84" s="387"/>
      <c r="BDR84" s="387"/>
      <c r="BDS84" s="387"/>
      <c r="BDT84" s="387"/>
      <c r="BDU84" s="387"/>
      <c r="BDV84" s="387"/>
      <c r="BDW84" s="387"/>
      <c r="BDX84" s="387"/>
      <c r="BDY84" s="387"/>
      <c r="BDZ84" s="387"/>
      <c r="BEA84" s="387"/>
      <c r="BEB84" s="387"/>
      <c r="BEC84" s="387"/>
      <c r="BED84" s="387"/>
      <c r="BEE84" s="387"/>
      <c r="BEF84" s="387"/>
      <c r="BEG84" s="387"/>
      <c r="BEH84" s="387"/>
      <c r="BEI84" s="387"/>
      <c r="BEJ84" s="387"/>
      <c r="BEK84" s="387"/>
      <c r="BEL84" s="387"/>
      <c r="BEM84" s="387"/>
      <c r="BEN84" s="387"/>
      <c r="BEO84" s="387"/>
      <c r="BEP84" s="387"/>
      <c r="BEQ84" s="387"/>
      <c r="BER84" s="387"/>
      <c r="BES84" s="387"/>
      <c r="BET84" s="387"/>
      <c r="BEU84" s="387"/>
      <c r="BEV84" s="387"/>
      <c r="BEW84" s="387"/>
      <c r="BEX84" s="387"/>
      <c r="BEY84" s="387"/>
      <c r="BEZ84" s="387"/>
      <c r="BFA84" s="387"/>
      <c r="BFB84" s="387"/>
      <c r="BFC84" s="387"/>
      <c r="BFD84" s="387"/>
      <c r="BFE84" s="387"/>
      <c r="BFF84" s="387"/>
      <c r="BFG84" s="387"/>
      <c r="BFH84" s="387"/>
      <c r="BFI84" s="387"/>
      <c r="BFJ84" s="387"/>
      <c r="BFK84" s="387"/>
      <c r="BFL84" s="387"/>
      <c r="BFM84" s="387"/>
      <c r="BFN84" s="387"/>
      <c r="BFO84" s="387"/>
      <c r="BFP84" s="387"/>
      <c r="BFQ84" s="387"/>
      <c r="BFR84" s="387"/>
      <c r="BFS84" s="387"/>
      <c r="BFT84" s="387"/>
      <c r="BFU84" s="387"/>
      <c r="BFV84" s="387"/>
      <c r="BFW84" s="387"/>
      <c r="BFX84" s="387"/>
      <c r="BFY84" s="387"/>
      <c r="BFZ84" s="387"/>
      <c r="BGA84" s="387"/>
      <c r="BGB84" s="387"/>
      <c r="BGC84" s="387"/>
      <c r="BGD84" s="387"/>
      <c r="BGE84" s="387"/>
      <c r="BGF84" s="387"/>
      <c r="BGG84" s="387"/>
      <c r="BGH84" s="387"/>
      <c r="BGI84" s="387"/>
      <c r="BGJ84" s="387"/>
      <c r="BGK84" s="387"/>
      <c r="BGL84" s="387"/>
      <c r="BGM84" s="387"/>
      <c r="BGN84" s="387"/>
      <c r="BGO84" s="387"/>
      <c r="BGP84" s="387"/>
      <c r="BGQ84" s="387"/>
      <c r="BGR84" s="387"/>
      <c r="BGS84" s="387"/>
      <c r="BGT84" s="387"/>
      <c r="BGU84" s="387"/>
      <c r="BGV84" s="387"/>
      <c r="BGW84" s="387"/>
      <c r="BGX84" s="387"/>
      <c r="BGY84" s="387"/>
      <c r="BGZ84" s="387"/>
      <c r="BHA84" s="387"/>
      <c r="BHB84" s="387"/>
      <c r="BHC84" s="387"/>
      <c r="BHD84" s="387"/>
      <c r="BHE84" s="387"/>
      <c r="BHF84" s="387"/>
      <c r="BHG84" s="387"/>
      <c r="BHH84" s="387"/>
      <c r="BHI84" s="387"/>
      <c r="BHJ84" s="387"/>
      <c r="BHK84" s="387"/>
      <c r="BHL84" s="387"/>
      <c r="BHM84" s="387"/>
      <c r="BHN84" s="387"/>
      <c r="BHO84" s="387"/>
      <c r="BHP84" s="387"/>
      <c r="BHQ84" s="387"/>
      <c r="BHR84" s="387"/>
      <c r="BHS84" s="387"/>
      <c r="BHT84" s="387"/>
      <c r="BHU84" s="387"/>
      <c r="BHV84" s="387"/>
      <c r="BHW84" s="387"/>
      <c r="BHX84" s="387"/>
      <c r="BHY84" s="387"/>
      <c r="BHZ84" s="387"/>
      <c r="BIA84" s="387"/>
      <c r="BIB84" s="387"/>
      <c r="BIC84" s="387"/>
      <c r="BID84" s="387"/>
      <c r="BIE84" s="387"/>
      <c r="BIF84" s="387"/>
      <c r="BIG84" s="387"/>
      <c r="BIH84" s="387"/>
      <c r="BII84" s="387"/>
      <c r="BIJ84" s="387"/>
      <c r="BIK84" s="387"/>
      <c r="BIL84" s="387"/>
      <c r="BIM84" s="387"/>
      <c r="BIN84" s="387"/>
      <c r="BIO84" s="387"/>
      <c r="BIP84" s="387"/>
      <c r="BIQ84" s="387"/>
      <c r="BIR84" s="387"/>
      <c r="BIS84" s="387"/>
      <c r="BIT84" s="387"/>
      <c r="BIU84" s="387"/>
      <c r="BIV84" s="387"/>
      <c r="BIW84" s="387"/>
      <c r="BIX84" s="387"/>
      <c r="BIY84" s="387"/>
      <c r="BIZ84" s="387"/>
      <c r="BJA84" s="387"/>
      <c r="BJB84" s="387"/>
      <c r="BJC84" s="387"/>
      <c r="BJD84" s="387"/>
      <c r="BJE84" s="387"/>
      <c r="BJF84" s="387"/>
      <c r="BJG84" s="387"/>
      <c r="BJH84" s="387"/>
      <c r="BJI84" s="387"/>
      <c r="BJJ84" s="387"/>
      <c r="BJK84" s="387"/>
      <c r="BJL84" s="387"/>
      <c r="BJM84" s="387"/>
      <c r="BJN84" s="387"/>
      <c r="BJO84" s="387"/>
      <c r="BJP84" s="387"/>
      <c r="BJQ84" s="387"/>
      <c r="BJR84" s="387"/>
      <c r="BJS84" s="387"/>
      <c r="BJT84" s="387"/>
      <c r="BJU84" s="387"/>
      <c r="BJV84" s="387"/>
      <c r="BJW84" s="387"/>
      <c r="BJX84" s="387"/>
      <c r="BJY84" s="387"/>
      <c r="BJZ84" s="387"/>
      <c r="BKA84" s="387"/>
      <c r="BKB84" s="387"/>
      <c r="BKC84" s="387"/>
      <c r="BKD84" s="387"/>
      <c r="BKE84" s="387"/>
      <c r="BKF84" s="387"/>
      <c r="BKG84" s="387"/>
      <c r="BKH84" s="387"/>
      <c r="BKI84" s="387"/>
      <c r="BKJ84" s="387"/>
      <c r="BKK84" s="387"/>
      <c r="BKL84" s="387"/>
      <c r="BKM84" s="387"/>
      <c r="BKN84" s="387"/>
      <c r="BKO84" s="387"/>
      <c r="BKP84" s="387"/>
      <c r="BKQ84" s="387"/>
      <c r="BKR84" s="387"/>
      <c r="BKS84" s="387"/>
      <c r="BKT84" s="387"/>
      <c r="BKU84" s="387"/>
      <c r="BKV84" s="387"/>
      <c r="BKW84" s="387"/>
      <c r="BKX84" s="387"/>
      <c r="BKY84" s="387"/>
      <c r="BKZ84" s="387"/>
      <c r="BLA84" s="387"/>
      <c r="BLB84" s="387"/>
      <c r="BLC84" s="387"/>
      <c r="BLD84" s="387"/>
      <c r="BLE84" s="387"/>
      <c r="BLF84" s="387"/>
      <c r="BLG84" s="387"/>
      <c r="BLH84" s="387"/>
      <c r="BLI84" s="387"/>
      <c r="BLJ84" s="387"/>
      <c r="BLK84" s="387"/>
      <c r="BLL84" s="387"/>
      <c r="BLM84" s="387"/>
      <c r="BLN84" s="387"/>
      <c r="BLO84" s="387"/>
      <c r="BLP84" s="387"/>
      <c r="BLQ84" s="387"/>
      <c r="BLR84" s="387"/>
      <c r="BLS84" s="387"/>
      <c r="BLT84" s="387"/>
      <c r="BLU84" s="387"/>
      <c r="BLV84" s="387"/>
      <c r="BLW84" s="387"/>
      <c r="BLX84" s="387"/>
      <c r="BLY84" s="387"/>
      <c r="BLZ84" s="387"/>
      <c r="BMA84" s="387"/>
      <c r="BMB84" s="387"/>
      <c r="BMC84" s="387"/>
      <c r="BMD84" s="387"/>
      <c r="BME84" s="387"/>
      <c r="BMF84" s="387"/>
      <c r="BMG84" s="387"/>
      <c r="BMH84" s="387"/>
      <c r="BMI84" s="387"/>
      <c r="BMJ84" s="387"/>
      <c r="BMK84" s="387"/>
      <c r="BML84" s="387"/>
      <c r="BMM84" s="387"/>
      <c r="BMN84" s="387"/>
      <c r="BMO84" s="387"/>
      <c r="BMP84" s="387"/>
      <c r="BMQ84" s="387"/>
      <c r="BMR84" s="387"/>
      <c r="BMS84" s="387"/>
      <c r="BMT84" s="387"/>
      <c r="BMU84" s="387"/>
      <c r="BMV84" s="387"/>
      <c r="BMW84" s="387"/>
      <c r="BMX84" s="387"/>
      <c r="BMY84" s="387"/>
      <c r="BMZ84" s="387"/>
      <c r="BNA84" s="387"/>
      <c r="BNB84" s="387"/>
      <c r="BNC84" s="387"/>
      <c r="BND84" s="387"/>
      <c r="BNE84" s="387"/>
      <c r="BNF84" s="387"/>
      <c r="BNG84" s="387"/>
      <c r="BNH84" s="387"/>
      <c r="BNI84" s="387"/>
      <c r="BNJ84" s="387"/>
      <c r="BNK84" s="387"/>
      <c r="BNL84" s="387"/>
      <c r="BNM84" s="387"/>
      <c r="BNN84" s="387"/>
      <c r="BNO84" s="387"/>
      <c r="BNP84" s="387"/>
      <c r="BNQ84" s="387"/>
      <c r="BNR84" s="387"/>
      <c r="BNS84" s="387"/>
      <c r="BNT84" s="387"/>
      <c r="BNU84" s="387"/>
      <c r="BNV84" s="387"/>
      <c r="BNW84" s="387"/>
      <c r="BNX84" s="387"/>
      <c r="BNY84" s="387"/>
      <c r="BNZ84" s="387"/>
      <c r="BOA84" s="387"/>
      <c r="BOB84" s="387"/>
      <c r="BOC84" s="387"/>
      <c r="BOD84" s="387"/>
      <c r="BOE84" s="387"/>
      <c r="BOF84" s="387"/>
      <c r="BOG84" s="387"/>
      <c r="BOH84" s="387"/>
      <c r="BOI84" s="387"/>
      <c r="BOJ84" s="387"/>
      <c r="BOK84" s="387"/>
      <c r="BOL84" s="387"/>
      <c r="BOM84" s="387"/>
      <c r="BON84" s="387"/>
      <c r="BOO84" s="387"/>
      <c r="BOP84" s="387"/>
      <c r="BOQ84" s="387"/>
      <c r="BOR84" s="387"/>
      <c r="BOS84" s="387"/>
      <c r="BOT84" s="387"/>
      <c r="BOU84" s="387"/>
      <c r="BOV84" s="387"/>
      <c r="BOW84" s="387"/>
      <c r="BOX84" s="387"/>
      <c r="BOY84" s="387"/>
      <c r="BOZ84" s="387"/>
      <c r="BPA84" s="387"/>
      <c r="BPB84" s="387"/>
      <c r="BPC84" s="387"/>
      <c r="BPD84" s="387"/>
      <c r="BPE84" s="387"/>
      <c r="BPF84" s="387"/>
      <c r="BPG84" s="387"/>
      <c r="BPH84" s="387"/>
      <c r="BPI84" s="387"/>
      <c r="BPJ84" s="387"/>
      <c r="BPK84" s="387"/>
      <c r="BPL84" s="387"/>
      <c r="BPM84" s="387"/>
      <c r="BPN84" s="387"/>
      <c r="BPO84" s="387"/>
      <c r="BPP84" s="387"/>
      <c r="BPQ84" s="387"/>
      <c r="BPR84" s="387"/>
      <c r="BPS84" s="387"/>
      <c r="BPT84" s="387"/>
      <c r="BPU84" s="387"/>
      <c r="BPV84" s="387"/>
      <c r="BPW84" s="387"/>
      <c r="BPX84" s="387"/>
      <c r="BPY84" s="387"/>
      <c r="BPZ84" s="387"/>
      <c r="BQA84" s="387"/>
      <c r="BQB84" s="387"/>
      <c r="BQC84" s="387"/>
      <c r="BQD84" s="387"/>
      <c r="BQE84" s="387"/>
      <c r="BQF84" s="387"/>
      <c r="BQG84" s="387"/>
      <c r="BQH84" s="387"/>
      <c r="BQI84" s="387"/>
      <c r="BQJ84" s="387"/>
      <c r="BQK84" s="387"/>
      <c r="BQL84" s="387"/>
      <c r="BQM84" s="387"/>
      <c r="BQN84" s="387"/>
      <c r="BQO84" s="387"/>
      <c r="BQP84" s="387"/>
      <c r="BQQ84" s="387"/>
      <c r="BQR84" s="387"/>
      <c r="BQS84" s="387"/>
      <c r="BQT84" s="387"/>
      <c r="BQU84" s="387"/>
      <c r="BQV84" s="387"/>
      <c r="BQW84" s="387"/>
      <c r="BQX84" s="387"/>
      <c r="BQY84" s="387"/>
      <c r="BQZ84" s="387"/>
      <c r="BRA84" s="387"/>
      <c r="BRB84" s="387"/>
      <c r="BRC84" s="387"/>
      <c r="BRD84" s="387"/>
      <c r="BRE84" s="387"/>
      <c r="BRF84" s="387"/>
      <c r="BRG84" s="387"/>
      <c r="BRH84" s="387"/>
      <c r="BRI84" s="387"/>
      <c r="BRJ84" s="387"/>
      <c r="BRK84" s="387"/>
      <c r="BRL84" s="387"/>
      <c r="BRM84" s="387"/>
      <c r="BRN84" s="387"/>
      <c r="BRO84" s="387"/>
      <c r="BRP84" s="387"/>
      <c r="BRQ84" s="387"/>
      <c r="BRR84" s="387"/>
      <c r="BRS84" s="387"/>
      <c r="BRT84" s="387"/>
      <c r="BRU84" s="387"/>
      <c r="BRV84" s="387"/>
      <c r="BRW84" s="387"/>
      <c r="BRX84" s="387"/>
      <c r="BRY84" s="387"/>
      <c r="BRZ84" s="387"/>
      <c r="BSA84" s="387"/>
      <c r="BSB84" s="387"/>
      <c r="BSC84" s="387"/>
      <c r="BSD84" s="387"/>
      <c r="BSE84" s="387"/>
      <c r="BSF84" s="387"/>
      <c r="BSG84" s="387"/>
      <c r="BSH84" s="387"/>
      <c r="BSI84" s="387"/>
      <c r="BSJ84" s="387"/>
      <c r="BSK84" s="387"/>
      <c r="BSL84" s="387"/>
      <c r="BSM84" s="387"/>
      <c r="BSN84" s="387"/>
      <c r="BSO84" s="387"/>
      <c r="BSP84" s="387"/>
      <c r="BSQ84" s="387"/>
      <c r="BSR84" s="387"/>
      <c r="BSS84" s="387"/>
      <c r="BST84" s="387"/>
      <c r="BSU84" s="387"/>
      <c r="BSV84" s="387"/>
      <c r="BSW84" s="387"/>
      <c r="BSX84" s="387"/>
      <c r="BSY84" s="387"/>
      <c r="BSZ84" s="387"/>
      <c r="BTA84" s="387"/>
      <c r="BTB84" s="387"/>
      <c r="BTC84" s="387"/>
      <c r="BTD84" s="387"/>
      <c r="BTE84" s="387"/>
      <c r="BTF84" s="387"/>
      <c r="BTG84" s="387"/>
      <c r="BTH84" s="387"/>
      <c r="BTI84" s="387"/>
    </row>
    <row r="85" spans="1:1881" ht="93" customHeight="1" x14ac:dyDescent="0.25">
      <c r="A85" s="442">
        <v>633</v>
      </c>
      <c r="B85" s="443" t="s">
        <v>1017</v>
      </c>
      <c r="C85" s="444" t="s">
        <v>679</v>
      </c>
      <c r="D85" s="858" t="s">
        <v>724</v>
      </c>
      <c r="E85" s="446" t="s">
        <v>676</v>
      </c>
      <c r="F85" s="686"/>
      <c r="G85" s="431">
        <f>IF(F85&lt;0,"Error: Enter as positive.",)</f>
        <v>0</v>
      </c>
      <c r="H85" s="432"/>
      <c r="I85" s="433"/>
      <c r="S85" s="682"/>
      <c r="X85" s="682"/>
    </row>
    <row r="86" spans="1:1881" ht="88.5" customHeight="1" x14ac:dyDescent="0.25">
      <c r="A86" s="447">
        <v>634</v>
      </c>
      <c r="B86" s="448" t="s">
        <v>674</v>
      </c>
      <c r="C86" s="444" t="s">
        <v>679</v>
      </c>
      <c r="D86" s="445" t="s">
        <v>883</v>
      </c>
      <c r="E86" s="446" t="s">
        <v>676</v>
      </c>
      <c r="F86" s="686"/>
      <c r="G86" s="704">
        <f>IF(F86&gt;F85,"Please review account numbers 634&gt;633",)</f>
        <v>0</v>
      </c>
      <c r="H86" s="432"/>
      <c r="I86" s="433"/>
      <c r="S86" s="682"/>
      <c r="X86" s="682"/>
    </row>
    <row r="87" spans="1:1881" ht="96.75" customHeight="1" x14ac:dyDescent="0.25">
      <c r="A87" s="447">
        <v>635</v>
      </c>
      <c r="B87" s="448" t="s">
        <v>674</v>
      </c>
      <c r="C87" s="444" t="s">
        <v>679</v>
      </c>
      <c r="D87" s="445" t="s">
        <v>884</v>
      </c>
      <c r="E87" s="446" t="s">
        <v>676</v>
      </c>
      <c r="F87" s="686"/>
      <c r="G87" s="704">
        <f>IF(F87&gt;F85,"Please review account numbers 635&gt;633",)</f>
        <v>0</v>
      </c>
      <c r="H87" s="432"/>
      <c r="I87" s="433"/>
      <c r="S87" s="682"/>
      <c r="X87" s="682"/>
    </row>
    <row r="88" spans="1:1881" ht="84" customHeight="1" x14ac:dyDescent="0.25">
      <c r="A88" s="447">
        <v>636</v>
      </c>
      <c r="B88" s="448" t="s">
        <v>674</v>
      </c>
      <c r="C88" s="444" t="s">
        <v>679</v>
      </c>
      <c r="D88" s="445" t="s">
        <v>885</v>
      </c>
      <c r="E88" s="446" t="s">
        <v>676</v>
      </c>
      <c r="F88" s="686"/>
      <c r="G88" s="704">
        <f>IF(F88&gt;F85,"Please review account numbers 636&gt;633",)</f>
        <v>0</v>
      </c>
      <c r="H88" s="432"/>
      <c r="I88" s="433"/>
      <c r="S88" s="682"/>
      <c r="X88" s="682"/>
    </row>
    <row r="89" spans="1:1881" ht="80.25" customHeight="1" x14ac:dyDescent="0.25">
      <c r="A89" s="447">
        <v>637</v>
      </c>
      <c r="B89" s="448" t="s">
        <v>674</v>
      </c>
      <c r="C89" s="444" t="s">
        <v>679</v>
      </c>
      <c r="D89" s="445" t="s">
        <v>887</v>
      </c>
      <c r="E89" s="446" t="s">
        <v>676</v>
      </c>
      <c r="F89" s="686"/>
      <c r="G89" s="704">
        <f>IF(F89&gt;F85,"Please review account numbers 637&gt;633",)</f>
        <v>0</v>
      </c>
      <c r="H89" s="432"/>
      <c r="I89" s="433"/>
      <c r="S89" s="682"/>
      <c r="X89" s="682"/>
    </row>
    <row r="90" spans="1:1881" ht="92.25" customHeight="1" x14ac:dyDescent="0.25">
      <c r="A90" s="447">
        <v>638</v>
      </c>
      <c r="B90" s="448" t="s">
        <v>674</v>
      </c>
      <c r="C90" s="444" t="s">
        <v>679</v>
      </c>
      <c r="D90" s="445" t="s">
        <v>886</v>
      </c>
      <c r="E90" s="446" t="s">
        <v>676</v>
      </c>
      <c r="F90" s="686"/>
      <c r="G90" s="704">
        <f>IF(F90&gt;F85,"Please review account numbers 638&gt;633",)</f>
        <v>0</v>
      </c>
      <c r="H90" s="432"/>
      <c r="I90" s="433"/>
      <c r="S90" s="682"/>
      <c r="X90" s="682"/>
    </row>
    <row r="91" spans="1:1881" s="219" customFormat="1" ht="71.25" customHeight="1" x14ac:dyDescent="0.25">
      <c r="A91" s="186">
        <v>383</v>
      </c>
      <c r="B91" s="62" t="s">
        <v>85</v>
      </c>
      <c r="C91" s="157" t="s">
        <v>201</v>
      </c>
      <c r="D91" s="173" t="s">
        <v>888</v>
      </c>
      <c r="E91" s="683" t="e">
        <f>HLOOKUP('Unit Data from Audit Worksheet'!$D$2,'2019 Data(H)'!$D$1:$BB$202,100,FALSE)</f>
        <v>#N/A</v>
      </c>
      <c r="F91" s="686"/>
      <c r="G91" s="705">
        <f>IF(F91&gt;F85,"Error: Please review components of current liabilities above. Account number 383&gt;633",)</f>
        <v>0</v>
      </c>
      <c r="H91" s="550"/>
      <c r="I91" s="31"/>
      <c r="J91" s="387"/>
      <c r="K91" s="387"/>
      <c r="L91" s="387"/>
      <c r="M91" s="387"/>
      <c r="N91"/>
      <c r="O91" s="387"/>
      <c r="P91" s="387"/>
      <c r="Q91" s="387"/>
      <c r="R91"/>
      <c r="S91" s="682"/>
      <c r="T91" s="387"/>
      <c r="U91" s="387"/>
      <c r="V91" s="387"/>
      <c r="W91" s="387"/>
      <c r="X91" s="682"/>
      <c r="Y91" s="387"/>
      <c r="Z91" s="387"/>
      <c r="AA91" s="387"/>
      <c r="AB91" s="387"/>
      <c r="AC91" s="387"/>
      <c r="AD91" s="387"/>
      <c r="AE91" s="387"/>
      <c r="AF91" s="387"/>
      <c r="AG91" s="387"/>
      <c r="AH91" s="387"/>
      <c r="AI91" s="387"/>
      <c r="AJ91" s="387"/>
      <c r="AK91" s="387"/>
      <c r="AL91" s="387"/>
      <c r="AM91" s="387"/>
      <c r="AN91" s="387"/>
      <c r="AO91" s="387"/>
      <c r="AP91" s="387"/>
      <c r="AQ91" s="387"/>
      <c r="AR91" s="387"/>
      <c r="AS91" s="387"/>
      <c r="AT91" s="387"/>
      <c r="AU91" s="387"/>
      <c r="AV91" s="387"/>
      <c r="AW91" s="387"/>
      <c r="AX91" s="387"/>
      <c r="AY91" s="387"/>
      <c r="AZ91" s="387"/>
      <c r="BA91" s="387"/>
      <c r="BB91" s="387"/>
      <c r="BC91" s="387"/>
      <c r="BD91" s="387"/>
      <c r="BE91" s="387"/>
      <c r="BF91" s="387"/>
      <c r="BG91" s="387"/>
      <c r="BH91" s="387"/>
      <c r="BI91" s="387"/>
      <c r="BJ91" s="387"/>
      <c r="BK91" s="387"/>
      <c r="BL91" s="387"/>
      <c r="BM91" s="387"/>
      <c r="BN91" s="387"/>
      <c r="BO91" s="387"/>
      <c r="BP91" s="387"/>
      <c r="BQ91" s="387"/>
      <c r="BR91" s="387"/>
      <c r="BS91" s="387"/>
      <c r="BT91" s="387"/>
      <c r="BU91" s="387"/>
      <c r="BV91" s="387"/>
      <c r="BW91" s="387"/>
      <c r="BX91" s="387"/>
      <c r="BY91" s="387"/>
      <c r="BZ91" s="387"/>
      <c r="CA91" s="387"/>
      <c r="CB91" s="387"/>
      <c r="CC91" s="387"/>
      <c r="CD91" s="387"/>
      <c r="CE91" s="387"/>
      <c r="CF91" s="387"/>
      <c r="CG91" s="387"/>
      <c r="CH91" s="387"/>
      <c r="CI91" s="387"/>
      <c r="CJ91" s="387"/>
      <c r="CK91" s="387"/>
      <c r="CL91" s="387"/>
      <c r="CM91" s="387"/>
      <c r="CN91" s="387"/>
      <c r="CO91" s="387"/>
      <c r="CP91" s="387"/>
      <c r="CQ91" s="387"/>
      <c r="CR91" s="387"/>
      <c r="CS91" s="387"/>
      <c r="CT91" s="387"/>
      <c r="CU91" s="387"/>
      <c r="CV91" s="387"/>
      <c r="CW91" s="387"/>
      <c r="CX91" s="387"/>
      <c r="CY91" s="387"/>
      <c r="CZ91" s="387"/>
      <c r="DA91" s="387"/>
      <c r="DB91" s="387"/>
      <c r="DC91" s="387"/>
      <c r="DD91" s="387"/>
      <c r="DE91" s="387"/>
      <c r="DF91" s="387"/>
      <c r="DG91" s="387"/>
      <c r="DH91" s="387"/>
      <c r="DI91" s="387"/>
      <c r="DJ91" s="387"/>
      <c r="DK91" s="387"/>
      <c r="DL91" s="387"/>
      <c r="DM91" s="387"/>
      <c r="DN91" s="387"/>
      <c r="DO91" s="387"/>
      <c r="DP91" s="387"/>
      <c r="DQ91" s="387"/>
      <c r="DR91" s="387"/>
      <c r="DS91" s="387"/>
      <c r="DT91" s="387"/>
      <c r="DU91" s="387"/>
      <c r="DV91" s="387"/>
      <c r="DW91" s="387"/>
      <c r="DX91" s="387"/>
      <c r="DY91" s="387"/>
      <c r="DZ91" s="387"/>
      <c r="EA91" s="387"/>
      <c r="EB91" s="387"/>
      <c r="EC91" s="387"/>
      <c r="ED91" s="387"/>
      <c r="EE91" s="387"/>
      <c r="EF91" s="387"/>
      <c r="EG91" s="387"/>
      <c r="EH91" s="387"/>
      <c r="EI91" s="387"/>
      <c r="EJ91" s="387"/>
      <c r="EK91" s="387"/>
      <c r="EL91" s="387"/>
      <c r="EM91" s="387"/>
      <c r="EN91" s="387"/>
      <c r="EO91" s="387"/>
      <c r="EP91" s="387"/>
      <c r="EQ91" s="387"/>
      <c r="ER91" s="387"/>
      <c r="ES91" s="387"/>
      <c r="ET91" s="387"/>
      <c r="EU91" s="387"/>
      <c r="EV91" s="387"/>
      <c r="EW91" s="387"/>
      <c r="EX91" s="387"/>
      <c r="EY91" s="387"/>
      <c r="EZ91" s="387"/>
      <c r="FA91" s="387"/>
      <c r="FB91" s="387"/>
      <c r="FC91" s="387"/>
      <c r="FD91" s="387"/>
      <c r="FE91" s="387"/>
      <c r="FF91" s="387"/>
      <c r="FG91" s="387"/>
      <c r="FH91" s="387"/>
      <c r="FI91" s="387"/>
      <c r="FJ91" s="387"/>
      <c r="FK91" s="387"/>
      <c r="FL91" s="387"/>
      <c r="FM91" s="387"/>
      <c r="FN91" s="387"/>
      <c r="FO91" s="387"/>
      <c r="FP91" s="387"/>
      <c r="FQ91" s="387"/>
      <c r="FR91" s="387"/>
      <c r="FS91" s="387"/>
      <c r="FT91" s="387"/>
      <c r="FU91" s="387"/>
      <c r="FV91" s="387"/>
      <c r="FW91" s="387"/>
      <c r="FX91" s="387"/>
      <c r="FY91" s="387"/>
      <c r="FZ91" s="387"/>
      <c r="GA91" s="387"/>
      <c r="GB91" s="387"/>
      <c r="GC91" s="387"/>
      <c r="GD91" s="387"/>
      <c r="GE91" s="387"/>
      <c r="GF91" s="387"/>
      <c r="GG91" s="387"/>
      <c r="GH91" s="387"/>
      <c r="GI91" s="387"/>
      <c r="GJ91" s="387"/>
      <c r="GK91" s="387"/>
      <c r="GL91" s="387"/>
      <c r="GM91" s="387"/>
      <c r="GN91" s="387"/>
      <c r="GO91" s="387"/>
      <c r="GP91" s="387"/>
      <c r="GQ91" s="387"/>
      <c r="GR91" s="387"/>
      <c r="GS91" s="387"/>
      <c r="GT91" s="387"/>
      <c r="GU91" s="387"/>
      <c r="GV91" s="387"/>
      <c r="GW91" s="387"/>
      <c r="GX91" s="387"/>
      <c r="GY91" s="387"/>
      <c r="GZ91" s="387"/>
      <c r="HA91" s="387"/>
      <c r="HB91" s="387"/>
      <c r="HC91" s="387"/>
      <c r="HD91" s="387"/>
      <c r="HE91" s="387"/>
      <c r="HF91" s="387"/>
      <c r="HG91" s="387"/>
      <c r="HH91" s="387"/>
      <c r="HI91" s="387"/>
      <c r="HJ91" s="387"/>
      <c r="HK91" s="387"/>
      <c r="HL91" s="387"/>
      <c r="HM91" s="387"/>
      <c r="HN91" s="387"/>
      <c r="HO91" s="387"/>
      <c r="HP91" s="387"/>
      <c r="HQ91" s="387"/>
      <c r="HR91" s="387"/>
      <c r="HS91" s="387"/>
      <c r="HT91" s="387"/>
      <c r="HU91" s="387"/>
      <c r="HV91" s="387"/>
      <c r="HW91" s="387"/>
      <c r="HX91" s="387"/>
      <c r="HY91" s="387"/>
      <c r="HZ91" s="387"/>
      <c r="IA91" s="387"/>
      <c r="IB91" s="387"/>
      <c r="IC91" s="387"/>
      <c r="ID91" s="387"/>
      <c r="IE91" s="387"/>
      <c r="IF91" s="387"/>
      <c r="IG91" s="387"/>
      <c r="IH91" s="387"/>
      <c r="II91" s="387"/>
      <c r="IJ91" s="387"/>
      <c r="IK91" s="387"/>
      <c r="IL91" s="387"/>
      <c r="IM91" s="387"/>
      <c r="IN91" s="387"/>
      <c r="IO91" s="387"/>
      <c r="IP91" s="387"/>
      <c r="IQ91" s="387"/>
      <c r="IR91" s="387"/>
      <c r="IS91" s="387"/>
      <c r="IT91" s="387"/>
      <c r="IU91" s="387"/>
      <c r="IV91" s="387"/>
      <c r="IW91" s="387"/>
      <c r="IX91" s="387"/>
      <c r="IY91" s="387"/>
      <c r="IZ91" s="387"/>
      <c r="JA91" s="387"/>
      <c r="JB91" s="387"/>
      <c r="JC91" s="387"/>
      <c r="JD91" s="387"/>
      <c r="JE91" s="387"/>
      <c r="JF91" s="387"/>
      <c r="JG91" s="387"/>
      <c r="JH91" s="387"/>
      <c r="JI91" s="387"/>
      <c r="JJ91" s="387"/>
      <c r="JK91" s="387"/>
      <c r="JL91" s="387"/>
      <c r="JM91" s="387"/>
      <c r="JN91" s="387"/>
      <c r="JO91" s="387"/>
      <c r="JP91" s="387"/>
      <c r="JQ91" s="387"/>
      <c r="JR91" s="387"/>
      <c r="JS91" s="387"/>
      <c r="JT91" s="387"/>
      <c r="JU91" s="387"/>
      <c r="JV91" s="387"/>
      <c r="JW91" s="387"/>
      <c r="JX91" s="387"/>
      <c r="JY91" s="387"/>
      <c r="JZ91" s="387"/>
      <c r="KA91" s="387"/>
      <c r="KB91" s="387"/>
      <c r="KC91" s="387"/>
      <c r="KD91" s="387"/>
      <c r="KE91" s="387"/>
      <c r="KF91" s="387"/>
      <c r="KG91" s="387"/>
      <c r="KH91" s="387"/>
      <c r="KI91" s="387"/>
      <c r="KJ91" s="387"/>
      <c r="KK91" s="387"/>
      <c r="KL91" s="387"/>
      <c r="KM91" s="387"/>
      <c r="KN91" s="387"/>
      <c r="KO91" s="387"/>
      <c r="KP91" s="387"/>
      <c r="KQ91" s="387"/>
      <c r="KR91" s="387"/>
      <c r="KS91" s="387"/>
      <c r="KT91" s="387"/>
      <c r="KU91" s="387"/>
      <c r="KV91" s="387"/>
      <c r="KW91" s="387"/>
      <c r="KX91" s="387"/>
      <c r="KY91" s="387"/>
      <c r="KZ91" s="387"/>
      <c r="LA91" s="387"/>
      <c r="LB91" s="387"/>
      <c r="LC91" s="387"/>
      <c r="LD91" s="387"/>
      <c r="LE91" s="387"/>
      <c r="LF91" s="387"/>
      <c r="LG91" s="387"/>
      <c r="LH91" s="387"/>
      <c r="LI91" s="387"/>
      <c r="LJ91" s="387"/>
      <c r="LK91" s="387"/>
      <c r="LL91" s="387"/>
      <c r="LM91" s="387"/>
      <c r="LN91" s="387"/>
      <c r="LO91" s="387"/>
      <c r="LP91" s="387"/>
      <c r="LQ91" s="387"/>
      <c r="LR91" s="387"/>
      <c r="LS91" s="387"/>
      <c r="LT91" s="387"/>
      <c r="LU91" s="387"/>
      <c r="LV91" s="387"/>
      <c r="LW91" s="387"/>
      <c r="LX91" s="387"/>
      <c r="LY91" s="387"/>
      <c r="LZ91" s="387"/>
      <c r="MA91" s="387"/>
      <c r="MB91" s="387"/>
      <c r="MC91" s="387"/>
      <c r="MD91" s="387"/>
      <c r="ME91" s="387"/>
      <c r="MF91" s="387"/>
      <c r="MG91" s="387"/>
      <c r="MH91" s="387"/>
      <c r="MI91" s="387"/>
      <c r="MJ91" s="387"/>
      <c r="MK91" s="387"/>
      <c r="ML91" s="387"/>
      <c r="MM91" s="387"/>
      <c r="MN91" s="387"/>
      <c r="MO91" s="387"/>
      <c r="MP91" s="387"/>
      <c r="MQ91" s="387"/>
      <c r="MR91" s="387"/>
      <c r="MS91" s="387"/>
      <c r="MT91" s="387"/>
      <c r="MU91" s="387"/>
      <c r="MV91" s="387"/>
      <c r="MW91" s="387"/>
      <c r="MX91" s="387"/>
      <c r="MY91" s="387"/>
      <c r="MZ91" s="387"/>
      <c r="NA91" s="387"/>
      <c r="NB91" s="387"/>
      <c r="NC91" s="387"/>
      <c r="ND91" s="387"/>
      <c r="NE91" s="387"/>
      <c r="NF91" s="387"/>
      <c r="NG91" s="387"/>
      <c r="NH91" s="387"/>
      <c r="NI91" s="387"/>
      <c r="NJ91" s="387"/>
      <c r="NK91" s="387"/>
      <c r="NL91" s="387"/>
      <c r="NM91" s="387"/>
      <c r="NN91" s="387"/>
      <c r="NO91" s="387"/>
      <c r="NP91" s="387"/>
      <c r="NQ91" s="387"/>
      <c r="NR91" s="387"/>
      <c r="NS91" s="387"/>
      <c r="NT91" s="387"/>
      <c r="NU91" s="387"/>
      <c r="NV91" s="387"/>
      <c r="NW91" s="387"/>
      <c r="NX91" s="387"/>
      <c r="NY91" s="387"/>
      <c r="NZ91" s="387"/>
      <c r="OA91" s="387"/>
      <c r="OB91" s="387"/>
      <c r="OC91" s="387"/>
      <c r="OD91" s="387"/>
      <c r="OE91" s="387"/>
      <c r="OF91" s="387"/>
      <c r="OG91" s="387"/>
      <c r="OH91" s="387"/>
      <c r="OI91" s="387"/>
      <c r="OJ91" s="387"/>
      <c r="OK91" s="387"/>
      <c r="OL91" s="387"/>
      <c r="OM91" s="387"/>
      <c r="ON91" s="387"/>
      <c r="OO91" s="387"/>
      <c r="OP91" s="387"/>
      <c r="OQ91" s="387"/>
      <c r="OR91" s="387"/>
      <c r="OS91" s="387"/>
      <c r="OT91" s="387"/>
      <c r="OU91" s="387"/>
      <c r="OV91" s="387"/>
      <c r="OW91" s="387"/>
      <c r="OX91" s="387"/>
      <c r="OY91" s="387"/>
      <c r="OZ91" s="387"/>
      <c r="PA91" s="387"/>
      <c r="PB91" s="387"/>
      <c r="PC91" s="387"/>
      <c r="PD91" s="387"/>
      <c r="PE91" s="387"/>
      <c r="PF91" s="387"/>
      <c r="PG91" s="387"/>
      <c r="PH91" s="387"/>
      <c r="PI91" s="387"/>
      <c r="PJ91" s="387"/>
      <c r="PK91" s="387"/>
      <c r="PL91" s="387"/>
      <c r="PM91" s="387"/>
      <c r="PN91" s="387"/>
      <c r="PO91" s="387"/>
      <c r="PP91" s="387"/>
      <c r="PQ91" s="387"/>
      <c r="PR91" s="387"/>
      <c r="PS91" s="387"/>
      <c r="PT91" s="387"/>
      <c r="PU91" s="387"/>
      <c r="PV91" s="387"/>
      <c r="PW91" s="387"/>
      <c r="PX91" s="387"/>
      <c r="PY91" s="387"/>
      <c r="PZ91" s="387"/>
      <c r="QA91" s="387"/>
      <c r="QB91" s="387"/>
      <c r="QC91" s="387"/>
      <c r="QD91" s="387"/>
      <c r="QE91" s="387"/>
      <c r="QF91" s="387"/>
      <c r="QG91" s="387"/>
      <c r="QH91" s="387"/>
      <c r="QI91" s="387"/>
      <c r="QJ91" s="387"/>
      <c r="QK91" s="387"/>
      <c r="QL91" s="387"/>
      <c r="QM91" s="387"/>
      <c r="QN91" s="387"/>
      <c r="QO91" s="387"/>
      <c r="QP91" s="387"/>
      <c r="QQ91" s="387"/>
      <c r="QR91" s="387"/>
      <c r="QS91" s="387"/>
      <c r="QT91" s="387"/>
      <c r="QU91" s="387"/>
      <c r="QV91" s="387"/>
      <c r="QW91" s="387"/>
      <c r="QX91" s="387"/>
      <c r="QY91" s="387"/>
      <c r="QZ91" s="387"/>
      <c r="RA91" s="387"/>
      <c r="RB91" s="387"/>
      <c r="RC91" s="387"/>
      <c r="RD91" s="387"/>
      <c r="RE91" s="387"/>
      <c r="RF91" s="387"/>
      <c r="RG91" s="387"/>
      <c r="RH91" s="387"/>
      <c r="RI91" s="387"/>
      <c r="RJ91" s="387"/>
      <c r="RK91" s="387"/>
      <c r="RL91" s="387"/>
      <c r="RM91" s="387"/>
      <c r="RN91" s="387"/>
      <c r="RO91" s="387"/>
      <c r="RP91" s="387"/>
      <c r="RQ91" s="387"/>
      <c r="RR91" s="387"/>
      <c r="RS91" s="387"/>
      <c r="RT91" s="387"/>
      <c r="RU91" s="387"/>
      <c r="RV91" s="387"/>
      <c r="RW91" s="387"/>
      <c r="RX91" s="387"/>
      <c r="RY91" s="387"/>
      <c r="RZ91" s="387"/>
      <c r="SA91" s="387"/>
      <c r="SB91" s="387"/>
      <c r="SC91" s="387"/>
      <c r="SD91" s="387"/>
      <c r="SE91" s="387"/>
      <c r="SF91" s="387"/>
      <c r="SG91" s="387"/>
      <c r="SH91" s="387"/>
      <c r="SI91" s="387"/>
      <c r="SJ91" s="387"/>
      <c r="SK91" s="387"/>
      <c r="SL91" s="387"/>
      <c r="SM91" s="387"/>
      <c r="SN91" s="387"/>
      <c r="SO91" s="387"/>
      <c r="SP91" s="387"/>
      <c r="SQ91" s="387"/>
      <c r="SR91" s="387"/>
      <c r="SS91" s="387"/>
      <c r="ST91" s="387"/>
      <c r="SU91" s="387"/>
      <c r="SV91" s="387"/>
      <c r="SW91" s="387"/>
      <c r="SX91" s="387"/>
      <c r="SY91" s="387"/>
      <c r="SZ91" s="387"/>
      <c r="TA91" s="387"/>
      <c r="TB91" s="387"/>
      <c r="TC91" s="387"/>
      <c r="TD91" s="387"/>
      <c r="TE91" s="387"/>
      <c r="TF91" s="387"/>
      <c r="TG91" s="387"/>
      <c r="TH91" s="387"/>
      <c r="TI91" s="387"/>
      <c r="TJ91" s="387"/>
      <c r="TK91" s="387"/>
      <c r="TL91" s="387"/>
      <c r="TM91" s="387"/>
      <c r="TN91" s="387"/>
      <c r="TO91" s="387"/>
      <c r="TP91" s="387"/>
      <c r="TQ91" s="387"/>
      <c r="TR91" s="387"/>
      <c r="TS91" s="387"/>
      <c r="TT91" s="387"/>
      <c r="TU91" s="387"/>
      <c r="TV91" s="387"/>
      <c r="TW91" s="387"/>
      <c r="TX91" s="387"/>
      <c r="TY91" s="387"/>
      <c r="TZ91" s="387"/>
      <c r="UA91" s="387"/>
      <c r="UB91" s="387"/>
      <c r="UC91" s="387"/>
      <c r="UD91" s="387"/>
      <c r="UE91" s="387"/>
      <c r="UF91" s="387"/>
      <c r="UG91" s="387"/>
      <c r="UH91" s="387"/>
      <c r="UI91" s="387"/>
      <c r="UJ91" s="387"/>
      <c r="UK91" s="387"/>
      <c r="UL91" s="387"/>
      <c r="UM91" s="387"/>
      <c r="UN91" s="387"/>
      <c r="UO91" s="387"/>
      <c r="UP91" s="387"/>
      <c r="UQ91" s="387"/>
      <c r="UR91" s="387"/>
      <c r="US91" s="387"/>
      <c r="UT91" s="387"/>
      <c r="UU91" s="387"/>
      <c r="UV91" s="387"/>
      <c r="UW91" s="387"/>
      <c r="UX91" s="387"/>
      <c r="UY91" s="387"/>
      <c r="UZ91" s="387"/>
      <c r="VA91" s="387"/>
      <c r="VB91" s="387"/>
      <c r="VC91" s="387"/>
      <c r="VD91" s="387"/>
      <c r="VE91" s="387"/>
      <c r="VF91" s="387"/>
      <c r="VG91" s="387"/>
      <c r="VH91" s="387"/>
      <c r="VI91" s="387"/>
      <c r="VJ91" s="387"/>
      <c r="VK91" s="387"/>
      <c r="VL91" s="387"/>
      <c r="VM91" s="387"/>
      <c r="VN91" s="387"/>
      <c r="VO91" s="387"/>
      <c r="VP91" s="387"/>
      <c r="VQ91" s="387"/>
      <c r="VR91" s="387"/>
      <c r="VS91" s="387"/>
      <c r="VT91" s="387"/>
      <c r="VU91" s="387"/>
      <c r="VV91" s="387"/>
      <c r="VW91" s="387"/>
      <c r="VX91" s="387"/>
      <c r="VY91" s="387"/>
      <c r="VZ91" s="387"/>
      <c r="WA91" s="387"/>
      <c r="WB91" s="387"/>
      <c r="WC91" s="387"/>
      <c r="WD91" s="387"/>
      <c r="WE91" s="387"/>
      <c r="WF91" s="387"/>
      <c r="WG91" s="387"/>
      <c r="WH91" s="387"/>
      <c r="WI91" s="387"/>
      <c r="WJ91" s="387"/>
      <c r="WK91" s="387"/>
      <c r="WL91" s="387"/>
      <c r="WM91" s="387"/>
      <c r="WN91" s="387"/>
      <c r="WO91" s="387"/>
      <c r="WP91" s="387"/>
      <c r="WQ91" s="387"/>
      <c r="WR91" s="387"/>
      <c r="WS91" s="387"/>
      <c r="WT91" s="387"/>
      <c r="WU91" s="387"/>
      <c r="WV91" s="387"/>
      <c r="WW91" s="387"/>
      <c r="WX91" s="387"/>
      <c r="WY91" s="387"/>
      <c r="WZ91" s="387"/>
      <c r="XA91" s="387"/>
      <c r="XB91" s="387"/>
      <c r="XC91" s="387"/>
      <c r="XD91" s="387"/>
      <c r="XE91" s="387"/>
      <c r="XF91" s="387"/>
      <c r="XG91" s="387"/>
      <c r="XH91" s="387"/>
      <c r="XI91" s="387"/>
      <c r="XJ91" s="387"/>
      <c r="XK91" s="387"/>
      <c r="XL91" s="387"/>
      <c r="XM91" s="387"/>
      <c r="XN91" s="387"/>
      <c r="XO91" s="387"/>
      <c r="XP91" s="387"/>
      <c r="XQ91" s="387"/>
      <c r="XR91" s="387"/>
      <c r="XS91" s="387"/>
      <c r="XT91" s="387"/>
      <c r="XU91" s="387"/>
      <c r="XV91" s="387"/>
      <c r="XW91" s="387"/>
      <c r="XX91" s="387"/>
      <c r="XY91" s="387"/>
      <c r="XZ91" s="387"/>
      <c r="YA91" s="387"/>
      <c r="YB91" s="387"/>
      <c r="YC91" s="387"/>
      <c r="YD91" s="387"/>
      <c r="YE91" s="387"/>
      <c r="YF91" s="387"/>
      <c r="YG91" s="387"/>
      <c r="YH91" s="387"/>
      <c r="YI91" s="387"/>
      <c r="YJ91" s="387"/>
      <c r="YK91" s="387"/>
      <c r="YL91" s="387"/>
      <c r="YM91" s="387"/>
      <c r="YN91" s="387"/>
      <c r="YO91" s="387"/>
      <c r="YP91" s="387"/>
      <c r="YQ91" s="387"/>
      <c r="YR91" s="387"/>
      <c r="YS91" s="387"/>
      <c r="YT91" s="387"/>
      <c r="YU91" s="387"/>
      <c r="YV91" s="387"/>
      <c r="YW91" s="387"/>
      <c r="YX91" s="387"/>
      <c r="YY91" s="387"/>
      <c r="YZ91" s="387"/>
      <c r="ZA91" s="387"/>
      <c r="ZB91" s="387"/>
      <c r="ZC91" s="387"/>
      <c r="ZD91" s="387"/>
      <c r="ZE91" s="387"/>
      <c r="ZF91" s="387"/>
      <c r="ZG91" s="387"/>
      <c r="ZH91" s="387"/>
      <c r="ZI91" s="387"/>
      <c r="ZJ91" s="387"/>
      <c r="ZK91" s="387"/>
      <c r="ZL91" s="387"/>
      <c r="ZM91" s="387"/>
      <c r="ZN91" s="387"/>
      <c r="ZO91" s="387"/>
      <c r="ZP91" s="387"/>
      <c r="ZQ91" s="387"/>
      <c r="ZR91" s="387"/>
      <c r="ZS91" s="387"/>
      <c r="ZT91" s="387"/>
      <c r="ZU91" s="387"/>
      <c r="ZV91" s="387"/>
      <c r="ZW91" s="387"/>
      <c r="ZX91" s="387"/>
      <c r="ZY91" s="387"/>
      <c r="ZZ91" s="387"/>
      <c r="AAA91" s="387"/>
      <c r="AAB91" s="387"/>
      <c r="AAC91" s="387"/>
      <c r="AAD91" s="387"/>
      <c r="AAE91" s="387"/>
      <c r="AAF91" s="387"/>
      <c r="AAG91" s="387"/>
      <c r="AAH91" s="387"/>
      <c r="AAI91" s="387"/>
      <c r="AAJ91" s="387"/>
      <c r="AAK91" s="387"/>
      <c r="AAL91" s="387"/>
      <c r="AAM91" s="387"/>
      <c r="AAN91" s="387"/>
      <c r="AAO91" s="387"/>
      <c r="AAP91" s="387"/>
      <c r="AAQ91" s="387"/>
      <c r="AAR91" s="387"/>
      <c r="AAS91" s="387"/>
      <c r="AAT91" s="387"/>
      <c r="AAU91" s="387"/>
      <c r="AAV91" s="387"/>
      <c r="AAW91" s="387"/>
      <c r="AAX91" s="387"/>
      <c r="AAY91" s="387"/>
      <c r="AAZ91" s="387"/>
      <c r="ABA91" s="387"/>
      <c r="ABB91" s="387"/>
      <c r="ABC91" s="387"/>
      <c r="ABD91" s="387"/>
      <c r="ABE91" s="387"/>
      <c r="ABF91" s="387"/>
      <c r="ABG91" s="387"/>
      <c r="ABH91" s="387"/>
      <c r="ABI91" s="387"/>
      <c r="ABJ91" s="387"/>
      <c r="ABK91" s="387"/>
      <c r="ABL91" s="387"/>
      <c r="ABM91" s="387"/>
      <c r="ABN91" s="387"/>
      <c r="ABO91" s="387"/>
      <c r="ABP91" s="387"/>
      <c r="ABQ91" s="387"/>
      <c r="ABR91" s="387"/>
      <c r="ABS91" s="387"/>
      <c r="ABT91" s="387"/>
      <c r="ABU91" s="387"/>
      <c r="ABV91" s="387"/>
      <c r="ABW91" s="387"/>
      <c r="ABX91" s="387"/>
      <c r="ABY91" s="387"/>
      <c r="ABZ91" s="387"/>
      <c r="ACA91" s="387"/>
      <c r="ACB91" s="387"/>
      <c r="ACC91" s="387"/>
      <c r="ACD91" s="387"/>
      <c r="ACE91" s="387"/>
      <c r="ACF91" s="387"/>
      <c r="ACG91" s="387"/>
      <c r="ACH91" s="387"/>
      <c r="ACI91" s="387"/>
      <c r="ACJ91" s="387"/>
      <c r="ACK91" s="387"/>
      <c r="ACL91" s="387"/>
      <c r="ACM91" s="387"/>
      <c r="ACN91" s="387"/>
      <c r="ACO91" s="387"/>
      <c r="ACP91" s="387"/>
      <c r="ACQ91" s="387"/>
      <c r="ACR91" s="387"/>
      <c r="ACS91" s="387"/>
      <c r="ACT91" s="387"/>
      <c r="ACU91" s="387"/>
      <c r="ACV91" s="387"/>
      <c r="ACW91" s="387"/>
      <c r="ACX91" s="387"/>
      <c r="ACY91" s="387"/>
      <c r="ACZ91" s="387"/>
      <c r="ADA91" s="387"/>
      <c r="ADB91" s="387"/>
      <c r="ADC91" s="387"/>
      <c r="ADD91" s="387"/>
      <c r="ADE91" s="387"/>
      <c r="ADF91" s="387"/>
      <c r="ADG91" s="387"/>
      <c r="ADH91" s="387"/>
      <c r="ADI91" s="387"/>
      <c r="ADJ91" s="387"/>
      <c r="ADK91" s="387"/>
      <c r="ADL91" s="387"/>
      <c r="ADM91" s="387"/>
      <c r="ADN91" s="387"/>
      <c r="ADO91" s="387"/>
      <c r="ADP91" s="387"/>
      <c r="ADQ91" s="387"/>
      <c r="ADR91" s="387"/>
      <c r="ADS91" s="387"/>
      <c r="ADT91" s="387"/>
      <c r="ADU91" s="387"/>
      <c r="ADV91" s="387"/>
      <c r="ADW91" s="387"/>
      <c r="ADX91" s="387"/>
      <c r="ADY91" s="387"/>
      <c r="ADZ91" s="387"/>
      <c r="AEA91" s="387"/>
      <c r="AEB91" s="387"/>
      <c r="AEC91" s="387"/>
      <c r="AED91" s="387"/>
      <c r="AEE91" s="387"/>
      <c r="AEF91" s="387"/>
      <c r="AEG91" s="387"/>
      <c r="AEH91" s="387"/>
      <c r="AEI91" s="387"/>
      <c r="AEJ91" s="387"/>
      <c r="AEK91" s="387"/>
      <c r="AEL91" s="387"/>
      <c r="AEM91" s="387"/>
      <c r="AEN91" s="387"/>
      <c r="AEO91" s="387"/>
      <c r="AEP91" s="387"/>
      <c r="AEQ91" s="387"/>
      <c r="AER91" s="387"/>
      <c r="AES91" s="387"/>
      <c r="AET91" s="387"/>
      <c r="AEU91" s="387"/>
      <c r="AEV91" s="387"/>
      <c r="AEW91" s="387"/>
      <c r="AEX91" s="387"/>
      <c r="AEY91" s="387"/>
      <c r="AEZ91" s="387"/>
      <c r="AFA91" s="387"/>
      <c r="AFB91" s="387"/>
      <c r="AFC91" s="387"/>
      <c r="AFD91" s="387"/>
      <c r="AFE91" s="387"/>
      <c r="AFF91" s="387"/>
      <c r="AFG91" s="387"/>
      <c r="AFH91" s="387"/>
      <c r="AFI91" s="387"/>
      <c r="AFJ91" s="387"/>
      <c r="AFK91" s="387"/>
      <c r="AFL91" s="387"/>
      <c r="AFM91" s="387"/>
      <c r="AFN91" s="387"/>
      <c r="AFO91" s="387"/>
      <c r="AFP91" s="387"/>
      <c r="AFQ91" s="387"/>
      <c r="AFR91" s="387"/>
      <c r="AFS91" s="387"/>
      <c r="AFT91" s="387"/>
      <c r="AFU91" s="387"/>
      <c r="AFV91" s="387"/>
      <c r="AFW91" s="387"/>
      <c r="AFX91" s="387"/>
      <c r="AFY91" s="387"/>
      <c r="AFZ91" s="387"/>
      <c r="AGA91" s="387"/>
      <c r="AGB91" s="387"/>
      <c r="AGC91" s="387"/>
      <c r="AGD91" s="387"/>
      <c r="AGE91" s="387"/>
      <c r="AGF91" s="387"/>
      <c r="AGG91" s="387"/>
      <c r="AGH91" s="387"/>
      <c r="AGI91" s="387"/>
      <c r="AGJ91" s="387"/>
      <c r="AGK91" s="387"/>
      <c r="AGL91" s="387"/>
      <c r="AGM91" s="387"/>
      <c r="AGN91" s="387"/>
      <c r="AGO91" s="387"/>
      <c r="AGP91" s="387"/>
      <c r="AGQ91" s="387"/>
      <c r="AGR91" s="387"/>
      <c r="AGS91" s="387"/>
      <c r="AGT91" s="387"/>
      <c r="AGU91" s="387"/>
      <c r="AGV91" s="387"/>
      <c r="AGW91" s="387"/>
      <c r="AGX91" s="387"/>
      <c r="AGY91" s="387"/>
      <c r="AGZ91" s="387"/>
      <c r="AHA91" s="387"/>
      <c r="AHB91" s="387"/>
      <c r="AHC91" s="387"/>
      <c r="AHD91" s="387"/>
      <c r="AHE91" s="387"/>
      <c r="AHF91" s="387"/>
      <c r="AHG91" s="387"/>
      <c r="AHH91" s="387"/>
      <c r="AHI91" s="387"/>
      <c r="AHJ91" s="387"/>
      <c r="AHK91" s="387"/>
      <c r="AHL91" s="387"/>
      <c r="AHM91" s="387"/>
      <c r="AHN91" s="387"/>
      <c r="AHO91" s="387"/>
      <c r="AHP91" s="387"/>
      <c r="AHQ91" s="387"/>
      <c r="AHR91" s="387"/>
      <c r="AHS91" s="387"/>
      <c r="AHT91" s="387"/>
      <c r="AHU91" s="387"/>
      <c r="AHV91" s="387"/>
      <c r="AHW91" s="387"/>
      <c r="AHX91" s="387"/>
      <c r="AHY91" s="387"/>
      <c r="AHZ91" s="387"/>
      <c r="AIA91" s="387"/>
      <c r="AIB91" s="387"/>
      <c r="AIC91" s="387"/>
      <c r="AID91" s="387"/>
      <c r="AIE91" s="387"/>
      <c r="AIF91" s="387"/>
      <c r="AIG91" s="387"/>
      <c r="AIH91" s="387"/>
      <c r="AII91" s="387"/>
      <c r="AIJ91" s="387"/>
      <c r="AIK91" s="387"/>
      <c r="AIL91" s="387"/>
      <c r="AIM91" s="387"/>
      <c r="AIN91" s="387"/>
      <c r="AIO91" s="387"/>
      <c r="AIP91" s="387"/>
      <c r="AIQ91" s="387"/>
      <c r="AIR91" s="387"/>
      <c r="AIS91" s="387"/>
      <c r="AIT91" s="387"/>
      <c r="AIU91" s="387"/>
      <c r="AIV91" s="387"/>
      <c r="AIW91" s="387"/>
      <c r="AIX91" s="387"/>
      <c r="AIY91" s="387"/>
      <c r="AIZ91" s="387"/>
      <c r="AJA91" s="387"/>
      <c r="AJB91" s="387"/>
      <c r="AJC91" s="387"/>
      <c r="AJD91" s="387"/>
      <c r="AJE91" s="387"/>
      <c r="AJF91" s="387"/>
      <c r="AJG91" s="387"/>
      <c r="AJH91" s="387"/>
      <c r="AJI91" s="387"/>
      <c r="AJJ91" s="387"/>
      <c r="AJK91" s="387"/>
      <c r="AJL91" s="387"/>
      <c r="AJM91" s="387"/>
      <c r="AJN91" s="387"/>
      <c r="AJO91" s="387"/>
      <c r="AJP91" s="387"/>
      <c r="AJQ91" s="387"/>
      <c r="AJR91" s="387"/>
      <c r="AJS91" s="387"/>
      <c r="AJT91" s="387"/>
      <c r="AJU91" s="387"/>
      <c r="AJV91" s="387"/>
      <c r="AJW91" s="387"/>
      <c r="AJX91" s="387"/>
      <c r="AJY91" s="387"/>
      <c r="AJZ91" s="387"/>
      <c r="AKA91" s="387"/>
      <c r="AKB91" s="387"/>
      <c r="AKC91" s="387"/>
      <c r="AKD91" s="387"/>
      <c r="AKE91" s="387"/>
      <c r="AKF91" s="387"/>
      <c r="AKG91" s="387"/>
      <c r="AKH91" s="387"/>
      <c r="AKI91" s="387"/>
      <c r="AKJ91" s="387"/>
      <c r="AKK91" s="387"/>
      <c r="AKL91" s="387"/>
      <c r="AKM91" s="387"/>
      <c r="AKN91" s="387"/>
      <c r="AKO91" s="387"/>
      <c r="AKP91" s="387"/>
      <c r="AKQ91" s="387"/>
      <c r="AKR91" s="387"/>
      <c r="AKS91" s="387"/>
      <c r="AKT91" s="387"/>
      <c r="AKU91" s="387"/>
      <c r="AKV91" s="387"/>
      <c r="AKW91" s="387"/>
      <c r="AKX91" s="387"/>
      <c r="AKY91" s="387"/>
      <c r="AKZ91" s="387"/>
      <c r="ALA91" s="387"/>
      <c r="ALB91" s="387"/>
      <c r="ALC91" s="387"/>
      <c r="ALD91" s="387"/>
      <c r="ALE91" s="387"/>
      <c r="ALF91" s="387"/>
      <c r="ALG91" s="387"/>
      <c r="ALH91" s="387"/>
      <c r="ALI91" s="387"/>
      <c r="ALJ91" s="387"/>
      <c r="ALK91" s="387"/>
      <c r="ALL91" s="387"/>
      <c r="ALM91" s="387"/>
      <c r="ALN91" s="387"/>
      <c r="ALO91" s="387"/>
      <c r="ALP91" s="387"/>
      <c r="ALQ91" s="387"/>
      <c r="ALR91" s="387"/>
      <c r="ALS91" s="387"/>
      <c r="ALT91" s="387"/>
      <c r="ALU91" s="387"/>
      <c r="ALV91" s="387"/>
      <c r="ALW91" s="387"/>
      <c r="ALX91" s="387"/>
      <c r="ALY91" s="387"/>
      <c r="ALZ91" s="387"/>
      <c r="AMA91" s="387"/>
      <c r="AMB91" s="387"/>
      <c r="AMC91" s="387"/>
      <c r="AMD91" s="387"/>
      <c r="AME91" s="387"/>
      <c r="AMF91" s="387"/>
      <c r="AMG91" s="387"/>
      <c r="AMH91" s="387"/>
      <c r="AMI91" s="387"/>
      <c r="AMJ91" s="387"/>
      <c r="AMK91" s="387"/>
      <c r="AML91" s="387"/>
      <c r="AMM91" s="387"/>
      <c r="AMN91" s="387"/>
      <c r="AMO91" s="387"/>
      <c r="AMP91" s="387"/>
      <c r="AMQ91" s="387"/>
      <c r="AMR91" s="387"/>
      <c r="AMS91" s="387"/>
      <c r="AMT91" s="387"/>
      <c r="AMU91" s="387"/>
      <c r="AMV91" s="387"/>
      <c r="AMW91" s="387"/>
      <c r="AMX91" s="387"/>
      <c r="AMY91" s="387"/>
      <c r="AMZ91" s="387"/>
      <c r="ANA91" s="387"/>
      <c r="ANB91" s="387"/>
      <c r="ANC91" s="387"/>
      <c r="AND91" s="387"/>
      <c r="ANE91" s="387"/>
      <c r="ANF91" s="387"/>
      <c r="ANG91" s="387"/>
      <c r="ANH91" s="387"/>
      <c r="ANI91" s="387"/>
      <c r="ANJ91" s="387"/>
      <c r="ANK91" s="387"/>
      <c r="ANL91" s="387"/>
      <c r="ANM91" s="387"/>
      <c r="ANN91" s="387"/>
      <c r="ANO91" s="387"/>
      <c r="ANP91" s="387"/>
      <c r="ANQ91" s="387"/>
      <c r="ANR91" s="387"/>
      <c r="ANS91" s="387"/>
      <c r="ANT91" s="387"/>
      <c r="ANU91" s="387"/>
      <c r="ANV91" s="387"/>
      <c r="ANW91" s="387"/>
      <c r="ANX91" s="387"/>
      <c r="ANY91" s="387"/>
      <c r="ANZ91" s="387"/>
      <c r="AOA91" s="387"/>
      <c r="AOB91" s="387"/>
      <c r="AOC91" s="387"/>
      <c r="AOD91" s="387"/>
      <c r="AOE91" s="387"/>
      <c r="AOF91" s="387"/>
      <c r="AOG91" s="387"/>
      <c r="AOH91" s="387"/>
      <c r="AOI91" s="387"/>
      <c r="AOJ91" s="387"/>
      <c r="AOK91" s="387"/>
      <c r="AOL91" s="387"/>
      <c r="AOM91" s="387"/>
      <c r="AON91" s="387"/>
      <c r="AOO91" s="387"/>
      <c r="AOP91" s="387"/>
      <c r="AOQ91" s="387"/>
      <c r="AOR91" s="387"/>
      <c r="AOS91" s="387"/>
      <c r="AOT91" s="387"/>
      <c r="AOU91" s="387"/>
      <c r="AOV91" s="387"/>
      <c r="AOW91" s="387"/>
      <c r="AOX91" s="387"/>
      <c r="AOY91" s="387"/>
      <c r="AOZ91" s="387"/>
      <c r="APA91" s="387"/>
      <c r="APB91" s="387"/>
      <c r="APC91" s="387"/>
      <c r="APD91" s="387"/>
      <c r="APE91" s="387"/>
      <c r="APF91" s="387"/>
      <c r="APG91" s="387"/>
      <c r="APH91" s="387"/>
      <c r="API91" s="387"/>
      <c r="APJ91" s="387"/>
      <c r="APK91" s="387"/>
      <c r="APL91" s="387"/>
      <c r="APM91" s="387"/>
      <c r="APN91" s="387"/>
      <c r="APO91" s="387"/>
      <c r="APP91" s="387"/>
      <c r="APQ91" s="387"/>
      <c r="APR91" s="387"/>
      <c r="APS91" s="387"/>
      <c r="APT91" s="387"/>
      <c r="APU91" s="387"/>
      <c r="APV91" s="387"/>
      <c r="APW91" s="387"/>
      <c r="APX91" s="387"/>
      <c r="APY91" s="387"/>
      <c r="APZ91" s="387"/>
      <c r="AQA91" s="387"/>
      <c r="AQB91" s="387"/>
      <c r="AQC91" s="387"/>
      <c r="AQD91" s="387"/>
      <c r="AQE91" s="387"/>
      <c r="AQF91" s="387"/>
      <c r="AQG91" s="387"/>
      <c r="AQH91" s="387"/>
      <c r="AQI91" s="387"/>
      <c r="AQJ91" s="387"/>
      <c r="AQK91" s="387"/>
      <c r="AQL91" s="387"/>
      <c r="AQM91" s="387"/>
      <c r="AQN91" s="387"/>
      <c r="AQO91" s="387"/>
      <c r="AQP91" s="387"/>
      <c r="AQQ91" s="387"/>
      <c r="AQR91" s="387"/>
      <c r="AQS91" s="387"/>
      <c r="AQT91" s="387"/>
      <c r="AQU91" s="387"/>
      <c r="AQV91" s="387"/>
      <c r="AQW91" s="387"/>
      <c r="AQX91" s="387"/>
      <c r="AQY91" s="387"/>
      <c r="AQZ91" s="387"/>
      <c r="ARA91" s="387"/>
      <c r="ARB91" s="387"/>
      <c r="ARC91" s="387"/>
      <c r="ARD91" s="387"/>
      <c r="ARE91" s="387"/>
      <c r="ARF91" s="387"/>
      <c r="ARG91" s="387"/>
      <c r="ARH91" s="387"/>
      <c r="ARI91" s="387"/>
      <c r="ARJ91" s="387"/>
      <c r="ARK91" s="387"/>
      <c r="ARL91" s="387"/>
      <c r="ARM91" s="387"/>
      <c r="ARN91" s="387"/>
      <c r="ARO91" s="387"/>
      <c r="ARP91" s="387"/>
      <c r="ARQ91" s="387"/>
      <c r="ARR91" s="387"/>
      <c r="ARS91" s="387"/>
      <c r="ART91" s="387"/>
      <c r="ARU91" s="387"/>
      <c r="ARV91" s="387"/>
      <c r="ARW91" s="387"/>
      <c r="ARX91" s="387"/>
      <c r="ARY91" s="387"/>
      <c r="ARZ91" s="387"/>
      <c r="ASA91" s="387"/>
      <c r="ASB91" s="387"/>
      <c r="ASC91" s="387"/>
      <c r="ASD91" s="387"/>
      <c r="ASE91" s="387"/>
      <c r="ASF91" s="387"/>
      <c r="ASG91" s="387"/>
      <c r="ASH91" s="387"/>
      <c r="ASI91" s="387"/>
      <c r="ASJ91" s="387"/>
      <c r="ASK91" s="387"/>
      <c r="ASL91" s="387"/>
      <c r="ASM91" s="387"/>
      <c r="ASN91" s="387"/>
      <c r="ASO91" s="387"/>
      <c r="ASP91" s="387"/>
      <c r="ASQ91" s="387"/>
      <c r="ASR91" s="387"/>
      <c r="ASS91" s="387"/>
      <c r="AST91" s="387"/>
      <c r="ASU91" s="387"/>
      <c r="ASV91" s="387"/>
      <c r="ASW91" s="387"/>
      <c r="ASX91" s="387"/>
      <c r="ASY91" s="387"/>
      <c r="ASZ91" s="387"/>
      <c r="ATA91" s="387"/>
      <c r="ATB91" s="387"/>
      <c r="ATC91" s="387"/>
      <c r="ATD91" s="387"/>
      <c r="ATE91" s="387"/>
      <c r="ATF91" s="387"/>
      <c r="ATG91" s="387"/>
      <c r="ATH91" s="387"/>
      <c r="ATI91" s="387"/>
      <c r="ATJ91" s="387"/>
      <c r="ATK91" s="387"/>
      <c r="ATL91" s="387"/>
      <c r="ATM91" s="387"/>
      <c r="ATN91" s="387"/>
      <c r="ATO91" s="387"/>
      <c r="ATP91" s="387"/>
      <c r="ATQ91" s="387"/>
      <c r="ATR91" s="387"/>
      <c r="ATS91" s="387"/>
      <c r="ATT91" s="387"/>
      <c r="ATU91" s="387"/>
      <c r="ATV91" s="387"/>
      <c r="ATW91" s="387"/>
      <c r="ATX91" s="387"/>
      <c r="ATY91" s="387"/>
      <c r="ATZ91" s="387"/>
      <c r="AUA91" s="387"/>
      <c r="AUB91" s="387"/>
      <c r="AUC91" s="387"/>
      <c r="AUD91" s="387"/>
      <c r="AUE91" s="387"/>
      <c r="AUF91" s="387"/>
      <c r="AUG91" s="387"/>
      <c r="AUH91" s="387"/>
      <c r="AUI91" s="387"/>
      <c r="AUJ91" s="387"/>
      <c r="AUK91" s="387"/>
      <c r="AUL91" s="387"/>
      <c r="AUM91" s="387"/>
      <c r="AUN91" s="387"/>
      <c r="AUO91" s="387"/>
      <c r="AUP91" s="387"/>
      <c r="AUQ91" s="387"/>
      <c r="AUR91" s="387"/>
      <c r="AUS91" s="387"/>
      <c r="AUT91" s="387"/>
      <c r="AUU91" s="387"/>
      <c r="AUV91" s="387"/>
      <c r="AUW91" s="387"/>
      <c r="AUX91" s="387"/>
      <c r="AUY91" s="387"/>
      <c r="AUZ91" s="387"/>
      <c r="AVA91" s="387"/>
      <c r="AVB91" s="387"/>
      <c r="AVC91" s="387"/>
      <c r="AVD91" s="387"/>
      <c r="AVE91" s="387"/>
      <c r="AVF91" s="387"/>
      <c r="AVG91" s="387"/>
      <c r="AVH91" s="387"/>
      <c r="AVI91" s="387"/>
      <c r="AVJ91" s="387"/>
      <c r="AVK91" s="387"/>
      <c r="AVL91" s="387"/>
      <c r="AVM91" s="387"/>
      <c r="AVN91" s="387"/>
      <c r="AVO91" s="387"/>
      <c r="AVP91" s="387"/>
      <c r="AVQ91" s="387"/>
      <c r="AVR91" s="387"/>
      <c r="AVS91" s="387"/>
      <c r="AVT91" s="387"/>
      <c r="AVU91" s="387"/>
      <c r="AVV91" s="387"/>
      <c r="AVW91" s="387"/>
      <c r="AVX91" s="387"/>
      <c r="AVY91" s="387"/>
      <c r="AVZ91" s="387"/>
      <c r="AWA91" s="387"/>
      <c r="AWB91" s="387"/>
      <c r="AWC91" s="387"/>
      <c r="AWD91" s="387"/>
      <c r="AWE91" s="387"/>
      <c r="AWF91" s="387"/>
      <c r="AWG91" s="387"/>
      <c r="AWH91" s="387"/>
      <c r="AWI91" s="387"/>
      <c r="AWJ91" s="387"/>
      <c r="AWK91" s="387"/>
      <c r="AWL91" s="387"/>
      <c r="AWM91" s="387"/>
      <c r="AWN91" s="387"/>
      <c r="AWO91" s="387"/>
      <c r="AWP91" s="387"/>
      <c r="AWQ91" s="387"/>
      <c r="AWR91" s="387"/>
      <c r="AWS91" s="387"/>
      <c r="AWT91" s="387"/>
      <c r="AWU91" s="387"/>
      <c r="AWV91" s="387"/>
      <c r="AWW91" s="387"/>
      <c r="AWX91" s="387"/>
      <c r="AWY91" s="387"/>
      <c r="AWZ91" s="387"/>
      <c r="AXA91" s="387"/>
      <c r="AXB91" s="387"/>
      <c r="AXC91" s="387"/>
      <c r="AXD91" s="387"/>
      <c r="AXE91" s="387"/>
      <c r="AXF91" s="387"/>
      <c r="AXG91" s="387"/>
      <c r="AXH91" s="387"/>
      <c r="AXI91" s="387"/>
      <c r="AXJ91" s="387"/>
      <c r="AXK91" s="387"/>
      <c r="AXL91" s="387"/>
      <c r="AXM91" s="387"/>
      <c r="AXN91" s="387"/>
      <c r="AXO91" s="387"/>
      <c r="AXP91" s="387"/>
      <c r="AXQ91" s="387"/>
      <c r="AXR91" s="387"/>
      <c r="AXS91" s="387"/>
      <c r="AXT91" s="387"/>
      <c r="AXU91" s="387"/>
      <c r="AXV91" s="387"/>
      <c r="AXW91" s="387"/>
      <c r="AXX91" s="387"/>
      <c r="AXY91" s="387"/>
      <c r="AXZ91" s="387"/>
      <c r="AYA91" s="387"/>
      <c r="AYB91" s="387"/>
      <c r="AYC91" s="387"/>
      <c r="AYD91" s="387"/>
      <c r="AYE91" s="387"/>
      <c r="AYF91" s="387"/>
      <c r="AYG91" s="387"/>
      <c r="AYH91" s="387"/>
      <c r="AYI91" s="387"/>
      <c r="AYJ91" s="387"/>
      <c r="AYK91" s="387"/>
      <c r="AYL91" s="387"/>
      <c r="AYM91" s="387"/>
      <c r="AYN91" s="387"/>
      <c r="AYO91" s="387"/>
      <c r="AYP91" s="387"/>
      <c r="AYQ91" s="387"/>
      <c r="AYR91" s="387"/>
      <c r="AYS91" s="387"/>
      <c r="AYT91" s="387"/>
      <c r="AYU91" s="387"/>
      <c r="AYV91" s="387"/>
      <c r="AYW91" s="387"/>
      <c r="AYX91" s="387"/>
      <c r="AYY91" s="387"/>
      <c r="AYZ91" s="387"/>
      <c r="AZA91" s="387"/>
      <c r="AZB91" s="387"/>
      <c r="AZC91" s="387"/>
      <c r="AZD91" s="387"/>
      <c r="AZE91" s="387"/>
      <c r="AZF91" s="387"/>
      <c r="AZG91" s="387"/>
      <c r="AZH91" s="387"/>
      <c r="AZI91" s="387"/>
      <c r="AZJ91" s="387"/>
      <c r="AZK91" s="387"/>
      <c r="AZL91" s="387"/>
      <c r="AZM91" s="387"/>
      <c r="AZN91" s="387"/>
      <c r="AZO91" s="387"/>
      <c r="AZP91" s="387"/>
      <c r="AZQ91" s="387"/>
      <c r="AZR91" s="387"/>
      <c r="AZS91" s="387"/>
      <c r="AZT91" s="387"/>
      <c r="AZU91" s="387"/>
      <c r="AZV91" s="387"/>
      <c r="AZW91" s="387"/>
      <c r="AZX91" s="387"/>
      <c r="AZY91" s="387"/>
      <c r="AZZ91" s="387"/>
      <c r="BAA91" s="387"/>
      <c r="BAB91" s="387"/>
      <c r="BAC91" s="387"/>
      <c r="BAD91" s="387"/>
      <c r="BAE91" s="387"/>
      <c r="BAF91" s="387"/>
      <c r="BAG91" s="387"/>
      <c r="BAH91" s="387"/>
      <c r="BAI91" s="387"/>
      <c r="BAJ91" s="387"/>
      <c r="BAK91" s="387"/>
      <c r="BAL91" s="387"/>
      <c r="BAM91" s="387"/>
      <c r="BAN91" s="387"/>
      <c r="BAO91" s="387"/>
      <c r="BAP91" s="387"/>
      <c r="BAQ91" s="387"/>
      <c r="BAR91" s="387"/>
      <c r="BAS91" s="387"/>
      <c r="BAT91" s="387"/>
      <c r="BAU91" s="387"/>
      <c r="BAV91" s="387"/>
      <c r="BAW91" s="387"/>
      <c r="BAX91" s="387"/>
      <c r="BAY91" s="387"/>
      <c r="BAZ91" s="387"/>
      <c r="BBA91" s="387"/>
      <c r="BBB91" s="387"/>
      <c r="BBC91" s="387"/>
      <c r="BBD91" s="387"/>
      <c r="BBE91" s="387"/>
      <c r="BBF91" s="387"/>
      <c r="BBG91" s="387"/>
      <c r="BBH91" s="387"/>
      <c r="BBI91" s="387"/>
      <c r="BBJ91" s="387"/>
      <c r="BBK91" s="387"/>
      <c r="BBL91" s="387"/>
      <c r="BBM91" s="387"/>
      <c r="BBN91" s="387"/>
      <c r="BBO91" s="387"/>
      <c r="BBP91" s="387"/>
      <c r="BBQ91" s="387"/>
      <c r="BBR91" s="387"/>
      <c r="BBS91" s="387"/>
      <c r="BBT91" s="387"/>
      <c r="BBU91" s="387"/>
      <c r="BBV91" s="387"/>
      <c r="BBW91" s="387"/>
      <c r="BBX91" s="387"/>
      <c r="BBY91" s="387"/>
      <c r="BBZ91" s="387"/>
      <c r="BCA91" s="387"/>
      <c r="BCB91" s="387"/>
      <c r="BCC91" s="387"/>
      <c r="BCD91" s="387"/>
      <c r="BCE91" s="387"/>
      <c r="BCF91" s="387"/>
      <c r="BCG91" s="387"/>
      <c r="BCH91" s="387"/>
      <c r="BCI91" s="387"/>
      <c r="BCJ91" s="387"/>
      <c r="BCK91" s="387"/>
      <c r="BCL91" s="387"/>
      <c r="BCM91" s="387"/>
      <c r="BCN91" s="387"/>
      <c r="BCO91" s="387"/>
      <c r="BCP91" s="387"/>
      <c r="BCQ91" s="387"/>
      <c r="BCR91" s="387"/>
      <c r="BCS91" s="387"/>
      <c r="BCT91" s="387"/>
      <c r="BCU91" s="387"/>
      <c r="BCV91" s="387"/>
      <c r="BCW91" s="387"/>
      <c r="BCX91" s="387"/>
      <c r="BCY91" s="387"/>
      <c r="BCZ91" s="387"/>
      <c r="BDA91" s="387"/>
      <c r="BDB91" s="387"/>
      <c r="BDC91" s="387"/>
      <c r="BDD91" s="387"/>
      <c r="BDE91" s="387"/>
      <c r="BDF91" s="387"/>
      <c r="BDG91" s="387"/>
      <c r="BDH91" s="387"/>
      <c r="BDI91" s="387"/>
      <c r="BDJ91" s="387"/>
      <c r="BDK91" s="387"/>
      <c r="BDL91" s="387"/>
      <c r="BDM91" s="387"/>
      <c r="BDN91" s="387"/>
      <c r="BDO91" s="387"/>
      <c r="BDP91" s="387"/>
      <c r="BDQ91" s="387"/>
      <c r="BDR91" s="387"/>
      <c r="BDS91" s="387"/>
      <c r="BDT91" s="387"/>
      <c r="BDU91" s="387"/>
      <c r="BDV91" s="387"/>
      <c r="BDW91" s="387"/>
      <c r="BDX91" s="387"/>
      <c r="BDY91" s="387"/>
      <c r="BDZ91" s="387"/>
      <c r="BEA91" s="387"/>
      <c r="BEB91" s="387"/>
      <c r="BEC91" s="387"/>
      <c r="BED91" s="387"/>
      <c r="BEE91" s="387"/>
      <c r="BEF91" s="387"/>
      <c r="BEG91" s="387"/>
      <c r="BEH91" s="387"/>
      <c r="BEI91" s="387"/>
      <c r="BEJ91" s="387"/>
      <c r="BEK91" s="387"/>
      <c r="BEL91" s="387"/>
      <c r="BEM91" s="387"/>
      <c r="BEN91" s="387"/>
      <c r="BEO91" s="387"/>
      <c r="BEP91" s="387"/>
      <c r="BEQ91" s="387"/>
      <c r="BER91" s="387"/>
      <c r="BES91" s="387"/>
      <c r="BET91" s="387"/>
      <c r="BEU91" s="387"/>
      <c r="BEV91" s="387"/>
      <c r="BEW91" s="387"/>
      <c r="BEX91" s="387"/>
      <c r="BEY91" s="387"/>
      <c r="BEZ91" s="387"/>
      <c r="BFA91" s="387"/>
      <c r="BFB91" s="387"/>
      <c r="BFC91" s="387"/>
      <c r="BFD91" s="387"/>
      <c r="BFE91" s="387"/>
      <c r="BFF91" s="387"/>
      <c r="BFG91" s="387"/>
      <c r="BFH91" s="387"/>
      <c r="BFI91" s="387"/>
      <c r="BFJ91" s="387"/>
      <c r="BFK91" s="387"/>
      <c r="BFL91" s="387"/>
      <c r="BFM91" s="387"/>
      <c r="BFN91" s="387"/>
      <c r="BFO91" s="387"/>
      <c r="BFP91" s="387"/>
      <c r="BFQ91" s="387"/>
      <c r="BFR91" s="387"/>
      <c r="BFS91" s="387"/>
      <c r="BFT91" s="387"/>
      <c r="BFU91" s="387"/>
      <c r="BFV91" s="387"/>
      <c r="BFW91" s="387"/>
      <c r="BFX91" s="387"/>
      <c r="BFY91" s="387"/>
      <c r="BFZ91" s="387"/>
      <c r="BGA91" s="387"/>
      <c r="BGB91" s="387"/>
      <c r="BGC91" s="387"/>
      <c r="BGD91" s="387"/>
      <c r="BGE91" s="387"/>
      <c r="BGF91" s="387"/>
      <c r="BGG91" s="387"/>
      <c r="BGH91" s="387"/>
      <c r="BGI91" s="387"/>
      <c r="BGJ91" s="387"/>
      <c r="BGK91" s="387"/>
      <c r="BGL91" s="387"/>
      <c r="BGM91" s="387"/>
      <c r="BGN91" s="387"/>
      <c r="BGO91" s="387"/>
      <c r="BGP91" s="387"/>
      <c r="BGQ91" s="387"/>
      <c r="BGR91" s="387"/>
      <c r="BGS91" s="387"/>
      <c r="BGT91" s="387"/>
      <c r="BGU91" s="387"/>
      <c r="BGV91" s="387"/>
      <c r="BGW91" s="387"/>
      <c r="BGX91" s="387"/>
      <c r="BGY91" s="387"/>
      <c r="BGZ91" s="387"/>
      <c r="BHA91" s="387"/>
      <c r="BHB91" s="387"/>
      <c r="BHC91" s="387"/>
      <c r="BHD91" s="387"/>
      <c r="BHE91" s="387"/>
      <c r="BHF91" s="387"/>
      <c r="BHG91" s="387"/>
      <c r="BHH91" s="387"/>
      <c r="BHI91" s="387"/>
      <c r="BHJ91" s="387"/>
      <c r="BHK91" s="387"/>
      <c r="BHL91" s="387"/>
      <c r="BHM91" s="387"/>
      <c r="BHN91" s="387"/>
      <c r="BHO91" s="387"/>
      <c r="BHP91" s="387"/>
      <c r="BHQ91" s="387"/>
      <c r="BHR91" s="387"/>
      <c r="BHS91" s="387"/>
      <c r="BHT91" s="387"/>
      <c r="BHU91" s="387"/>
      <c r="BHV91" s="387"/>
      <c r="BHW91" s="387"/>
      <c r="BHX91" s="387"/>
      <c r="BHY91" s="387"/>
      <c r="BHZ91" s="387"/>
      <c r="BIA91" s="387"/>
      <c r="BIB91" s="387"/>
      <c r="BIC91" s="387"/>
      <c r="BID91" s="387"/>
      <c r="BIE91" s="387"/>
      <c r="BIF91" s="387"/>
      <c r="BIG91" s="387"/>
      <c r="BIH91" s="387"/>
      <c r="BII91" s="387"/>
      <c r="BIJ91" s="387"/>
      <c r="BIK91" s="387"/>
      <c r="BIL91" s="387"/>
      <c r="BIM91" s="387"/>
      <c r="BIN91" s="387"/>
      <c r="BIO91" s="387"/>
      <c r="BIP91" s="387"/>
      <c r="BIQ91" s="387"/>
      <c r="BIR91" s="387"/>
      <c r="BIS91" s="387"/>
      <c r="BIT91" s="387"/>
      <c r="BIU91" s="387"/>
      <c r="BIV91" s="387"/>
      <c r="BIW91" s="387"/>
      <c r="BIX91" s="387"/>
      <c r="BIY91" s="387"/>
      <c r="BIZ91" s="387"/>
      <c r="BJA91" s="387"/>
      <c r="BJB91" s="387"/>
      <c r="BJC91" s="387"/>
      <c r="BJD91" s="387"/>
      <c r="BJE91" s="387"/>
      <c r="BJF91" s="387"/>
      <c r="BJG91" s="387"/>
      <c r="BJH91" s="387"/>
      <c r="BJI91" s="387"/>
      <c r="BJJ91" s="387"/>
      <c r="BJK91" s="387"/>
      <c r="BJL91" s="387"/>
      <c r="BJM91" s="387"/>
      <c r="BJN91" s="387"/>
      <c r="BJO91" s="387"/>
      <c r="BJP91" s="387"/>
      <c r="BJQ91" s="387"/>
      <c r="BJR91" s="387"/>
      <c r="BJS91" s="387"/>
      <c r="BJT91" s="387"/>
      <c r="BJU91" s="387"/>
      <c r="BJV91" s="387"/>
      <c r="BJW91" s="387"/>
      <c r="BJX91" s="387"/>
      <c r="BJY91" s="387"/>
      <c r="BJZ91" s="387"/>
      <c r="BKA91" s="387"/>
      <c r="BKB91" s="387"/>
      <c r="BKC91" s="387"/>
      <c r="BKD91" s="387"/>
      <c r="BKE91" s="387"/>
      <c r="BKF91" s="387"/>
      <c r="BKG91" s="387"/>
      <c r="BKH91" s="387"/>
      <c r="BKI91" s="387"/>
      <c r="BKJ91" s="387"/>
      <c r="BKK91" s="387"/>
      <c r="BKL91" s="387"/>
      <c r="BKM91" s="387"/>
      <c r="BKN91" s="387"/>
      <c r="BKO91" s="387"/>
      <c r="BKP91" s="387"/>
      <c r="BKQ91" s="387"/>
      <c r="BKR91" s="387"/>
      <c r="BKS91" s="387"/>
      <c r="BKT91" s="387"/>
      <c r="BKU91" s="387"/>
      <c r="BKV91" s="387"/>
      <c r="BKW91" s="387"/>
      <c r="BKX91" s="387"/>
      <c r="BKY91" s="387"/>
      <c r="BKZ91" s="387"/>
      <c r="BLA91" s="387"/>
      <c r="BLB91" s="387"/>
      <c r="BLC91" s="387"/>
      <c r="BLD91" s="387"/>
      <c r="BLE91" s="387"/>
      <c r="BLF91" s="387"/>
      <c r="BLG91" s="387"/>
      <c r="BLH91" s="387"/>
      <c r="BLI91" s="387"/>
      <c r="BLJ91" s="387"/>
      <c r="BLK91" s="387"/>
      <c r="BLL91" s="387"/>
      <c r="BLM91" s="387"/>
      <c r="BLN91" s="387"/>
      <c r="BLO91" s="387"/>
      <c r="BLP91" s="387"/>
      <c r="BLQ91" s="387"/>
      <c r="BLR91" s="387"/>
      <c r="BLS91" s="387"/>
      <c r="BLT91" s="387"/>
      <c r="BLU91" s="387"/>
      <c r="BLV91" s="387"/>
      <c r="BLW91" s="387"/>
      <c r="BLX91" s="387"/>
      <c r="BLY91" s="387"/>
      <c r="BLZ91" s="387"/>
      <c r="BMA91" s="387"/>
      <c r="BMB91" s="387"/>
      <c r="BMC91" s="387"/>
      <c r="BMD91" s="387"/>
      <c r="BME91" s="387"/>
      <c r="BMF91" s="387"/>
      <c r="BMG91" s="387"/>
      <c r="BMH91" s="387"/>
      <c r="BMI91" s="387"/>
      <c r="BMJ91" s="387"/>
      <c r="BMK91" s="387"/>
      <c r="BML91" s="387"/>
      <c r="BMM91" s="387"/>
      <c r="BMN91" s="387"/>
      <c r="BMO91" s="387"/>
      <c r="BMP91" s="387"/>
      <c r="BMQ91" s="387"/>
      <c r="BMR91" s="387"/>
      <c r="BMS91" s="387"/>
      <c r="BMT91" s="387"/>
      <c r="BMU91" s="387"/>
      <c r="BMV91" s="387"/>
      <c r="BMW91" s="387"/>
      <c r="BMX91" s="387"/>
      <c r="BMY91" s="387"/>
      <c r="BMZ91" s="387"/>
      <c r="BNA91" s="387"/>
      <c r="BNB91" s="387"/>
      <c r="BNC91" s="387"/>
      <c r="BND91" s="387"/>
      <c r="BNE91" s="387"/>
      <c r="BNF91" s="387"/>
      <c r="BNG91" s="387"/>
      <c r="BNH91" s="387"/>
      <c r="BNI91" s="387"/>
      <c r="BNJ91" s="387"/>
      <c r="BNK91" s="387"/>
      <c r="BNL91" s="387"/>
      <c r="BNM91" s="387"/>
      <c r="BNN91" s="387"/>
      <c r="BNO91" s="387"/>
      <c r="BNP91" s="387"/>
      <c r="BNQ91" s="387"/>
      <c r="BNR91" s="387"/>
      <c r="BNS91" s="387"/>
      <c r="BNT91" s="387"/>
      <c r="BNU91" s="387"/>
      <c r="BNV91" s="387"/>
      <c r="BNW91" s="387"/>
      <c r="BNX91" s="387"/>
      <c r="BNY91" s="387"/>
      <c r="BNZ91" s="387"/>
      <c r="BOA91" s="387"/>
      <c r="BOB91" s="387"/>
      <c r="BOC91" s="387"/>
      <c r="BOD91" s="387"/>
      <c r="BOE91" s="387"/>
      <c r="BOF91" s="387"/>
      <c r="BOG91" s="387"/>
      <c r="BOH91" s="387"/>
      <c r="BOI91" s="387"/>
      <c r="BOJ91" s="387"/>
      <c r="BOK91" s="387"/>
      <c r="BOL91" s="387"/>
      <c r="BOM91" s="387"/>
      <c r="BON91" s="387"/>
      <c r="BOO91" s="387"/>
      <c r="BOP91" s="387"/>
      <c r="BOQ91" s="387"/>
      <c r="BOR91" s="387"/>
      <c r="BOS91" s="387"/>
      <c r="BOT91" s="387"/>
      <c r="BOU91" s="387"/>
      <c r="BOV91" s="387"/>
      <c r="BOW91" s="387"/>
      <c r="BOX91" s="387"/>
      <c r="BOY91" s="387"/>
      <c r="BOZ91" s="387"/>
      <c r="BPA91" s="387"/>
      <c r="BPB91" s="387"/>
      <c r="BPC91" s="387"/>
      <c r="BPD91" s="387"/>
      <c r="BPE91" s="387"/>
      <c r="BPF91" s="387"/>
      <c r="BPG91" s="387"/>
      <c r="BPH91" s="387"/>
      <c r="BPI91" s="387"/>
      <c r="BPJ91" s="387"/>
      <c r="BPK91" s="387"/>
      <c r="BPL91" s="387"/>
      <c r="BPM91" s="387"/>
      <c r="BPN91" s="387"/>
      <c r="BPO91" s="387"/>
      <c r="BPP91" s="387"/>
      <c r="BPQ91" s="387"/>
      <c r="BPR91" s="387"/>
      <c r="BPS91" s="387"/>
      <c r="BPT91" s="387"/>
      <c r="BPU91" s="387"/>
      <c r="BPV91" s="387"/>
      <c r="BPW91" s="387"/>
      <c r="BPX91" s="387"/>
      <c r="BPY91" s="387"/>
      <c r="BPZ91" s="387"/>
      <c r="BQA91" s="387"/>
      <c r="BQB91" s="387"/>
      <c r="BQC91" s="387"/>
      <c r="BQD91" s="387"/>
      <c r="BQE91" s="387"/>
      <c r="BQF91" s="387"/>
      <c r="BQG91" s="387"/>
      <c r="BQH91" s="387"/>
      <c r="BQI91" s="387"/>
      <c r="BQJ91" s="387"/>
      <c r="BQK91" s="387"/>
      <c r="BQL91" s="387"/>
      <c r="BQM91" s="387"/>
      <c r="BQN91" s="387"/>
      <c r="BQO91" s="387"/>
      <c r="BQP91" s="387"/>
      <c r="BQQ91" s="387"/>
      <c r="BQR91" s="387"/>
      <c r="BQS91" s="387"/>
      <c r="BQT91" s="387"/>
      <c r="BQU91" s="387"/>
      <c r="BQV91" s="387"/>
      <c r="BQW91" s="387"/>
      <c r="BQX91" s="387"/>
      <c r="BQY91" s="387"/>
      <c r="BQZ91" s="387"/>
      <c r="BRA91" s="387"/>
      <c r="BRB91" s="387"/>
      <c r="BRC91" s="387"/>
      <c r="BRD91" s="387"/>
      <c r="BRE91" s="387"/>
      <c r="BRF91" s="387"/>
      <c r="BRG91" s="387"/>
      <c r="BRH91" s="387"/>
      <c r="BRI91" s="387"/>
      <c r="BRJ91" s="387"/>
      <c r="BRK91" s="387"/>
      <c r="BRL91" s="387"/>
      <c r="BRM91" s="387"/>
      <c r="BRN91" s="387"/>
      <c r="BRO91" s="387"/>
      <c r="BRP91" s="387"/>
      <c r="BRQ91" s="387"/>
      <c r="BRR91" s="387"/>
      <c r="BRS91" s="387"/>
      <c r="BRT91" s="387"/>
      <c r="BRU91" s="387"/>
      <c r="BRV91" s="387"/>
      <c r="BRW91" s="387"/>
      <c r="BRX91" s="387"/>
      <c r="BRY91" s="387"/>
      <c r="BRZ91" s="387"/>
      <c r="BSA91" s="387"/>
      <c r="BSB91" s="387"/>
      <c r="BSC91" s="387"/>
      <c r="BSD91" s="387"/>
      <c r="BSE91" s="387"/>
      <c r="BSF91" s="387"/>
      <c r="BSG91" s="387"/>
      <c r="BSH91" s="387"/>
      <c r="BSI91" s="387"/>
      <c r="BSJ91" s="387"/>
      <c r="BSK91" s="387"/>
      <c r="BSL91" s="387"/>
      <c r="BSM91" s="387"/>
      <c r="BSN91" s="387"/>
      <c r="BSO91" s="387"/>
      <c r="BSP91" s="387"/>
      <c r="BSQ91" s="387"/>
      <c r="BSR91" s="387"/>
      <c r="BSS91" s="387"/>
      <c r="BST91" s="387"/>
      <c r="BSU91" s="387"/>
      <c r="BSV91" s="387"/>
      <c r="BSW91" s="387"/>
      <c r="BSX91" s="387"/>
      <c r="BSY91" s="387"/>
      <c r="BSZ91" s="387"/>
      <c r="BTA91" s="387"/>
      <c r="BTB91" s="387"/>
      <c r="BTC91" s="387"/>
      <c r="BTD91" s="387"/>
      <c r="BTE91" s="387"/>
      <c r="BTF91" s="387"/>
      <c r="BTG91" s="387"/>
      <c r="BTH91" s="387"/>
      <c r="BTI91" s="387"/>
    </row>
    <row r="92" spans="1:1881" ht="48" customHeight="1" x14ac:dyDescent="0.25">
      <c r="A92" s="186">
        <v>349</v>
      </c>
      <c r="B92" s="62" t="s">
        <v>85</v>
      </c>
      <c r="C92" s="157" t="s">
        <v>201</v>
      </c>
      <c r="D92" s="172" t="s">
        <v>190</v>
      </c>
      <c r="E92" s="683" t="e">
        <f>HLOOKUP('Unit Data from Audit Worksheet'!$D$2,'2019 Data(H)'!$D$1:$BB$202,72,FALSE)</f>
        <v>#N/A</v>
      </c>
      <c r="F92" s="686"/>
      <c r="G92" s="388" t="str">
        <f>IF(F85&gt;F92,"Error: Please review accts 633&gt;349","")</f>
        <v/>
      </c>
      <c r="H92" s="14"/>
      <c r="I92" s="31"/>
      <c r="S92" s="682"/>
      <c r="X92" s="682"/>
    </row>
    <row r="93" spans="1:1881" ht="105" customHeight="1" x14ac:dyDescent="0.25">
      <c r="A93" s="186">
        <v>375</v>
      </c>
      <c r="B93" s="62" t="s">
        <v>85</v>
      </c>
      <c r="C93" s="157" t="s">
        <v>201</v>
      </c>
      <c r="D93" s="139" t="s">
        <v>544</v>
      </c>
      <c r="E93" s="683" t="e">
        <f>HLOOKUP('Unit Data from Audit Worksheet'!$D$2,'2019 Data(H)'!$D$1:$BB$202,92,FALSE)</f>
        <v>#N/A</v>
      </c>
      <c r="F93" s="686"/>
      <c r="G93" s="311"/>
      <c r="H93" s="14"/>
      <c r="I93" s="31"/>
      <c r="S93" s="682"/>
      <c r="X93" s="682"/>
    </row>
    <row r="94" spans="1:1881" ht="47.25" customHeight="1" x14ac:dyDescent="0.25">
      <c r="A94" s="186">
        <v>83</v>
      </c>
      <c r="B94" s="62" t="s">
        <v>84</v>
      </c>
      <c r="C94" s="157" t="s">
        <v>201</v>
      </c>
      <c r="D94" s="172" t="s">
        <v>191</v>
      </c>
      <c r="E94" s="683" t="e">
        <f>HLOOKUP('Unit Data from Audit Worksheet'!$D$2,'2019 Data(H)'!$D$1:$BB$202,28,FALSE)</f>
        <v>#N/A</v>
      </c>
      <c r="F94" s="686"/>
      <c r="G94" s="388">
        <f>IF(F83-F92-F94=0,,"Error: Total assets less total liabilities do not equal total net assets.  Account numbers 381-349-83=0  The amount of the formula is in the cell to the right")</f>
        <v>0</v>
      </c>
      <c r="H94" s="189">
        <f>F83-F92-F94</f>
        <v>0</v>
      </c>
      <c r="I94" s="31"/>
      <c r="S94" s="682"/>
      <c r="X94" s="682"/>
    </row>
    <row r="95" spans="1:1881" ht="40.5" customHeight="1" x14ac:dyDescent="0.3">
      <c r="A95" s="187"/>
      <c r="B95" s="159" t="s">
        <v>192</v>
      </c>
      <c r="C95" s="158"/>
      <c r="D95" s="153"/>
      <c r="E95" s="153"/>
      <c r="F95" s="748"/>
      <c r="G95" s="528"/>
      <c r="H95" s="50"/>
      <c r="I95" s="31"/>
      <c r="S95" s="682"/>
      <c r="X95" s="682"/>
    </row>
    <row r="96" spans="1:1881" s="219" customFormat="1" ht="59.25" customHeight="1" x14ac:dyDescent="0.25">
      <c r="A96" s="186">
        <v>90</v>
      </c>
      <c r="B96" s="62" t="s">
        <v>86</v>
      </c>
      <c r="C96" s="157" t="s">
        <v>200</v>
      </c>
      <c r="D96" s="163" t="s">
        <v>193</v>
      </c>
      <c r="E96" s="683" t="e">
        <f>HLOOKUP('Unit Data from Audit Worksheet'!$D$2,'2019 Data(H)'!$D$1:$BB$202,33,FALSE)</f>
        <v>#N/A</v>
      </c>
      <c r="F96" s="686"/>
      <c r="G96" s="388">
        <f>IF(F96&lt;0,"Note: Number is normally positive.",)</f>
        <v>0</v>
      </c>
      <c r="H96" s="190"/>
      <c r="I96" s="31"/>
      <c r="J96" s="387"/>
      <c r="K96" s="387"/>
      <c r="L96" s="387"/>
      <c r="M96" s="387"/>
      <c r="N96"/>
      <c r="O96" s="387"/>
      <c r="P96" s="387"/>
      <c r="Q96" s="387"/>
      <c r="R96"/>
      <c r="S96" s="682"/>
      <c r="T96" s="387"/>
      <c r="U96" s="387"/>
      <c r="V96" s="387"/>
      <c r="W96" s="387"/>
      <c r="X96" s="682"/>
      <c r="Y96" s="387"/>
      <c r="Z96" s="387"/>
      <c r="AA96" s="387"/>
      <c r="AB96" s="387"/>
      <c r="AC96" s="387"/>
      <c r="AD96" s="387"/>
      <c r="AE96" s="387"/>
      <c r="AF96" s="387"/>
      <c r="AG96" s="387"/>
      <c r="AH96" s="387"/>
      <c r="AI96" s="387"/>
      <c r="AJ96" s="387"/>
      <c r="AK96" s="387"/>
      <c r="AL96" s="387"/>
      <c r="AM96" s="387"/>
      <c r="AN96" s="387"/>
      <c r="AO96" s="387"/>
      <c r="AP96" s="387"/>
      <c r="AQ96" s="387"/>
      <c r="AR96" s="387"/>
      <c r="AS96" s="387"/>
      <c r="AT96" s="387"/>
      <c r="AU96" s="387"/>
      <c r="AV96" s="387"/>
      <c r="AW96" s="387"/>
      <c r="AX96" s="387"/>
      <c r="AY96" s="387"/>
      <c r="AZ96" s="387"/>
      <c r="BA96" s="387"/>
      <c r="BB96" s="387"/>
      <c r="BC96" s="387"/>
      <c r="BD96" s="387"/>
      <c r="BE96" s="387"/>
      <c r="BF96" s="387"/>
      <c r="BG96" s="387"/>
      <c r="BH96" s="387"/>
      <c r="BI96" s="387"/>
      <c r="BJ96" s="387"/>
      <c r="BK96" s="387"/>
      <c r="BL96" s="387"/>
      <c r="BM96" s="387"/>
      <c r="BN96" s="387"/>
      <c r="BO96" s="387"/>
      <c r="BP96" s="387"/>
      <c r="BQ96" s="387"/>
      <c r="BR96" s="387"/>
      <c r="BS96" s="387"/>
      <c r="BT96" s="387"/>
      <c r="BU96" s="387"/>
      <c r="BV96" s="387"/>
      <c r="BW96" s="387"/>
      <c r="BX96" s="387"/>
      <c r="BY96" s="387"/>
      <c r="BZ96" s="387"/>
      <c r="CA96" s="387"/>
      <c r="CB96" s="387"/>
      <c r="CC96" s="387"/>
      <c r="CD96" s="387"/>
      <c r="CE96" s="387"/>
      <c r="CF96" s="387"/>
      <c r="CG96" s="387"/>
      <c r="CH96" s="387"/>
      <c r="CI96" s="387"/>
      <c r="CJ96" s="387"/>
      <c r="CK96" s="387"/>
      <c r="CL96" s="387"/>
      <c r="CM96" s="387"/>
      <c r="CN96" s="387"/>
      <c r="CO96" s="387"/>
      <c r="CP96" s="387"/>
      <c r="CQ96" s="387"/>
      <c r="CR96" s="387"/>
      <c r="CS96" s="387"/>
      <c r="CT96" s="387"/>
      <c r="CU96" s="387"/>
      <c r="CV96" s="387"/>
      <c r="CW96" s="387"/>
      <c r="CX96" s="387"/>
      <c r="CY96" s="387"/>
      <c r="CZ96" s="387"/>
      <c r="DA96" s="387"/>
      <c r="DB96" s="387"/>
      <c r="DC96" s="387"/>
      <c r="DD96" s="387"/>
      <c r="DE96" s="387"/>
      <c r="DF96" s="387"/>
      <c r="DG96" s="387"/>
      <c r="DH96" s="387"/>
      <c r="DI96" s="387"/>
      <c r="DJ96" s="387"/>
      <c r="DK96" s="387"/>
      <c r="DL96" s="387"/>
      <c r="DM96" s="387"/>
      <c r="DN96" s="387"/>
      <c r="DO96" s="387"/>
      <c r="DP96" s="387"/>
      <c r="DQ96" s="387"/>
      <c r="DR96" s="387"/>
      <c r="DS96" s="387"/>
      <c r="DT96" s="387"/>
      <c r="DU96" s="387"/>
      <c r="DV96" s="387"/>
      <c r="DW96" s="387"/>
      <c r="DX96" s="387"/>
      <c r="DY96" s="387"/>
      <c r="DZ96" s="387"/>
      <c r="EA96" s="387"/>
      <c r="EB96" s="387"/>
      <c r="EC96" s="387"/>
      <c r="ED96" s="387"/>
      <c r="EE96" s="387"/>
      <c r="EF96" s="387"/>
      <c r="EG96" s="387"/>
      <c r="EH96" s="387"/>
      <c r="EI96" s="387"/>
      <c r="EJ96" s="387"/>
      <c r="EK96" s="387"/>
      <c r="EL96" s="387"/>
      <c r="EM96" s="387"/>
      <c r="EN96" s="387"/>
      <c r="EO96" s="387"/>
      <c r="EP96" s="387"/>
      <c r="EQ96" s="387"/>
      <c r="ER96" s="387"/>
      <c r="ES96" s="387"/>
      <c r="ET96" s="387"/>
      <c r="EU96" s="387"/>
      <c r="EV96" s="387"/>
      <c r="EW96" s="387"/>
      <c r="EX96" s="387"/>
      <c r="EY96" s="387"/>
      <c r="EZ96" s="387"/>
      <c r="FA96" s="387"/>
      <c r="FB96" s="387"/>
      <c r="FC96" s="387"/>
      <c r="FD96" s="387"/>
      <c r="FE96" s="387"/>
      <c r="FF96" s="387"/>
      <c r="FG96" s="387"/>
      <c r="FH96" s="387"/>
      <c r="FI96" s="387"/>
      <c r="FJ96" s="387"/>
      <c r="FK96" s="387"/>
      <c r="FL96" s="387"/>
      <c r="FM96" s="387"/>
      <c r="FN96" s="387"/>
      <c r="FO96" s="387"/>
      <c r="FP96" s="387"/>
      <c r="FQ96" s="387"/>
      <c r="FR96" s="387"/>
      <c r="FS96" s="387"/>
      <c r="FT96" s="387"/>
      <c r="FU96" s="387"/>
      <c r="FV96" s="387"/>
      <c r="FW96" s="387"/>
      <c r="FX96" s="387"/>
      <c r="FY96" s="387"/>
      <c r="FZ96" s="387"/>
      <c r="GA96" s="387"/>
      <c r="GB96" s="387"/>
      <c r="GC96" s="387"/>
      <c r="GD96" s="387"/>
      <c r="GE96" s="387"/>
      <c r="GF96" s="387"/>
      <c r="GG96" s="387"/>
      <c r="GH96" s="387"/>
      <c r="GI96" s="387"/>
      <c r="GJ96" s="387"/>
      <c r="GK96" s="387"/>
      <c r="GL96" s="387"/>
      <c r="GM96" s="387"/>
      <c r="GN96" s="387"/>
      <c r="GO96" s="387"/>
      <c r="GP96" s="387"/>
      <c r="GQ96" s="387"/>
      <c r="GR96" s="387"/>
      <c r="GS96" s="387"/>
      <c r="GT96" s="387"/>
      <c r="GU96" s="387"/>
      <c r="GV96" s="387"/>
      <c r="GW96" s="387"/>
      <c r="GX96" s="387"/>
      <c r="GY96" s="387"/>
      <c r="GZ96" s="387"/>
      <c r="HA96" s="387"/>
      <c r="HB96" s="387"/>
      <c r="HC96" s="387"/>
      <c r="HD96" s="387"/>
      <c r="HE96" s="387"/>
      <c r="HF96" s="387"/>
      <c r="HG96" s="387"/>
      <c r="HH96" s="387"/>
      <c r="HI96" s="387"/>
      <c r="HJ96" s="387"/>
      <c r="HK96" s="387"/>
      <c r="HL96" s="387"/>
      <c r="HM96" s="387"/>
      <c r="HN96" s="387"/>
      <c r="HO96" s="387"/>
      <c r="HP96" s="387"/>
      <c r="HQ96" s="387"/>
      <c r="HR96" s="387"/>
      <c r="HS96" s="387"/>
      <c r="HT96" s="387"/>
      <c r="HU96" s="387"/>
      <c r="HV96" s="387"/>
      <c r="HW96" s="387"/>
      <c r="HX96" s="387"/>
      <c r="HY96" s="387"/>
      <c r="HZ96" s="387"/>
      <c r="IA96" s="387"/>
      <c r="IB96" s="387"/>
      <c r="IC96" s="387"/>
      <c r="ID96" s="387"/>
      <c r="IE96" s="387"/>
      <c r="IF96" s="387"/>
      <c r="IG96" s="387"/>
      <c r="IH96" s="387"/>
      <c r="II96" s="387"/>
      <c r="IJ96" s="387"/>
      <c r="IK96" s="387"/>
      <c r="IL96" s="387"/>
      <c r="IM96" s="387"/>
      <c r="IN96" s="387"/>
      <c r="IO96" s="387"/>
      <c r="IP96" s="387"/>
      <c r="IQ96" s="387"/>
      <c r="IR96" s="387"/>
      <c r="IS96" s="387"/>
      <c r="IT96" s="387"/>
      <c r="IU96" s="387"/>
      <c r="IV96" s="387"/>
      <c r="IW96" s="387"/>
      <c r="IX96" s="387"/>
      <c r="IY96" s="387"/>
      <c r="IZ96" s="387"/>
      <c r="JA96" s="387"/>
      <c r="JB96" s="387"/>
      <c r="JC96" s="387"/>
      <c r="JD96" s="387"/>
      <c r="JE96" s="387"/>
      <c r="JF96" s="387"/>
      <c r="JG96" s="387"/>
      <c r="JH96" s="387"/>
      <c r="JI96" s="387"/>
      <c r="JJ96" s="387"/>
      <c r="JK96" s="387"/>
      <c r="JL96" s="387"/>
      <c r="JM96" s="387"/>
      <c r="JN96" s="387"/>
      <c r="JO96" s="387"/>
      <c r="JP96" s="387"/>
      <c r="JQ96" s="387"/>
      <c r="JR96" s="387"/>
      <c r="JS96" s="387"/>
      <c r="JT96" s="387"/>
      <c r="JU96" s="387"/>
      <c r="JV96" s="387"/>
      <c r="JW96" s="387"/>
      <c r="JX96" s="387"/>
      <c r="JY96" s="387"/>
      <c r="JZ96" s="387"/>
      <c r="KA96" s="387"/>
      <c r="KB96" s="387"/>
      <c r="KC96" s="387"/>
      <c r="KD96" s="387"/>
      <c r="KE96" s="387"/>
      <c r="KF96" s="387"/>
      <c r="KG96" s="387"/>
      <c r="KH96" s="387"/>
      <c r="KI96" s="387"/>
      <c r="KJ96" s="387"/>
      <c r="KK96" s="387"/>
      <c r="KL96" s="387"/>
      <c r="KM96" s="387"/>
      <c r="KN96" s="387"/>
      <c r="KO96" s="387"/>
      <c r="KP96" s="387"/>
      <c r="KQ96" s="387"/>
      <c r="KR96" s="387"/>
      <c r="KS96" s="387"/>
      <c r="KT96" s="387"/>
      <c r="KU96" s="387"/>
      <c r="KV96" s="387"/>
      <c r="KW96" s="387"/>
      <c r="KX96" s="387"/>
      <c r="KY96" s="387"/>
      <c r="KZ96" s="387"/>
      <c r="LA96" s="387"/>
      <c r="LB96" s="387"/>
      <c r="LC96" s="387"/>
      <c r="LD96" s="387"/>
      <c r="LE96" s="387"/>
      <c r="LF96" s="387"/>
      <c r="LG96" s="387"/>
      <c r="LH96" s="387"/>
      <c r="LI96" s="387"/>
      <c r="LJ96" s="387"/>
      <c r="LK96" s="387"/>
      <c r="LL96" s="387"/>
      <c r="LM96" s="387"/>
      <c r="LN96" s="387"/>
      <c r="LO96" s="387"/>
      <c r="LP96" s="387"/>
      <c r="LQ96" s="387"/>
      <c r="LR96" s="387"/>
      <c r="LS96" s="387"/>
      <c r="LT96" s="387"/>
      <c r="LU96" s="387"/>
      <c r="LV96" s="387"/>
      <c r="LW96" s="387"/>
      <c r="LX96" s="387"/>
      <c r="LY96" s="387"/>
      <c r="LZ96" s="387"/>
      <c r="MA96" s="387"/>
      <c r="MB96" s="387"/>
      <c r="MC96" s="387"/>
      <c r="MD96" s="387"/>
      <c r="ME96" s="387"/>
      <c r="MF96" s="387"/>
      <c r="MG96" s="387"/>
      <c r="MH96" s="387"/>
      <c r="MI96" s="387"/>
      <c r="MJ96" s="387"/>
      <c r="MK96" s="387"/>
      <c r="ML96" s="387"/>
      <c r="MM96" s="387"/>
      <c r="MN96" s="387"/>
      <c r="MO96" s="387"/>
      <c r="MP96" s="387"/>
      <c r="MQ96" s="387"/>
      <c r="MR96" s="387"/>
      <c r="MS96" s="387"/>
      <c r="MT96" s="387"/>
      <c r="MU96" s="387"/>
      <c r="MV96" s="387"/>
      <c r="MW96" s="387"/>
      <c r="MX96" s="387"/>
      <c r="MY96" s="387"/>
      <c r="MZ96" s="387"/>
      <c r="NA96" s="387"/>
      <c r="NB96" s="387"/>
      <c r="NC96" s="387"/>
      <c r="ND96" s="387"/>
      <c r="NE96" s="387"/>
      <c r="NF96" s="387"/>
      <c r="NG96" s="387"/>
      <c r="NH96" s="387"/>
      <c r="NI96" s="387"/>
      <c r="NJ96" s="387"/>
      <c r="NK96" s="387"/>
      <c r="NL96" s="387"/>
      <c r="NM96" s="387"/>
      <c r="NN96" s="387"/>
      <c r="NO96" s="387"/>
      <c r="NP96" s="387"/>
      <c r="NQ96" s="387"/>
      <c r="NR96" s="387"/>
      <c r="NS96" s="387"/>
      <c r="NT96" s="387"/>
      <c r="NU96" s="387"/>
      <c r="NV96" s="387"/>
      <c r="NW96" s="387"/>
      <c r="NX96" s="387"/>
      <c r="NY96" s="387"/>
      <c r="NZ96" s="387"/>
      <c r="OA96" s="387"/>
      <c r="OB96" s="387"/>
      <c r="OC96" s="387"/>
      <c r="OD96" s="387"/>
      <c r="OE96" s="387"/>
      <c r="OF96" s="387"/>
      <c r="OG96" s="387"/>
      <c r="OH96" s="387"/>
      <c r="OI96" s="387"/>
      <c r="OJ96" s="387"/>
      <c r="OK96" s="387"/>
      <c r="OL96" s="387"/>
      <c r="OM96" s="387"/>
      <c r="ON96" s="387"/>
      <c r="OO96" s="387"/>
      <c r="OP96" s="387"/>
      <c r="OQ96" s="387"/>
      <c r="OR96" s="387"/>
      <c r="OS96" s="387"/>
      <c r="OT96" s="387"/>
      <c r="OU96" s="387"/>
      <c r="OV96" s="387"/>
      <c r="OW96" s="387"/>
      <c r="OX96" s="387"/>
      <c r="OY96" s="387"/>
      <c r="OZ96" s="387"/>
      <c r="PA96" s="387"/>
      <c r="PB96" s="387"/>
      <c r="PC96" s="387"/>
      <c r="PD96" s="387"/>
      <c r="PE96" s="387"/>
      <c r="PF96" s="387"/>
      <c r="PG96" s="387"/>
      <c r="PH96" s="387"/>
      <c r="PI96" s="387"/>
      <c r="PJ96" s="387"/>
      <c r="PK96" s="387"/>
      <c r="PL96" s="387"/>
      <c r="PM96" s="387"/>
      <c r="PN96" s="387"/>
      <c r="PO96" s="387"/>
      <c r="PP96" s="387"/>
      <c r="PQ96" s="387"/>
      <c r="PR96" s="387"/>
      <c r="PS96" s="387"/>
      <c r="PT96" s="387"/>
      <c r="PU96" s="387"/>
      <c r="PV96" s="387"/>
      <c r="PW96" s="387"/>
      <c r="PX96" s="387"/>
      <c r="PY96" s="387"/>
      <c r="PZ96" s="387"/>
      <c r="QA96" s="387"/>
      <c r="QB96" s="387"/>
      <c r="QC96" s="387"/>
      <c r="QD96" s="387"/>
      <c r="QE96" s="387"/>
      <c r="QF96" s="387"/>
      <c r="QG96" s="387"/>
      <c r="QH96" s="387"/>
      <c r="QI96" s="387"/>
      <c r="QJ96" s="387"/>
      <c r="QK96" s="387"/>
      <c r="QL96" s="387"/>
      <c r="QM96" s="387"/>
      <c r="QN96" s="387"/>
      <c r="QO96" s="387"/>
      <c r="QP96" s="387"/>
      <c r="QQ96" s="387"/>
      <c r="QR96" s="387"/>
      <c r="QS96" s="387"/>
      <c r="QT96" s="387"/>
      <c r="QU96" s="387"/>
      <c r="QV96" s="387"/>
      <c r="QW96" s="387"/>
      <c r="QX96" s="387"/>
      <c r="QY96" s="387"/>
      <c r="QZ96" s="387"/>
      <c r="RA96" s="387"/>
      <c r="RB96" s="387"/>
      <c r="RC96" s="387"/>
      <c r="RD96" s="387"/>
      <c r="RE96" s="387"/>
      <c r="RF96" s="387"/>
      <c r="RG96" s="387"/>
      <c r="RH96" s="387"/>
      <c r="RI96" s="387"/>
      <c r="RJ96" s="387"/>
      <c r="RK96" s="387"/>
      <c r="RL96" s="387"/>
      <c r="RM96" s="387"/>
      <c r="RN96" s="387"/>
      <c r="RO96" s="387"/>
      <c r="RP96" s="387"/>
      <c r="RQ96" s="387"/>
      <c r="RR96" s="387"/>
      <c r="RS96" s="387"/>
      <c r="RT96" s="387"/>
      <c r="RU96" s="387"/>
      <c r="RV96" s="387"/>
      <c r="RW96" s="387"/>
      <c r="RX96" s="387"/>
      <c r="RY96" s="387"/>
      <c r="RZ96" s="387"/>
      <c r="SA96" s="387"/>
      <c r="SB96" s="387"/>
      <c r="SC96" s="387"/>
      <c r="SD96" s="387"/>
      <c r="SE96" s="387"/>
      <c r="SF96" s="387"/>
      <c r="SG96" s="387"/>
      <c r="SH96" s="387"/>
      <c r="SI96" s="387"/>
      <c r="SJ96" s="387"/>
      <c r="SK96" s="387"/>
      <c r="SL96" s="387"/>
      <c r="SM96" s="387"/>
      <c r="SN96" s="387"/>
      <c r="SO96" s="387"/>
      <c r="SP96" s="387"/>
      <c r="SQ96" s="387"/>
      <c r="SR96" s="387"/>
      <c r="SS96" s="387"/>
      <c r="ST96" s="387"/>
      <c r="SU96" s="387"/>
      <c r="SV96" s="387"/>
      <c r="SW96" s="387"/>
      <c r="SX96" s="387"/>
      <c r="SY96" s="387"/>
      <c r="SZ96" s="387"/>
      <c r="TA96" s="387"/>
      <c r="TB96" s="387"/>
      <c r="TC96" s="387"/>
      <c r="TD96" s="387"/>
      <c r="TE96" s="387"/>
      <c r="TF96" s="387"/>
      <c r="TG96" s="387"/>
      <c r="TH96" s="387"/>
      <c r="TI96" s="387"/>
      <c r="TJ96" s="387"/>
      <c r="TK96" s="387"/>
      <c r="TL96" s="387"/>
      <c r="TM96" s="387"/>
      <c r="TN96" s="387"/>
      <c r="TO96" s="387"/>
      <c r="TP96" s="387"/>
      <c r="TQ96" s="387"/>
      <c r="TR96" s="387"/>
      <c r="TS96" s="387"/>
      <c r="TT96" s="387"/>
      <c r="TU96" s="387"/>
      <c r="TV96" s="387"/>
      <c r="TW96" s="387"/>
      <c r="TX96" s="387"/>
      <c r="TY96" s="387"/>
      <c r="TZ96" s="387"/>
      <c r="UA96" s="387"/>
      <c r="UB96" s="387"/>
      <c r="UC96" s="387"/>
      <c r="UD96" s="387"/>
      <c r="UE96" s="387"/>
      <c r="UF96" s="387"/>
      <c r="UG96" s="387"/>
      <c r="UH96" s="387"/>
      <c r="UI96" s="387"/>
      <c r="UJ96" s="387"/>
      <c r="UK96" s="387"/>
      <c r="UL96" s="387"/>
      <c r="UM96" s="387"/>
      <c r="UN96" s="387"/>
      <c r="UO96" s="387"/>
      <c r="UP96" s="387"/>
      <c r="UQ96" s="387"/>
      <c r="UR96" s="387"/>
      <c r="US96" s="387"/>
      <c r="UT96" s="387"/>
      <c r="UU96" s="387"/>
      <c r="UV96" s="387"/>
      <c r="UW96" s="387"/>
      <c r="UX96" s="387"/>
      <c r="UY96" s="387"/>
      <c r="UZ96" s="387"/>
      <c r="VA96" s="387"/>
      <c r="VB96" s="387"/>
      <c r="VC96" s="387"/>
      <c r="VD96" s="387"/>
      <c r="VE96" s="387"/>
      <c r="VF96" s="387"/>
      <c r="VG96" s="387"/>
      <c r="VH96" s="387"/>
      <c r="VI96" s="387"/>
      <c r="VJ96" s="387"/>
      <c r="VK96" s="387"/>
      <c r="VL96" s="387"/>
      <c r="VM96" s="387"/>
      <c r="VN96" s="387"/>
      <c r="VO96" s="387"/>
      <c r="VP96" s="387"/>
      <c r="VQ96" s="387"/>
      <c r="VR96" s="387"/>
      <c r="VS96" s="387"/>
      <c r="VT96" s="387"/>
      <c r="VU96" s="387"/>
      <c r="VV96" s="387"/>
      <c r="VW96" s="387"/>
      <c r="VX96" s="387"/>
      <c r="VY96" s="387"/>
      <c r="VZ96" s="387"/>
      <c r="WA96" s="387"/>
      <c r="WB96" s="387"/>
      <c r="WC96" s="387"/>
      <c r="WD96" s="387"/>
      <c r="WE96" s="387"/>
      <c r="WF96" s="387"/>
      <c r="WG96" s="387"/>
      <c r="WH96" s="387"/>
      <c r="WI96" s="387"/>
      <c r="WJ96" s="387"/>
      <c r="WK96" s="387"/>
      <c r="WL96" s="387"/>
      <c r="WM96" s="387"/>
      <c r="WN96" s="387"/>
      <c r="WO96" s="387"/>
      <c r="WP96" s="387"/>
      <c r="WQ96" s="387"/>
      <c r="WR96" s="387"/>
      <c r="WS96" s="387"/>
      <c r="WT96" s="387"/>
      <c r="WU96" s="387"/>
      <c r="WV96" s="387"/>
      <c r="WW96" s="387"/>
      <c r="WX96" s="387"/>
      <c r="WY96" s="387"/>
      <c r="WZ96" s="387"/>
      <c r="XA96" s="387"/>
      <c r="XB96" s="387"/>
      <c r="XC96" s="387"/>
      <c r="XD96" s="387"/>
      <c r="XE96" s="387"/>
      <c r="XF96" s="387"/>
      <c r="XG96" s="387"/>
      <c r="XH96" s="387"/>
      <c r="XI96" s="387"/>
      <c r="XJ96" s="387"/>
      <c r="XK96" s="387"/>
      <c r="XL96" s="387"/>
      <c r="XM96" s="387"/>
      <c r="XN96" s="387"/>
      <c r="XO96" s="387"/>
      <c r="XP96" s="387"/>
      <c r="XQ96" s="387"/>
      <c r="XR96" s="387"/>
      <c r="XS96" s="387"/>
      <c r="XT96" s="387"/>
      <c r="XU96" s="387"/>
      <c r="XV96" s="387"/>
      <c r="XW96" s="387"/>
      <c r="XX96" s="387"/>
      <c r="XY96" s="387"/>
      <c r="XZ96" s="387"/>
      <c r="YA96" s="387"/>
      <c r="YB96" s="387"/>
      <c r="YC96" s="387"/>
      <c r="YD96" s="387"/>
      <c r="YE96" s="387"/>
      <c r="YF96" s="387"/>
      <c r="YG96" s="387"/>
      <c r="YH96" s="387"/>
      <c r="YI96" s="387"/>
      <c r="YJ96" s="387"/>
      <c r="YK96" s="387"/>
      <c r="YL96" s="387"/>
      <c r="YM96" s="387"/>
      <c r="YN96" s="387"/>
      <c r="YO96" s="387"/>
      <c r="YP96" s="387"/>
      <c r="YQ96" s="387"/>
      <c r="YR96" s="387"/>
      <c r="YS96" s="387"/>
      <c r="YT96" s="387"/>
      <c r="YU96" s="387"/>
      <c r="YV96" s="387"/>
      <c r="YW96" s="387"/>
      <c r="YX96" s="387"/>
      <c r="YY96" s="387"/>
      <c r="YZ96" s="387"/>
      <c r="ZA96" s="387"/>
      <c r="ZB96" s="387"/>
      <c r="ZC96" s="387"/>
      <c r="ZD96" s="387"/>
      <c r="ZE96" s="387"/>
      <c r="ZF96" s="387"/>
      <c r="ZG96" s="387"/>
      <c r="ZH96" s="387"/>
      <c r="ZI96" s="387"/>
      <c r="ZJ96" s="387"/>
      <c r="ZK96" s="387"/>
      <c r="ZL96" s="387"/>
      <c r="ZM96" s="387"/>
      <c r="ZN96" s="387"/>
      <c r="ZO96" s="387"/>
      <c r="ZP96" s="387"/>
      <c r="ZQ96" s="387"/>
      <c r="ZR96" s="387"/>
      <c r="ZS96" s="387"/>
      <c r="ZT96" s="387"/>
      <c r="ZU96" s="387"/>
      <c r="ZV96" s="387"/>
      <c r="ZW96" s="387"/>
      <c r="ZX96" s="387"/>
      <c r="ZY96" s="387"/>
      <c r="ZZ96" s="387"/>
      <c r="AAA96" s="387"/>
      <c r="AAB96" s="387"/>
      <c r="AAC96" s="387"/>
      <c r="AAD96" s="387"/>
      <c r="AAE96" s="387"/>
      <c r="AAF96" s="387"/>
      <c r="AAG96" s="387"/>
      <c r="AAH96" s="387"/>
      <c r="AAI96" s="387"/>
      <c r="AAJ96" s="387"/>
      <c r="AAK96" s="387"/>
      <c r="AAL96" s="387"/>
      <c r="AAM96" s="387"/>
      <c r="AAN96" s="387"/>
      <c r="AAO96" s="387"/>
      <c r="AAP96" s="387"/>
      <c r="AAQ96" s="387"/>
      <c r="AAR96" s="387"/>
      <c r="AAS96" s="387"/>
      <c r="AAT96" s="387"/>
      <c r="AAU96" s="387"/>
      <c r="AAV96" s="387"/>
      <c r="AAW96" s="387"/>
      <c r="AAX96" s="387"/>
      <c r="AAY96" s="387"/>
      <c r="AAZ96" s="387"/>
      <c r="ABA96" s="387"/>
      <c r="ABB96" s="387"/>
      <c r="ABC96" s="387"/>
      <c r="ABD96" s="387"/>
      <c r="ABE96" s="387"/>
      <c r="ABF96" s="387"/>
      <c r="ABG96" s="387"/>
      <c r="ABH96" s="387"/>
      <c r="ABI96" s="387"/>
      <c r="ABJ96" s="387"/>
      <c r="ABK96" s="387"/>
      <c r="ABL96" s="387"/>
      <c r="ABM96" s="387"/>
      <c r="ABN96" s="387"/>
      <c r="ABO96" s="387"/>
      <c r="ABP96" s="387"/>
      <c r="ABQ96" s="387"/>
      <c r="ABR96" s="387"/>
      <c r="ABS96" s="387"/>
      <c r="ABT96" s="387"/>
      <c r="ABU96" s="387"/>
      <c r="ABV96" s="387"/>
      <c r="ABW96" s="387"/>
      <c r="ABX96" s="387"/>
      <c r="ABY96" s="387"/>
      <c r="ABZ96" s="387"/>
      <c r="ACA96" s="387"/>
      <c r="ACB96" s="387"/>
      <c r="ACC96" s="387"/>
      <c r="ACD96" s="387"/>
      <c r="ACE96" s="387"/>
      <c r="ACF96" s="387"/>
      <c r="ACG96" s="387"/>
      <c r="ACH96" s="387"/>
      <c r="ACI96" s="387"/>
      <c r="ACJ96" s="387"/>
      <c r="ACK96" s="387"/>
      <c r="ACL96" s="387"/>
      <c r="ACM96" s="387"/>
      <c r="ACN96" s="387"/>
      <c r="ACO96" s="387"/>
      <c r="ACP96" s="387"/>
      <c r="ACQ96" s="387"/>
      <c r="ACR96" s="387"/>
      <c r="ACS96" s="387"/>
      <c r="ACT96" s="387"/>
      <c r="ACU96" s="387"/>
      <c r="ACV96" s="387"/>
      <c r="ACW96" s="387"/>
      <c r="ACX96" s="387"/>
      <c r="ACY96" s="387"/>
      <c r="ACZ96" s="387"/>
      <c r="ADA96" s="387"/>
      <c r="ADB96" s="387"/>
      <c r="ADC96" s="387"/>
      <c r="ADD96" s="387"/>
      <c r="ADE96" s="387"/>
      <c r="ADF96" s="387"/>
      <c r="ADG96" s="387"/>
      <c r="ADH96" s="387"/>
      <c r="ADI96" s="387"/>
      <c r="ADJ96" s="387"/>
      <c r="ADK96" s="387"/>
      <c r="ADL96" s="387"/>
      <c r="ADM96" s="387"/>
      <c r="ADN96" s="387"/>
      <c r="ADO96" s="387"/>
      <c r="ADP96" s="387"/>
      <c r="ADQ96" s="387"/>
      <c r="ADR96" s="387"/>
      <c r="ADS96" s="387"/>
      <c r="ADT96" s="387"/>
      <c r="ADU96" s="387"/>
      <c r="ADV96" s="387"/>
      <c r="ADW96" s="387"/>
      <c r="ADX96" s="387"/>
      <c r="ADY96" s="387"/>
      <c r="ADZ96" s="387"/>
      <c r="AEA96" s="387"/>
      <c r="AEB96" s="387"/>
      <c r="AEC96" s="387"/>
      <c r="AED96" s="387"/>
      <c r="AEE96" s="387"/>
      <c r="AEF96" s="387"/>
      <c r="AEG96" s="387"/>
      <c r="AEH96" s="387"/>
      <c r="AEI96" s="387"/>
      <c r="AEJ96" s="387"/>
      <c r="AEK96" s="387"/>
      <c r="AEL96" s="387"/>
      <c r="AEM96" s="387"/>
      <c r="AEN96" s="387"/>
      <c r="AEO96" s="387"/>
      <c r="AEP96" s="387"/>
      <c r="AEQ96" s="387"/>
      <c r="AER96" s="387"/>
      <c r="AES96" s="387"/>
      <c r="AET96" s="387"/>
      <c r="AEU96" s="387"/>
      <c r="AEV96" s="387"/>
      <c r="AEW96" s="387"/>
      <c r="AEX96" s="387"/>
      <c r="AEY96" s="387"/>
      <c r="AEZ96" s="387"/>
      <c r="AFA96" s="387"/>
      <c r="AFB96" s="387"/>
      <c r="AFC96" s="387"/>
      <c r="AFD96" s="387"/>
      <c r="AFE96" s="387"/>
      <c r="AFF96" s="387"/>
      <c r="AFG96" s="387"/>
      <c r="AFH96" s="387"/>
      <c r="AFI96" s="387"/>
      <c r="AFJ96" s="387"/>
      <c r="AFK96" s="387"/>
      <c r="AFL96" s="387"/>
      <c r="AFM96" s="387"/>
      <c r="AFN96" s="387"/>
      <c r="AFO96" s="387"/>
      <c r="AFP96" s="387"/>
      <c r="AFQ96" s="387"/>
      <c r="AFR96" s="387"/>
      <c r="AFS96" s="387"/>
      <c r="AFT96" s="387"/>
      <c r="AFU96" s="387"/>
      <c r="AFV96" s="387"/>
      <c r="AFW96" s="387"/>
      <c r="AFX96" s="387"/>
      <c r="AFY96" s="387"/>
      <c r="AFZ96" s="387"/>
      <c r="AGA96" s="387"/>
      <c r="AGB96" s="387"/>
      <c r="AGC96" s="387"/>
      <c r="AGD96" s="387"/>
      <c r="AGE96" s="387"/>
      <c r="AGF96" s="387"/>
      <c r="AGG96" s="387"/>
      <c r="AGH96" s="387"/>
      <c r="AGI96" s="387"/>
      <c r="AGJ96" s="387"/>
      <c r="AGK96" s="387"/>
      <c r="AGL96" s="387"/>
      <c r="AGM96" s="387"/>
      <c r="AGN96" s="387"/>
      <c r="AGO96" s="387"/>
      <c r="AGP96" s="387"/>
      <c r="AGQ96" s="387"/>
      <c r="AGR96" s="387"/>
      <c r="AGS96" s="387"/>
      <c r="AGT96" s="387"/>
      <c r="AGU96" s="387"/>
      <c r="AGV96" s="387"/>
      <c r="AGW96" s="387"/>
      <c r="AGX96" s="387"/>
      <c r="AGY96" s="387"/>
      <c r="AGZ96" s="387"/>
      <c r="AHA96" s="387"/>
      <c r="AHB96" s="387"/>
      <c r="AHC96" s="387"/>
      <c r="AHD96" s="387"/>
      <c r="AHE96" s="387"/>
      <c r="AHF96" s="387"/>
      <c r="AHG96" s="387"/>
      <c r="AHH96" s="387"/>
      <c r="AHI96" s="387"/>
      <c r="AHJ96" s="387"/>
      <c r="AHK96" s="387"/>
      <c r="AHL96" s="387"/>
      <c r="AHM96" s="387"/>
      <c r="AHN96" s="387"/>
      <c r="AHO96" s="387"/>
      <c r="AHP96" s="387"/>
      <c r="AHQ96" s="387"/>
      <c r="AHR96" s="387"/>
      <c r="AHS96" s="387"/>
      <c r="AHT96" s="387"/>
      <c r="AHU96" s="387"/>
      <c r="AHV96" s="387"/>
      <c r="AHW96" s="387"/>
      <c r="AHX96" s="387"/>
      <c r="AHY96" s="387"/>
      <c r="AHZ96" s="387"/>
      <c r="AIA96" s="387"/>
      <c r="AIB96" s="387"/>
      <c r="AIC96" s="387"/>
      <c r="AID96" s="387"/>
      <c r="AIE96" s="387"/>
      <c r="AIF96" s="387"/>
      <c r="AIG96" s="387"/>
      <c r="AIH96" s="387"/>
      <c r="AII96" s="387"/>
      <c r="AIJ96" s="387"/>
      <c r="AIK96" s="387"/>
      <c r="AIL96" s="387"/>
      <c r="AIM96" s="387"/>
      <c r="AIN96" s="387"/>
      <c r="AIO96" s="387"/>
      <c r="AIP96" s="387"/>
      <c r="AIQ96" s="387"/>
      <c r="AIR96" s="387"/>
      <c r="AIS96" s="387"/>
      <c r="AIT96" s="387"/>
      <c r="AIU96" s="387"/>
      <c r="AIV96" s="387"/>
      <c r="AIW96" s="387"/>
      <c r="AIX96" s="387"/>
      <c r="AIY96" s="387"/>
      <c r="AIZ96" s="387"/>
      <c r="AJA96" s="387"/>
      <c r="AJB96" s="387"/>
      <c r="AJC96" s="387"/>
      <c r="AJD96" s="387"/>
      <c r="AJE96" s="387"/>
      <c r="AJF96" s="387"/>
      <c r="AJG96" s="387"/>
      <c r="AJH96" s="387"/>
      <c r="AJI96" s="387"/>
      <c r="AJJ96" s="387"/>
      <c r="AJK96" s="387"/>
      <c r="AJL96" s="387"/>
      <c r="AJM96" s="387"/>
      <c r="AJN96" s="387"/>
      <c r="AJO96" s="387"/>
      <c r="AJP96" s="387"/>
      <c r="AJQ96" s="387"/>
      <c r="AJR96" s="387"/>
      <c r="AJS96" s="387"/>
      <c r="AJT96" s="387"/>
      <c r="AJU96" s="387"/>
      <c r="AJV96" s="387"/>
      <c r="AJW96" s="387"/>
      <c r="AJX96" s="387"/>
      <c r="AJY96" s="387"/>
      <c r="AJZ96" s="387"/>
      <c r="AKA96" s="387"/>
      <c r="AKB96" s="387"/>
      <c r="AKC96" s="387"/>
      <c r="AKD96" s="387"/>
      <c r="AKE96" s="387"/>
      <c r="AKF96" s="387"/>
      <c r="AKG96" s="387"/>
      <c r="AKH96" s="387"/>
      <c r="AKI96" s="387"/>
      <c r="AKJ96" s="387"/>
      <c r="AKK96" s="387"/>
      <c r="AKL96" s="387"/>
      <c r="AKM96" s="387"/>
      <c r="AKN96" s="387"/>
      <c r="AKO96" s="387"/>
      <c r="AKP96" s="387"/>
      <c r="AKQ96" s="387"/>
      <c r="AKR96" s="387"/>
      <c r="AKS96" s="387"/>
      <c r="AKT96" s="387"/>
      <c r="AKU96" s="387"/>
      <c r="AKV96" s="387"/>
      <c r="AKW96" s="387"/>
      <c r="AKX96" s="387"/>
      <c r="AKY96" s="387"/>
      <c r="AKZ96" s="387"/>
      <c r="ALA96" s="387"/>
      <c r="ALB96" s="387"/>
      <c r="ALC96" s="387"/>
      <c r="ALD96" s="387"/>
      <c r="ALE96" s="387"/>
      <c r="ALF96" s="387"/>
      <c r="ALG96" s="387"/>
      <c r="ALH96" s="387"/>
      <c r="ALI96" s="387"/>
      <c r="ALJ96" s="387"/>
      <c r="ALK96" s="387"/>
      <c r="ALL96" s="387"/>
      <c r="ALM96" s="387"/>
      <c r="ALN96" s="387"/>
      <c r="ALO96" s="387"/>
      <c r="ALP96" s="387"/>
      <c r="ALQ96" s="387"/>
      <c r="ALR96" s="387"/>
      <c r="ALS96" s="387"/>
      <c r="ALT96" s="387"/>
      <c r="ALU96" s="387"/>
      <c r="ALV96" s="387"/>
      <c r="ALW96" s="387"/>
      <c r="ALX96" s="387"/>
      <c r="ALY96" s="387"/>
      <c r="ALZ96" s="387"/>
      <c r="AMA96" s="387"/>
      <c r="AMB96" s="387"/>
      <c r="AMC96" s="387"/>
      <c r="AMD96" s="387"/>
      <c r="AME96" s="387"/>
      <c r="AMF96" s="387"/>
      <c r="AMG96" s="387"/>
      <c r="AMH96" s="387"/>
      <c r="AMI96" s="387"/>
      <c r="AMJ96" s="387"/>
      <c r="AMK96" s="387"/>
      <c r="AML96" s="387"/>
      <c r="AMM96" s="387"/>
      <c r="AMN96" s="387"/>
      <c r="AMO96" s="387"/>
      <c r="AMP96" s="387"/>
      <c r="AMQ96" s="387"/>
      <c r="AMR96" s="387"/>
      <c r="AMS96" s="387"/>
      <c r="AMT96" s="387"/>
      <c r="AMU96" s="387"/>
      <c r="AMV96" s="387"/>
      <c r="AMW96" s="387"/>
      <c r="AMX96" s="387"/>
      <c r="AMY96" s="387"/>
      <c r="AMZ96" s="387"/>
      <c r="ANA96" s="387"/>
      <c r="ANB96" s="387"/>
      <c r="ANC96" s="387"/>
      <c r="AND96" s="387"/>
      <c r="ANE96" s="387"/>
      <c r="ANF96" s="387"/>
      <c r="ANG96" s="387"/>
      <c r="ANH96" s="387"/>
      <c r="ANI96" s="387"/>
      <c r="ANJ96" s="387"/>
      <c r="ANK96" s="387"/>
      <c r="ANL96" s="387"/>
      <c r="ANM96" s="387"/>
      <c r="ANN96" s="387"/>
      <c r="ANO96" s="387"/>
      <c r="ANP96" s="387"/>
      <c r="ANQ96" s="387"/>
      <c r="ANR96" s="387"/>
      <c r="ANS96" s="387"/>
      <c r="ANT96" s="387"/>
      <c r="ANU96" s="387"/>
      <c r="ANV96" s="387"/>
      <c r="ANW96" s="387"/>
      <c r="ANX96" s="387"/>
      <c r="ANY96" s="387"/>
      <c r="ANZ96" s="387"/>
      <c r="AOA96" s="387"/>
      <c r="AOB96" s="387"/>
      <c r="AOC96" s="387"/>
      <c r="AOD96" s="387"/>
      <c r="AOE96" s="387"/>
      <c r="AOF96" s="387"/>
      <c r="AOG96" s="387"/>
      <c r="AOH96" s="387"/>
      <c r="AOI96" s="387"/>
      <c r="AOJ96" s="387"/>
      <c r="AOK96" s="387"/>
      <c r="AOL96" s="387"/>
      <c r="AOM96" s="387"/>
      <c r="AON96" s="387"/>
      <c r="AOO96" s="387"/>
      <c r="AOP96" s="387"/>
      <c r="AOQ96" s="387"/>
      <c r="AOR96" s="387"/>
      <c r="AOS96" s="387"/>
      <c r="AOT96" s="387"/>
      <c r="AOU96" s="387"/>
      <c r="AOV96" s="387"/>
      <c r="AOW96" s="387"/>
      <c r="AOX96" s="387"/>
      <c r="AOY96" s="387"/>
      <c r="AOZ96" s="387"/>
      <c r="APA96" s="387"/>
      <c r="APB96" s="387"/>
      <c r="APC96" s="387"/>
      <c r="APD96" s="387"/>
      <c r="APE96" s="387"/>
      <c r="APF96" s="387"/>
      <c r="APG96" s="387"/>
      <c r="APH96" s="387"/>
      <c r="API96" s="387"/>
      <c r="APJ96" s="387"/>
      <c r="APK96" s="387"/>
      <c r="APL96" s="387"/>
      <c r="APM96" s="387"/>
      <c r="APN96" s="387"/>
      <c r="APO96" s="387"/>
      <c r="APP96" s="387"/>
      <c r="APQ96" s="387"/>
      <c r="APR96" s="387"/>
      <c r="APS96" s="387"/>
      <c r="APT96" s="387"/>
      <c r="APU96" s="387"/>
      <c r="APV96" s="387"/>
      <c r="APW96" s="387"/>
      <c r="APX96" s="387"/>
      <c r="APY96" s="387"/>
      <c r="APZ96" s="387"/>
      <c r="AQA96" s="387"/>
      <c r="AQB96" s="387"/>
      <c r="AQC96" s="387"/>
      <c r="AQD96" s="387"/>
      <c r="AQE96" s="387"/>
      <c r="AQF96" s="387"/>
      <c r="AQG96" s="387"/>
      <c r="AQH96" s="387"/>
      <c r="AQI96" s="387"/>
      <c r="AQJ96" s="387"/>
      <c r="AQK96" s="387"/>
      <c r="AQL96" s="387"/>
      <c r="AQM96" s="387"/>
      <c r="AQN96" s="387"/>
      <c r="AQO96" s="387"/>
      <c r="AQP96" s="387"/>
      <c r="AQQ96" s="387"/>
      <c r="AQR96" s="387"/>
      <c r="AQS96" s="387"/>
      <c r="AQT96" s="387"/>
      <c r="AQU96" s="387"/>
      <c r="AQV96" s="387"/>
      <c r="AQW96" s="387"/>
      <c r="AQX96" s="387"/>
      <c r="AQY96" s="387"/>
      <c r="AQZ96" s="387"/>
      <c r="ARA96" s="387"/>
      <c r="ARB96" s="387"/>
      <c r="ARC96" s="387"/>
      <c r="ARD96" s="387"/>
      <c r="ARE96" s="387"/>
      <c r="ARF96" s="387"/>
      <c r="ARG96" s="387"/>
      <c r="ARH96" s="387"/>
      <c r="ARI96" s="387"/>
      <c r="ARJ96" s="387"/>
      <c r="ARK96" s="387"/>
      <c r="ARL96" s="387"/>
      <c r="ARM96" s="387"/>
      <c r="ARN96" s="387"/>
      <c r="ARO96" s="387"/>
      <c r="ARP96" s="387"/>
      <c r="ARQ96" s="387"/>
      <c r="ARR96" s="387"/>
      <c r="ARS96" s="387"/>
      <c r="ART96" s="387"/>
      <c r="ARU96" s="387"/>
      <c r="ARV96" s="387"/>
      <c r="ARW96" s="387"/>
      <c r="ARX96" s="387"/>
      <c r="ARY96" s="387"/>
      <c r="ARZ96" s="387"/>
      <c r="ASA96" s="387"/>
      <c r="ASB96" s="387"/>
      <c r="ASC96" s="387"/>
      <c r="ASD96" s="387"/>
      <c r="ASE96" s="387"/>
      <c r="ASF96" s="387"/>
      <c r="ASG96" s="387"/>
      <c r="ASH96" s="387"/>
      <c r="ASI96" s="387"/>
      <c r="ASJ96" s="387"/>
      <c r="ASK96" s="387"/>
      <c r="ASL96" s="387"/>
      <c r="ASM96" s="387"/>
      <c r="ASN96" s="387"/>
      <c r="ASO96" s="387"/>
      <c r="ASP96" s="387"/>
      <c r="ASQ96" s="387"/>
      <c r="ASR96" s="387"/>
      <c r="ASS96" s="387"/>
      <c r="AST96" s="387"/>
      <c r="ASU96" s="387"/>
      <c r="ASV96" s="387"/>
      <c r="ASW96" s="387"/>
      <c r="ASX96" s="387"/>
      <c r="ASY96" s="387"/>
      <c r="ASZ96" s="387"/>
      <c r="ATA96" s="387"/>
      <c r="ATB96" s="387"/>
      <c r="ATC96" s="387"/>
      <c r="ATD96" s="387"/>
      <c r="ATE96" s="387"/>
      <c r="ATF96" s="387"/>
      <c r="ATG96" s="387"/>
      <c r="ATH96" s="387"/>
      <c r="ATI96" s="387"/>
      <c r="ATJ96" s="387"/>
      <c r="ATK96" s="387"/>
      <c r="ATL96" s="387"/>
      <c r="ATM96" s="387"/>
      <c r="ATN96" s="387"/>
      <c r="ATO96" s="387"/>
      <c r="ATP96" s="387"/>
      <c r="ATQ96" s="387"/>
      <c r="ATR96" s="387"/>
      <c r="ATS96" s="387"/>
      <c r="ATT96" s="387"/>
      <c r="ATU96" s="387"/>
      <c r="ATV96" s="387"/>
      <c r="ATW96" s="387"/>
      <c r="ATX96" s="387"/>
      <c r="ATY96" s="387"/>
      <c r="ATZ96" s="387"/>
      <c r="AUA96" s="387"/>
      <c r="AUB96" s="387"/>
      <c r="AUC96" s="387"/>
      <c r="AUD96" s="387"/>
      <c r="AUE96" s="387"/>
      <c r="AUF96" s="387"/>
      <c r="AUG96" s="387"/>
      <c r="AUH96" s="387"/>
      <c r="AUI96" s="387"/>
      <c r="AUJ96" s="387"/>
      <c r="AUK96" s="387"/>
      <c r="AUL96" s="387"/>
      <c r="AUM96" s="387"/>
      <c r="AUN96" s="387"/>
      <c r="AUO96" s="387"/>
      <c r="AUP96" s="387"/>
      <c r="AUQ96" s="387"/>
      <c r="AUR96" s="387"/>
      <c r="AUS96" s="387"/>
      <c r="AUT96" s="387"/>
      <c r="AUU96" s="387"/>
      <c r="AUV96" s="387"/>
      <c r="AUW96" s="387"/>
      <c r="AUX96" s="387"/>
      <c r="AUY96" s="387"/>
      <c r="AUZ96" s="387"/>
      <c r="AVA96" s="387"/>
      <c r="AVB96" s="387"/>
      <c r="AVC96" s="387"/>
      <c r="AVD96" s="387"/>
      <c r="AVE96" s="387"/>
      <c r="AVF96" s="387"/>
      <c r="AVG96" s="387"/>
      <c r="AVH96" s="387"/>
      <c r="AVI96" s="387"/>
      <c r="AVJ96" s="387"/>
      <c r="AVK96" s="387"/>
      <c r="AVL96" s="387"/>
      <c r="AVM96" s="387"/>
      <c r="AVN96" s="387"/>
      <c r="AVO96" s="387"/>
      <c r="AVP96" s="387"/>
      <c r="AVQ96" s="387"/>
      <c r="AVR96" s="387"/>
      <c r="AVS96" s="387"/>
      <c r="AVT96" s="387"/>
      <c r="AVU96" s="387"/>
      <c r="AVV96" s="387"/>
      <c r="AVW96" s="387"/>
      <c r="AVX96" s="387"/>
      <c r="AVY96" s="387"/>
      <c r="AVZ96" s="387"/>
      <c r="AWA96" s="387"/>
      <c r="AWB96" s="387"/>
      <c r="AWC96" s="387"/>
      <c r="AWD96" s="387"/>
      <c r="AWE96" s="387"/>
      <c r="AWF96" s="387"/>
      <c r="AWG96" s="387"/>
      <c r="AWH96" s="387"/>
      <c r="AWI96" s="387"/>
      <c r="AWJ96" s="387"/>
      <c r="AWK96" s="387"/>
      <c r="AWL96" s="387"/>
      <c r="AWM96" s="387"/>
      <c r="AWN96" s="387"/>
      <c r="AWO96" s="387"/>
      <c r="AWP96" s="387"/>
      <c r="AWQ96" s="387"/>
      <c r="AWR96" s="387"/>
      <c r="AWS96" s="387"/>
      <c r="AWT96" s="387"/>
      <c r="AWU96" s="387"/>
      <c r="AWV96" s="387"/>
      <c r="AWW96" s="387"/>
      <c r="AWX96" s="387"/>
      <c r="AWY96" s="387"/>
      <c r="AWZ96" s="387"/>
      <c r="AXA96" s="387"/>
      <c r="AXB96" s="387"/>
      <c r="AXC96" s="387"/>
      <c r="AXD96" s="387"/>
      <c r="AXE96" s="387"/>
      <c r="AXF96" s="387"/>
      <c r="AXG96" s="387"/>
      <c r="AXH96" s="387"/>
      <c r="AXI96" s="387"/>
      <c r="AXJ96" s="387"/>
      <c r="AXK96" s="387"/>
      <c r="AXL96" s="387"/>
      <c r="AXM96" s="387"/>
      <c r="AXN96" s="387"/>
      <c r="AXO96" s="387"/>
      <c r="AXP96" s="387"/>
      <c r="AXQ96" s="387"/>
      <c r="AXR96" s="387"/>
      <c r="AXS96" s="387"/>
      <c r="AXT96" s="387"/>
      <c r="AXU96" s="387"/>
      <c r="AXV96" s="387"/>
      <c r="AXW96" s="387"/>
      <c r="AXX96" s="387"/>
      <c r="AXY96" s="387"/>
      <c r="AXZ96" s="387"/>
      <c r="AYA96" s="387"/>
      <c r="AYB96" s="387"/>
      <c r="AYC96" s="387"/>
      <c r="AYD96" s="387"/>
      <c r="AYE96" s="387"/>
      <c r="AYF96" s="387"/>
      <c r="AYG96" s="387"/>
      <c r="AYH96" s="387"/>
      <c r="AYI96" s="387"/>
      <c r="AYJ96" s="387"/>
      <c r="AYK96" s="387"/>
      <c r="AYL96" s="387"/>
      <c r="AYM96" s="387"/>
      <c r="AYN96" s="387"/>
      <c r="AYO96" s="387"/>
      <c r="AYP96" s="387"/>
      <c r="AYQ96" s="387"/>
      <c r="AYR96" s="387"/>
      <c r="AYS96" s="387"/>
      <c r="AYT96" s="387"/>
      <c r="AYU96" s="387"/>
      <c r="AYV96" s="387"/>
      <c r="AYW96" s="387"/>
      <c r="AYX96" s="387"/>
      <c r="AYY96" s="387"/>
      <c r="AYZ96" s="387"/>
      <c r="AZA96" s="387"/>
      <c r="AZB96" s="387"/>
      <c r="AZC96" s="387"/>
      <c r="AZD96" s="387"/>
      <c r="AZE96" s="387"/>
      <c r="AZF96" s="387"/>
      <c r="AZG96" s="387"/>
      <c r="AZH96" s="387"/>
      <c r="AZI96" s="387"/>
      <c r="AZJ96" s="387"/>
      <c r="AZK96" s="387"/>
      <c r="AZL96" s="387"/>
      <c r="AZM96" s="387"/>
      <c r="AZN96" s="387"/>
      <c r="AZO96" s="387"/>
      <c r="AZP96" s="387"/>
      <c r="AZQ96" s="387"/>
      <c r="AZR96" s="387"/>
      <c r="AZS96" s="387"/>
      <c r="AZT96" s="387"/>
      <c r="AZU96" s="387"/>
      <c r="AZV96" s="387"/>
      <c r="AZW96" s="387"/>
      <c r="AZX96" s="387"/>
      <c r="AZY96" s="387"/>
      <c r="AZZ96" s="387"/>
      <c r="BAA96" s="387"/>
      <c r="BAB96" s="387"/>
      <c r="BAC96" s="387"/>
      <c r="BAD96" s="387"/>
      <c r="BAE96" s="387"/>
      <c r="BAF96" s="387"/>
      <c r="BAG96" s="387"/>
      <c r="BAH96" s="387"/>
      <c r="BAI96" s="387"/>
      <c r="BAJ96" s="387"/>
      <c r="BAK96" s="387"/>
      <c r="BAL96" s="387"/>
      <c r="BAM96" s="387"/>
      <c r="BAN96" s="387"/>
      <c r="BAO96" s="387"/>
      <c r="BAP96" s="387"/>
      <c r="BAQ96" s="387"/>
      <c r="BAR96" s="387"/>
      <c r="BAS96" s="387"/>
      <c r="BAT96" s="387"/>
      <c r="BAU96" s="387"/>
      <c r="BAV96" s="387"/>
      <c r="BAW96" s="387"/>
      <c r="BAX96" s="387"/>
      <c r="BAY96" s="387"/>
      <c r="BAZ96" s="387"/>
      <c r="BBA96" s="387"/>
      <c r="BBB96" s="387"/>
      <c r="BBC96" s="387"/>
      <c r="BBD96" s="387"/>
      <c r="BBE96" s="387"/>
      <c r="BBF96" s="387"/>
      <c r="BBG96" s="387"/>
      <c r="BBH96" s="387"/>
      <c r="BBI96" s="387"/>
      <c r="BBJ96" s="387"/>
      <c r="BBK96" s="387"/>
      <c r="BBL96" s="387"/>
      <c r="BBM96" s="387"/>
      <c r="BBN96" s="387"/>
      <c r="BBO96" s="387"/>
      <c r="BBP96" s="387"/>
      <c r="BBQ96" s="387"/>
      <c r="BBR96" s="387"/>
      <c r="BBS96" s="387"/>
      <c r="BBT96" s="387"/>
      <c r="BBU96" s="387"/>
      <c r="BBV96" s="387"/>
      <c r="BBW96" s="387"/>
      <c r="BBX96" s="387"/>
      <c r="BBY96" s="387"/>
      <c r="BBZ96" s="387"/>
      <c r="BCA96" s="387"/>
      <c r="BCB96" s="387"/>
      <c r="BCC96" s="387"/>
      <c r="BCD96" s="387"/>
      <c r="BCE96" s="387"/>
      <c r="BCF96" s="387"/>
      <c r="BCG96" s="387"/>
      <c r="BCH96" s="387"/>
      <c r="BCI96" s="387"/>
      <c r="BCJ96" s="387"/>
      <c r="BCK96" s="387"/>
      <c r="BCL96" s="387"/>
      <c r="BCM96" s="387"/>
      <c r="BCN96" s="387"/>
      <c r="BCO96" s="387"/>
      <c r="BCP96" s="387"/>
      <c r="BCQ96" s="387"/>
      <c r="BCR96" s="387"/>
      <c r="BCS96" s="387"/>
      <c r="BCT96" s="387"/>
      <c r="BCU96" s="387"/>
      <c r="BCV96" s="387"/>
      <c r="BCW96" s="387"/>
      <c r="BCX96" s="387"/>
      <c r="BCY96" s="387"/>
      <c r="BCZ96" s="387"/>
      <c r="BDA96" s="387"/>
      <c r="BDB96" s="387"/>
      <c r="BDC96" s="387"/>
      <c r="BDD96" s="387"/>
      <c r="BDE96" s="387"/>
      <c r="BDF96" s="387"/>
      <c r="BDG96" s="387"/>
      <c r="BDH96" s="387"/>
      <c r="BDI96" s="387"/>
      <c r="BDJ96" s="387"/>
      <c r="BDK96" s="387"/>
      <c r="BDL96" s="387"/>
      <c r="BDM96" s="387"/>
      <c r="BDN96" s="387"/>
      <c r="BDO96" s="387"/>
      <c r="BDP96" s="387"/>
      <c r="BDQ96" s="387"/>
      <c r="BDR96" s="387"/>
      <c r="BDS96" s="387"/>
      <c r="BDT96" s="387"/>
      <c r="BDU96" s="387"/>
      <c r="BDV96" s="387"/>
      <c r="BDW96" s="387"/>
      <c r="BDX96" s="387"/>
      <c r="BDY96" s="387"/>
      <c r="BDZ96" s="387"/>
      <c r="BEA96" s="387"/>
      <c r="BEB96" s="387"/>
      <c r="BEC96" s="387"/>
      <c r="BED96" s="387"/>
      <c r="BEE96" s="387"/>
      <c r="BEF96" s="387"/>
      <c r="BEG96" s="387"/>
      <c r="BEH96" s="387"/>
      <c r="BEI96" s="387"/>
      <c r="BEJ96" s="387"/>
      <c r="BEK96" s="387"/>
      <c r="BEL96" s="387"/>
      <c r="BEM96" s="387"/>
      <c r="BEN96" s="387"/>
      <c r="BEO96" s="387"/>
      <c r="BEP96" s="387"/>
      <c r="BEQ96" s="387"/>
      <c r="BER96" s="387"/>
      <c r="BES96" s="387"/>
      <c r="BET96" s="387"/>
      <c r="BEU96" s="387"/>
      <c r="BEV96" s="387"/>
      <c r="BEW96" s="387"/>
      <c r="BEX96" s="387"/>
      <c r="BEY96" s="387"/>
      <c r="BEZ96" s="387"/>
      <c r="BFA96" s="387"/>
      <c r="BFB96" s="387"/>
      <c r="BFC96" s="387"/>
      <c r="BFD96" s="387"/>
      <c r="BFE96" s="387"/>
      <c r="BFF96" s="387"/>
      <c r="BFG96" s="387"/>
      <c r="BFH96" s="387"/>
      <c r="BFI96" s="387"/>
      <c r="BFJ96" s="387"/>
      <c r="BFK96" s="387"/>
      <c r="BFL96" s="387"/>
      <c r="BFM96" s="387"/>
      <c r="BFN96" s="387"/>
      <c r="BFO96" s="387"/>
      <c r="BFP96" s="387"/>
      <c r="BFQ96" s="387"/>
      <c r="BFR96" s="387"/>
      <c r="BFS96" s="387"/>
      <c r="BFT96" s="387"/>
      <c r="BFU96" s="387"/>
      <c r="BFV96" s="387"/>
      <c r="BFW96" s="387"/>
      <c r="BFX96" s="387"/>
      <c r="BFY96" s="387"/>
      <c r="BFZ96" s="387"/>
      <c r="BGA96" s="387"/>
      <c r="BGB96" s="387"/>
      <c r="BGC96" s="387"/>
      <c r="BGD96" s="387"/>
      <c r="BGE96" s="387"/>
      <c r="BGF96" s="387"/>
      <c r="BGG96" s="387"/>
      <c r="BGH96" s="387"/>
      <c r="BGI96" s="387"/>
      <c r="BGJ96" s="387"/>
      <c r="BGK96" s="387"/>
      <c r="BGL96" s="387"/>
      <c r="BGM96" s="387"/>
      <c r="BGN96" s="387"/>
      <c r="BGO96" s="387"/>
      <c r="BGP96" s="387"/>
      <c r="BGQ96" s="387"/>
      <c r="BGR96" s="387"/>
      <c r="BGS96" s="387"/>
      <c r="BGT96" s="387"/>
      <c r="BGU96" s="387"/>
      <c r="BGV96" s="387"/>
      <c r="BGW96" s="387"/>
      <c r="BGX96" s="387"/>
      <c r="BGY96" s="387"/>
      <c r="BGZ96" s="387"/>
      <c r="BHA96" s="387"/>
      <c r="BHB96" s="387"/>
      <c r="BHC96" s="387"/>
      <c r="BHD96" s="387"/>
      <c r="BHE96" s="387"/>
      <c r="BHF96" s="387"/>
      <c r="BHG96" s="387"/>
      <c r="BHH96" s="387"/>
      <c r="BHI96" s="387"/>
      <c r="BHJ96" s="387"/>
      <c r="BHK96" s="387"/>
      <c r="BHL96" s="387"/>
      <c r="BHM96" s="387"/>
      <c r="BHN96" s="387"/>
      <c r="BHO96" s="387"/>
      <c r="BHP96" s="387"/>
      <c r="BHQ96" s="387"/>
      <c r="BHR96" s="387"/>
      <c r="BHS96" s="387"/>
      <c r="BHT96" s="387"/>
      <c r="BHU96" s="387"/>
      <c r="BHV96" s="387"/>
      <c r="BHW96" s="387"/>
      <c r="BHX96" s="387"/>
      <c r="BHY96" s="387"/>
      <c r="BHZ96" s="387"/>
      <c r="BIA96" s="387"/>
      <c r="BIB96" s="387"/>
      <c r="BIC96" s="387"/>
      <c r="BID96" s="387"/>
      <c r="BIE96" s="387"/>
      <c r="BIF96" s="387"/>
      <c r="BIG96" s="387"/>
      <c r="BIH96" s="387"/>
      <c r="BII96" s="387"/>
      <c r="BIJ96" s="387"/>
      <c r="BIK96" s="387"/>
      <c r="BIL96" s="387"/>
      <c r="BIM96" s="387"/>
      <c r="BIN96" s="387"/>
      <c r="BIO96" s="387"/>
      <c r="BIP96" s="387"/>
      <c r="BIQ96" s="387"/>
      <c r="BIR96" s="387"/>
      <c r="BIS96" s="387"/>
      <c r="BIT96" s="387"/>
      <c r="BIU96" s="387"/>
      <c r="BIV96" s="387"/>
      <c r="BIW96" s="387"/>
      <c r="BIX96" s="387"/>
      <c r="BIY96" s="387"/>
      <c r="BIZ96" s="387"/>
      <c r="BJA96" s="387"/>
      <c r="BJB96" s="387"/>
      <c r="BJC96" s="387"/>
      <c r="BJD96" s="387"/>
      <c r="BJE96" s="387"/>
      <c r="BJF96" s="387"/>
      <c r="BJG96" s="387"/>
      <c r="BJH96" s="387"/>
      <c r="BJI96" s="387"/>
      <c r="BJJ96" s="387"/>
      <c r="BJK96" s="387"/>
      <c r="BJL96" s="387"/>
      <c r="BJM96" s="387"/>
      <c r="BJN96" s="387"/>
      <c r="BJO96" s="387"/>
      <c r="BJP96" s="387"/>
      <c r="BJQ96" s="387"/>
      <c r="BJR96" s="387"/>
      <c r="BJS96" s="387"/>
      <c r="BJT96" s="387"/>
      <c r="BJU96" s="387"/>
      <c r="BJV96" s="387"/>
      <c r="BJW96" s="387"/>
      <c r="BJX96" s="387"/>
      <c r="BJY96" s="387"/>
      <c r="BJZ96" s="387"/>
      <c r="BKA96" s="387"/>
      <c r="BKB96" s="387"/>
      <c r="BKC96" s="387"/>
      <c r="BKD96" s="387"/>
      <c r="BKE96" s="387"/>
      <c r="BKF96" s="387"/>
      <c r="BKG96" s="387"/>
      <c r="BKH96" s="387"/>
      <c r="BKI96" s="387"/>
      <c r="BKJ96" s="387"/>
      <c r="BKK96" s="387"/>
      <c r="BKL96" s="387"/>
      <c r="BKM96" s="387"/>
      <c r="BKN96" s="387"/>
      <c r="BKO96" s="387"/>
      <c r="BKP96" s="387"/>
      <c r="BKQ96" s="387"/>
      <c r="BKR96" s="387"/>
      <c r="BKS96" s="387"/>
      <c r="BKT96" s="387"/>
      <c r="BKU96" s="387"/>
      <c r="BKV96" s="387"/>
      <c r="BKW96" s="387"/>
      <c r="BKX96" s="387"/>
      <c r="BKY96" s="387"/>
      <c r="BKZ96" s="387"/>
      <c r="BLA96" s="387"/>
      <c r="BLB96" s="387"/>
      <c r="BLC96" s="387"/>
      <c r="BLD96" s="387"/>
      <c r="BLE96" s="387"/>
      <c r="BLF96" s="387"/>
      <c r="BLG96" s="387"/>
      <c r="BLH96" s="387"/>
      <c r="BLI96" s="387"/>
      <c r="BLJ96" s="387"/>
      <c r="BLK96" s="387"/>
      <c r="BLL96" s="387"/>
      <c r="BLM96" s="387"/>
      <c r="BLN96" s="387"/>
      <c r="BLO96" s="387"/>
      <c r="BLP96" s="387"/>
      <c r="BLQ96" s="387"/>
      <c r="BLR96" s="387"/>
      <c r="BLS96" s="387"/>
      <c r="BLT96" s="387"/>
      <c r="BLU96" s="387"/>
      <c r="BLV96" s="387"/>
      <c r="BLW96" s="387"/>
      <c r="BLX96" s="387"/>
      <c r="BLY96" s="387"/>
      <c r="BLZ96" s="387"/>
      <c r="BMA96" s="387"/>
      <c r="BMB96" s="387"/>
      <c r="BMC96" s="387"/>
      <c r="BMD96" s="387"/>
      <c r="BME96" s="387"/>
      <c r="BMF96" s="387"/>
      <c r="BMG96" s="387"/>
      <c r="BMH96" s="387"/>
      <c r="BMI96" s="387"/>
      <c r="BMJ96" s="387"/>
      <c r="BMK96" s="387"/>
      <c r="BML96" s="387"/>
      <c r="BMM96" s="387"/>
      <c r="BMN96" s="387"/>
      <c r="BMO96" s="387"/>
      <c r="BMP96" s="387"/>
      <c r="BMQ96" s="387"/>
      <c r="BMR96" s="387"/>
      <c r="BMS96" s="387"/>
      <c r="BMT96" s="387"/>
      <c r="BMU96" s="387"/>
      <c r="BMV96" s="387"/>
      <c r="BMW96" s="387"/>
      <c r="BMX96" s="387"/>
      <c r="BMY96" s="387"/>
      <c r="BMZ96" s="387"/>
      <c r="BNA96" s="387"/>
      <c r="BNB96" s="387"/>
      <c r="BNC96" s="387"/>
      <c r="BND96" s="387"/>
      <c r="BNE96" s="387"/>
      <c r="BNF96" s="387"/>
      <c r="BNG96" s="387"/>
      <c r="BNH96" s="387"/>
      <c r="BNI96" s="387"/>
      <c r="BNJ96" s="387"/>
      <c r="BNK96" s="387"/>
      <c r="BNL96" s="387"/>
      <c r="BNM96" s="387"/>
      <c r="BNN96" s="387"/>
      <c r="BNO96" s="387"/>
      <c r="BNP96" s="387"/>
      <c r="BNQ96" s="387"/>
      <c r="BNR96" s="387"/>
      <c r="BNS96" s="387"/>
      <c r="BNT96" s="387"/>
      <c r="BNU96" s="387"/>
      <c r="BNV96" s="387"/>
      <c r="BNW96" s="387"/>
      <c r="BNX96" s="387"/>
      <c r="BNY96" s="387"/>
      <c r="BNZ96" s="387"/>
      <c r="BOA96" s="387"/>
      <c r="BOB96" s="387"/>
      <c r="BOC96" s="387"/>
      <c r="BOD96" s="387"/>
      <c r="BOE96" s="387"/>
      <c r="BOF96" s="387"/>
      <c r="BOG96" s="387"/>
      <c r="BOH96" s="387"/>
      <c r="BOI96" s="387"/>
      <c r="BOJ96" s="387"/>
      <c r="BOK96" s="387"/>
      <c r="BOL96" s="387"/>
      <c r="BOM96" s="387"/>
      <c r="BON96" s="387"/>
      <c r="BOO96" s="387"/>
      <c r="BOP96" s="387"/>
      <c r="BOQ96" s="387"/>
      <c r="BOR96" s="387"/>
      <c r="BOS96" s="387"/>
      <c r="BOT96" s="387"/>
      <c r="BOU96" s="387"/>
      <c r="BOV96" s="387"/>
      <c r="BOW96" s="387"/>
      <c r="BOX96" s="387"/>
      <c r="BOY96" s="387"/>
      <c r="BOZ96" s="387"/>
      <c r="BPA96" s="387"/>
      <c r="BPB96" s="387"/>
      <c r="BPC96" s="387"/>
      <c r="BPD96" s="387"/>
      <c r="BPE96" s="387"/>
      <c r="BPF96" s="387"/>
      <c r="BPG96" s="387"/>
      <c r="BPH96" s="387"/>
      <c r="BPI96" s="387"/>
      <c r="BPJ96" s="387"/>
      <c r="BPK96" s="387"/>
      <c r="BPL96" s="387"/>
      <c r="BPM96" s="387"/>
      <c r="BPN96" s="387"/>
      <c r="BPO96" s="387"/>
      <c r="BPP96" s="387"/>
      <c r="BPQ96" s="387"/>
      <c r="BPR96" s="387"/>
      <c r="BPS96" s="387"/>
      <c r="BPT96" s="387"/>
      <c r="BPU96" s="387"/>
      <c r="BPV96" s="387"/>
      <c r="BPW96" s="387"/>
      <c r="BPX96" s="387"/>
      <c r="BPY96" s="387"/>
      <c r="BPZ96" s="387"/>
      <c r="BQA96" s="387"/>
      <c r="BQB96" s="387"/>
      <c r="BQC96" s="387"/>
      <c r="BQD96" s="387"/>
      <c r="BQE96" s="387"/>
      <c r="BQF96" s="387"/>
      <c r="BQG96" s="387"/>
      <c r="BQH96" s="387"/>
      <c r="BQI96" s="387"/>
      <c r="BQJ96" s="387"/>
      <c r="BQK96" s="387"/>
      <c r="BQL96" s="387"/>
      <c r="BQM96" s="387"/>
      <c r="BQN96" s="387"/>
      <c r="BQO96" s="387"/>
      <c r="BQP96" s="387"/>
      <c r="BQQ96" s="387"/>
      <c r="BQR96" s="387"/>
      <c r="BQS96" s="387"/>
      <c r="BQT96" s="387"/>
      <c r="BQU96" s="387"/>
      <c r="BQV96" s="387"/>
      <c r="BQW96" s="387"/>
      <c r="BQX96" s="387"/>
      <c r="BQY96" s="387"/>
      <c r="BQZ96" s="387"/>
      <c r="BRA96" s="387"/>
      <c r="BRB96" s="387"/>
      <c r="BRC96" s="387"/>
      <c r="BRD96" s="387"/>
      <c r="BRE96" s="387"/>
      <c r="BRF96" s="387"/>
      <c r="BRG96" s="387"/>
      <c r="BRH96" s="387"/>
      <c r="BRI96" s="387"/>
      <c r="BRJ96" s="387"/>
      <c r="BRK96" s="387"/>
      <c r="BRL96" s="387"/>
      <c r="BRM96" s="387"/>
      <c r="BRN96" s="387"/>
      <c r="BRO96" s="387"/>
      <c r="BRP96" s="387"/>
      <c r="BRQ96" s="387"/>
      <c r="BRR96" s="387"/>
      <c r="BRS96" s="387"/>
      <c r="BRT96" s="387"/>
      <c r="BRU96" s="387"/>
      <c r="BRV96" s="387"/>
      <c r="BRW96" s="387"/>
      <c r="BRX96" s="387"/>
      <c r="BRY96" s="387"/>
      <c r="BRZ96" s="387"/>
      <c r="BSA96" s="387"/>
      <c r="BSB96" s="387"/>
      <c r="BSC96" s="387"/>
      <c r="BSD96" s="387"/>
      <c r="BSE96" s="387"/>
      <c r="BSF96" s="387"/>
      <c r="BSG96" s="387"/>
      <c r="BSH96" s="387"/>
      <c r="BSI96" s="387"/>
      <c r="BSJ96" s="387"/>
      <c r="BSK96" s="387"/>
      <c r="BSL96" s="387"/>
      <c r="BSM96" s="387"/>
      <c r="BSN96" s="387"/>
      <c r="BSO96" s="387"/>
      <c r="BSP96" s="387"/>
      <c r="BSQ96" s="387"/>
      <c r="BSR96" s="387"/>
      <c r="BSS96" s="387"/>
      <c r="BST96" s="387"/>
      <c r="BSU96" s="387"/>
      <c r="BSV96" s="387"/>
      <c r="BSW96" s="387"/>
      <c r="BSX96" s="387"/>
      <c r="BSY96" s="387"/>
      <c r="BSZ96" s="387"/>
      <c r="BTA96" s="387"/>
      <c r="BTB96" s="387"/>
      <c r="BTC96" s="387"/>
      <c r="BTD96" s="387"/>
      <c r="BTE96" s="387"/>
      <c r="BTF96" s="387"/>
      <c r="BTG96" s="387"/>
      <c r="BTH96" s="387"/>
      <c r="BTI96" s="387"/>
    </row>
    <row r="97" spans="1:1881" ht="45" x14ac:dyDescent="0.25">
      <c r="A97" s="186">
        <v>91</v>
      </c>
      <c r="B97" s="62" t="s">
        <v>81</v>
      </c>
      <c r="C97" s="157" t="s">
        <v>200</v>
      </c>
      <c r="D97" s="163" t="s">
        <v>194</v>
      </c>
      <c r="E97" s="683" t="e">
        <f>HLOOKUP('Unit Data from Audit Worksheet'!$D$2,'2019 Data(H)'!$D$1:$BB$202,34,FALSE)</f>
        <v>#N/A</v>
      </c>
      <c r="F97" s="686"/>
      <c r="G97" s="388">
        <f>IF(F97&lt;0,"Note: Number is normally positive.",)</f>
        <v>0</v>
      </c>
      <c r="H97" s="14"/>
      <c r="I97" s="31"/>
      <c r="S97" s="682"/>
      <c r="X97" s="682"/>
    </row>
    <row r="98" spans="1:1881" ht="66.75" customHeight="1" x14ac:dyDescent="0.25">
      <c r="A98" s="186">
        <v>581</v>
      </c>
      <c r="B98" s="148" t="s">
        <v>578</v>
      </c>
      <c r="C98" s="180" t="s">
        <v>200</v>
      </c>
      <c r="D98" s="304" t="s">
        <v>880</v>
      </c>
      <c r="E98" s="683" t="e">
        <f>HLOOKUP('Unit Data from Audit Worksheet'!$D$2,'2019 Data(H)'!$D$1:$BB$202,165,FALSE)</f>
        <v>#N/A</v>
      </c>
      <c r="F98" s="686"/>
      <c r="G98" s="388"/>
      <c r="H98" s="65"/>
      <c r="I98" s="31"/>
      <c r="S98" s="682"/>
      <c r="X98" s="682"/>
    </row>
    <row r="99" spans="1:1881" ht="47.25" customHeight="1" x14ac:dyDescent="0.25">
      <c r="A99" s="186">
        <v>511</v>
      </c>
      <c r="B99" s="62" t="s">
        <v>81</v>
      </c>
      <c r="C99" s="157" t="s">
        <v>200</v>
      </c>
      <c r="D99" s="138" t="s">
        <v>195</v>
      </c>
      <c r="E99" s="683" t="e">
        <f>HLOOKUP('Unit Data from Audit Worksheet'!$D$2,'2019 Data(H)'!$D$1:$BB$202,118,FALSE)</f>
        <v>#N/A</v>
      </c>
      <c r="F99" s="686"/>
      <c r="G99" s="388">
        <f>IF(F99&lt;0,"Note: Number is normally positive.",)</f>
        <v>0</v>
      </c>
      <c r="H99" s="14"/>
      <c r="I99" s="31"/>
      <c r="S99" s="682"/>
      <c r="X99" s="682"/>
    </row>
    <row r="100" spans="1:1881" s="372" customFormat="1" ht="87.75" customHeight="1" x14ac:dyDescent="0.25">
      <c r="A100" s="726">
        <v>657</v>
      </c>
      <c r="B100" s="733" t="s">
        <v>81</v>
      </c>
      <c r="C100" s="734" t="s">
        <v>200</v>
      </c>
      <c r="D100" s="735" t="s">
        <v>808</v>
      </c>
      <c r="E100" s="730" t="s">
        <v>676</v>
      </c>
      <c r="F100" s="686"/>
      <c r="G100" s="703">
        <f>IF((F96+F97+F99)&gt;F100,"Error: Please review components of current assets above.  Account numbers (90+91+511)&gt;657",)</f>
        <v>0</v>
      </c>
      <c r="H100" s="389"/>
      <c r="I100" s="390"/>
      <c r="J100" s="387"/>
      <c r="K100" s="387"/>
      <c r="L100" s="387"/>
      <c r="M100" s="387"/>
      <c r="N100"/>
      <c r="O100" s="387"/>
      <c r="P100" s="387"/>
      <c r="Q100" s="387"/>
      <c r="R100"/>
      <c r="S100" s="682"/>
      <c r="T100" s="387"/>
      <c r="U100" s="387"/>
      <c r="V100" s="387"/>
      <c r="W100" s="387"/>
      <c r="X100" s="682"/>
      <c r="Y100" s="387"/>
      <c r="Z100" s="387"/>
      <c r="AA100" s="387"/>
      <c r="AB100" s="387"/>
      <c r="AC100" s="387"/>
      <c r="AD100" s="387"/>
      <c r="AE100" s="387"/>
      <c r="AF100" s="387"/>
      <c r="AG100" s="387"/>
      <c r="AH100" s="387"/>
      <c r="AI100" s="387"/>
      <c r="AJ100" s="387"/>
      <c r="AK100" s="387"/>
      <c r="AL100" s="387"/>
      <c r="AM100" s="387"/>
      <c r="AN100" s="387"/>
      <c r="AO100" s="387"/>
      <c r="AP100" s="387"/>
      <c r="AQ100" s="387"/>
      <c r="AR100" s="387"/>
      <c r="AS100" s="387"/>
      <c r="AT100" s="387"/>
      <c r="AU100" s="387"/>
      <c r="AV100" s="387"/>
      <c r="AW100" s="387"/>
      <c r="AX100" s="387"/>
      <c r="AY100" s="387"/>
      <c r="AZ100" s="387"/>
      <c r="BA100" s="387"/>
      <c r="BB100" s="387"/>
      <c r="BC100" s="387"/>
      <c r="BD100" s="387"/>
      <c r="BE100" s="387"/>
      <c r="BF100" s="387"/>
      <c r="BG100" s="387"/>
      <c r="BH100" s="387"/>
      <c r="BI100" s="387"/>
      <c r="BJ100" s="387"/>
      <c r="BK100" s="387"/>
      <c r="BL100" s="387"/>
      <c r="BM100" s="387"/>
      <c r="BN100" s="387"/>
      <c r="BO100" s="387"/>
      <c r="BP100" s="387"/>
      <c r="BQ100" s="387"/>
      <c r="BR100" s="387"/>
      <c r="BS100" s="387"/>
      <c r="BT100" s="387"/>
      <c r="BU100" s="387"/>
      <c r="BV100" s="387"/>
      <c r="BW100" s="387"/>
      <c r="BX100" s="387"/>
      <c r="BY100" s="387"/>
      <c r="BZ100" s="387"/>
      <c r="CA100" s="387"/>
      <c r="CB100" s="387"/>
      <c r="CC100" s="387"/>
      <c r="CD100" s="387"/>
      <c r="CE100" s="387"/>
      <c r="CF100" s="387"/>
      <c r="CG100" s="387"/>
      <c r="CH100" s="387"/>
      <c r="CI100" s="387"/>
      <c r="CJ100" s="387"/>
      <c r="CK100" s="387"/>
      <c r="CL100" s="387"/>
      <c r="CM100" s="387"/>
      <c r="CN100" s="387"/>
      <c r="CO100" s="387"/>
      <c r="CP100" s="387"/>
      <c r="CQ100" s="387"/>
      <c r="CR100" s="387"/>
      <c r="CS100" s="387"/>
      <c r="CT100" s="387"/>
      <c r="CU100" s="387"/>
      <c r="CV100" s="387"/>
      <c r="CW100" s="387"/>
      <c r="CX100" s="387"/>
      <c r="CY100" s="387"/>
      <c r="CZ100" s="387"/>
      <c r="DA100" s="387"/>
      <c r="DB100" s="387"/>
      <c r="DC100" s="387"/>
      <c r="DD100" s="387"/>
      <c r="DE100" s="387"/>
      <c r="DF100" s="387"/>
      <c r="DG100" s="387"/>
      <c r="DH100" s="387"/>
      <c r="DI100" s="387"/>
      <c r="DJ100" s="387"/>
      <c r="DK100" s="387"/>
      <c r="DL100" s="387"/>
      <c r="DM100" s="387"/>
      <c r="DN100" s="387"/>
      <c r="DO100" s="387"/>
      <c r="DP100" s="387"/>
      <c r="DQ100" s="387"/>
      <c r="DR100" s="387"/>
      <c r="DS100" s="387"/>
      <c r="DT100" s="387"/>
      <c r="DU100" s="387"/>
      <c r="DV100" s="387"/>
      <c r="DW100" s="387"/>
      <c r="DX100" s="387"/>
      <c r="DY100" s="387"/>
      <c r="DZ100" s="387"/>
      <c r="EA100" s="387"/>
      <c r="EB100" s="387"/>
      <c r="EC100" s="387"/>
      <c r="ED100" s="387"/>
      <c r="EE100" s="387"/>
      <c r="EF100" s="387"/>
      <c r="EG100" s="387"/>
      <c r="EH100" s="387"/>
      <c r="EI100" s="387"/>
      <c r="EJ100" s="387"/>
      <c r="EK100" s="387"/>
      <c r="EL100" s="387"/>
      <c r="EM100" s="387"/>
      <c r="EN100" s="387"/>
      <c r="EO100" s="387"/>
      <c r="EP100" s="387"/>
      <c r="EQ100" s="387"/>
      <c r="ER100" s="387"/>
      <c r="ES100" s="387"/>
      <c r="ET100" s="387"/>
      <c r="EU100" s="387"/>
      <c r="EV100" s="387"/>
      <c r="EW100" s="387"/>
      <c r="EX100" s="387"/>
      <c r="EY100" s="387"/>
      <c r="EZ100" s="387"/>
      <c r="FA100" s="387"/>
      <c r="FB100" s="387"/>
      <c r="FC100" s="387"/>
      <c r="FD100" s="387"/>
      <c r="FE100" s="387"/>
      <c r="FF100" s="387"/>
      <c r="FG100" s="387"/>
      <c r="FH100" s="387"/>
      <c r="FI100" s="387"/>
      <c r="FJ100" s="387"/>
      <c r="FK100" s="387"/>
      <c r="FL100" s="387"/>
      <c r="FM100" s="387"/>
      <c r="FN100" s="387"/>
      <c r="FO100" s="387"/>
      <c r="FP100" s="387"/>
      <c r="FQ100" s="387"/>
      <c r="FR100" s="387"/>
      <c r="FS100" s="387"/>
      <c r="FT100" s="387"/>
      <c r="FU100" s="387"/>
      <c r="FV100" s="387"/>
      <c r="FW100" s="387"/>
      <c r="FX100" s="387"/>
      <c r="FY100" s="387"/>
      <c r="FZ100" s="387"/>
      <c r="GA100" s="387"/>
      <c r="GB100" s="387"/>
      <c r="GC100" s="387"/>
      <c r="GD100" s="387"/>
      <c r="GE100" s="387"/>
      <c r="GF100" s="387"/>
      <c r="GG100" s="387"/>
      <c r="GH100" s="387"/>
      <c r="GI100" s="387"/>
      <c r="GJ100" s="387"/>
      <c r="GK100" s="387"/>
      <c r="GL100" s="387"/>
      <c r="GM100" s="387"/>
      <c r="GN100" s="387"/>
      <c r="GO100" s="387"/>
      <c r="GP100" s="387"/>
      <c r="GQ100" s="387"/>
      <c r="GR100" s="387"/>
      <c r="GS100" s="387"/>
      <c r="GT100" s="387"/>
      <c r="GU100" s="387"/>
      <c r="GV100" s="387"/>
      <c r="GW100" s="387"/>
      <c r="GX100" s="387"/>
      <c r="GY100" s="387"/>
      <c r="GZ100" s="387"/>
      <c r="HA100" s="387"/>
      <c r="HB100" s="387"/>
      <c r="HC100" s="387"/>
      <c r="HD100" s="387"/>
      <c r="HE100" s="387"/>
      <c r="HF100" s="387"/>
      <c r="HG100" s="387"/>
      <c r="HH100" s="387"/>
      <c r="HI100" s="387"/>
      <c r="HJ100" s="387"/>
      <c r="HK100" s="387"/>
      <c r="HL100" s="387"/>
      <c r="HM100" s="387"/>
      <c r="HN100" s="387"/>
      <c r="HO100" s="387"/>
      <c r="HP100" s="387"/>
      <c r="HQ100" s="387"/>
      <c r="HR100" s="387"/>
      <c r="HS100" s="387"/>
      <c r="HT100" s="387"/>
      <c r="HU100" s="387"/>
      <c r="HV100" s="387"/>
      <c r="HW100" s="387"/>
      <c r="HX100" s="387"/>
      <c r="HY100" s="387"/>
      <c r="HZ100" s="387"/>
      <c r="IA100" s="387"/>
      <c r="IB100" s="387"/>
      <c r="IC100" s="387"/>
      <c r="ID100" s="387"/>
      <c r="IE100" s="387"/>
      <c r="IF100" s="387"/>
      <c r="IG100" s="387"/>
      <c r="IH100" s="387"/>
      <c r="II100" s="387"/>
      <c r="IJ100" s="387"/>
      <c r="IK100" s="387"/>
      <c r="IL100" s="387"/>
      <c r="IM100" s="387"/>
      <c r="IN100" s="387"/>
      <c r="IO100" s="387"/>
      <c r="IP100" s="387"/>
      <c r="IQ100" s="387"/>
      <c r="IR100" s="387"/>
      <c r="IS100" s="387"/>
      <c r="IT100" s="387"/>
      <c r="IU100" s="387"/>
      <c r="IV100" s="387"/>
      <c r="IW100" s="387"/>
      <c r="IX100" s="387"/>
      <c r="IY100" s="387"/>
      <c r="IZ100" s="387"/>
      <c r="JA100" s="387"/>
      <c r="JB100" s="387"/>
      <c r="JC100" s="387"/>
      <c r="JD100" s="387"/>
      <c r="JE100" s="387"/>
      <c r="JF100" s="387"/>
      <c r="JG100" s="387"/>
      <c r="JH100" s="387"/>
      <c r="JI100" s="387"/>
      <c r="JJ100" s="387"/>
      <c r="JK100" s="387"/>
      <c r="JL100" s="387"/>
      <c r="JM100" s="387"/>
      <c r="JN100" s="387"/>
      <c r="JO100" s="387"/>
      <c r="JP100" s="387"/>
      <c r="JQ100" s="387"/>
      <c r="JR100" s="387"/>
      <c r="JS100" s="387"/>
      <c r="JT100" s="387"/>
      <c r="JU100" s="387"/>
      <c r="JV100" s="387"/>
      <c r="JW100" s="387"/>
      <c r="JX100" s="387"/>
      <c r="JY100" s="387"/>
      <c r="JZ100" s="387"/>
      <c r="KA100" s="387"/>
      <c r="KB100" s="387"/>
      <c r="KC100" s="387"/>
      <c r="KD100" s="387"/>
      <c r="KE100" s="387"/>
      <c r="KF100" s="387"/>
      <c r="KG100" s="387"/>
      <c r="KH100" s="387"/>
      <c r="KI100" s="387"/>
      <c r="KJ100" s="387"/>
      <c r="KK100" s="387"/>
      <c r="KL100" s="387"/>
      <c r="KM100" s="387"/>
      <c r="KN100" s="387"/>
      <c r="KO100" s="387"/>
      <c r="KP100" s="387"/>
      <c r="KQ100" s="387"/>
      <c r="KR100" s="387"/>
      <c r="KS100" s="387"/>
      <c r="KT100" s="387"/>
      <c r="KU100" s="387"/>
      <c r="KV100" s="387"/>
      <c r="KW100" s="387"/>
      <c r="KX100" s="387"/>
      <c r="KY100" s="387"/>
      <c r="KZ100" s="387"/>
      <c r="LA100" s="387"/>
      <c r="LB100" s="387"/>
      <c r="LC100" s="387"/>
      <c r="LD100" s="387"/>
      <c r="LE100" s="387"/>
      <c r="LF100" s="387"/>
      <c r="LG100" s="387"/>
      <c r="LH100" s="387"/>
      <c r="LI100" s="387"/>
      <c r="LJ100" s="387"/>
      <c r="LK100" s="387"/>
      <c r="LL100" s="387"/>
      <c r="LM100" s="387"/>
      <c r="LN100" s="387"/>
      <c r="LO100" s="387"/>
      <c r="LP100" s="387"/>
      <c r="LQ100" s="387"/>
      <c r="LR100" s="387"/>
      <c r="LS100" s="387"/>
      <c r="LT100" s="387"/>
      <c r="LU100" s="387"/>
      <c r="LV100" s="387"/>
      <c r="LW100" s="387"/>
      <c r="LX100" s="387"/>
      <c r="LY100" s="387"/>
      <c r="LZ100" s="387"/>
      <c r="MA100" s="387"/>
      <c r="MB100" s="387"/>
      <c r="MC100" s="387"/>
      <c r="MD100" s="387"/>
      <c r="ME100" s="387"/>
      <c r="MF100" s="387"/>
      <c r="MG100" s="387"/>
      <c r="MH100" s="387"/>
      <c r="MI100" s="387"/>
      <c r="MJ100" s="387"/>
      <c r="MK100" s="387"/>
      <c r="ML100" s="387"/>
      <c r="MM100" s="387"/>
      <c r="MN100" s="387"/>
      <c r="MO100" s="387"/>
      <c r="MP100" s="387"/>
      <c r="MQ100" s="387"/>
      <c r="MR100" s="387"/>
      <c r="MS100" s="387"/>
      <c r="MT100" s="387"/>
      <c r="MU100" s="387"/>
      <c r="MV100" s="387"/>
      <c r="MW100" s="387"/>
      <c r="MX100" s="387"/>
      <c r="MY100" s="387"/>
      <c r="MZ100" s="387"/>
      <c r="NA100" s="387"/>
      <c r="NB100" s="387"/>
      <c r="NC100" s="387"/>
      <c r="ND100" s="387"/>
      <c r="NE100" s="387"/>
      <c r="NF100" s="387"/>
      <c r="NG100" s="387"/>
      <c r="NH100" s="387"/>
      <c r="NI100" s="387"/>
      <c r="NJ100" s="387"/>
      <c r="NK100" s="387"/>
      <c r="NL100" s="387"/>
      <c r="NM100" s="387"/>
      <c r="NN100" s="387"/>
      <c r="NO100" s="387"/>
      <c r="NP100" s="387"/>
      <c r="NQ100" s="387"/>
      <c r="NR100" s="387"/>
      <c r="NS100" s="387"/>
      <c r="NT100" s="387"/>
      <c r="NU100" s="387"/>
      <c r="NV100" s="387"/>
      <c r="NW100" s="387"/>
      <c r="NX100" s="387"/>
      <c r="NY100" s="387"/>
      <c r="NZ100" s="387"/>
      <c r="OA100" s="387"/>
      <c r="OB100" s="387"/>
      <c r="OC100" s="387"/>
      <c r="OD100" s="387"/>
      <c r="OE100" s="387"/>
      <c r="OF100" s="387"/>
      <c r="OG100" s="387"/>
      <c r="OH100" s="387"/>
      <c r="OI100" s="387"/>
      <c r="OJ100" s="387"/>
      <c r="OK100" s="387"/>
      <c r="OL100" s="387"/>
      <c r="OM100" s="387"/>
      <c r="ON100" s="387"/>
      <c r="OO100" s="387"/>
      <c r="OP100" s="387"/>
      <c r="OQ100" s="387"/>
      <c r="OR100" s="387"/>
      <c r="OS100" s="387"/>
      <c r="OT100" s="387"/>
      <c r="OU100" s="387"/>
      <c r="OV100" s="387"/>
      <c r="OW100" s="387"/>
      <c r="OX100" s="387"/>
      <c r="OY100" s="387"/>
      <c r="OZ100" s="387"/>
      <c r="PA100" s="387"/>
      <c r="PB100" s="387"/>
      <c r="PC100" s="387"/>
      <c r="PD100" s="387"/>
      <c r="PE100" s="387"/>
      <c r="PF100" s="387"/>
      <c r="PG100" s="387"/>
      <c r="PH100" s="387"/>
      <c r="PI100" s="387"/>
      <c r="PJ100" s="387"/>
      <c r="PK100" s="387"/>
      <c r="PL100" s="387"/>
      <c r="PM100" s="387"/>
      <c r="PN100" s="387"/>
      <c r="PO100" s="387"/>
      <c r="PP100" s="387"/>
      <c r="PQ100" s="387"/>
      <c r="PR100" s="387"/>
      <c r="PS100" s="387"/>
      <c r="PT100" s="387"/>
      <c r="PU100" s="387"/>
      <c r="PV100" s="387"/>
      <c r="PW100" s="387"/>
      <c r="PX100" s="387"/>
      <c r="PY100" s="387"/>
      <c r="PZ100" s="387"/>
      <c r="QA100" s="387"/>
      <c r="QB100" s="387"/>
      <c r="QC100" s="387"/>
      <c r="QD100" s="387"/>
      <c r="QE100" s="387"/>
      <c r="QF100" s="387"/>
      <c r="QG100" s="387"/>
      <c r="QH100" s="387"/>
      <c r="QI100" s="387"/>
      <c r="QJ100" s="387"/>
      <c r="QK100" s="387"/>
      <c r="QL100" s="387"/>
      <c r="QM100" s="387"/>
      <c r="QN100" s="387"/>
      <c r="QO100" s="387"/>
      <c r="QP100" s="387"/>
      <c r="QQ100" s="387"/>
      <c r="QR100" s="387"/>
      <c r="QS100" s="387"/>
      <c r="QT100" s="387"/>
      <c r="QU100" s="387"/>
      <c r="QV100" s="387"/>
      <c r="QW100" s="387"/>
      <c r="QX100" s="387"/>
      <c r="QY100" s="387"/>
      <c r="QZ100" s="387"/>
      <c r="RA100" s="387"/>
      <c r="RB100" s="387"/>
      <c r="RC100" s="387"/>
      <c r="RD100" s="387"/>
      <c r="RE100" s="387"/>
      <c r="RF100" s="387"/>
      <c r="RG100" s="387"/>
      <c r="RH100" s="387"/>
      <c r="RI100" s="387"/>
      <c r="RJ100" s="387"/>
      <c r="RK100" s="387"/>
      <c r="RL100" s="387"/>
      <c r="RM100" s="387"/>
      <c r="RN100" s="387"/>
      <c r="RO100" s="387"/>
      <c r="RP100" s="387"/>
      <c r="RQ100" s="387"/>
      <c r="RR100" s="387"/>
      <c r="RS100" s="387"/>
      <c r="RT100" s="387"/>
      <c r="RU100" s="387"/>
      <c r="RV100" s="387"/>
      <c r="RW100" s="387"/>
      <c r="RX100" s="387"/>
      <c r="RY100" s="387"/>
      <c r="RZ100" s="387"/>
      <c r="SA100" s="387"/>
      <c r="SB100" s="387"/>
      <c r="SC100" s="387"/>
      <c r="SD100" s="387"/>
      <c r="SE100" s="387"/>
      <c r="SF100" s="387"/>
      <c r="SG100" s="387"/>
      <c r="SH100" s="387"/>
      <c r="SI100" s="387"/>
      <c r="SJ100" s="387"/>
      <c r="SK100" s="387"/>
      <c r="SL100" s="387"/>
      <c r="SM100" s="387"/>
      <c r="SN100" s="387"/>
      <c r="SO100" s="387"/>
      <c r="SP100" s="387"/>
      <c r="SQ100" s="387"/>
      <c r="SR100" s="387"/>
      <c r="SS100" s="387"/>
      <c r="ST100" s="387"/>
      <c r="SU100" s="387"/>
      <c r="SV100" s="387"/>
      <c r="SW100" s="387"/>
      <c r="SX100" s="387"/>
      <c r="SY100" s="387"/>
      <c r="SZ100" s="387"/>
      <c r="TA100" s="387"/>
      <c r="TB100" s="387"/>
      <c r="TC100" s="387"/>
      <c r="TD100" s="387"/>
      <c r="TE100" s="387"/>
      <c r="TF100" s="387"/>
      <c r="TG100" s="387"/>
      <c r="TH100" s="387"/>
      <c r="TI100" s="387"/>
      <c r="TJ100" s="387"/>
      <c r="TK100" s="387"/>
      <c r="TL100" s="387"/>
      <c r="TM100" s="387"/>
      <c r="TN100" s="387"/>
      <c r="TO100" s="387"/>
      <c r="TP100" s="387"/>
      <c r="TQ100" s="387"/>
      <c r="TR100" s="387"/>
      <c r="TS100" s="387"/>
      <c r="TT100" s="387"/>
      <c r="TU100" s="387"/>
      <c r="TV100" s="387"/>
      <c r="TW100" s="387"/>
      <c r="TX100" s="387"/>
      <c r="TY100" s="387"/>
      <c r="TZ100" s="387"/>
      <c r="UA100" s="387"/>
      <c r="UB100" s="387"/>
      <c r="UC100" s="387"/>
      <c r="UD100" s="387"/>
      <c r="UE100" s="387"/>
      <c r="UF100" s="387"/>
      <c r="UG100" s="387"/>
      <c r="UH100" s="387"/>
      <c r="UI100" s="387"/>
      <c r="UJ100" s="387"/>
      <c r="UK100" s="387"/>
      <c r="UL100" s="387"/>
      <c r="UM100" s="387"/>
      <c r="UN100" s="387"/>
      <c r="UO100" s="387"/>
      <c r="UP100" s="387"/>
      <c r="UQ100" s="387"/>
      <c r="UR100" s="387"/>
      <c r="US100" s="387"/>
      <c r="UT100" s="387"/>
      <c r="UU100" s="387"/>
      <c r="UV100" s="387"/>
      <c r="UW100" s="387"/>
      <c r="UX100" s="387"/>
      <c r="UY100" s="387"/>
      <c r="UZ100" s="387"/>
      <c r="VA100" s="387"/>
      <c r="VB100" s="387"/>
      <c r="VC100" s="387"/>
      <c r="VD100" s="387"/>
      <c r="VE100" s="387"/>
      <c r="VF100" s="387"/>
      <c r="VG100" s="387"/>
      <c r="VH100" s="387"/>
      <c r="VI100" s="387"/>
      <c r="VJ100" s="387"/>
      <c r="VK100" s="387"/>
      <c r="VL100" s="387"/>
      <c r="VM100" s="387"/>
      <c r="VN100" s="387"/>
      <c r="VO100" s="387"/>
      <c r="VP100" s="387"/>
      <c r="VQ100" s="387"/>
      <c r="VR100" s="387"/>
      <c r="VS100" s="387"/>
      <c r="VT100" s="387"/>
      <c r="VU100" s="387"/>
      <c r="VV100" s="387"/>
      <c r="VW100" s="387"/>
      <c r="VX100" s="387"/>
      <c r="VY100" s="387"/>
      <c r="VZ100" s="387"/>
      <c r="WA100" s="387"/>
      <c r="WB100" s="387"/>
      <c r="WC100" s="387"/>
      <c r="WD100" s="387"/>
      <c r="WE100" s="387"/>
      <c r="WF100" s="387"/>
      <c r="WG100" s="387"/>
      <c r="WH100" s="387"/>
      <c r="WI100" s="387"/>
      <c r="WJ100" s="387"/>
      <c r="WK100" s="387"/>
      <c r="WL100" s="387"/>
      <c r="WM100" s="387"/>
      <c r="WN100" s="387"/>
      <c r="WO100" s="387"/>
      <c r="WP100" s="387"/>
      <c r="WQ100" s="387"/>
      <c r="WR100" s="387"/>
      <c r="WS100" s="387"/>
      <c r="WT100" s="387"/>
      <c r="WU100" s="387"/>
      <c r="WV100" s="387"/>
      <c r="WW100" s="387"/>
      <c r="WX100" s="387"/>
      <c r="WY100" s="387"/>
      <c r="WZ100" s="387"/>
      <c r="XA100" s="387"/>
      <c r="XB100" s="387"/>
      <c r="XC100" s="387"/>
      <c r="XD100" s="387"/>
      <c r="XE100" s="387"/>
      <c r="XF100" s="387"/>
      <c r="XG100" s="387"/>
      <c r="XH100" s="387"/>
      <c r="XI100" s="387"/>
      <c r="XJ100" s="387"/>
      <c r="XK100" s="387"/>
      <c r="XL100" s="387"/>
      <c r="XM100" s="387"/>
      <c r="XN100" s="387"/>
      <c r="XO100" s="387"/>
      <c r="XP100" s="387"/>
      <c r="XQ100" s="387"/>
      <c r="XR100" s="387"/>
      <c r="XS100" s="387"/>
      <c r="XT100" s="387"/>
      <c r="XU100" s="387"/>
      <c r="XV100" s="387"/>
      <c r="XW100" s="387"/>
      <c r="XX100" s="387"/>
      <c r="XY100" s="387"/>
      <c r="XZ100" s="387"/>
      <c r="YA100" s="387"/>
      <c r="YB100" s="387"/>
      <c r="YC100" s="387"/>
      <c r="YD100" s="387"/>
      <c r="YE100" s="387"/>
      <c r="YF100" s="387"/>
      <c r="YG100" s="387"/>
      <c r="YH100" s="387"/>
      <c r="YI100" s="387"/>
      <c r="YJ100" s="387"/>
      <c r="YK100" s="387"/>
      <c r="YL100" s="387"/>
      <c r="YM100" s="387"/>
      <c r="YN100" s="387"/>
      <c r="YO100" s="387"/>
      <c r="YP100" s="387"/>
      <c r="YQ100" s="387"/>
      <c r="YR100" s="387"/>
      <c r="YS100" s="387"/>
      <c r="YT100" s="387"/>
      <c r="YU100" s="387"/>
      <c r="YV100" s="387"/>
      <c r="YW100" s="387"/>
      <c r="YX100" s="387"/>
      <c r="YY100" s="387"/>
      <c r="YZ100" s="387"/>
      <c r="ZA100" s="387"/>
      <c r="ZB100" s="387"/>
      <c r="ZC100" s="387"/>
      <c r="ZD100" s="387"/>
      <c r="ZE100" s="387"/>
      <c r="ZF100" s="387"/>
      <c r="ZG100" s="387"/>
      <c r="ZH100" s="387"/>
      <c r="ZI100" s="387"/>
      <c r="ZJ100" s="387"/>
      <c r="ZK100" s="387"/>
      <c r="ZL100" s="387"/>
      <c r="ZM100" s="387"/>
      <c r="ZN100" s="387"/>
      <c r="ZO100" s="387"/>
      <c r="ZP100" s="387"/>
      <c r="ZQ100" s="387"/>
      <c r="ZR100" s="387"/>
      <c r="ZS100" s="387"/>
      <c r="ZT100" s="387"/>
      <c r="ZU100" s="387"/>
      <c r="ZV100" s="387"/>
      <c r="ZW100" s="387"/>
      <c r="ZX100" s="387"/>
      <c r="ZY100" s="387"/>
      <c r="ZZ100" s="387"/>
      <c r="AAA100" s="387"/>
      <c r="AAB100" s="387"/>
      <c r="AAC100" s="387"/>
      <c r="AAD100" s="387"/>
      <c r="AAE100" s="387"/>
      <c r="AAF100" s="387"/>
      <c r="AAG100" s="387"/>
      <c r="AAH100" s="387"/>
      <c r="AAI100" s="387"/>
      <c r="AAJ100" s="387"/>
      <c r="AAK100" s="387"/>
      <c r="AAL100" s="387"/>
      <c r="AAM100" s="387"/>
      <c r="AAN100" s="387"/>
      <c r="AAO100" s="387"/>
      <c r="AAP100" s="387"/>
      <c r="AAQ100" s="387"/>
      <c r="AAR100" s="387"/>
      <c r="AAS100" s="387"/>
      <c r="AAT100" s="387"/>
      <c r="AAU100" s="387"/>
      <c r="AAV100" s="387"/>
      <c r="AAW100" s="387"/>
      <c r="AAX100" s="387"/>
      <c r="AAY100" s="387"/>
      <c r="AAZ100" s="387"/>
      <c r="ABA100" s="387"/>
      <c r="ABB100" s="387"/>
      <c r="ABC100" s="387"/>
      <c r="ABD100" s="387"/>
      <c r="ABE100" s="387"/>
      <c r="ABF100" s="387"/>
      <c r="ABG100" s="387"/>
      <c r="ABH100" s="387"/>
      <c r="ABI100" s="387"/>
      <c r="ABJ100" s="387"/>
      <c r="ABK100" s="387"/>
      <c r="ABL100" s="387"/>
      <c r="ABM100" s="387"/>
      <c r="ABN100" s="387"/>
      <c r="ABO100" s="387"/>
      <c r="ABP100" s="387"/>
      <c r="ABQ100" s="387"/>
      <c r="ABR100" s="387"/>
      <c r="ABS100" s="387"/>
      <c r="ABT100" s="387"/>
      <c r="ABU100" s="387"/>
      <c r="ABV100" s="387"/>
      <c r="ABW100" s="387"/>
      <c r="ABX100" s="387"/>
      <c r="ABY100" s="387"/>
      <c r="ABZ100" s="387"/>
      <c r="ACA100" s="387"/>
      <c r="ACB100" s="387"/>
      <c r="ACC100" s="387"/>
      <c r="ACD100" s="387"/>
      <c r="ACE100" s="387"/>
      <c r="ACF100" s="387"/>
      <c r="ACG100" s="387"/>
      <c r="ACH100" s="387"/>
      <c r="ACI100" s="387"/>
      <c r="ACJ100" s="387"/>
      <c r="ACK100" s="387"/>
      <c r="ACL100" s="387"/>
      <c r="ACM100" s="387"/>
      <c r="ACN100" s="387"/>
      <c r="ACO100" s="387"/>
      <c r="ACP100" s="387"/>
      <c r="ACQ100" s="387"/>
      <c r="ACR100" s="387"/>
      <c r="ACS100" s="387"/>
      <c r="ACT100" s="387"/>
      <c r="ACU100" s="387"/>
      <c r="ACV100" s="387"/>
      <c r="ACW100" s="387"/>
      <c r="ACX100" s="387"/>
      <c r="ACY100" s="387"/>
      <c r="ACZ100" s="387"/>
      <c r="ADA100" s="387"/>
      <c r="ADB100" s="387"/>
      <c r="ADC100" s="387"/>
      <c r="ADD100" s="387"/>
      <c r="ADE100" s="387"/>
      <c r="ADF100" s="387"/>
      <c r="ADG100" s="387"/>
      <c r="ADH100" s="387"/>
      <c r="ADI100" s="387"/>
      <c r="ADJ100" s="387"/>
      <c r="ADK100" s="387"/>
      <c r="ADL100" s="387"/>
      <c r="ADM100" s="387"/>
      <c r="ADN100" s="387"/>
      <c r="ADO100" s="387"/>
      <c r="ADP100" s="387"/>
      <c r="ADQ100" s="387"/>
      <c r="ADR100" s="387"/>
      <c r="ADS100" s="387"/>
      <c r="ADT100" s="387"/>
      <c r="ADU100" s="387"/>
      <c r="ADV100" s="387"/>
      <c r="ADW100" s="387"/>
      <c r="ADX100" s="387"/>
      <c r="ADY100" s="387"/>
      <c r="ADZ100" s="387"/>
      <c r="AEA100" s="387"/>
      <c r="AEB100" s="387"/>
      <c r="AEC100" s="387"/>
      <c r="AED100" s="387"/>
      <c r="AEE100" s="387"/>
      <c r="AEF100" s="387"/>
      <c r="AEG100" s="387"/>
      <c r="AEH100" s="387"/>
      <c r="AEI100" s="387"/>
      <c r="AEJ100" s="387"/>
      <c r="AEK100" s="387"/>
      <c r="AEL100" s="387"/>
      <c r="AEM100" s="387"/>
      <c r="AEN100" s="387"/>
      <c r="AEO100" s="387"/>
      <c r="AEP100" s="387"/>
      <c r="AEQ100" s="387"/>
      <c r="AER100" s="387"/>
      <c r="AES100" s="387"/>
      <c r="AET100" s="387"/>
      <c r="AEU100" s="387"/>
      <c r="AEV100" s="387"/>
      <c r="AEW100" s="387"/>
      <c r="AEX100" s="387"/>
      <c r="AEY100" s="387"/>
      <c r="AEZ100" s="387"/>
      <c r="AFA100" s="387"/>
      <c r="AFB100" s="387"/>
      <c r="AFC100" s="387"/>
      <c r="AFD100" s="387"/>
      <c r="AFE100" s="387"/>
      <c r="AFF100" s="387"/>
      <c r="AFG100" s="387"/>
      <c r="AFH100" s="387"/>
      <c r="AFI100" s="387"/>
      <c r="AFJ100" s="387"/>
      <c r="AFK100" s="387"/>
      <c r="AFL100" s="387"/>
      <c r="AFM100" s="387"/>
      <c r="AFN100" s="387"/>
      <c r="AFO100" s="387"/>
      <c r="AFP100" s="387"/>
      <c r="AFQ100" s="387"/>
      <c r="AFR100" s="387"/>
      <c r="AFS100" s="387"/>
      <c r="AFT100" s="387"/>
      <c r="AFU100" s="387"/>
      <c r="AFV100" s="387"/>
      <c r="AFW100" s="387"/>
      <c r="AFX100" s="387"/>
      <c r="AFY100" s="387"/>
      <c r="AFZ100" s="387"/>
      <c r="AGA100" s="387"/>
      <c r="AGB100" s="387"/>
      <c r="AGC100" s="387"/>
      <c r="AGD100" s="387"/>
      <c r="AGE100" s="387"/>
      <c r="AGF100" s="387"/>
      <c r="AGG100" s="387"/>
      <c r="AGH100" s="387"/>
      <c r="AGI100" s="387"/>
      <c r="AGJ100" s="387"/>
      <c r="AGK100" s="387"/>
      <c r="AGL100" s="387"/>
      <c r="AGM100" s="387"/>
      <c r="AGN100" s="387"/>
      <c r="AGO100" s="387"/>
      <c r="AGP100" s="387"/>
      <c r="AGQ100" s="387"/>
      <c r="AGR100" s="387"/>
      <c r="AGS100" s="387"/>
      <c r="AGT100" s="387"/>
      <c r="AGU100" s="387"/>
      <c r="AGV100" s="387"/>
      <c r="AGW100" s="387"/>
      <c r="AGX100" s="387"/>
      <c r="AGY100" s="387"/>
      <c r="AGZ100" s="387"/>
      <c r="AHA100" s="387"/>
      <c r="AHB100" s="387"/>
      <c r="AHC100" s="387"/>
      <c r="AHD100" s="387"/>
      <c r="AHE100" s="387"/>
      <c r="AHF100" s="387"/>
      <c r="AHG100" s="387"/>
      <c r="AHH100" s="387"/>
      <c r="AHI100" s="387"/>
      <c r="AHJ100" s="387"/>
      <c r="AHK100" s="387"/>
      <c r="AHL100" s="387"/>
      <c r="AHM100" s="387"/>
      <c r="AHN100" s="387"/>
      <c r="AHO100" s="387"/>
      <c r="AHP100" s="387"/>
      <c r="AHQ100" s="387"/>
      <c r="AHR100" s="387"/>
      <c r="AHS100" s="387"/>
      <c r="AHT100" s="387"/>
      <c r="AHU100" s="387"/>
      <c r="AHV100" s="387"/>
      <c r="AHW100" s="387"/>
      <c r="AHX100" s="387"/>
      <c r="AHY100" s="387"/>
      <c r="AHZ100" s="387"/>
      <c r="AIA100" s="387"/>
      <c r="AIB100" s="387"/>
      <c r="AIC100" s="387"/>
      <c r="AID100" s="387"/>
      <c r="AIE100" s="387"/>
      <c r="AIF100" s="387"/>
      <c r="AIG100" s="387"/>
      <c r="AIH100" s="387"/>
      <c r="AII100" s="387"/>
      <c r="AIJ100" s="387"/>
      <c r="AIK100" s="387"/>
      <c r="AIL100" s="387"/>
      <c r="AIM100" s="387"/>
      <c r="AIN100" s="387"/>
      <c r="AIO100" s="387"/>
      <c r="AIP100" s="387"/>
      <c r="AIQ100" s="387"/>
      <c r="AIR100" s="387"/>
      <c r="AIS100" s="387"/>
      <c r="AIT100" s="387"/>
      <c r="AIU100" s="387"/>
      <c r="AIV100" s="387"/>
      <c r="AIW100" s="387"/>
      <c r="AIX100" s="387"/>
      <c r="AIY100" s="387"/>
      <c r="AIZ100" s="387"/>
      <c r="AJA100" s="387"/>
      <c r="AJB100" s="387"/>
      <c r="AJC100" s="387"/>
      <c r="AJD100" s="387"/>
      <c r="AJE100" s="387"/>
      <c r="AJF100" s="387"/>
      <c r="AJG100" s="387"/>
      <c r="AJH100" s="387"/>
      <c r="AJI100" s="387"/>
      <c r="AJJ100" s="387"/>
      <c r="AJK100" s="387"/>
      <c r="AJL100" s="387"/>
      <c r="AJM100" s="387"/>
      <c r="AJN100" s="387"/>
      <c r="AJO100" s="387"/>
      <c r="AJP100" s="387"/>
      <c r="AJQ100" s="387"/>
      <c r="AJR100" s="387"/>
      <c r="AJS100" s="387"/>
      <c r="AJT100" s="387"/>
      <c r="AJU100" s="387"/>
      <c r="AJV100" s="387"/>
      <c r="AJW100" s="387"/>
      <c r="AJX100" s="387"/>
      <c r="AJY100" s="387"/>
      <c r="AJZ100" s="387"/>
      <c r="AKA100" s="387"/>
      <c r="AKB100" s="387"/>
      <c r="AKC100" s="387"/>
      <c r="AKD100" s="387"/>
      <c r="AKE100" s="387"/>
      <c r="AKF100" s="387"/>
      <c r="AKG100" s="387"/>
      <c r="AKH100" s="387"/>
      <c r="AKI100" s="387"/>
      <c r="AKJ100" s="387"/>
      <c r="AKK100" s="387"/>
      <c r="AKL100" s="387"/>
      <c r="AKM100" s="387"/>
      <c r="AKN100" s="387"/>
      <c r="AKO100" s="387"/>
      <c r="AKP100" s="387"/>
      <c r="AKQ100" s="387"/>
      <c r="AKR100" s="387"/>
      <c r="AKS100" s="387"/>
      <c r="AKT100" s="387"/>
      <c r="AKU100" s="387"/>
      <c r="AKV100" s="387"/>
      <c r="AKW100" s="387"/>
      <c r="AKX100" s="387"/>
      <c r="AKY100" s="387"/>
      <c r="AKZ100" s="387"/>
      <c r="ALA100" s="387"/>
      <c r="ALB100" s="387"/>
      <c r="ALC100" s="387"/>
      <c r="ALD100" s="387"/>
      <c r="ALE100" s="387"/>
      <c r="ALF100" s="387"/>
      <c r="ALG100" s="387"/>
      <c r="ALH100" s="387"/>
      <c r="ALI100" s="387"/>
      <c r="ALJ100" s="387"/>
      <c r="ALK100" s="387"/>
      <c r="ALL100" s="387"/>
      <c r="ALM100" s="387"/>
      <c r="ALN100" s="387"/>
      <c r="ALO100" s="387"/>
      <c r="ALP100" s="387"/>
      <c r="ALQ100" s="387"/>
      <c r="ALR100" s="387"/>
      <c r="ALS100" s="387"/>
      <c r="ALT100" s="387"/>
      <c r="ALU100" s="387"/>
      <c r="ALV100" s="387"/>
      <c r="ALW100" s="387"/>
      <c r="ALX100" s="387"/>
      <c r="ALY100" s="387"/>
      <c r="ALZ100" s="387"/>
      <c r="AMA100" s="387"/>
      <c r="AMB100" s="387"/>
      <c r="AMC100" s="387"/>
      <c r="AMD100" s="387"/>
      <c r="AME100" s="387"/>
      <c r="AMF100" s="387"/>
      <c r="AMG100" s="387"/>
      <c r="AMH100" s="387"/>
      <c r="AMI100" s="387"/>
      <c r="AMJ100" s="387"/>
      <c r="AMK100" s="387"/>
      <c r="AML100" s="387"/>
      <c r="AMM100" s="387"/>
      <c r="AMN100" s="387"/>
      <c r="AMO100" s="387"/>
      <c r="AMP100" s="387"/>
      <c r="AMQ100" s="387"/>
      <c r="AMR100" s="387"/>
      <c r="AMS100" s="387"/>
      <c r="AMT100" s="387"/>
      <c r="AMU100" s="387"/>
      <c r="AMV100" s="387"/>
      <c r="AMW100" s="387"/>
      <c r="AMX100" s="387"/>
      <c r="AMY100" s="387"/>
      <c r="AMZ100" s="387"/>
      <c r="ANA100" s="387"/>
      <c r="ANB100" s="387"/>
      <c r="ANC100" s="387"/>
      <c r="AND100" s="387"/>
      <c r="ANE100" s="387"/>
      <c r="ANF100" s="387"/>
      <c r="ANG100" s="387"/>
      <c r="ANH100" s="387"/>
      <c r="ANI100" s="387"/>
      <c r="ANJ100" s="387"/>
      <c r="ANK100" s="387"/>
      <c r="ANL100" s="387"/>
      <c r="ANM100" s="387"/>
      <c r="ANN100" s="387"/>
      <c r="ANO100" s="387"/>
      <c r="ANP100" s="387"/>
      <c r="ANQ100" s="387"/>
      <c r="ANR100" s="387"/>
      <c r="ANS100" s="387"/>
      <c r="ANT100" s="387"/>
      <c r="ANU100" s="387"/>
      <c r="ANV100" s="387"/>
      <c r="ANW100" s="387"/>
      <c r="ANX100" s="387"/>
      <c r="ANY100" s="387"/>
      <c r="ANZ100" s="387"/>
      <c r="AOA100" s="387"/>
      <c r="AOB100" s="387"/>
      <c r="AOC100" s="387"/>
      <c r="AOD100" s="387"/>
      <c r="AOE100" s="387"/>
      <c r="AOF100" s="387"/>
      <c r="AOG100" s="387"/>
      <c r="AOH100" s="387"/>
      <c r="AOI100" s="387"/>
      <c r="AOJ100" s="387"/>
      <c r="AOK100" s="387"/>
      <c r="AOL100" s="387"/>
      <c r="AOM100" s="387"/>
      <c r="AON100" s="387"/>
      <c r="AOO100" s="387"/>
      <c r="AOP100" s="387"/>
      <c r="AOQ100" s="387"/>
      <c r="AOR100" s="387"/>
      <c r="AOS100" s="387"/>
      <c r="AOT100" s="387"/>
      <c r="AOU100" s="387"/>
      <c r="AOV100" s="387"/>
      <c r="AOW100" s="387"/>
      <c r="AOX100" s="387"/>
      <c r="AOY100" s="387"/>
      <c r="AOZ100" s="387"/>
      <c r="APA100" s="387"/>
      <c r="APB100" s="387"/>
      <c r="APC100" s="387"/>
      <c r="APD100" s="387"/>
      <c r="APE100" s="387"/>
      <c r="APF100" s="387"/>
      <c r="APG100" s="387"/>
      <c r="APH100" s="387"/>
      <c r="API100" s="387"/>
      <c r="APJ100" s="387"/>
      <c r="APK100" s="387"/>
      <c r="APL100" s="387"/>
      <c r="APM100" s="387"/>
      <c r="APN100" s="387"/>
      <c r="APO100" s="387"/>
      <c r="APP100" s="387"/>
      <c r="APQ100" s="387"/>
      <c r="APR100" s="387"/>
      <c r="APS100" s="387"/>
      <c r="APT100" s="387"/>
      <c r="APU100" s="387"/>
      <c r="APV100" s="387"/>
      <c r="APW100" s="387"/>
      <c r="APX100" s="387"/>
      <c r="APY100" s="387"/>
      <c r="APZ100" s="387"/>
      <c r="AQA100" s="387"/>
      <c r="AQB100" s="387"/>
      <c r="AQC100" s="387"/>
      <c r="AQD100" s="387"/>
      <c r="AQE100" s="387"/>
      <c r="AQF100" s="387"/>
      <c r="AQG100" s="387"/>
      <c r="AQH100" s="387"/>
      <c r="AQI100" s="387"/>
      <c r="AQJ100" s="387"/>
      <c r="AQK100" s="387"/>
      <c r="AQL100" s="387"/>
      <c r="AQM100" s="387"/>
      <c r="AQN100" s="387"/>
      <c r="AQO100" s="387"/>
      <c r="AQP100" s="387"/>
      <c r="AQQ100" s="387"/>
      <c r="AQR100" s="387"/>
      <c r="AQS100" s="387"/>
      <c r="AQT100" s="387"/>
      <c r="AQU100" s="387"/>
      <c r="AQV100" s="387"/>
      <c r="AQW100" s="387"/>
      <c r="AQX100" s="387"/>
      <c r="AQY100" s="387"/>
      <c r="AQZ100" s="387"/>
      <c r="ARA100" s="387"/>
      <c r="ARB100" s="387"/>
      <c r="ARC100" s="387"/>
      <c r="ARD100" s="387"/>
      <c r="ARE100" s="387"/>
      <c r="ARF100" s="387"/>
      <c r="ARG100" s="387"/>
      <c r="ARH100" s="387"/>
      <c r="ARI100" s="387"/>
      <c r="ARJ100" s="387"/>
      <c r="ARK100" s="387"/>
      <c r="ARL100" s="387"/>
      <c r="ARM100" s="387"/>
      <c r="ARN100" s="387"/>
      <c r="ARO100" s="387"/>
      <c r="ARP100" s="387"/>
      <c r="ARQ100" s="387"/>
      <c r="ARR100" s="387"/>
      <c r="ARS100" s="387"/>
      <c r="ART100" s="387"/>
      <c r="ARU100" s="387"/>
      <c r="ARV100" s="387"/>
      <c r="ARW100" s="387"/>
      <c r="ARX100" s="387"/>
      <c r="ARY100" s="387"/>
      <c r="ARZ100" s="387"/>
      <c r="ASA100" s="387"/>
      <c r="ASB100" s="387"/>
      <c r="ASC100" s="387"/>
      <c r="ASD100" s="387"/>
      <c r="ASE100" s="387"/>
      <c r="ASF100" s="387"/>
      <c r="ASG100" s="387"/>
      <c r="ASH100" s="387"/>
      <c r="ASI100" s="387"/>
      <c r="ASJ100" s="387"/>
      <c r="ASK100" s="387"/>
      <c r="ASL100" s="387"/>
      <c r="ASM100" s="387"/>
      <c r="ASN100" s="387"/>
      <c r="ASO100" s="387"/>
      <c r="ASP100" s="387"/>
      <c r="ASQ100" s="387"/>
      <c r="ASR100" s="387"/>
      <c r="ASS100" s="387"/>
      <c r="AST100" s="387"/>
      <c r="ASU100" s="387"/>
      <c r="ASV100" s="387"/>
      <c r="ASW100" s="387"/>
      <c r="ASX100" s="387"/>
      <c r="ASY100" s="387"/>
      <c r="ASZ100" s="387"/>
      <c r="ATA100" s="387"/>
      <c r="ATB100" s="387"/>
      <c r="ATC100" s="387"/>
      <c r="ATD100" s="387"/>
      <c r="ATE100" s="387"/>
      <c r="ATF100" s="387"/>
      <c r="ATG100" s="387"/>
      <c r="ATH100" s="387"/>
      <c r="ATI100" s="387"/>
      <c r="ATJ100" s="387"/>
      <c r="ATK100" s="387"/>
      <c r="ATL100" s="387"/>
      <c r="ATM100" s="387"/>
      <c r="ATN100" s="387"/>
      <c r="ATO100" s="387"/>
      <c r="ATP100" s="387"/>
      <c r="ATQ100" s="387"/>
      <c r="ATR100" s="387"/>
      <c r="ATS100" s="387"/>
      <c r="ATT100" s="387"/>
      <c r="ATU100" s="387"/>
      <c r="ATV100" s="387"/>
      <c r="ATW100" s="387"/>
      <c r="ATX100" s="387"/>
      <c r="ATY100" s="387"/>
      <c r="ATZ100" s="387"/>
      <c r="AUA100" s="387"/>
      <c r="AUB100" s="387"/>
      <c r="AUC100" s="387"/>
      <c r="AUD100" s="387"/>
      <c r="AUE100" s="387"/>
      <c r="AUF100" s="387"/>
      <c r="AUG100" s="387"/>
      <c r="AUH100" s="387"/>
      <c r="AUI100" s="387"/>
      <c r="AUJ100" s="387"/>
      <c r="AUK100" s="387"/>
      <c r="AUL100" s="387"/>
      <c r="AUM100" s="387"/>
      <c r="AUN100" s="387"/>
      <c r="AUO100" s="387"/>
      <c r="AUP100" s="387"/>
      <c r="AUQ100" s="387"/>
      <c r="AUR100" s="387"/>
      <c r="AUS100" s="387"/>
      <c r="AUT100" s="387"/>
      <c r="AUU100" s="387"/>
      <c r="AUV100" s="387"/>
      <c r="AUW100" s="387"/>
      <c r="AUX100" s="387"/>
      <c r="AUY100" s="387"/>
      <c r="AUZ100" s="387"/>
      <c r="AVA100" s="387"/>
      <c r="AVB100" s="387"/>
      <c r="AVC100" s="387"/>
      <c r="AVD100" s="387"/>
      <c r="AVE100" s="387"/>
      <c r="AVF100" s="387"/>
      <c r="AVG100" s="387"/>
      <c r="AVH100" s="387"/>
      <c r="AVI100" s="387"/>
      <c r="AVJ100" s="387"/>
      <c r="AVK100" s="387"/>
      <c r="AVL100" s="387"/>
      <c r="AVM100" s="387"/>
      <c r="AVN100" s="387"/>
      <c r="AVO100" s="387"/>
      <c r="AVP100" s="387"/>
      <c r="AVQ100" s="387"/>
      <c r="AVR100" s="387"/>
      <c r="AVS100" s="387"/>
      <c r="AVT100" s="387"/>
      <c r="AVU100" s="387"/>
      <c r="AVV100" s="387"/>
      <c r="AVW100" s="387"/>
      <c r="AVX100" s="387"/>
      <c r="AVY100" s="387"/>
      <c r="AVZ100" s="387"/>
      <c r="AWA100" s="387"/>
      <c r="AWB100" s="387"/>
      <c r="AWC100" s="387"/>
      <c r="AWD100" s="387"/>
      <c r="AWE100" s="387"/>
      <c r="AWF100" s="387"/>
      <c r="AWG100" s="387"/>
      <c r="AWH100" s="387"/>
      <c r="AWI100" s="387"/>
      <c r="AWJ100" s="387"/>
      <c r="AWK100" s="387"/>
      <c r="AWL100" s="387"/>
      <c r="AWM100" s="387"/>
      <c r="AWN100" s="387"/>
      <c r="AWO100" s="387"/>
      <c r="AWP100" s="387"/>
      <c r="AWQ100" s="387"/>
      <c r="AWR100" s="387"/>
      <c r="AWS100" s="387"/>
      <c r="AWT100" s="387"/>
      <c r="AWU100" s="387"/>
      <c r="AWV100" s="387"/>
      <c r="AWW100" s="387"/>
      <c r="AWX100" s="387"/>
      <c r="AWY100" s="387"/>
      <c r="AWZ100" s="387"/>
      <c r="AXA100" s="387"/>
      <c r="AXB100" s="387"/>
      <c r="AXC100" s="387"/>
      <c r="AXD100" s="387"/>
      <c r="AXE100" s="387"/>
      <c r="AXF100" s="387"/>
      <c r="AXG100" s="387"/>
      <c r="AXH100" s="387"/>
      <c r="AXI100" s="387"/>
      <c r="AXJ100" s="387"/>
      <c r="AXK100" s="387"/>
      <c r="AXL100" s="387"/>
      <c r="AXM100" s="387"/>
      <c r="AXN100" s="387"/>
      <c r="AXO100" s="387"/>
      <c r="AXP100" s="387"/>
      <c r="AXQ100" s="387"/>
      <c r="AXR100" s="387"/>
      <c r="AXS100" s="387"/>
      <c r="AXT100" s="387"/>
      <c r="AXU100" s="387"/>
      <c r="AXV100" s="387"/>
      <c r="AXW100" s="387"/>
      <c r="AXX100" s="387"/>
      <c r="AXY100" s="387"/>
      <c r="AXZ100" s="387"/>
      <c r="AYA100" s="387"/>
      <c r="AYB100" s="387"/>
      <c r="AYC100" s="387"/>
      <c r="AYD100" s="387"/>
      <c r="AYE100" s="387"/>
      <c r="AYF100" s="387"/>
      <c r="AYG100" s="387"/>
      <c r="AYH100" s="387"/>
      <c r="AYI100" s="387"/>
      <c r="AYJ100" s="387"/>
      <c r="AYK100" s="387"/>
      <c r="AYL100" s="387"/>
      <c r="AYM100" s="387"/>
      <c r="AYN100" s="387"/>
      <c r="AYO100" s="387"/>
      <c r="AYP100" s="387"/>
      <c r="AYQ100" s="387"/>
      <c r="AYR100" s="387"/>
      <c r="AYS100" s="387"/>
      <c r="AYT100" s="387"/>
      <c r="AYU100" s="387"/>
      <c r="AYV100" s="387"/>
      <c r="AYW100" s="387"/>
      <c r="AYX100" s="387"/>
      <c r="AYY100" s="387"/>
      <c r="AYZ100" s="387"/>
      <c r="AZA100" s="387"/>
      <c r="AZB100" s="387"/>
      <c r="AZC100" s="387"/>
      <c r="AZD100" s="387"/>
      <c r="AZE100" s="387"/>
      <c r="AZF100" s="387"/>
      <c r="AZG100" s="387"/>
      <c r="AZH100" s="387"/>
      <c r="AZI100" s="387"/>
      <c r="AZJ100" s="387"/>
      <c r="AZK100" s="387"/>
      <c r="AZL100" s="387"/>
      <c r="AZM100" s="387"/>
      <c r="AZN100" s="387"/>
      <c r="AZO100" s="387"/>
      <c r="AZP100" s="387"/>
      <c r="AZQ100" s="387"/>
      <c r="AZR100" s="387"/>
      <c r="AZS100" s="387"/>
      <c r="AZT100" s="387"/>
      <c r="AZU100" s="387"/>
      <c r="AZV100" s="387"/>
      <c r="AZW100" s="387"/>
      <c r="AZX100" s="387"/>
      <c r="AZY100" s="387"/>
      <c r="AZZ100" s="387"/>
      <c r="BAA100" s="387"/>
      <c r="BAB100" s="387"/>
      <c r="BAC100" s="387"/>
      <c r="BAD100" s="387"/>
      <c r="BAE100" s="387"/>
      <c r="BAF100" s="387"/>
      <c r="BAG100" s="387"/>
      <c r="BAH100" s="387"/>
      <c r="BAI100" s="387"/>
      <c r="BAJ100" s="387"/>
      <c r="BAK100" s="387"/>
      <c r="BAL100" s="387"/>
      <c r="BAM100" s="387"/>
      <c r="BAN100" s="387"/>
      <c r="BAO100" s="387"/>
      <c r="BAP100" s="387"/>
      <c r="BAQ100" s="387"/>
      <c r="BAR100" s="387"/>
      <c r="BAS100" s="387"/>
      <c r="BAT100" s="387"/>
      <c r="BAU100" s="387"/>
      <c r="BAV100" s="387"/>
      <c r="BAW100" s="387"/>
      <c r="BAX100" s="387"/>
      <c r="BAY100" s="387"/>
      <c r="BAZ100" s="387"/>
      <c r="BBA100" s="387"/>
      <c r="BBB100" s="387"/>
      <c r="BBC100" s="387"/>
      <c r="BBD100" s="387"/>
      <c r="BBE100" s="387"/>
      <c r="BBF100" s="387"/>
      <c r="BBG100" s="387"/>
      <c r="BBH100" s="387"/>
      <c r="BBI100" s="387"/>
      <c r="BBJ100" s="387"/>
      <c r="BBK100" s="387"/>
      <c r="BBL100" s="387"/>
      <c r="BBM100" s="387"/>
      <c r="BBN100" s="387"/>
      <c r="BBO100" s="387"/>
      <c r="BBP100" s="387"/>
      <c r="BBQ100" s="387"/>
      <c r="BBR100" s="387"/>
      <c r="BBS100" s="387"/>
      <c r="BBT100" s="387"/>
      <c r="BBU100" s="387"/>
      <c r="BBV100" s="387"/>
      <c r="BBW100" s="387"/>
      <c r="BBX100" s="387"/>
      <c r="BBY100" s="387"/>
      <c r="BBZ100" s="387"/>
      <c r="BCA100" s="387"/>
      <c r="BCB100" s="387"/>
      <c r="BCC100" s="387"/>
      <c r="BCD100" s="387"/>
      <c r="BCE100" s="387"/>
      <c r="BCF100" s="387"/>
      <c r="BCG100" s="387"/>
      <c r="BCH100" s="387"/>
      <c r="BCI100" s="387"/>
      <c r="BCJ100" s="387"/>
      <c r="BCK100" s="387"/>
      <c r="BCL100" s="387"/>
      <c r="BCM100" s="387"/>
      <c r="BCN100" s="387"/>
      <c r="BCO100" s="387"/>
      <c r="BCP100" s="387"/>
      <c r="BCQ100" s="387"/>
      <c r="BCR100" s="387"/>
      <c r="BCS100" s="387"/>
      <c r="BCT100" s="387"/>
      <c r="BCU100" s="387"/>
      <c r="BCV100" s="387"/>
      <c r="BCW100" s="387"/>
      <c r="BCX100" s="387"/>
      <c r="BCY100" s="387"/>
      <c r="BCZ100" s="387"/>
      <c r="BDA100" s="387"/>
      <c r="BDB100" s="387"/>
      <c r="BDC100" s="387"/>
      <c r="BDD100" s="387"/>
      <c r="BDE100" s="387"/>
      <c r="BDF100" s="387"/>
      <c r="BDG100" s="387"/>
      <c r="BDH100" s="387"/>
      <c r="BDI100" s="387"/>
      <c r="BDJ100" s="387"/>
      <c r="BDK100" s="387"/>
      <c r="BDL100" s="387"/>
      <c r="BDM100" s="387"/>
      <c r="BDN100" s="387"/>
      <c r="BDO100" s="387"/>
      <c r="BDP100" s="387"/>
      <c r="BDQ100" s="387"/>
      <c r="BDR100" s="387"/>
      <c r="BDS100" s="387"/>
      <c r="BDT100" s="387"/>
      <c r="BDU100" s="387"/>
      <c r="BDV100" s="387"/>
      <c r="BDW100" s="387"/>
      <c r="BDX100" s="387"/>
      <c r="BDY100" s="387"/>
      <c r="BDZ100" s="387"/>
      <c r="BEA100" s="387"/>
      <c r="BEB100" s="387"/>
      <c r="BEC100" s="387"/>
      <c r="BED100" s="387"/>
      <c r="BEE100" s="387"/>
      <c r="BEF100" s="387"/>
      <c r="BEG100" s="387"/>
      <c r="BEH100" s="387"/>
      <c r="BEI100" s="387"/>
      <c r="BEJ100" s="387"/>
      <c r="BEK100" s="387"/>
      <c r="BEL100" s="387"/>
      <c r="BEM100" s="387"/>
      <c r="BEN100" s="387"/>
      <c r="BEO100" s="387"/>
      <c r="BEP100" s="387"/>
      <c r="BEQ100" s="387"/>
      <c r="BER100" s="387"/>
      <c r="BES100" s="387"/>
      <c r="BET100" s="387"/>
      <c r="BEU100" s="387"/>
      <c r="BEV100" s="387"/>
      <c r="BEW100" s="387"/>
      <c r="BEX100" s="387"/>
      <c r="BEY100" s="387"/>
      <c r="BEZ100" s="387"/>
      <c r="BFA100" s="387"/>
      <c r="BFB100" s="387"/>
      <c r="BFC100" s="387"/>
      <c r="BFD100" s="387"/>
      <c r="BFE100" s="387"/>
      <c r="BFF100" s="387"/>
      <c r="BFG100" s="387"/>
      <c r="BFH100" s="387"/>
      <c r="BFI100" s="387"/>
      <c r="BFJ100" s="387"/>
      <c r="BFK100" s="387"/>
      <c r="BFL100" s="387"/>
      <c r="BFM100" s="387"/>
      <c r="BFN100" s="387"/>
      <c r="BFO100" s="387"/>
      <c r="BFP100" s="387"/>
      <c r="BFQ100" s="387"/>
      <c r="BFR100" s="387"/>
      <c r="BFS100" s="387"/>
      <c r="BFT100" s="387"/>
      <c r="BFU100" s="387"/>
      <c r="BFV100" s="387"/>
      <c r="BFW100" s="387"/>
      <c r="BFX100" s="387"/>
      <c r="BFY100" s="387"/>
      <c r="BFZ100" s="387"/>
      <c r="BGA100" s="387"/>
      <c r="BGB100" s="387"/>
      <c r="BGC100" s="387"/>
      <c r="BGD100" s="387"/>
      <c r="BGE100" s="387"/>
      <c r="BGF100" s="387"/>
      <c r="BGG100" s="387"/>
      <c r="BGH100" s="387"/>
      <c r="BGI100" s="387"/>
      <c r="BGJ100" s="387"/>
      <c r="BGK100" s="387"/>
      <c r="BGL100" s="387"/>
      <c r="BGM100" s="387"/>
      <c r="BGN100" s="387"/>
      <c r="BGO100" s="387"/>
      <c r="BGP100" s="387"/>
      <c r="BGQ100" s="387"/>
      <c r="BGR100" s="387"/>
      <c r="BGS100" s="387"/>
      <c r="BGT100" s="387"/>
      <c r="BGU100" s="387"/>
      <c r="BGV100" s="387"/>
      <c r="BGW100" s="387"/>
      <c r="BGX100" s="387"/>
      <c r="BGY100" s="387"/>
      <c r="BGZ100" s="387"/>
      <c r="BHA100" s="387"/>
      <c r="BHB100" s="387"/>
      <c r="BHC100" s="387"/>
      <c r="BHD100" s="387"/>
      <c r="BHE100" s="387"/>
      <c r="BHF100" s="387"/>
      <c r="BHG100" s="387"/>
      <c r="BHH100" s="387"/>
      <c r="BHI100" s="387"/>
      <c r="BHJ100" s="387"/>
      <c r="BHK100" s="387"/>
      <c r="BHL100" s="387"/>
      <c r="BHM100" s="387"/>
      <c r="BHN100" s="387"/>
      <c r="BHO100" s="387"/>
      <c r="BHP100" s="387"/>
      <c r="BHQ100" s="387"/>
      <c r="BHR100" s="387"/>
      <c r="BHS100" s="387"/>
      <c r="BHT100" s="387"/>
      <c r="BHU100" s="387"/>
      <c r="BHV100" s="387"/>
      <c r="BHW100" s="387"/>
      <c r="BHX100" s="387"/>
      <c r="BHY100" s="387"/>
      <c r="BHZ100" s="387"/>
      <c r="BIA100" s="387"/>
      <c r="BIB100" s="387"/>
      <c r="BIC100" s="387"/>
      <c r="BID100" s="387"/>
      <c r="BIE100" s="387"/>
      <c r="BIF100" s="387"/>
      <c r="BIG100" s="387"/>
      <c r="BIH100" s="387"/>
      <c r="BII100" s="387"/>
      <c r="BIJ100" s="387"/>
      <c r="BIK100" s="387"/>
      <c r="BIL100" s="387"/>
      <c r="BIM100" s="387"/>
      <c r="BIN100" s="387"/>
      <c r="BIO100" s="387"/>
      <c r="BIP100" s="387"/>
      <c r="BIQ100" s="387"/>
      <c r="BIR100" s="387"/>
      <c r="BIS100" s="387"/>
      <c r="BIT100" s="387"/>
      <c r="BIU100" s="387"/>
      <c r="BIV100" s="387"/>
      <c r="BIW100" s="387"/>
      <c r="BIX100" s="387"/>
      <c r="BIY100" s="387"/>
      <c r="BIZ100" s="387"/>
      <c r="BJA100" s="387"/>
      <c r="BJB100" s="387"/>
      <c r="BJC100" s="387"/>
      <c r="BJD100" s="387"/>
      <c r="BJE100" s="387"/>
      <c r="BJF100" s="387"/>
      <c r="BJG100" s="387"/>
      <c r="BJH100" s="387"/>
      <c r="BJI100" s="387"/>
      <c r="BJJ100" s="387"/>
      <c r="BJK100" s="387"/>
      <c r="BJL100" s="387"/>
      <c r="BJM100" s="387"/>
      <c r="BJN100" s="387"/>
      <c r="BJO100" s="387"/>
      <c r="BJP100" s="387"/>
      <c r="BJQ100" s="387"/>
      <c r="BJR100" s="387"/>
      <c r="BJS100" s="387"/>
      <c r="BJT100" s="387"/>
      <c r="BJU100" s="387"/>
      <c r="BJV100" s="387"/>
      <c r="BJW100" s="387"/>
      <c r="BJX100" s="387"/>
      <c r="BJY100" s="387"/>
      <c r="BJZ100" s="387"/>
      <c r="BKA100" s="387"/>
      <c r="BKB100" s="387"/>
      <c r="BKC100" s="387"/>
      <c r="BKD100" s="387"/>
      <c r="BKE100" s="387"/>
      <c r="BKF100" s="387"/>
      <c r="BKG100" s="387"/>
      <c r="BKH100" s="387"/>
      <c r="BKI100" s="387"/>
      <c r="BKJ100" s="387"/>
      <c r="BKK100" s="387"/>
      <c r="BKL100" s="387"/>
      <c r="BKM100" s="387"/>
      <c r="BKN100" s="387"/>
      <c r="BKO100" s="387"/>
      <c r="BKP100" s="387"/>
      <c r="BKQ100" s="387"/>
      <c r="BKR100" s="387"/>
      <c r="BKS100" s="387"/>
      <c r="BKT100" s="387"/>
      <c r="BKU100" s="387"/>
      <c r="BKV100" s="387"/>
      <c r="BKW100" s="387"/>
      <c r="BKX100" s="387"/>
      <c r="BKY100" s="387"/>
      <c r="BKZ100" s="387"/>
      <c r="BLA100" s="387"/>
      <c r="BLB100" s="387"/>
      <c r="BLC100" s="387"/>
      <c r="BLD100" s="387"/>
      <c r="BLE100" s="387"/>
      <c r="BLF100" s="387"/>
      <c r="BLG100" s="387"/>
      <c r="BLH100" s="387"/>
      <c r="BLI100" s="387"/>
      <c r="BLJ100" s="387"/>
      <c r="BLK100" s="387"/>
      <c r="BLL100" s="387"/>
      <c r="BLM100" s="387"/>
      <c r="BLN100" s="387"/>
      <c r="BLO100" s="387"/>
      <c r="BLP100" s="387"/>
      <c r="BLQ100" s="387"/>
      <c r="BLR100" s="387"/>
      <c r="BLS100" s="387"/>
      <c r="BLT100" s="387"/>
      <c r="BLU100" s="387"/>
      <c r="BLV100" s="387"/>
      <c r="BLW100" s="387"/>
      <c r="BLX100" s="387"/>
      <c r="BLY100" s="387"/>
      <c r="BLZ100" s="387"/>
      <c r="BMA100" s="387"/>
      <c r="BMB100" s="387"/>
      <c r="BMC100" s="387"/>
      <c r="BMD100" s="387"/>
      <c r="BME100" s="387"/>
      <c r="BMF100" s="387"/>
      <c r="BMG100" s="387"/>
      <c r="BMH100" s="387"/>
      <c r="BMI100" s="387"/>
      <c r="BMJ100" s="387"/>
      <c r="BMK100" s="387"/>
      <c r="BML100" s="387"/>
      <c r="BMM100" s="387"/>
      <c r="BMN100" s="387"/>
      <c r="BMO100" s="387"/>
      <c r="BMP100" s="387"/>
      <c r="BMQ100" s="387"/>
      <c r="BMR100" s="387"/>
      <c r="BMS100" s="387"/>
      <c r="BMT100" s="387"/>
      <c r="BMU100" s="387"/>
      <c r="BMV100" s="387"/>
      <c r="BMW100" s="387"/>
      <c r="BMX100" s="387"/>
      <c r="BMY100" s="387"/>
      <c r="BMZ100" s="387"/>
      <c r="BNA100" s="387"/>
      <c r="BNB100" s="387"/>
      <c r="BNC100" s="387"/>
      <c r="BND100" s="387"/>
      <c r="BNE100" s="387"/>
      <c r="BNF100" s="387"/>
      <c r="BNG100" s="387"/>
      <c r="BNH100" s="387"/>
      <c r="BNI100" s="387"/>
      <c r="BNJ100" s="387"/>
      <c r="BNK100" s="387"/>
      <c r="BNL100" s="387"/>
      <c r="BNM100" s="387"/>
      <c r="BNN100" s="387"/>
      <c r="BNO100" s="387"/>
      <c r="BNP100" s="387"/>
      <c r="BNQ100" s="387"/>
      <c r="BNR100" s="387"/>
      <c r="BNS100" s="387"/>
      <c r="BNT100" s="387"/>
      <c r="BNU100" s="387"/>
      <c r="BNV100" s="387"/>
      <c r="BNW100" s="387"/>
      <c r="BNX100" s="387"/>
      <c r="BNY100" s="387"/>
      <c r="BNZ100" s="387"/>
      <c r="BOA100" s="387"/>
      <c r="BOB100" s="387"/>
      <c r="BOC100" s="387"/>
      <c r="BOD100" s="387"/>
      <c r="BOE100" s="387"/>
      <c r="BOF100" s="387"/>
      <c r="BOG100" s="387"/>
      <c r="BOH100" s="387"/>
      <c r="BOI100" s="387"/>
      <c r="BOJ100" s="387"/>
      <c r="BOK100" s="387"/>
      <c r="BOL100" s="387"/>
      <c r="BOM100" s="387"/>
      <c r="BON100" s="387"/>
      <c r="BOO100" s="387"/>
      <c r="BOP100" s="387"/>
      <c r="BOQ100" s="387"/>
      <c r="BOR100" s="387"/>
      <c r="BOS100" s="387"/>
      <c r="BOT100" s="387"/>
      <c r="BOU100" s="387"/>
      <c r="BOV100" s="387"/>
      <c r="BOW100" s="387"/>
      <c r="BOX100" s="387"/>
      <c r="BOY100" s="387"/>
      <c r="BOZ100" s="387"/>
      <c r="BPA100" s="387"/>
      <c r="BPB100" s="387"/>
      <c r="BPC100" s="387"/>
      <c r="BPD100" s="387"/>
      <c r="BPE100" s="387"/>
      <c r="BPF100" s="387"/>
      <c r="BPG100" s="387"/>
      <c r="BPH100" s="387"/>
      <c r="BPI100" s="387"/>
      <c r="BPJ100" s="387"/>
      <c r="BPK100" s="387"/>
      <c r="BPL100" s="387"/>
      <c r="BPM100" s="387"/>
      <c r="BPN100" s="387"/>
      <c r="BPO100" s="387"/>
      <c r="BPP100" s="387"/>
      <c r="BPQ100" s="387"/>
      <c r="BPR100" s="387"/>
      <c r="BPS100" s="387"/>
      <c r="BPT100" s="387"/>
      <c r="BPU100" s="387"/>
      <c r="BPV100" s="387"/>
      <c r="BPW100" s="387"/>
      <c r="BPX100" s="387"/>
      <c r="BPY100" s="387"/>
      <c r="BPZ100" s="387"/>
      <c r="BQA100" s="387"/>
      <c r="BQB100" s="387"/>
      <c r="BQC100" s="387"/>
      <c r="BQD100" s="387"/>
      <c r="BQE100" s="387"/>
      <c r="BQF100" s="387"/>
      <c r="BQG100" s="387"/>
      <c r="BQH100" s="387"/>
      <c r="BQI100" s="387"/>
      <c r="BQJ100" s="387"/>
      <c r="BQK100" s="387"/>
      <c r="BQL100" s="387"/>
      <c r="BQM100" s="387"/>
      <c r="BQN100" s="387"/>
      <c r="BQO100" s="387"/>
      <c r="BQP100" s="387"/>
      <c r="BQQ100" s="387"/>
      <c r="BQR100" s="387"/>
      <c r="BQS100" s="387"/>
      <c r="BQT100" s="387"/>
      <c r="BQU100" s="387"/>
      <c r="BQV100" s="387"/>
      <c r="BQW100" s="387"/>
      <c r="BQX100" s="387"/>
      <c r="BQY100" s="387"/>
      <c r="BQZ100" s="387"/>
      <c r="BRA100" s="387"/>
      <c r="BRB100" s="387"/>
      <c r="BRC100" s="387"/>
      <c r="BRD100" s="387"/>
      <c r="BRE100" s="387"/>
      <c r="BRF100" s="387"/>
      <c r="BRG100" s="387"/>
      <c r="BRH100" s="387"/>
      <c r="BRI100" s="387"/>
      <c r="BRJ100" s="387"/>
      <c r="BRK100" s="387"/>
      <c r="BRL100" s="387"/>
      <c r="BRM100" s="387"/>
      <c r="BRN100" s="387"/>
      <c r="BRO100" s="387"/>
      <c r="BRP100" s="387"/>
      <c r="BRQ100" s="387"/>
      <c r="BRR100" s="387"/>
      <c r="BRS100" s="387"/>
      <c r="BRT100" s="387"/>
      <c r="BRU100" s="387"/>
      <c r="BRV100" s="387"/>
      <c r="BRW100" s="387"/>
      <c r="BRX100" s="387"/>
      <c r="BRY100" s="387"/>
      <c r="BRZ100" s="387"/>
      <c r="BSA100" s="387"/>
      <c r="BSB100" s="387"/>
      <c r="BSC100" s="387"/>
      <c r="BSD100" s="387"/>
      <c r="BSE100" s="387"/>
      <c r="BSF100" s="387"/>
      <c r="BSG100" s="387"/>
      <c r="BSH100" s="387"/>
      <c r="BSI100" s="387"/>
      <c r="BSJ100" s="387"/>
      <c r="BSK100" s="387"/>
      <c r="BSL100" s="387"/>
      <c r="BSM100" s="387"/>
      <c r="BSN100" s="387"/>
      <c r="BSO100" s="387"/>
      <c r="BSP100" s="387"/>
      <c r="BSQ100" s="387"/>
      <c r="BSR100" s="387"/>
      <c r="BSS100" s="387"/>
      <c r="BST100" s="387"/>
      <c r="BSU100" s="387"/>
      <c r="BSV100" s="387"/>
      <c r="BSW100" s="387"/>
      <c r="BSX100" s="387"/>
      <c r="BSY100" s="387"/>
      <c r="BSZ100" s="387"/>
      <c r="BTA100" s="387"/>
      <c r="BTB100" s="387"/>
      <c r="BTC100" s="387"/>
      <c r="BTD100" s="387"/>
      <c r="BTE100" s="387"/>
      <c r="BTF100" s="387"/>
      <c r="BTG100" s="387"/>
      <c r="BTH100" s="387"/>
      <c r="BTI100" s="387"/>
    </row>
    <row r="101" spans="1:1881" s="575" customFormat="1" ht="87.75" customHeight="1" x14ac:dyDescent="0.25">
      <c r="A101" s="726">
        <v>658</v>
      </c>
      <c r="B101" s="733" t="s">
        <v>81</v>
      </c>
      <c r="C101" s="734" t="s">
        <v>200</v>
      </c>
      <c r="D101" s="736" t="s">
        <v>1020</v>
      </c>
      <c r="E101" s="730" t="s">
        <v>676</v>
      </c>
      <c r="F101" s="686"/>
      <c r="G101" s="577"/>
      <c r="H101" s="578"/>
      <c r="I101" s="579"/>
      <c r="J101" s="576"/>
      <c r="K101" s="576"/>
      <c r="L101" s="576"/>
      <c r="M101" s="576"/>
      <c r="N101"/>
      <c r="O101" s="576"/>
      <c r="P101" s="576"/>
      <c r="Q101" s="576"/>
      <c r="R101"/>
      <c r="S101" s="682"/>
      <c r="T101" s="576"/>
      <c r="U101" s="576"/>
      <c r="V101" s="576"/>
      <c r="W101" s="576"/>
      <c r="X101" s="682"/>
      <c r="Y101" s="576"/>
      <c r="Z101" s="576"/>
      <c r="AA101" s="576"/>
      <c r="AB101" s="576"/>
      <c r="AC101" s="576"/>
      <c r="AD101" s="576"/>
      <c r="AE101" s="576"/>
      <c r="AF101" s="576"/>
      <c r="AG101" s="576"/>
      <c r="AH101" s="576"/>
      <c r="AI101" s="576"/>
      <c r="AJ101" s="576"/>
      <c r="AK101" s="576"/>
      <c r="AL101" s="576"/>
      <c r="AM101" s="576"/>
      <c r="AN101" s="576"/>
      <c r="AO101" s="576"/>
      <c r="AP101" s="576"/>
      <c r="AQ101" s="576"/>
      <c r="AR101" s="576"/>
      <c r="AS101" s="576"/>
      <c r="AT101" s="576"/>
      <c r="AU101" s="576"/>
      <c r="AV101" s="576"/>
      <c r="AW101" s="576"/>
      <c r="AX101" s="576"/>
      <c r="AY101" s="576"/>
      <c r="AZ101" s="576"/>
      <c r="BA101" s="576"/>
      <c r="BB101" s="576"/>
      <c r="BC101" s="576"/>
      <c r="BD101" s="576"/>
      <c r="BE101" s="576"/>
      <c r="BF101" s="576"/>
      <c r="BG101" s="576"/>
      <c r="BH101" s="576"/>
      <c r="BI101" s="576"/>
      <c r="BJ101" s="576"/>
      <c r="BK101" s="576"/>
      <c r="BL101" s="576"/>
      <c r="BM101" s="576"/>
      <c r="BN101" s="576"/>
      <c r="BO101" s="576"/>
      <c r="BP101" s="576"/>
      <c r="BQ101" s="576"/>
      <c r="BR101" s="576"/>
      <c r="BS101" s="576"/>
      <c r="BT101" s="576"/>
      <c r="BU101" s="576"/>
      <c r="BV101" s="576"/>
      <c r="BW101" s="576"/>
      <c r="BX101" s="576"/>
      <c r="BY101" s="576"/>
      <c r="BZ101" s="576"/>
      <c r="CA101" s="576"/>
      <c r="CB101" s="576"/>
      <c r="CC101" s="576"/>
      <c r="CD101" s="576"/>
      <c r="CE101" s="576"/>
      <c r="CF101" s="576"/>
      <c r="CG101" s="576"/>
      <c r="CH101" s="576"/>
      <c r="CI101" s="576"/>
      <c r="CJ101" s="576"/>
      <c r="CK101" s="576"/>
      <c r="CL101" s="576"/>
      <c r="CM101" s="576"/>
      <c r="CN101" s="576"/>
      <c r="CO101" s="576"/>
      <c r="CP101" s="576"/>
      <c r="CQ101" s="576"/>
      <c r="CR101" s="576"/>
      <c r="CS101" s="576"/>
      <c r="CT101" s="576"/>
      <c r="CU101" s="576"/>
      <c r="CV101" s="576"/>
      <c r="CW101" s="576"/>
      <c r="CX101" s="576"/>
      <c r="CY101" s="576"/>
      <c r="CZ101" s="576"/>
      <c r="DA101" s="576"/>
      <c r="DB101" s="576"/>
      <c r="DC101" s="576"/>
      <c r="DD101" s="576"/>
      <c r="DE101" s="576"/>
      <c r="DF101" s="576"/>
      <c r="DG101" s="576"/>
      <c r="DH101" s="576"/>
      <c r="DI101" s="576"/>
      <c r="DJ101" s="576"/>
      <c r="DK101" s="576"/>
      <c r="DL101" s="576"/>
      <c r="DM101" s="576"/>
      <c r="DN101" s="576"/>
      <c r="DO101" s="576"/>
      <c r="DP101" s="576"/>
      <c r="DQ101" s="576"/>
      <c r="DR101" s="576"/>
      <c r="DS101" s="576"/>
      <c r="DT101" s="576"/>
      <c r="DU101" s="576"/>
      <c r="DV101" s="576"/>
      <c r="DW101" s="576"/>
      <c r="DX101" s="576"/>
      <c r="DY101" s="576"/>
      <c r="DZ101" s="576"/>
      <c r="EA101" s="576"/>
      <c r="EB101" s="576"/>
      <c r="EC101" s="576"/>
      <c r="ED101" s="576"/>
      <c r="EE101" s="576"/>
      <c r="EF101" s="576"/>
      <c r="EG101" s="576"/>
      <c r="EH101" s="576"/>
      <c r="EI101" s="576"/>
      <c r="EJ101" s="576"/>
      <c r="EK101" s="576"/>
      <c r="EL101" s="576"/>
      <c r="EM101" s="576"/>
      <c r="EN101" s="576"/>
      <c r="EO101" s="576"/>
      <c r="EP101" s="576"/>
      <c r="EQ101" s="576"/>
      <c r="ER101" s="576"/>
      <c r="ES101" s="576"/>
      <c r="ET101" s="576"/>
      <c r="EU101" s="576"/>
      <c r="EV101" s="576"/>
      <c r="EW101" s="576"/>
      <c r="EX101" s="576"/>
      <c r="EY101" s="576"/>
      <c r="EZ101" s="576"/>
      <c r="FA101" s="576"/>
      <c r="FB101" s="576"/>
      <c r="FC101" s="576"/>
      <c r="FD101" s="576"/>
      <c r="FE101" s="576"/>
      <c r="FF101" s="576"/>
      <c r="FG101" s="576"/>
      <c r="FH101" s="576"/>
      <c r="FI101" s="576"/>
      <c r="FJ101" s="576"/>
      <c r="FK101" s="576"/>
      <c r="FL101" s="576"/>
      <c r="FM101" s="576"/>
      <c r="FN101" s="576"/>
      <c r="FO101" s="576"/>
      <c r="FP101" s="576"/>
      <c r="FQ101" s="576"/>
      <c r="FR101" s="576"/>
      <c r="FS101" s="576"/>
      <c r="FT101" s="576"/>
      <c r="FU101" s="576"/>
      <c r="FV101" s="576"/>
      <c r="FW101" s="576"/>
      <c r="FX101" s="576"/>
      <c r="FY101" s="576"/>
      <c r="FZ101" s="576"/>
      <c r="GA101" s="576"/>
      <c r="GB101" s="576"/>
      <c r="GC101" s="576"/>
      <c r="GD101" s="576"/>
      <c r="GE101" s="576"/>
      <c r="GF101" s="576"/>
      <c r="GG101" s="576"/>
      <c r="GH101" s="576"/>
      <c r="GI101" s="576"/>
      <c r="GJ101" s="576"/>
      <c r="GK101" s="576"/>
      <c r="GL101" s="576"/>
      <c r="GM101" s="576"/>
      <c r="GN101" s="576"/>
      <c r="GO101" s="576"/>
      <c r="GP101" s="576"/>
      <c r="GQ101" s="576"/>
      <c r="GR101" s="576"/>
      <c r="GS101" s="576"/>
      <c r="GT101" s="576"/>
      <c r="GU101" s="576"/>
      <c r="GV101" s="576"/>
      <c r="GW101" s="576"/>
      <c r="GX101" s="576"/>
      <c r="GY101" s="576"/>
      <c r="GZ101" s="576"/>
      <c r="HA101" s="576"/>
      <c r="HB101" s="576"/>
      <c r="HC101" s="576"/>
      <c r="HD101" s="576"/>
      <c r="HE101" s="576"/>
      <c r="HF101" s="576"/>
      <c r="HG101" s="576"/>
      <c r="HH101" s="576"/>
      <c r="HI101" s="576"/>
      <c r="HJ101" s="576"/>
      <c r="HK101" s="576"/>
      <c r="HL101" s="576"/>
      <c r="HM101" s="576"/>
      <c r="HN101" s="576"/>
      <c r="HO101" s="576"/>
      <c r="HP101" s="576"/>
      <c r="HQ101" s="576"/>
      <c r="HR101" s="576"/>
      <c r="HS101" s="576"/>
      <c r="HT101" s="576"/>
      <c r="HU101" s="576"/>
      <c r="HV101" s="576"/>
      <c r="HW101" s="576"/>
      <c r="HX101" s="576"/>
      <c r="HY101" s="576"/>
      <c r="HZ101" s="576"/>
      <c r="IA101" s="576"/>
      <c r="IB101" s="576"/>
      <c r="IC101" s="576"/>
      <c r="ID101" s="576"/>
      <c r="IE101" s="576"/>
      <c r="IF101" s="576"/>
      <c r="IG101" s="576"/>
      <c r="IH101" s="576"/>
      <c r="II101" s="576"/>
      <c r="IJ101" s="576"/>
      <c r="IK101" s="576"/>
      <c r="IL101" s="576"/>
      <c r="IM101" s="576"/>
      <c r="IN101" s="576"/>
      <c r="IO101" s="576"/>
      <c r="IP101" s="576"/>
      <c r="IQ101" s="576"/>
      <c r="IR101" s="576"/>
      <c r="IS101" s="576"/>
      <c r="IT101" s="576"/>
      <c r="IU101" s="576"/>
      <c r="IV101" s="576"/>
      <c r="IW101" s="576"/>
      <c r="IX101" s="576"/>
      <c r="IY101" s="576"/>
      <c r="IZ101" s="576"/>
      <c r="JA101" s="576"/>
      <c r="JB101" s="576"/>
      <c r="JC101" s="576"/>
      <c r="JD101" s="576"/>
      <c r="JE101" s="576"/>
      <c r="JF101" s="576"/>
      <c r="JG101" s="576"/>
      <c r="JH101" s="576"/>
      <c r="JI101" s="576"/>
      <c r="JJ101" s="576"/>
      <c r="JK101" s="576"/>
      <c r="JL101" s="576"/>
      <c r="JM101" s="576"/>
      <c r="JN101" s="576"/>
      <c r="JO101" s="576"/>
      <c r="JP101" s="576"/>
      <c r="JQ101" s="576"/>
      <c r="JR101" s="576"/>
      <c r="JS101" s="576"/>
      <c r="JT101" s="576"/>
      <c r="JU101" s="576"/>
      <c r="JV101" s="576"/>
      <c r="JW101" s="576"/>
      <c r="JX101" s="576"/>
      <c r="JY101" s="576"/>
      <c r="JZ101" s="576"/>
      <c r="KA101" s="576"/>
      <c r="KB101" s="576"/>
      <c r="KC101" s="576"/>
      <c r="KD101" s="576"/>
      <c r="KE101" s="576"/>
      <c r="KF101" s="576"/>
      <c r="KG101" s="576"/>
      <c r="KH101" s="576"/>
      <c r="KI101" s="576"/>
      <c r="KJ101" s="576"/>
      <c r="KK101" s="576"/>
      <c r="KL101" s="576"/>
      <c r="KM101" s="576"/>
      <c r="KN101" s="576"/>
      <c r="KO101" s="576"/>
      <c r="KP101" s="576"/>
      <c r="KQ101" s="576"/>
      <c r="KR101" s="576"/>
      <c r="KS101" s="576"/>
      <c r="KT101" s="576"/>
      <c r="KU101" s="576"/>
      <c r="KV101" s="576"/>
      <c r="KW101" s="576"/>
      <c r="KX101" s="576"/>
      <c r="KY101" s="576"/>
      <c r="KZ101" s="576"/>
      <c r="LA101" s="576"/>
      <c r="LB101" s="576"/>
      <c r="LC101" s="576"/>
      <c r="LD101" s="576"/>
      <c r="LE101" s="576"/>
      <c r="LF101" s="576"/>
      <c r="LG101" s="576"/>
      <c r="LH101" s="576"/>
      <c r="LI101" s="576"/>
      <c r="LJ101" s="576"/>
      <c r="LK101" s="576"/>
      <c r="LL101" s="576"/>
      <c r="LM101" s="576"/>
      <c r="LN101" s="576"/>
      <c r="LO101" s="576"/>
      <c r="LP101" s="576"/>
      <c r="LQ101" s="576"/>
      <c r="LR101" s="576"/>
      <c r="LS101" s="576"/>
      <c r="LT101" s="576"/>
      <c r="LU101" s="576"/>
      <c r="LV101" s="576"/>
      <c r="LW101" s="576"/>
      <c r="LX101" s="576"/>
      <c r="LY101" s="576"/>
      <c r="LZ101" s="576"/>
      <c r="MA101" s="576"/>
      <c r="MB101" s="576"/>
      <c r="MC101" s="576"/>
      <c r="MD101" s="576"/>
      <c r="ME101" s="576"/>
      <c r="MF101" s="576"/>
      <c r="MG101" s="576"/>
      <c r="MH101" s="576"/>
      <c r="MI101" s="576"/>
      <c r="MJ101" s="576"/>
      <c r="MK101" s="576"/>
      <c r="ML101" s="576"/>
      <c r="MM101" s="576"/>
      <c r="MN101" s="576"/>
      <c r="MO101" s="576"/>
      <c r="MP101" s="576"/>
      <c r="MQ101" s="576"/>
      <c r="MR101" s="576"/>
      <c r="MS101" s="576"/>
      <c r="MT101" s="576"/>
      <c r="MU101" s="576"/>
      <c r="MV101" s="576"/>
      <c r="MW101" s="576"/>
      <c r="MX101" s="576"/>
      <c r="MY101" s="576"/>
      <c r="MZ101" s="576"/>
      <c r="NA101" s="576"/>
      <c r="NB101" s="576"/>
      <c r="NC101" s="576"/>
      <c r="ND101" s="576"/>
      <c r="NE101" s="576"/>
      <c r="NF101" s="576"/>
      <c r="NG101" s="576"/>
      <c r="NH101" s="576"/>
      <c r="NI101" s="576"/>
      <c r="NJ101" s="576"/>
      <c r="NK101" s="576"/>
      <c r="NL101" s="576"/>
      <c r="NM101" s="576"/>
      <c r="NN101" s="576"/>
      <c r="NO101" s="576"/>
      <c r="NP101" s="576"/>
      <c r="NQ101" s="576"/>
      <c r="NR101" s="576"/>
      <c r="NS101" s="576"/>
      <c r="NT101" s="576"/>
      <c r="NU101" s="576"/>
      <c r="NV101" s="576"/>
      <c r="NW101" s="576"/>
      <c r="NX101" s="576"/>
      <c r="NY101" s="576"/>
      <c r="NZ101" s="576"/>
      <c r="OA101" s="576"/>
      <c r="OB101" s="576"/>
      <c r="OC101" s="576"/>
      <c r="OD101" s="576"/>
      <c r="OE101" s="576"/>
      <c r="OF101" s="576"/>
      <c r="OG101" s="576"/>
      <c r="OH101" s="576"/>
      <c r="OI101" s="576"/>
      <c r="OJ101" s="576"/>
      <c r="OK101" s="576"/>
      <c r="OL101" s="576"/>
      <c r="OM101" s="576"/>
      <c r="ON101" s="576"/>
      <c r="OO101" s="576"/>
      <c r="OP101" s="576"/>
      <c r="OQ101" s="576"/>
      <c r="OR101" s="576"/>
      <c r="OS101" s="576"/>
      <c r="OT101" s="576"/>
      <c r="OU101" s="576"/>
      <c r="OV101" s="576"/>
      <c r="OW101" s="576"/>
      <c r="OX101" s="576"/>
      <c r="OY101" s="576"/>
      <c r="OZ101" s="576"/>
      <c r="PA101" s="576"/>
      <c r="PB101" s="576"/>
      <c r="PC101" s="576"/>
      <c r="PD101" s="576"/>
      <c r="PE101" s="576"/>
      <c r="PF101" s="576"/>
      <c r="PG101" s="576"/>
      <c r="PH101" s="576"/>
      <c r="PI101" s="576"/>
      <c r="PJ101" s="576"/>
      <c r="PK101" s="576"/>
      <c r="PL101" s="576"/>
      <c r="PM101" s="576"/>
      <c r="PN101" s="576"/>
      <c r="PO101" s="576"/>
      <c r="PP101" s="576"/>
      <c r="PQ101" s="576"/>
      <c r="PR101" s="576"/>
      <c r="PS101" s="576"/>
      <c r="PT101" s="576"/>
      <c r="PU101" s="576"/>
      <c r="PV101" s="576"/>
      <c r="PW101" s="576"/>
      <c r="PX101" s="576"/>
      <c r="PY101" s="576"/>
      <c r="PZ101" s="576"/>
      <c r="QA101" s="576"/>
      <c r="QB101" s="576"/>
      <c r="QC101" s="576"/>
      <c r="QD101" s="576"/>
      <c r="QE101" s="576"/>
      <c r="QF101" s="576"/>
      <c r="QG101" s="576"/>
      <c r="QH101" s="576"/>
      <c r="QI101" s="576"/>
      <c r="QJ101" s="576"/>
      <c r="QK101" s="576"/>
      <c r="QL101" s="576"/>
      <c r="QM101" s="576"/>
      <c r="QN101" s="576"/>
      <c r="QO101" s="576"/>
      <c r="QP101" s="576"/>
      <c r="QQ101" s="576"/>
      <c r="QR101" s="576"/>
      <c r="QS101" s="576"/>
      <c r="QT101" s="576"/>
      <c r="QU101" s="576"/>
      <c r="QV101" s="576"/>
      <c r="QW101" s="576"/>
      <c r="QX101" s="576"/>
      <c r="QY101" s="576"/>
      <c r="QZ101" s="576"/>
      <c r="RA101" s="576"/>
      <c r="RB101" s="576"/>
      <c r="RC101" s="576"/>
      <c r="RD101" s="576"/>
      <c r="RE101" s="576"/>
      <c r="RF101" s="576"/>
      <c r="RG101" s="576"/>
      <c r="RH101" s="576"/>
      <c r="RI101" s="576"/>
      <c r="RJ101" s="576"/>
      <c r="RK101" s="576"/>
      <c r="RL101" s="576"/>
      <c r="RM101" s="576"/>
      <c r="RN101" s="576"/>
      <c r="RO101" s="576"/>
      <c r="RP101" s="576"/>
      <c r="RQ101" s="576"/>
      <c r="RR101" s="576"/>
      <c r="RS101" s="576"/>
      <c r="RT101" s="576"/>
      <c r="RU101" s="576"/>
      <c r="RV101" s="576"/>
      <c r="RW101" s="576"/>
      <c r="RX101" s="576"/>
      <c r="RY101" s="576"/>
      <c r="RZ101" s="576"/>
      <c r="SA101" s="576"/>
      <c r="SB101" s="576"/>
      <c r="SC101" s="576"/>
      <c r="SD101" s="576"/>
      <c r="SE101" s="576"/>
      <c r="SF101" s="576"/>
      <c r="SG101" s="576"/>
      <c r="SH101" s="576"/>
      <c r="SI101" s="576"/>
      <c r="SJ101" s="576"/>
      <c r="SK101" s="576"/>
      <c r="SL101" s="576"/>
      <c r="SM101" s="576"/>
      <c r="SN101" s="576"/>
      <c r="SO101" s="576"/>
      <c r="SP101" s="576"/>
      <c r="SQ101" s="576"/>
      <c r="SR101" s="576"/>
      <c r="SS101" s="576"/>
      <c r="ST101" s="576"/>
      <c r="SU101" s="576"/>
      <c r="SV101" s="576"/>
      <c r="SW101" s="576"/>
      <c r="SX101" s="576"/>
      <c r="SY101" s="576"/>
      <c r="SZ101" s="576"/>
      <c r="TA101" s="576"/>
      <c r="TB101" s="576"/>
      <c r="TC101" s="576"/>
      <c r="TD101" s="576"/>
      <c r="TE101" s="576"/>
      <c r="TF101" s="576"/>
      <c r="TG101" s="576"/>
      <c r="TH101" s="576"/>
      <c r="TI101" s="576"/>
      <c r="TJ101" s="576"/>
      <c r="TK101" s="576"/>
      <c r="TL101" s="576"/>
      <c r="TM101" s="576"/>
      <c r="TN101" s="576"/>
      <c r="TO101" s="576"/>
      <c r="TP101" s="576"/>
      <c r="TQ101" s="576"/>
      <c r="TR101" s="576"/>
      <c r="TS101" s="576"/>
      <c r="TT101" s="576"/>
      <c r="TU101" s="576"/>
      <c r="TV101" s="576"/>
      <c r="TW101" s="576"/>
      <c r="TX101" s="576"/>
      <c r="TY101" s="576"/>
      <c r="TZ101" s="576"/>
      <c r="UA101" s="576"/>
      <c r="UB101" s="576"/>
      <c r="UC101" s="576"/>
      <c r="UD101" s="576"/>
      <c r="UE101" s="576"/>
      <c r="UF101" s="576"/>
      <c r="UG101" s="576"/>
      <c r="UH101" s="576"/>
      <c r="UI101" s="576"/>
      <c r="UJ101" s="576"/>
      <c r="UK101" s="576"/>
      <c r="UL101" s="576"/>
      <c r="UM101" s="576"/>
      <c r="UN101" s="576"/>
      <c r="UO101" s="576"/>
      <c r="UP101" s="576"/>
      <c r="UQ101" s="576"/>
      <c r="UR101" s="576"/>
      <c r="US101" s="576"/>
      <c r="UT101" s="576"/>
      <c r="UU101" s="576"/>
      <c r="UV101" s="576"/>
      <c r="UW101" s="576"/>
      <c r="UX101" s="576"/>
      <c r="UY101" s="576"/>
      <c r="UZ101" s="576"/>
      <c r="VA101" s="576"/>
      <c r="VB101" s="576"/>
      <c r="VC101" s="576"/>
      <c r="VD101" s="576"/>
      <c r="VE101" s="576"/>
      <c r="VF101" s="576"/>
      <c r="VG101" s="576"/>
      <c r="VH101" s="576"/>
      <c r="VI101" s="576"/>
      <c r="VJ101" s="576"/>
      <c r="VK101" s="576"/>
      <c r="VL101" s="576"/>
      <c r="VM101" s="576"/>
      <c r="VN101" s="576"/>
      <c r="VO101" s="576"/>
      <c r="VP101" s="576"/>
      <c r="VQ101" s="576"/>
      <c r="VR101" s="576"/>
      <c r="VS101" s="576"/>
      <c r="VT101" s="576"/>
      <c r="VU101" s="576"/>
      <c r="VV101" s="576"/>
      <c r="VW101" s="576"/>
      <c r="VX101" s="576"/>
      <c r="VY101" s="576"/>
      <c r="VZ101" s="576"/>
      <c r="WA101" s="576"/>
      <c r="WB101" s="576"/>
      <c r="WC101" s="576"/>
      <c r="WD101" s="576"/>
      <c r="WE101" s="576"/>
      <c r="WF101" s="576"/>
      <c r="WG101" s="576"/>
      <c r="WH101" s="576"/>
      <c r="WI101" s="576"/>
      <c r="WJ101" s="576"/>
      <c r="WK101" s="576"/>
      <c r="WL101" s="576"/>
      <c r="WM101" s="576"/>
      <c r="WN101" s="576"/>
      <c r="WO101" s="576"/>
      <c r="WP101" s="576"/>
      <c r="WQ101" s="576"/>
      <c r="WR101" s="576"/>
      <c r="WS101" s="576"/>
      <c r="WT101" s="576"/>
      <c r="WU101" s="576"/>
      <c r="WV101" s="576"/>
      <c r="WW101" s="576"/>
      <c r="WX101" s="576"/>
      <c r="WY101" s="576"/>
      <c r="WZ101" s="576"/>
      <c r="XA101" s="576"/>
      <c r="XB101" s="576"/>
      <c r="XC101" s="576"/>
      <c r="XD101" s="576"/>
      <c r="XE101" s="576"/>
      <c r="XF101" s="576"/>
      <c r="XG101" s="576"/>
      <c r="XH101" s="576"/>
      <c r="XI101" s="576"/>
      <c r="XJ101" s="576"/>
      <c r="XK101" s="576"/>
      <c r="XL101" s="576"/>
      <c r="XM101" s="576"/>
      <c r="XN101" s="576"/>
      <c r="XO101" s="576"/>
      <c r="XP101" s="576"/>
      <c r="XQ101" s="576"/>
      <c r="XR101" s="576"/>
      <c r="XS101" s="576"/>
      <c r="XT101" s="576"/>
      <c r="XU101" s="576"/>
      <c r="XV101" s="576"/>
      <c r="XW101" s="576"/>
      <c r="XX101" s="576"/>
      <c r="XY101" s="576"/>
      <c r="XZ101" s="576"/>
      <c r="YA101" s="576"/>
      <c r="YB101" s="576"/>
      <c r="YC101" s="576"/>
      <c r="YD101" s="576"/>
      <c r="YE101" s="576"/>
      <c r="YF101" s="576"/>
      <c r="YG101" s="576"/>
      <c r="YH101" s="576"/>
      <c r="YI101" s="576"/>
      <c r="YJ101" s="576"/>
      <c r="YK101" s="576"/>
      <c r="YL101" s="576"/>
      <c r="YM101" s="576"/>
      <c r="YN101" s="576"/>
      <c r="YO101" s="576"/>
      <c r="YP101" s="576"/>
      <c r="YQ101" s="576"/>
      <c r="YR101" s="576"/>
      <c r="YS101" s="576"/>
      <c r="YT101" s="576"/>
      <c r="YU101" s="576"/>
      <c r="YV101" s="576"/>
      <c r="YW101" s="576"/>
      <c r="YX101" s="576"/>
      <c r="YY101" s="576"/>
      <c r="YZ101" s="576"/>
      <c r="ZA101" s="576"/>
      <c r="ZB101" s="576"/>
      <c r="ZC101" s="576"/>
      <c r="ZD101" s="576"/>
      <c r="ZE101" s="576"/>
      <c r="ZF101" s="576"/>
      <c r="ZG101" s="576"/>
      <c r="ZH101" s="576"/>
      <c r="ZI101" s="576"/>
      <c r="ZJ101" s="576"/>
      <c r="ZK101" s="576"/>
      <c r="ZL101" s="576"/>
      <c r="ZM101" s="576"/>
      <c r="ZN101" s="576"/>
      <c r="ZO101" s="576"/>
      <c r="ZP101" s="576"/>
      <c r="ZQ101" s="576"/>
      <c r="ZR101" s="576"/>
      <c r="ZS101" s="576"/>
      <c r="ZT101" s="576"/>
      <c r="ZU101" s="576"/>
      <c r="ZV101" s="576"/>
      <c r="ZW101" s="576"/>
      <c r="ZX101" s="576"/>
      <c r="ZY101" s="576"/>
      <c r="ZZ101" s="576"/>
      <c r="AAA101" s="576"/>
      <c r="AAB101" s="576"/>
      <c r="AAC101" s="576"/>
      <c r="AAD101" s="576"/>
      <c r="AAE101" s="576"/>
      <c r="AAF101" s="576"/>
      <c r="AAG101" s="576"/>
      <c r="AAH101" s="576"/>
      <c r="AAI101" s="576"/>
      <c r="AAJ101" s="576"/>
      <c r="AAK101" s="576"/>
      <c r="AAL101" s="576"/>
      <c r="AAM101" s="576"/>
      <c r="AAN101" s="576"/>
      <c r="AAO101" s="576"/>
      <c r="AAP101" s="576"/>
      <c r="AAQ101" s="576"/>
      <c r="AAR101" s="576"/>
      <c r="AAS101" s="576"/>
      <c r="AAT101" s="576"/>
      <c r="AAU101" s="576"/>
      <c r="AAV101" s="576"/>
      <c r="AAW101" s="576"/>
      <c r="AAX101" s="576"/>
      <c r="AAY101" s="576"/>
      <c r="AAZ101" s="576"/>
      <c r="ABA101" s="576"/>
      <c r="ABB101" s="576"/>
      <c r="ABC101" s="576"/>
      <c r="ABD101" s="576"/>
      <c r="ABE101" s="576"/>
      <c r="ABF101" s="576"/>
      <c r="ABG101" s="576"/>
      <c r="ABH101" s="576"/>
      <c r="ABI101" s="576"/>
      <c r="ABJ101" s="576"/>
      <c r="ABK101" s="576"/>
      <c r="ABL101" s="576"/>
      <c r="ABM101" s="576"/>
      <c r="ABN101" s="576"/>
      <c r="ABO101" s="576"/>
      <c r="ABP101" s="576"/>
      <c r="ABQ101" s="576"/>
      <c r="ABR101" s="576"/>
      <c r="ABS101" s="576"/>
      <c r="ABT101" s="576"/>
      <c r="ABU101" s="576"/>
      <c r="ABV101" s="576"/>
      <c r="ABW101" s="576"/>
      <c r="ABX101" s="576"/>
      <c r="ABY101" s="576"/>
      <c r="ABZ101" s="576"/>
      <c r="ACA101" s="576"/>
      <c r="ACB101" s="576"/>
      <c r="ACC101" s="576"/>
      <c r="ACD101" s="576"/>
      <c r="ACE101" s="576"/>
      <c r="ACF101" s="576"/>
      <c r="ACG101" s="576"/>
      <c r="ACH101" s="576"/>
      <c r="ACI101" s="576"/>
      <c r="ACJ101" s="576"/>
      <c r="ACK101" s="576"/>
      <c r="ACL101" s="576"/>
      <c r="ACM101" s="576"/>
      <c r="ACN101" s="576"/>
      <c r="ACO101" s="576"/>
      <c r="ACP101" s="576"/>
      <c r="ACQ101" s="576"/>
      <c r="ACR101" s="576"/>
      <c r="ACS101" s="576"/>
      <c r="ACT101" s="576"/>
      <c r="ACU101" s="576"/>
      <c r="ACV101" s="576"/>
      <c r="ACW101" s="576"/>
      <c r="ACX101" s="576"/>
      <c r="ACY101" s="576"/>
      <c r="ACZ101" s="576"/>
      <c r="ADA101" s="576"/>
      <c r="ADB101" s="576"/>
      <c r="ADC101" s="576"/>
      <c r="ADD101" s="576"/>
      <c r="ADE101" s="576"/>
      <c r="ADF101" s="576"/>
      <c r="ADG101" s="576"/>
      <c r="ADH101" s="576"/>
      <c r="ADI101" s="576"/>
      <c r="ADJ101" s="576"/>
      <c r="ADK101" s="576"/>
      <c r="ADL101" s="576"/>
      <c r="ADM101" s="576"/>
      <c r="ADN101" s="576"/>
      <c r="ADO101" s="576"/>
      <c r="ADP101" s="576"/>
      <c r="ADQ101" s="576"/>
      <c r="ADR101" s="576"/>
      <c r="ADS101" s="576"/>
      <c r="ADT101" s="576"/>
      <c r="ADU101" s="576"/>
      <c r="ADV101" s="576"/>
      <c r="ADW101" s="576"/>
      <c r="ADX101" s="576"/>
      <c r="ADY101" s="576"/>
      <c r="ADZ101" s="576"/>
      <c r="AEA101" s="576"/>
      <c r="AEB101" s="576"/>
      <c r="AEC101" s="576"/>
      <c r="AED101" s="576"/>
      <c r="AEE101" s="576"/>
      <c r="AEF101" s="576"/>
      <c r="AEG101" s="576"/>
      <c r="AEH101" s="576"/>
      <c r="AEI101" s="576"/>
      <c r="AEJ101" s="576"/>
      <c r="AEK101" s="576"/>
      <c r="AEL101" s="576"/>
      <c r="AEM101" s="576"/>
      <c r="AEN101" s="576"/>
      <c r="AEO101" s="576"/>
      <c r="AEP101" s="576"/>
      <c r="AEQ101" s="576"/>
      <c r="AER101" s="576"/>
      <c r="AES101" s="576"/>
      <c r="AET101" s="576"/>
      <c r="AEU101" s="576"/>
      <c r="AEV101" s="576"/>
      <c r="AEW101" s="576"/>
      <c r="AEX101" s="576"/>
      <c r="AEY101" s="576"/>
      <c r="AEZ101" s="576"/>
      <c r="AFA101" s="576"/>
      <c r="AFB101" s="576"/>
      <c r="AFC101" s="576"/>
      <c r="AFD101" s="576"/>
      <c r="AFE101" s="576"/>
      <c r="AFF101" s="576"/>
      <c r="AFG101" s="576"/>
      <c r="AFH101" s="576"/>
      <c r="AFI101" s="576"/>
      <c r="AFJ101" s="576"/>
      <c r="AFK101" s="576"/>
      <c r="AFL101" s="576"/>
      <c r="AFM101" s="576"/>
      <c r="AFN101" s="576"/>
      <c r="AFO101" s="576"/>
      <c r="AFP101" s="576"/>
      <c r="AFQ101" s="576"/>
      <c r="AFR101" s="576"/>
      <c r="AFS101" s="576"/>
      <c r="AFT101" s="576"/>
      <c r="AFU101" s="576"/>
      <c r="AFV101" s="576"/>
      <c r="AFW101" s="576"/>
      <c r="AFX101" s="576"/>
      <c r="AFY101" s="576"/>
      <c r="AFZ101" s="576"/>
      <c r="AGA101" s="576"/>
      <c r="AGB101" s="576"/>
      <c r="AGC101" s="576"/>
      <c r="AGD101" s="576"/>
      <c r="AGE101" s="576"/>
      <c r="AGF101" s="576"/>
      <c r="AGG101" s="576"/>
      <c r="AGH101" s="576"/>
      <c r="AGI101" s="576"/>
      <c r="AGJ101" s="576"/>
      <c r="AGK101" s="576"/>
      <c r="AGL101" s="576"/>
      <c r="AGM101" s="576"/>
      <c r="AGN101" s="576"/>
      <c r="AGO101" s="576"/>
      <c r="AGP101" s="576"/>
      <c r="AGQ101" s="576"/>
      <c r="AGR101" s="576"/>
      <c r="AGS101" s="576"/>
      <c r="AGT101" s="576"/>
      <c r="AGU101" s="576"/>
      <c r="AGV101" s="576"/>
      <c r="AGW101" s="576"/>
      <c r="AGX101" s="576"/>
      <c r="AGY101" s="576"/>
      <c r="AGZ101" s="576"/>
      <c r="AHA101" s="576"/>
      <c r="AHB101" s="576"/>
      <c r="AHC101" s="576"/>
      <c r="AHD101" s="576"/>
      <c r="AHE101" s="576"/>
      <c r="AHF101" s="576"/>
      <c r="AHG101" s="576"/>
      <c r="AHH101" s="576"/>
      <c r="AHI101" s="576"/>
      <c r="AHJ101" s="576"/>
      <c r="AHK101" s="576"/>
      <c r="AHL101" s="576"/>
      <c r="AHM101" s="576"/>
      <c r="AHN101" s="576"/>
      <c r="AHO101" s="576"/>
      <c r="AHP101" s="576"/>
      <c r="AHQ101" s="576"/>
      <c r="AHR101" s="576"/>
      <c r="AHS101" s="576"/>
      <c r="AHT101" s="576"/>
      <c r="AHU101" s="576"/>
      <c r="AHV101" s="576"/>
      <c r="AHW101" s="576"/>
      <c r="AHX101" s="576"/>
      <c r="AHY101" s="576"/>
      <c r="AHZ101" s="576"/>
      <c r="AIA101" s="576"/>
      <c r="AIB101" s="576"/>
      <c r="AIC101" s="576"/>
      <c r="AID101" s="576"/>
      <c r="AIE101" s="576"/>
      <c r="AIF101" s="576"/>
      <c r="AIG101" s="576"/>
      <c r="AIH101" s="576"/>
      <c r="AII101" s="576"/>
      <c r="AIJ101" s="576"/>
      <c r="AIK101" s="576"/>
      <c r="AIL101" s="576"/>
      <c r="AIM101" s="576"/>
      <c r="AIN101" s="576"/>
      <c r="AIO101" s="576"/>
      <c r="AIP101" s="576"/>
      <c r="AIQ101" s="576"/>
      <c r="AIR101" s="576"/>
      <c r="AIS101" s="576"/>
      <c r="AIT101" s="576"/>
      <c r="AIU101" s="576"/>
      <c r="AIV101" s="576"/>
      <c r="AIW101" s="576"/>
      <c r="AIX101" s="576"/>
      <c r="AIY101" s="576"/>
      <c r="AIZ101" s="576"/>
      <c r="AJA101" s="576"/>
      <c r="AJB101" s="576"/>
      <c r="AJC101" s="576"/>
      <c r="AJD101" s="576"/>
      <c r="AJE101" s="576"/>
      <c r="AJF101" s="576"/>
      <c r="AJG101" s="576"/>
      <c r="AJH101" s="576"/>
      <c r="AJI101" s="576"/>
      <c r="AJJ101" s="576"/>
      <c r="AJK101" s="576"/>
      <c r="AJL101" s="576"/>
      <c r="AJM101" s="576"/>
      <c r="AJN101" s="576"/>
      <c r="AJO101" s="576"/>
      <c r="AJP101" s="576"/>
      <c r="AJQ101" s="576"/>
      <c r="AJR101" s="576"/>
      <c r="AJS101" s="576"/>
      <c r="AJT101" s="576"/>
      <c r="AJU101" s="576"/>
      <c r="AJV101" s="576"/>
      <c r="AJW101" s="576"/>
      <c r="AJX101" s="576"/>
      <c r="AJY101" s="576"/>
      <c r="AJZ101" s="576"/>
      <c r="AKA101" s="576"/>
      <c r="AKB101" s="576"/>
      <c r="AKC101" s="576"/>
      <c r="AKD101" s="576"/>
      <c r="AKE101" s="576"/>
      <c r="AKF101" s="576"/>
      <c r="AKG101" s="576"/>
      <c r="AKH101" s="576"/>
      <c r="AKI101" s="576"/>
      <c r="AKJ101" s="576"/>
      <c r="AKK101" s="576"/>
      <c r="AKL101" s="576"/>
      <c r="AKM101" s="576"/>
      <c r="AKN101" s="576"/>
      <c r="AKO101" s="576"/>
      <c r="AKP101" s="576"/>
      <c r="AKQ101" s="576"/>
      <c r="AKR101" s="576"/>
      <c r="AKS101" s="576"/>
      <c r="AKT101" s="576"/>
      <c r="AKU101" s="576"/>
      <c r="AKV101" s="576"/>
      <c r="AKW101" s="576"/>
      <c r="AKX101" s="576"/>
      <c r="AKY101" s="576"/>
      <c r="AKZ101" s="576"/>
      <c r="ALA101" s="576"/>
      <c r="ALB101" s="576"/>
      <c r="ALC101" s="576"/>
      <c r="ALD101" s="576"/>
      <c r="ALE101" s="576"/>
      <c r="ALF101" s="576"/>
      <c r="ALG101" s="576"/>
      <c r="ALH101" s="576"/>
      <c r="ALI101" s="576"/>
      <c r="ALJ101" s="576"/>
      <c r="ALK101" s="576"/>
      <c r="ALL101" s="576"/>
      <c r="ALM101" s="576"/>
      <c r="ALN101" s="576"/>
      <c r="ALO101" s="576"/>
      <c r="ALP101" s="576"/>
      <c r="ALQ101" s="576"/>
      <c r="ALR101" s="576"/>
      <c r="ALS101" s="576"/>
      <c r="ALT101" s="576"/>
      <c r="ALU101" s="576"/>
      <c r="ALV101" s="576"/>
      <c r="ALW101" s="576"/>
      <c r="ALX101" s="576"/>
      <c r="ALY101" s="576"/>
      <c r="ALZ101" s="576"/>
      <c r="AMA101" s="576"/>
      <c r="AMB101" s="576"/>
      <c r="AMC101" s="576"/>
      <c r="AMD101" s="576"/>
      <c r="AME101" s="576"/>
      <c r="AMF101" s="576"/>
      <c r="AMG101" s="576"/>
      <c r="AMH101" s="576"/>
      <c r="AMI101" s="576"/>
      <c r="AMJ101" s="576"/>
      <c r="AMK101" s="576"/>
      <c r="AML101" s="576"/>
      <c r="AMM101" s="576"/>
      <c r="AMN101" s="576"/>
      <c r="AMO101" s="576"/>
      <c r="AMP101" s="576"/>
      <c r="AMQ101" s="576"/>
      <c r="AMR101" s="576"/>
      <c r="AMS101" s="576"/>
      <c r="AMT101" s="576"/>
      <c r="AMU101" s="576"/>
      <c r="AMV101" s="576"/>
      <c r="AMW101" s="576"/>
      <c r="AMX101" s="576"/>
      <c r="AMY101" s="576"/>
      <c r="AMZ101" s="576"/>
      <c r="ANA101" s="576"/>
      <c r="ANB101" s="576"/>
      <c r="ANC101" s="576"/>
      <c r="AND101" s="576"/>
      <c r="ANE101" s="576"/>
      <c r="ANF101" s="576"/>
      <c r="ANG101" s="576"/>
      <c r="ANH101" s="576"/>
      <c r="ANI101" s="576"/>
      <c r="ANJ101" s="576"/>
      <c r="ANK101" s="576"/>
      <c r="ANL101" s="576"/>
      <c r="ANM101" s="576"/>
      <c r="ANN101" s="576"/>
      <c r="ANO101" s="576"/>
      <c r="ANP101" s="576"/>
      <c r="ANQ101" s="576"/>
      <c r="ANR101" s="576"/>
      <c r="ANS101" s="576"/>
      <c r="ANT101" s="576"/>
      <c r="ANU101" s="576"/>
      <c r="ANV101" s="576"/>
      <c r="ANW101" s="576"/>
      <c r="ANX101" s="576"/>
      <c r="ANY101" s="576"/>
      <c r="ANZ101" s="576"/>
      <c r="AOA101" s="576"/>
      <c r="AOB101" s="576"/>
      <c r="AOC101" s="576"/>
      <c r="AOD101" s="576"/>
      <c r="AOE101" s="576"/>
      <c r="AOF101" s="576"/>
      <c r="AOG101" s="576"/>
      <c r="AOH101" s="576"/>
      <c r="AOI101" s="576"/>
      <c r="AOJ101" s="576"/>
      <c r="AOK101" s="576"/>
      <c r="AOL101" s="576"/>
      <c r="AOM101" s="576"/>
      <c r="AON101" s="576"/>
      <c r="AOO101" s="576"/>
      <c r="AOP101" s="576"/>
      <c r="AOQ101" s="576"/>
      <c r="AOR101" s="576"/>
      <c r="AOS101" s="576"/>
      <c r="AOT101" s="576"/>
      <c r="AOU101" s="576"/>
      <c r="AOV101" s="576"/>
      <c r="AOW101" s="576"/>
      <c r="AOX101" s="576"/>
      <c r="AOY101" s="576"/>
      <c r="AOZ101" s="576"/>
      <c r="APA101" s="576"/>
      <c r="APB101" s="576"/>
      <c r="APC101" s="576"/>
      <c r="APD101" s="576"/>
      <c r="APE101" s="576"/>
      <c r="APF101" s="576"/>
      <c r="APG101" s="576"/>
      <c r="APH101" s="576"/>
      <c r="API101" s="576"/>
      <c r="APJ101" s="576"/>
      <c r="APK101" s="576"/>
      <c r="APL101" s="576"/>
      <c r="APM101" s="576"/>
      <c r="APN101" s="576"/>
      <c r="APO101" s="576"/>
      <c r="APP101" s="576"/>
      <c r="APQ101" s="576"/>
      <c r="APR101" s="576"/>
      <c r="APS101" s="576"/>
      <c r="APT101" s="576"/>
      <c r="APU101" s="576"/>
      <c r="APV101" s="576"/>
      <c r="APW101" s="576"/>
      <c r="APX101" s="576"/>
      <c r="APY101" s="576"/>
      <c r="APZ101" s="576"/>
      <c r="AQA101" s="576"/>
      <c r="AQB101" s="576"/>
      <c r="AQC101" s="576"/>
      <c r="AQD101" s="576"/>
      <c r="AQE101" s="576"/>
      <c r="AQF101" s="576"/>
      <c r="AQG101" s="576"/>
      <c r="AQH101" s="576"/>
      <c r="AQI101" s="576"/>
      <c r="AQJ101" s="576"/>
      <c r="AQK101" s="576"/>
      <c r="AQL101" s="576"/>
      <c r="AQM101" s="576"/>
      <c r="AQN101" s="576"/>
      <c r="AQO101" s="576"/>
      <c r="AQP101" s="576"/>
      <c r="AQQ101" s="576"/>
      <c r="AQR101" s="576"/>
      <c r="AQS101" s="576"/>
      <c r="AQT101" s="576"/>
      <c r="AQU101" s="576"/>
      <c r="AQV101" s="576"/>
      <c r="AQW101" s="576"/>
      <c r="AQX101" s="576"/>
      <c r="AQY101" s="576"/>
      <c r="AQZ101" s="576"/>
      <c r="ARA101" s="576"/>
      <c r="ARB101" s="576"/>
      <c r="ARC101" s="576"/>
      <c r="ARD101" s="576"/>
      <c r="ARE101" s="576"/>
      <c r="ARF101" s="576"/>
      <c r="ARG101" s="576"/>
      <c r="ARH101" s="576"/>
      <c r="ARI101" s="576"/>
      <c r="ARJ101" s="576"/>
      <c r="ARK101" s="576"/>
      <c r="ARL101" s="576"/>
      <c r="ARM101" s="576"/>
      <c r="ARN101" s="576"/>
      <c r="ARO101" s="576"/>
      <c r="ARP101" s="576"/>
      <c r="ARQ101" s="576"/>
      <c r="ARR101" s="576"/>
      <c r="ARS101" s="576"/>
      <c r="ART101" s="576"/>
      <c r="ARU101" s="576"/>
      <c r="ARV101" s="576"/>
      <c r="ARW101" s="576"/>
      <c r="ARX101" s="576"/>
      <c r="ARY101" s="576"/>
      <c r="ARZ101" s="576"/>
      <c r="ASA101" s="576"/>
      <c r="ASB101" s="576"/>
      <c r="ASC101" s="576"/>
      <c r="ASD101" s="576"/>
      <c r="ASE101" s="576"/>
      <c r="ASF101" s="576"/>
      <c r="ASG101" s="576"/>
      <c r="ASH101" s="576"/>
      <c r="ASI101" s="576"/>
      <c r="ASJ101" s="576"/>
      <c r="ASK101" s="576"/>
      <c r="ASL101" s="576"/>
      <c r="ASM101" s="576"/>
      <c r="ASN101" s="576"/>
      <c r="ASO101" s="576"/>
      <c r="ASP101" s="576"/>
      <c r="ASQ101" s="576"/>
      <c r="ASR101" s="576"/>
      <c r="ASS101" s="576"/>
      <c r="AST101" s="576"/>
      <c r="ASU101" s="576"/>
      <c r="ASV101" s="576"/>
      <c r="ASW101" s="576"/>
      <c r="ASX101" s="576"/>
      <c r="ASY101" s="576"/>
      <c r="ASZ101" s="576"/>
      <c r="ATA101" s="576"/>
      <c r="ATB101" s="576"/>
      <c r="ATC101" s="576"/>
      <c r="ATD101" s="576"/>
      <c r="ATE101" s="576"/>
      <c r="ATF101" s="576"/>
      <c r="ATG101" s="576"/>
      <c r="ATH101" s="576"/>
      <c r="ATI101" s="576"/>
      <c r="ATJ101" s="576"/>
      <c r="ATK101" s="576"/>
      <c r="ATL101" s="576"/>
      <c r="ATM101" s="576"/>
      <c r="ATN101" s="576"/>
      <c r="ATO101" s="576"/>
      <c r="ATP101" s="576"/>
      <c r="ATQ101" s="576"/>
      <c r="ATR101" s="576"/>
      <c r="ATS101" s="576"/>
      <c r="ATT101" s="576"/>
      <c r="ATU101" s="576"/>
      <c r="ATV101" s="576"/>
      <c r="ATW101" s="576"/>
      <c r="ATX101" s="576"/>
      <c r="ATY101" s="576"/>
      <c r="ATZ101" s="576"/>
      <c r="AUA101" s="576"/>
      <c r="AUB101" s="576"/>
      <c r="AUC101" s="576"/>
      <c r="AUD101" s="576"/>
      <c r="AUE101" s="576"/>
      <c r="AUF101" s="576"/>
      <c r="AUG101" s="576"/>
      <c r="AUH101" s="576"/>
      <c r="AUI101" s="576"/>
      <c r="AUJ101" s="576"/>
      <c r="AUK101" s="576"/>
      <c r="AUL101" s="576"/>
      <c r="AUM101" s="576"/>
      <c r="AUN101" s="576"/>
      <c r="AUO101" s="576"/>
      <c r="AUP101" s="576"/>
      <c r="AUQ101" s="576"/>
      <c r="AUR101" s="576"/>
      <c r="AUS101" s="576"/>
      <c r="AUT101" s="576"/>
      <c r="AUU101" s="576"/>
      <c r="AUV101" s="576"/>
      <c r="AUW101" s="576"/>
      <c r="AUX101" s="576"/>
      <c r="AUY101" s="576"/>
      <c r="AUZ101" s="576"/>
      <c r="AVA101" s="576"/>
      <c r="AVB101" s="576"/>
      <c r="AVC101" s="576"/>
      <c r="AVD101" s="576"/>
      <c r="AVE101" s="576"/>
      <c r="AVF101" s="576"/>
      <c r="AVG101" s="576"/>
      <c r="AVH101" s="576"/>
      <c r="AVI101" s="576"/>
      <c r="AVJ101" s="576"/>
      <c r="AVK101" s="576"/>
      <c r="AVL101" s="576"/>
      <c r="AVM101" s="576"/>
      <c r="AVN101" s="576"/>
      <c r="AVO101" s="576"/>
      <c r="AVP101" s="576"/>
      <c r="AVQ101" s="576"/>
      <c r="AVR101" s="576"/>
      <c r="AVS101" s="576"/>
      <c r="AVT101" s="576"/>
      <c r="AVU101" s="576"/>
      <c r="AVV101" s="576"/>
      <c r="AVW101" s="576"/>
      <c r="AVX101" s="576"/>
      <c r="AVY101" s="576"/>
      <c r="AVZ101" s="576"/>
      <c r="AWA101" s="576"/>
      <c r="AWB101" s="576"/>
      <c r="AWC101" s="576"/>
      <c r="AWD101" s="576"/>
      <c r="AWE101" s="576"/>
      <c r="AWF101" s="576"/>
      <c r="AWG101" s="576"/>
      <c r="AWH101" s="576"/>
      <c r="AWI101" s="576"/>
      <c r="AWJ101" s="576"/>
      <c r="AWK101" s="576"/>
      <c r="AWL101" s="576"/>
      <c r="AWM101" s="576"/>
      <c r="AWN101" s="576"/>
      <c r="AWO101" s="576"/>
      <c r="AWP101" s="576"/>
      <c r="AWQ101" s="576"/>
      <c r="AWR101" s="576"/>
      <c r="AWS101" s="576"/>
      <c r="AWT101" s="576"/>
      <c r="AWU101" s="576"/>
      <c r="AWV101" s="576"/>
      <c r="AWW101" s="576"/>
      <c r="AWX101" s="576"/>
      <c r="AWY101" s="576"/>
      <c r="AWZ101" s="576"/>
      <c r="AXA101" s="576"/>
      <c r="AXB101" s="576"/>
      <c r="AXC101" s="576"/>
      <c r="AXD101" s="576"/>
      <c r="AXE101" s="576"/>
      <c r="AXF101" s="576"/>
      <c r="AXG101" s="576"/>
      <c r="AXH101" s="576"/>
      <c r="AXI101" s="576"/>
      <c r="AXJ101" s="576"/>
      <c r="AXK101" s="576"/>
      <c r="AXL101" s="576"/>
      <c r="AXM101" s="576"/>
      <c r="AXN101" s="576"/>
      <c r="AXO101" s="576"/>
      <c r="AXP101" s="576"/>
      <c r="AXQ101" s="576"/>
      <c r="AXR101" s="576"/>
      <c r="AXS101" s="576"/>
      <c r="AXT101" s="576"/>
      <c r="AXU101" s="576"/>
      <c r="AXV101" s="576"/>
      <c r="AXW101" s="576"/>
      <c r="AXX101" s="576"/>
      <c r="AXY101" s="576"/>
      <c r="AXZ101" s="576"/>
      <c r="AYA101" s="576"/>
      <c r="AYB101" s="576"/>
      <c r="AYC101" s="576"/>
      <c r="AYD101" s="576"/>
      <c r="AYE101" s="576"/>
      <c r="AYF101" s="576"/>
      <c r="AYG101" s="576"/>
      <c r="AYH101" s="576"/>
      <c r="AYI101" s="576"/>
      <c r="AYJ101" s="576"/>
      <c r="AYK101" s="576"/>
      <c r="AYL101" s="576"/>
      <c r="AYM101" s="576"/>
      <c r="AYN101" s="576"/>
      <c r="AYO101" s="576"/>
      <c r="AYP101" s="576"/>
      <c r="AYQ101" s="576"/>
      <c r="AYR101" s="576"/>
      <c r="AYS101" s="576"/>
      <c r="AYT101" s="576"/>
      <c r="AYU101" s="576"/>
      <c r="AYV101" s="576"/>
      <c r="AYW101" s="576"/>
      <c r="AYX101" s="576"/>
      <c r="AYY101" s="576"/>
      <c r="AYZ101" s="576"/>
      <c r="AZA101" s="576"/>
      <c r="AZB101" s="576"/>
      <c r="AZC101" s="576"/>
      <c r="AZD101" s="576"/>
      <c r="AZE101" s="576"/>
      <c r="AZF101" s="576"/>
      <c r="AZG101" s="576"/>
      <c r="AZH101" s="576"/>
      <c r="AZI101" s="576"/>
      <c r="AZJ101" s="576"/>
      <c r="AZK101" s="576"/>
      <c r="AZL101" s="576"/>
      <c r="AZM101" s="576"/>
      <c r="AZN101" s="576"/>
      <c r="AZO101" s="576"/>
      <c r="AZP101" s="576"/>
      <c r="AZQ101" s="576"/>
      <c r="AZR101" s="576"/>
      <c r="AZS101" s="576"/>
      <c r="AZT101" s="576"/>
      <c r="AZU101" s="576"/>
      <c r="AZV101" s="576"/>
      <c r="AZW101" s="576"/>
      <c r="AZX101" s="576"/>
      <c r="AZY101" s="576"/>
      <c r="AZZ101" s="576"/>
      <c r="BAA101" s="576"/>
      <c r="BAB101" s="576"/>
      <c r="BAC101" s="576"/>
      <c r="BAD101" s="576"/>
      <c r="BAE101" s="576"/>
      <c r="BAF101" s="576"/>
      <c r="BAG101" s="576"/>
      <c r="BAH101" s="576"/>
      <c r="BAI101" s="576"/>
      <c r="BAJ101" s="576"/>
      <c r="BAK101" s="576"/>
      <c r="BAL101" s="576"/>
      <c r="BAM101" s="576"/>
      <c r="BAN101" s="576"/>
      <c r="BAO101" s="576"/>
      <c r="BAP101" s="576"/>
      <c r="BAQ101" s="576"/>
      <c r="BAR101" s="576"/>
      <c r="BAS101" s="576"/>
      <c r="BAT101" s="576"/>
      <c r="BAU101" s="576"/>
      <c r="BAV101" s="576"/>
      <c r="BAW101" s="576"/>
      <c r="BAX101" s="576"/>
      <c r="BAY101" s="576"/>
      <c r="BAZ101" s="576"/>
      <c r="BBA101" s="576"/>
      <c r="BBB101" s="576"/>
      <c r="BBC101" s="576"/>
      <c r="BBD101" s="576"/>
      <c r="BBE101" s="576"/>
      <c r="BBF101" s="576"/>
      <c r="BBG101" s="576"/>
      <c r="BBH101" s="576"/>
      <c r="BBI101" s="576"/>
      <c r="BBJ101" s="576"/>
      <c r="BBK101" s="576"/>
      <c r="BBL101" s="576"/>
      <c r="BBM101" s="576"/>
      <c r="BBN101" s="576"/>
      <c r="BBO101" s="576"/>
      <c r="BBP101" s="576"/>
      <c r="BBQ101" s="576"/>
      <c r="BBR101" s="576"/>
      <c r="BBS101" s="576"/>
      <c r="BBT101" s="576"/>
      <c r="BBU101" s="576"/>
      <c r="BBV101" s="576"/>
      <c r="BBW101" s="576"/>
      <c r="BBX101" s="576"/>
      <c r="BBY101" s="576"/>
      <c r="BBZ101" s="576"/>
      <c r="BCA101" s="576"/>
      <c r="BCB101" s="576"/>
      <c r="BCC101" s="576"/>
      <c r="BCD101" s="576"/>
      <c r="BCE101" s="576"/>
      <c r="BCF101" s="576"/>
      <c r="BCG101" s="576"/>
      <c r="BCH101" s="576"/>
      <c r="BCI101" s="576"/>
      <c r="BCJ101" s="576"/>
      <c r="BCK101" s="576"/>
      <c r="BCL101" s="576"/>
      <c r="BCM101" s="576"/>
      <c r="BCN101" s="576"/>
      <c r="BCO101" s="576"/>
      <c r="BCP101" s="576"/>
      <c r="BCQ101" s="576"/>
      <c r="BCR101" s="576"/>
      <c r="BCS101" s="576"/>
      <c r="BCT101" s="576"/>
      <c r="BCU101" s="576"/>
      <c r="BCV101" s="576"/>
      <c r="BCW101" s="576"/>
      <c r="BCX101" s="576"/>
      <c r="BCY101" s="576"/>
      <c r="BCZ101" s="576"/>
      <c r="BDA101" s="576"/>
      <c r="BDB101" s="576"/>
      <c r="BDC101" s="576"/>
      <c r="BDD101" s="576"/>
      <c r="BDE101" s="576"/>
      <c r="BDF101" s="576"/>
      <c r="BDG101" s="576"/>
      <c r="BDH101" s="576"/>
      <c r="BDI101" s="576"/>
      <c r="BDJ101" s="576"/>
      <c r="BDK101" s="576"/>
      <c r="BDL101" s="576"/>
      <c r="BDM101" s="576"/>
      <c r="BDN101" s="576"/>
      <c r="BDO101" s="576"/>
      <c r="BDP101" s="576"/>
      <c r="BDQ101" s="576"/>
      <c r="BDR101" s="576"/>
      <c r="BDS101" s="576"/>
      <c r="BDT101" s="576"/>
      <c r="BDU101" s="576"/>
      <c r="BDV101" s="576"/>
      <c r="BDW101" s="576"/>
      <c r="BDX101" s="576"/>
      <c r="BDY101" s="576"/>
      <c r="BDZ101" s="576"/>
      <c r="BEA101" s="576"/>
      <c r="BEB101" s="576"/>
      <c r="BEC101" s="576"/>
      <c r="BED101" s="576"/>
      <c r="BEE101" s="576"/>
      <c r="BEF101" s="576"/>
      <c r="BEG101" s="576"/>
      <c r="BEH101" s="576"/>
      <c r="BEI101" s="576"/>
      <c r="BEJ101" s="576"/>
      <c r="BEK101" s="576"/>
      <c r="BEL101" s="576"/>
      <c r="BEM101" s="576"/>
      <c r="BEN101" s="576"/>
      <c r="BEO101" s="576"/>
      <c r="BEP101" s="576"/>
      <c r="BEQ101" s="576"/>
      <c r="BER101" s="576"/>
      <c r="BES101" s="576"/>
      <c r="BET101" s="576"/>
      <c r="BEU101" s="576"/>
      <c r="BEV101" s="576"/>
      <c r="BEW101" s="576"/>
      <c r="BEX101" s="576"/>
      <c r="BEY101" s="576"/>
      <c r="BEZ101" s="576"/>
      <c r="BFA101" s="576"/>
      <c r="BFB101" s="576"/>
      <c r="BFC101" s="576"/>
      <c r="BFD101" s="576"/>
      <c r="BFE101" s="576"/>
      <c r="BFF101" s="576"/>
      <c r="BFG101" s="576"/>
      <c r="BFH101" s="576"/>
      <c r="BFI101" s="576"/>
      <c r="BFJ101" s="576"/>
      <c r="BFK101" s="576"/>
      <c r="BFL101" s="576"/>
      <c r="BFM101" s="576"/>
      <c r="BFN101" s="576"/>
      <c r="BFO101" s="576"/>
      <c r="BFP101" s="576"/>
      <c r="BFQ101" s="576"/>
      <c r="BFR101" s="576"/>
      <c r="BFS101" s="576"/>
      <c r="BFT101" s="576"/>
      <c r="BFU101" s="576"/>
      <c r="BFV101" s="576"/>
      <c r="BFW101" s="576"/>
      <c r="BFX101" s="576"/>
      <c r="BFY101" s="576"/>
      <c r="BFZ101" s="576"/>
      <c r="BGA101" s="576"/>
      <c r="BGB101" s="576"/>
      <c r="BGC101" s="576"/>
      <c r="BGD101" s="576"/>
      <c r="BGE101" s="576"/>
      <c r="BGF101" s="576"/>
      <c r="BGG101" s="576"/>
      <c r="BGH101" s="576"/>
      <c r="BGI101" s="576"/>
      <c r="BGJ101" s="576"/>
      <c r="BGK101" s="576"/>
      <c r="BGL101" s="576"/>
      <c r="BGM101" s="576"/>
      <c r="BGN101" s="576"/>
      <c r="BGO101" s="576"/>
      <c r="BGP101" s="576"/>
      <c r="BGQ101" s="576"/>
      <c r="BGR101" s="576"/>
      <c r="BGS101" s="576"/>
      <c r="BGT101" s="576"/>
      <c r="BGU101" s="576"/>
      <c r="BGV101" s="576"/>
      <c r="BGW101" s="576"/>
      <c r="BGX101" s="576"/>
      <c r="BGY101" s="576"/>
      <c r="BGZ101" s="576"/>
      <c r="BHA101" s="576"/>
      <c r="BHB101" s="576"/>
      <c r="BHC101" s="576"/>
      <c r="BHD101" s="576"/>
      <c r="BHE101" s="576"/>
      <c r="BHF101" s="576"/>
      <c r="BHG101" s="576"/>
      <c r="BHH101" s="576"/>
      <c r="BHI101" s="576"/>
      <c r="BHJ101" s="576"/>
      <c r="BHK101" s="576"/>
      <c r="BHL101" s="576"/>
      <c r="BHM101" s="576"/>
      <c r="BHN101" s="576"/>
      <c r="BHO101" s="576"/>
      <c r="BHP101" s="576"/>
      <c r="BHQ101" s="576"/>
      <c r="BHR101" s="576"/>
      <c r="BHS101" s="576"/>
      <c r="BHT101" s="576"/>
      <c r="BHU101" s="576"/>
      <c r="BHV101" s="576"/>
      <c r="BHW101" s="576"/>
      <c r="BHX101" s="576"/>
      <c r="BHY101" s="576"/>
      <c r="BHZ101" s="576"/>
      <c r="BIA101" s="576"/>
      <c r="BIB101" s="576"/>
      <c r="BIC101" s="576"/>
      <c r="BID101" s="576"/>
      <c r="BIE101" s="576"/>
      <c r="BIF101" s="576"/>
      <c r="BIG101" s="576"/>
      <c r="BIH101" s="576"/>
      <c r="BII101" s="576"/>
      <c r="BIJ101" s="576"/>
      <c r="BIK101" s="576"/>
      <c r="BIL101" s="576"/>
      <c r="BIM101" s="576"/>
      <c r="BIN101" s="576"/>
      <c r="BIO101" s="576"/>
      <c r="BIP101" s="576"/>
      <c r="BIQ101" s="576"/>
      <c r="BIR101" s="576"/>
      <c r="BIS101" s="576"/>
      <c r="BIT101" s="576"/>
      <c r="BIU101" s="576"/>
      <c r="BIV101" s="576"/>
      <c r="BIW101" s="576"/>
      <c r="BIX101" s="576"/>
      <c r="BIY101" s="576"/>
      <c r="BIZ101" s="576"/>
      <c r="BJA101" s="576"/>
      <c r="BJB101" s="576"/>
      <c r="BJC101" s="576"/>
      <c r="BJD101" s="576"/>
      <c r="BJE101" s="576"/>
      <c r="BJF101" s="576"/>
      <c r="BJG101" s="576"/>
      <c r="BJH101" s="576"/>
      <c r="BJI101" s="576"/>
      <c r="BJJ101" s="576"/>
      <c r="BJK101" s="576"/>
      <c r="BJL101" s="576"/>
      <c r="BJM101" s="576"/>
      <c r="BJN101" s="576"/>
      <c r="BJO101" s="576"/>
      <c r="BJP101" s="576"/>
      <c r="BJQ101" s="576"/>
      <c r="BJR101" s="576"/>
      <c r="BJS101" s="576"/>
      <c r="BJT101" s="576"/>
      <c r="BJU101" s="576"/>
      <c r="BJV101" s="576"/>
      <c r="BJW101" s="576"/>
      <c r="BJX101" s="576"/>
      <c r="BJY101" s="576"/>
      <c r="BJZ101" s="576"/>
      <c r="BKA101" s="576"/>
      <c r="BKB101" s="576"/>
      <c r="BKC101" s="576"/>
      <c r="BKD101" s="576"/>
      <c r="BKE101" s="576"/>
      <c r="BKF101" s="576"/>
      <c r="BKG101" s="576"/>
      <c r="BKH101" s="576"/>
      <c r="BKI101" s="576"/>
      <c r="BKJ101" s="576"/>
      <c r="BKK101" s="576"/>
      <c r="BKL101" s="576"/>
      <c r="BKM101" s="576"/>
      <c r="BKN101" s="576"/>
      <c r="BKO101" s="576"/>
      <c r="BKP101" s="576"/>
      <c r="BKQ101" s="576"/>
      <c r="BKR101" s="576"/>
      <c r="BKS101" s="576"/>
      <c r="BKT101" s="576"/>
      <c r="BKU101" s="576"/>
      <c r="BKV101" s="576"/>
      <c r="BKW101" s="576"/>
      <c r="BKX101" s="576"/>
      <c r="BKY101" s="576"/>
      <c r="BKZ101" s="576"/>
      <c r="BLA101" s="576"/>
      <c r="BLB101" s="576"/>
      <c r="BLC101" s="576"/>
      <c r="BLD101" s="576"/>
      <c r="BLE101" s="576"/>
      <c r="BLF101" s="576"/>
      <c r="BLG101" s="576"/>
      <c r="BLH101" s="576"/>
      <c r="BLI101" s="576"/>
      <c r="BLJ101" s="576"/>
      <c r="BLK101" s="576"/>
      <c r="BLL101" s="576"/>
      <c r="BLM101" s="576"/>
      <c r="BLN101" s="576"/>
      <c r="BLO101" s="576"/>
      <c r="BLP101" s="576"/>
      <c r="BLQ101" s="576"/>
      <c r="BLR101" s="576"/>
      <c r="BLS101" s="576"/>
      <c r="BLT101" s="576"/>
      <c r="BLU101" s="576"/>
      <c r="BLV101" s="576"/>
      <c r="BLW101" s="576"/>
      <c r="BLX101" s="576"/>
      <c r="BLY101" s="576"/>
      <c r="BLZ101" s="576"/>
      <c r="BMA101" s="576"/>
      <c r="BMB101" s="576"/>
      <c r="BMC101" s="576"/>
      <c r="BMD101" s="576"/>
      <c r="BME101" s="576"/>
      <c r="BMF101" s="576"/>
      <c r="BMG101" s="576"/>
      <c r="BMH101" s="576"/>
      <c r="BMI101" s="576"/>
      <c r="BMJ101" s="576"/>
      <c r="BMK101" s="576"/>
      <c r="BML101" s="576"/>
      <c r="BMM101" s="576"/>
      <c r="BMN101" s="576"/>
      <c r="BMO101" s="576"/>
      <c r="BMP101" s="576"/>
      <c r="BMQ101" s="576"/>
      <c r="BMR101" s="576"/>
      <c r="BMS101" s="576"/>
      <c r="BMT101" s="576"/>
      <c r="BMU101" s="576"/>
      <c r="BMV101" s="576"/>
      <c r="BMW101" s="576"/>
      <c r="BMX101" s="576"/>
      <c r="BMY101" s="576"/>
      <c r="BMZ101" s="576"/>
      <c r="BNA101" s="576"/>
      <c r="BNB101" s="576"/>
      <c r="BNC101" s="576"/>
      <c r="BND101" s="576"/>
      <c r="BNE101" s="576"/>
      <c r="BNF101" s="576"/>
      <c r="BNG101" s="576"/>
      <c r="BNH101" s="576"/>
      <c r="BNI101" s="576"/>
      <c r="BNJ101" s="576"/>
      <c r="BNK101" s="576"/>
      <c r="BNL101" s="576"/>
      <c r="BNM101" s="576"/>
      <c r="BNN101" s="576"/>
      <c r="BNO101" s="576"/>
      <c r="BNP101" s="576"/>
      <c r="BNQ101" s="576"/>
      <c r="BNR101" s="576"/>
      <c r="BNS101" s="576"/>
      <c r="BNT101" s="576"/>
      <c r="BNU101" s="576"/>
      <c r="BNV101" s="576"/>
      <c r="BNW101" s="576"/>
      <c r="BNX101" s="576"/>
      <c r="BNY101" s="576"/>
      <c r="BNZ101" s="576"/>
      <c r="BOA101" s="576"/>
      <c r="BOB101" s="576"/>
      <c r="BOC101" s="576"/>
      <c r="BOD101" s="576"/>
      <c r="BOE101" s="576"/>
      <c r="BOF101" s="576"/>
      <c r="BOG101" s="576"/>
      <c r="BOH101" s="576"/>
      <c r="BOI101" s="576"/>
      <c r="BOJ101" s="576"/>
      <c r="BOK101" s="576"/>
      <c r="BOL101" s="576"/>
      <c r="BOM101" s="576"/>
      <c r="BON101" s="576"/>
      <c r="BOO101" s="576"/>
      <c r="BOP101" s="576"/>
      <c r="BOQ101" s="576"/>
      <c r="BOR101" s="576"/>
      <c r="BOS101" s="576"/>
      <c r="BOT101" s="576"/>
      <c r="BOU101" s="576"/>
      <c r="BOV101" s="576"/>
      <c r="BOW101" s="576"/>
      <c r="BOX101" s="576"/>
      <c r="BOY101" s="576"/>
      <c r="BOZ101" s="576"/>
      <c r="BPA101" s="576"/>
      <c r="BPB101" s="576"/>
      <c r="BPC101" s="576"/>
      <c r="BPD101" s="576"/>
      <c r="BPE101" s="576"/>
      <c r="BPF101" s="576"/>
      <c r="BPG101" s="576"/>
      <c r="BPH101" s="576"/>
      <c r="BPI101" s="576"/>
      <c r="BPJ101" s="576"/>
      <c r="BPK101" s="576"/>
      <c r="BPL101" s="576"/>
      <c r="BPM101" s="576"/>
      <c r="BPN101" s="576"/>
      <c r="BPO101" s="576"/>
      <c r="BPP101" s="576"/>
      <c r="BPQ101" s="576"/>
      <c r="BPR101" s="576"/>
      <c r="BPS101" s="576"/>
      <c r="BPT101" s="576"/>
      <c r="BPU101" s="576"/>
      <c r="BPV101" s="576"/>
      <c r="BPW101" s="576"/>
      <c r="BPX101" s="576"/>
      <c r="BPY101" s="576"/>
      <c r="BPZ101" s="576"/>
      <c r="BQA101" s="576"/>
      <c r="BQB101" s="576"/>
      <c r="BQC101" s="576"/>
      <c r="BQD101" s="576"/>
      <c r="BQE101" s="576"/>
      <c r="BQF101" s="576"/>
      <c r="BQG101" s="576"/>
      <c r="BQH101" s="576"/>
      <c r="BQI101" s="576"/>
      <c r="BQJ101" s="576"/>
      <c r="BQK101" s="576"/>
      <c r="BQL101" s="576"/>
      <c r="BQM101" s="576"/>
      <c r="BQN101" s="576"/>
      <c r="BQO101" s="576"/>
      <c r="BQP101" s="576"/>
      <c r="BQQ101" s="576"/>
      <c r="BQR101" s="576"/>
      <c r="BQS101" s="576"/>
      <c r="BQT101" s="576"/>
      <c r="BQU101" s="576"/>
      <c r="BQV101" s="576"/>
      <c r="BQW101" s="576"/>
      <c r="BQX101" s="576"/>
      <c r="BQY101" s="576"/>
      <c r="BQZ101" s="576"/>
      <c r="BRA101" s="576"/>
      <c r="BRB101" s="576"/>
      <c r="BRC101" s="576"/>
      <c r="BRD101" s="576"/>
      <c r="BRE101" s="576"/>
      <c r="BRF101" s="576"/>
      <c r="BRG101" s="576"/>
      <c r="BRH101" s="576"/>
      <c r="BRI101" s="576"/>
      <c r="BRJ101" s="576"/>
      <c r="BRK101" s="576"/>
      <c r="BRL101" s="576"/>
      <c r="BRM101" s="576"/>
      <c r="BRN101" s="576"/>
      <c r="BRO101" s="576"/>
      <c r="BRP101" s="576"/>
      <c r="BRQ101" s="576"/>
      <c r="BRR101" s="576"/>
      <c r="BRS101" s="576"/>
      <c r="BRT101" s="576"/>
      <c r="BRU101" s="576"/>
      <c r="BRV101" s="576"/>
      <c r="BRW101" s="576"/>
      <c r="BRX101" s="576"/>
      <c r="BRY101" s="576"/>
      <c r="BRZ101" s="576"/>
      <c r="BSA101" s="576"/>
      <c r="BSB101" s="576"/>
      <c r="BSC101" s="576"/>
      <c r="BSD101" s="576"/>
      <c r="BSE101" s="576"/>
      <c r="BSF101" s="576"/>
      <c r="BSG101" s="576"/>
      <c r="BSH101" s="576"/>
      <c r="BSI101" s="576"/>
      <c r="BSJ101" s="576"/>
      <c r="BSK101" s="576"/>
      <c r="BSL101" s="576"/>
      <c r="BSM101" s="576"/>
      <c r="BSN101" s="576"/>
      <c r="BSO101" s="576"/>
      <c r="BSP101" s="576"/>
      <c r="BSQ101" s="576"/>
      <c r="BSR101" s="576"/>
      <c r="BSS101" s="576"/>
      <c r="BST101" s="576"/>
      <c r="BSU101" s="576"/>
      <c r="BSV101" s="576"/>
      <c r="BSW101" s="576"/>
      <c r="BSX101" s="576"/>
      <c r="BSY101" s="576"/>
      <c r="BSZ101" s="576"/>
      <c r="BTA101" s="576"/>
      <c r="BTB101" s="576"/>
      <c r="BTC101" s="576"/>
      <c r="BTD101" s="576"/>
      <c r="BTE101" s="576"/>
      <c r="BTF101" s="576"/>
      <c r="BTG101" s="576"/>
      <c r="BTH101" s="576"/>
      <c r="BTI101" s="576"/>
    </row>
    <row r="102" spans="1:1881" s="372" customFormat="1" ht="87.75" customHeight="1" x14ac:dyDescent="0.25">
      <c r="A102" s="398">
        <v>382</v>
      </c>
      <c r="B102" s="392" t="s">
        <v>83</v>
      </c>
      <c r="C102" s="395" t="s">
        <v>200</v>
      </c>
      <c r="D102" s="393" t="s">
        <v>154</v>
      </c>
      <c r="E102" s="683" t="e">
        <f>HLOOKUP('Unit Data from Audit Worksheet'!$D$2,'2019 Data(H)'!$D$1:$BB$202,99,FALSE)</f>
        <v>#N/A</v>
      </c>
      <c r="F102" s="686"/>
      <c r="G102" s="703">
        <f>IF(F100&gt;F102,"Error: Please review components of current assets above. Account numbers 657&gt;382",)</f>
        <v>0</v>
      </c>
      <c r="H102" s="389"/>
      <c r="I102" s="390"/>
      <c r="J102" s="387"/>
      <c r="K102" s="387"/>
      <c r="L102" s="387"/>
      <c r="M102" s="387"/>
      <c r="N102"/>
      <c r="O102" s="387"/>
      <c r="P102" s="387"/>
      <c r="Q102" s="387"/>
      <c r="R102"/>
      <c r="S102" s="682"/>
      <c r="T102" s="387"/>
      <c r="U102" s="387"/>
      <c r="V102" s="387"/>
      <c r="W102" s="387"/>
      <c r="X102" s="682"/>
      <c r="Y102" s="387"/>
      <c r="Z102" s="387"/>
      <c r="AA102" s="387"/>
      <c r="AB102" s="387"/>
      <c r="AC102" s="387"/>
      <c r="AD102" s="387"/>
      <c r="AE102" s="387"/>
      <c r="AF102" s="387"/>
      <c r="AG102" s="387"/>
      <c r="AH102" s="387"/>
      <c r="AI102" s="387"/>
      <c r="AJ102" s="387"/>
      <c r="AK102" s="387"/>
      <c r="AL102" s="387"/>
      <c r="AM102" s="387"/>
      <c r="AN102" s="387"/>
      <c r="AO102" s="387"/>
      <c r="AP102" s="387"/>
      <c r="AQ102" s="387"/>
      <c r="AR102" s="387"/>
      <c r="AS102" s="387"/>
      <c r="AT102" s="387"/>
      <c r="AU102" s="387"/>
      <c r="AV102" s="387"/>
      <c r="AW102" s="387"/>
      <c r="AX102" s="387"/>
      <c r="AY102" s="387"/>
      <c r="AZ102" s="387"/>
      <c r="BA102" s="387"/>
      <c r="BB102" s="387"/>
      <c r="BC102" s="387"/>
      <c r="BD102" s="387"/>
      <c r="BE102" s="387"/>
      <c r="BF102" s="387"/>
      <c r="BG102" s="387"/>
      <c r="BH102" s="387"/>
      <c r="BI102" s="387"/>
      <c r="BJ102" s="387"/>
      <c r="BK102" s="387"/>
      <c r="BL102" s="387"/>
      <c r="BM102" s="387"/>
      <c r="BN102" s="387"/>
      <c r="BO102" s="387"/>
      <c r="BP102" s="387"/>
      <c r="BQ102" s="387"/>
      <c r="BR102" s="387"/>
      <c r="BS102" s="387"/>
      <c r="BT102" s="387"/>
      <c r="BU102" s="387"/>
      <c r="BV102" s="387"/>
      <c r="BW102" s="387"/>
      <c r="BX102" s="387"/>
      <c r="BY102" s="387"/>
      <c r="BZ102" s="387"/>
      <c r="CA102" s="387"/>
      <c r="CB102" s="387"/>
      <c r="CC102" s="387"/>
      <c r="CD102" s="387"/>
      <c r="CE102" s="387"/>
      <c r="CF102" s="387"/>
      <c r="CG102" s="387"/>
      <c r="CH102" s="387"/>
      <c r="CI102" s="387"/>
      <c r="CJ102" s="387"/>
      <c r="CK102" s="387"/>
      <c r="CL102" s="387"/>
      <c r="CM102" s="387"/>
      <c r="CN102" s="387"/>
      <c r="CO102" s="387"/>
      <c r="CP102" s="387"/>
      <c r="CQ102" s="387"/>
      <c r="CR102" s="387"/>
      <c r="CS102" s="387"/>
      <c r="CT102" s="387"/>
      <c r="CU102" s="387"/>
      <c r="CV102" s="387"/>
      <c r="CW102" s="387"/>
      <c r="CX102" s="387"/>
      <c r="CY102" s="387"/>
      <c r="CZ102" s="387"/>
      <c r="DA102" s="387"/>
      <c r="DB102" s="387"/>
      <c r="DC102" s="387"/>
      <c r="DD102" s="387"/>
      <c r="DE102" s="387"/>
      <c r="DF102" s="387"/>
      <c r="DG102" s="387"/>
      <c r="DH102" s="387"/>
      <c r="DI102" s="387"/>
      <c r="DJ102" s="387"/>
      <c r="DK102" s="387"/>
      <c r="DL102" s="387"/>
      <c r="DM102" s="387"/>
      <c r="DN102" s="387"/>
      <c r="DO102" s="387"/>
      <c r="DP102" s="387"/>
      <c r="DQ102" s="387"/>
      <c r="DR102" s="387"/>
      <c r="DS102" s="387"/>
      <c r="DT102" s="387"/>
      <c r="DU102" s="387"/>
      <c r="DV102" s="387"/>
      <c r="DW102" s="387"/>
      <c r="DX102" s="387"/>
      <c r="DY102" s="387"/>
      <c r="DZ102" s="387"/>
      <c r="EA102" s="387"/>
      <c r="EB102" s="387"/>
      <c r="EC102" s="387"/>
      <c r="ED102" s="387"/>
      <c r="EE102" s="387"/>
      <c r="EF102" s="387"/>
      <c r="EG102" s="387"/>
      <c r="EH102" s="387"/>
      <c r="EI102" s="387"/>
      <c r="EJ102" s="387"/>
      <c r="EK102" s="387"/>
      <c r="EL102" s="387"/>
      <c r="EM102" s="387"/>
      <c r="EN102" s="387"/>
      <c r="EO102" s="387"/>
      <c r="EP102" s="387"/>
      <c r="EQ102" s="387"/>
      <c r="ER102" s="387"/>
      <c r="ES102" s="387"/>
      <c r="ET102" s="387"/>
      <c r="EU102" s="387"/>
      <c r="EV102" s="387"/>
      <c r="EW102" s="387"/>
      <c r="EX102" s="387"/>
      <c r="EY102" s="387"/>
      <c r="EZ102" s="387"/>
      <c r="FA102" s="387"/>
      <c r="FB102" s="387"/>
      <c r="FC102" s="387"/>
      <c r="FD102" s="387"/>
      <c r="FE102" s="387"/>
      <c r="FF102" s="387"/>
      <c r="FG102" s="387"/>
      <c r="FH102" s="387"/>
      <c r="FI102" s="387"/>
      <c r="FJ102" s="387"/>
      <c r="FK102" s="387"/>
      <c r="FL102" s="387"/>
      <c r="FM102" s="387"/>
      <c r="FN102" s="387"/>
      <c r="FO102" s="387"/>
      <c r="FP102" s="387"/>
      <c r="FQ102" s="387"/>
      <c r="FR102" s="387"/>
      <c r="FS102" s="387"/>
      <c r="FT102" s="387"/>
      <c r="FU102" s="387"/>
      <c r="FV102" s="387"/>
      <c r="FW102" s="387"/>
      <c r="FX102" s="387"/>
      <c r="FY102" s="387"/>
      <c r="FZ102" s="387"/>
      <c r="GA102" s="387"/>
      <c r="GB102" s="387"/>
      <c r="GC102" s="387"/>
      <c r="GD102" s="387"/>
      <c r="GE102" s="387"/>
      <c r="GF102" s="387"/>
      <c r="GG102" s="387"/>
      <c r="GH102" s="387"/>
      <c r="GI102" s="387"/>
      <c r="GJ102" s="387"/>
      <c r="GK102" s="387"/>
      <c r="GL102" s="387"/>
      <c r="GM102" s="387"/>
      <c r="GN102" s="387"/>
      <c r="GO102" s="387"/>
      <c r="GP102" s="387"/>
      <c r="GQ102" s="387"/>
      <c r="GR102" s="387"/>
      <c r="GS102" s="387"/>
      <c r="GT102" s="387"/>
      <c r="GU102" s="387"/>
      <c r="GV102" s="387"/>
      <c r="GW102" s="387"/>
      <c r="GX102" s="387"/>
      <c r="GY102" s="387"/>
      <c r="GZ102" s="387"/>
      <c r="HA102" s="387"/>
      <c r="HB102" s="387"/>
      <c r="HC102" s="387"/>
      <c r="HD102" s="387"/>
      <c r="HE102" s="387"/>
      <c r="HF102" s="387"/>
      <c r="HG102" s="387"/>
      <c r="HH102" s="387"/>
      <c r="HI102" s="387"/>
      <c r="HJ102" s="387"/>
      <c r="HK102" s="387"/>
      <c r="HL102" s="387"/>
      <c r="HM102" s="387"/>
      <c r="HN102" s="387"/>
      <c r="HO102" s="387"/>
      <c r="HP102" s="387"/>
      <c r="HQ102" s="387"/>
      <c r="HR102" s="387"/>
      <c r="HS102" s="387"/>
      <c r="HT102" s="387"/>
      <c r="HU102" s="387"/>
      <c r="HV102" s="387"/>
      <c r="HW102" s="387"/>
      <c r="HX102" s="387"/>
      <c r="HY102" s="387"/>
      <c r="HZ102" s="387"/>
      <c r="IA102" s="387"/>
      <c r="IB102" s="387"/>
      <c r="IC102" s="387"/>
      <c r="ID102" s="387"/>
      <c r="IE102" s="387"/>
      <c r="IF102" s="387"/>
      <c r="IG102" s="387"/>
      <c r="IH102" s="387"/>
      <c r="II102" s="387"/>
      <c r="IJ102" s="387"/>
      <c r="IK102" s="387"/>
      <c r="IL102" s="387"/>
      <c r="IM102" s="387"/>
      <c r="IN102" s="387"/>
      <c r="IO102" s="387"/>
      <c r="IP102" s="387"/>
      <c r="IQ102" s="387"/>
      <c r="IR102" s="387"/>
      <c r="IS102" s="387"/>
      <c r="IT102" s="387"/>
      <c r="IU102" s="387"/>
      <c r="IV102" s="387"/>
      <c r="IW102" s="387"/>
      <c r="IX102" s="387"/>
      <c r="IY102" s="387"/>
      <c r="IZ102" s="387"/>
      <c r="JA102" s="387"/>
      <c r="JB102" s="387"/>
      <c r="JC102" s="387"/>
      <c r="JD102" s="387"/>
      <c r="JE102" s="387"/>
      <c r="JF102" s="387"/>
      <c r="JG102" s="387"/>
      <c r="JH102" s="387"/>
      <c r="JI102" s="387"/>
      <c r="JJ102" s="387"/>
      <c r="JK102" s="387"/>
      <c r="JL102" s="387"/>
      <c r="JM102" s="387"/>
      <c r="JN102" s="387"/>
      <c r="JO102" s="387"/>
      <c r="JP102" s="387"/>
      <c r="JQ102" s="387"/>
      <c r="JR102" s="387"/>
      <c r="JS102" s="387"/>
      <c r="JT102" s="387"/>
      <c r="JU102" s="387"/>
      <c r="JV102" s="387"/>
      <c r="JW102" s="387"/>
      <c r="JX102" s="387"/>
      <c r="JY102" s="387"/>
      <c r="JZ102" s="387"/>
      <c r="KA102" s="387"/>
      <c r="KB102" s="387"/>
      <c r="KC102" s="387"/>
      <c r="KD102" s="387"/>
      <c r="KE102" s="387"/>
      <c r="KF102" s="387"/>
      <c r="KG102" s="387"/>
      <c r="KH102" s="387"/>
      <c r="KI102" s="387"/>
      <c r="KJ102" s="387"/>
      <c r="KK102" s="387"/>
      <c r="KL102" s="387"/>
      <c r="KM102" s="387"/>
      <c r="KN102" s="387"/>
      <c r="KO102" s="387"/>
      <c r="KP102" s="387"/>
      <c r="KQ102" s="387"/>
      <c r="KR102" s="387"/>
      <c r="KS102" s="387"/>
      <c r="KT102" s="387"/>
      <c r="KU102" s="387"/>
      <c r="KV102" s="387"/>
      <c r="KW102" s="387"/>
      <c r="KX102" s="387"/>
      <c r="KY102" s="387"/>
      <c r="KZ102" s="387"/>
      <c r="LA102" s="387"/>
      <c r="LB102" s="387"/>
      <c r="LC102" s="387"/>
      <c r="LD102" s="387"/>
      <c r="LE102" s="387"/>
      <c r="LF102" s="387"/>
      <c r="LG102" s="387"/>
      <c r="LH102" s="387"/>
      <c r="LI102" s="387"/>
      <c r="LJ102" s="387"/>
      <c r="LK102" s="387"/>
      <c r="LL102" s="387"/>
      <c r="LM102" s="387"/>
      <c r="LN102" s="387"/>
      <c r="LO102" s="387"/>
      <c r="LP102" s="387"/>
      <c r="LQ102" s="387"/>
      <c r="LR102" s="387"/>
      <c r="LS102" s="387"/>
      <c r="LT102" s="387"/>
      <c r="LU102" s="387"/>
      <c r="LV102" s="387"/>
      <c r="LW102" s="387"/>
      <c r="LX102" s="387"/>
      <c r="LY102" s="387"/>
      <c r="LZ102" s="387"/>
      <c r="MA102" s="387"/>
      <c r="MB102" s="387"/>
      <c r="MC102" s="387"/>
      <c r="MD102" s="387"/>
      <c r="ME102" s="387"/>
      <c r="MF102" s="387"/>
      <c r="MG102" s="387"/>
      <c r="MH102" s="387"/>
      <c r="MI102" s="387"/>
      <c r="MJ102" s="387"/>
      <c r="MK102" s="387"/>
      <c r="ML102" s="387"/>
      <c r="MM102" s="387"/>
      <c r="MN102" s="387"/>
      <c r="MO102" s="387"/>
      <c r="MP102" s="387"/>
      <c r="MQ102" s="387"/>
      <c r="MR102" s="387"/>
      <c r="MS102" s="387"/>
      <c r="MT102" s="387"/>
      <c r="MU102" s="387"/>
      <c r="MV102" s="387"/>
      <c r="MW102" s="387"/>
      <c r="MX102" s="387"/>
      <c r="MY102" s="387"/>
      <c r="MZ102" s="387"/>
      <c r="NA102" s="387"/>
      <c r="NB102" s="387"/>
      <c r="NC102" s="387"/>
      <c r="ND102" s="387"/>
      <c r="NE102" s="387"/>
      <c r="NF102" s="387"/>
      <c r="NG102" s="387"/>
      <c r="NH102" s="387"/>
      <c r="NI102" s="387"/>
      <c r="NJ102" s="387"/>
      <c r="NK102" s="387"/>
      <c r="NL102" s="387"/>
      <c r="NM102" s="387"/>
      <c r="NN102" s="387"/>
      <c r="NO102" s="387"/>
      <c r="NP102" s="387"/>
      <c r="NQ102" s="387"/>
      <c r="NR102" s="387"/>
      <c r="NS102" s="387"/>
      <c r="NT102" s="387"/>
      <c r="NU102" s="387"/>
      <c r="NV102" s="387"/>
      <c r="NW102" s="387"/>
      <c r="NX102" s="387"/>
      <c r="NY102" s="387"/>
      <c r="NZ102" s="387"/>
      <c r="OA102" s="387"/>
      <c r="OB102" s="387"/>
      <c r="OC102" s="387"/>
      <c r="OD102" s="387"/>
      <c r="OE102" s="387"/>
      <c r="OF102" s="387"/>
      <c r="OG102" s="387"/>
      <c r="OH102" s="387"/>
      <c r="OI102" s="387"/>
      <c r="OJ102" s="387"/>
      <c r="OK102" s="387"/>
      <c r="OL102" s="387"/>
      <c r="OM102" s="387"/>
      <c r="ON102" s="387"/>
      <c r="OO102" s="387"/>
      <c r="OP102" s="387"/>
      <c r="OQ102" s="387"/>
      <c r="OR102" s="387"/>
      <c r="OS102" s="387"/>
      <c r="OT102" s="387"/>
      <c r="OU102" s="387"/>
      <c r="OV102" s="387"/>
      <c r="OW102" s="387"/>
      <c r="OX102" s="387"/>
      <c r="OY102" s="387"/>
      <c r="OZ102" s="387"/>
      <c r="PA102" s="387"/>
      <c r="PB102" s="387"/>
      <c r="PC102" s="387"/>
      <c r="PD102" s="387"/>
      <c r="PE102" s="387"/>
      <c r="PF102" s="387"/>
      <c r="PG102" s="387"/>
      <c r="PH102" s="387"/>
      <c r="PI102" s="387"/>
      <c r="PJ102" s="387"/>
      <c r="PK102" s="387"/>
      <c r="PL102" s="387"/>
      <c r="PM102" s="387"/>
      <c r="PN102" s="387"/>
      <c r="PO102" s="387"/>
      <c r="PP102" s="387"/>
      <c r="PQ102" s="387"/>
      <c r="PR102" s="387"/>
      <c r="PS102" s="387"/>
      <c r="PT102" s="387"/>
      <c r="PU102" s="387"/>
      <c r="PV102" s="387"/>
      <c r="PW102" s="387"/>
      <c r="PX102" s="387"/>
      <c r="PY102" s="387"/>
      <c r="PZ102" s="387"/>
      <c r="QA102" s="387"/>
      <c r="QB102" s="387"/>
      <c r="QC102" s="387"/>
      <c r="QD102" s="387"/>
      <c r="QE102" s="387"/>
      <c r="QF102" s="387"/>
      <c r="QG102" s="387"/>
      <c r="QH102" s="387"/>
      <c r="QI102" s="387"/>
      <c r="QJ102" s="387"/>
      <c r="QK102" s="387"/>
      <c r="QL102" s="387"/>
      <c r="QM102" s="387"/>
      <c r="QN102" s="387"/>
      <c r="QO102" s="387"/>
      <c r="QP102" s="387"/>
      <c r="QQ102" s="387"/>
      <c r="QR102" s="387"/>
      <c r="QS102" s="387"/>
      <c r="QT102" s="387"/>
      <c r="QU102" s="387"/>
      <c r="QV102" s="387"/>
      <c r="QW102" s="387"/>
      <c r="QX102" s="387"/>
      <c r="QY102" s="387"/>
      <c r="QZ102" s="387"/>
      <c r="RA102" s="387"/>
      <c r="RB102" s="387"/>
      <c r="RC102" s="387"/>
      <c r="RD102" s="387"/>
      <c r="RE102" s="387"/>
      <c r="RF102" s="387"/>
      <c r="RG102" s="387"/>
      <c r="RH102" s="387"/>
      <c r="RI102" s="387"/>
      <c r="RJ102" s="387"/>
      <c r="RK102" s="387"/>
      <c r="RL102" s="387"/>
      <c r="RM102" s="387"/>
      <c r="RN102" s="387"/>
      <c r="RO102" s="387"/>
      <c r="RP102" s="387"/>
      <c r="RQ102" s="387"/>
      <c r="RR102" s="387"/>
      <c r="RS102" s="387"/>
      <c r="RT102" s="387"/>
      <c r="RU102" s="387"/>
      <c r="RV102" s="387"/>
      <c r="RW102" s="387"/>
      <c r="RX102" s="387"/>
      <c r="RY102" s="387"/>
      <c r="RZ102" s="387"/>
      <c r="SA102" s="387"/>
      <c r="SB102" s="387"/>
      <c r="SC102" s="387"/>
      <c r="SD102" s="387"/>
      <c r="SE102" s="387"/>
      <c r="SF102" s="387"/>
      <c r="SG102" s="387"/>
      <c r="SH102" s="387"/>
      <c r="SI102" s="387"/>
      <c r="SJ102" s="387"/>
      <c r="SK102" s="387"/>
      <c r="SL102" s="387"/>
      <c r="SM102" s="387"/>
      <c r="SN102" s="387"/>
      <c r="SO102" s="387"/>
      <c r="SP102" s="387"/>
      <c r="SQ102" s="387"/>
      <c r="SR102" s="387"/>
      <c r="SS102" s="387"/>
      <c r="ST102" s="387"/>
      <c r="SU102" s="387"/>
      <c r="SV102" s="387"/>
      <c r="SW102" s="387"/>
      <c r="SX102" s="387"/>
      <c r="SY102" s="387"/>
      <c r="SZ102" s="387"/>
      <c r="TA102" s="387"/>
      <c r="TB102" s="387"/>
      <c r="TC102" s="387"/>
      <c r="TD102" s="387"/>
      <c r="TE102" s="387"/>
      <c r="TF102" s="387"/>
      <c r="TG102" s="387"/>
      <c r="TH102" s="387"/>
      <c r="TI102" s="387"/>
      <c r="TJ102" s="387"/>
      <c r="TK102" s="387"/>
      <c r="TL102" s="387"/>
      <c r="TM102" s="387"/>
      <c r="TN102" s="387"/>
      <c r="TO102" s="387"/>
      <c r="TP102" s="387"/>
      <c r="TQ102" s="387"/>
      <c r="TR102" s="387"/>
      <c r="TS102" s="387"/>
      <c r="TT102" s="387"/>
      <c r="TU102" s="387"/>
      <c r="TV102" s="387"/>
      <c r="TW102" s="387"/>
      <c r="TX102" s="387"/>
      <c r="TY102" s="387"/>
      <c r="TZ102" s="387"/>
      <c r="UA102" s="387"/>
      <c r="UB102" s="387"/>
      <c r="UC102" s="387"/>
      <c r="UD102" s="387"/>
      <c r="UE102" s="387"/>
      <c r="UF102" s="387"/>
      <c r="UG102" s="387"/>
      <c r="UH102" s="387"/>
      <c r="UI102" s="387"/>
      <c r="UJ102" s="387"/>
      <c r="UK102" s="387"/>
      <c r="UL102" s="387"/>
      <c r="UM102" s="387"/>
      <c r="UN102" s="387"/>
      <c r="UO102" s="387"/>
      <c r="UP102" s="387"/>
      <c r="UQ102" s="387"/>
      <c r="UR102" s="387"/>
      <c r="US102" s="387"/>
      <c r="UT102" s="387"/>
      <c r="UU102" s="387"/>
      <c r="UV102" s="387"/>
      <c r="UW102" s="387"/>
      <c r="UX102" s="387"/>
      <c r="UY102" s="387"/>
      <c r="UZ102" s="387"/>
      <c r="VA102" s="387"/>
      <c r="VB102" s="387"/>
      <c r="VC102" s="387"/>
      <c r="VD102" s="387"/>
      <c r="VE102" s="387"/>
      <c r="VF102" s="387"/>
      <c r="VG102" s="387"/>
      <c r="VH102" s="387"/>
      <c r="VI102" s="387"/>
      <c r="VJ102" s="387"/>
      <c r="VK102" s="387"/>
      <c r="VL102" s="387"/>
      <c r="VM102" s="387"/>
      <c r="VN102" s="387"/>
      <c r="VO102" s="387"/>
      <c r="VP102" s="387"/>
      <c r="VQ102" s="387"/>
      <c r="VR102" s="387"/>
      <c r="VS102" s="387"/>
      <c r="VT102" s="387"/>
      <c r="VU102" s="387"/>
      <c r="VV102" s="387"/>
      <c r="VW102" s="387"/>
      <c r="VX102" s="387"/>
      <c r="VY102" s="387"/>
      <c r="VZ102" s="387"/>
      <c r="WA102" s="387"/>
      <c r="WB102" s="387"/>
      <c r="WC102" s="387"/>
      <c r="WD102" s="387"/>
      <c r="WE102" s="387"/>
      <c r="WF102" s="387"/>
      <c r="WG102" s="387"/>
      <c r="WH102" s="387"/>
      <c r="WI102" s="387"/>
      <c r="WJ102" s="387"/>
      <c r="WK102" s="387"/>
      <c r="WL102" s="387"/>
      <c r="WM102" s="387"/>
      <c r="WN102" s="387"/>
      <c r="WO102" s="387"/>
      <c r="WP102" s="387"/>
      <c r="WQ102" s="387"/>
      <c r="WR102" s="387"/>
      <c r="WS102" s="387"/>
      <c r="WT102" s="387"/>
      <c r="WU102" s="387"/>
      <c r="WV102" s="387"/>
      <c r="WW102" s="387"/>
      <c r="WX102" s="387"/>
      <c r="WY102" s="387"/>
      <c r="WZ102" s="387"/>
      <c r="XA102" s="387"/>
      <c r="XB102" s="387"/>
      <c r="XC102" s="387"/>
      <c r="XD102" s="387"/>
      <c r="XE102" s="387"/>
      <c r="XF102" s="387"/>
      <c r="XG102" s="387"/>
      <c r="XH102" s="387"/>
      <c r="XI102" s="387"/>
      <c r="XJ102" s="387"/>
      <c r="XK102" s="387"/>
      <c r="XL102" s="387"/>
      <c r="XM102" s="387"/>
      <c r="XN102" s="387"/>
      <c r="XO102" s="387"/>
      <c r="XP102" s="387"/>
      <c r="XQ102" s="387"/>
      <c r="XR102" s="387"/>
      <c r="XS102" s="387"/>
      <c r="XT102" s="387"/>
      <c r="XU102" s="387"/>
      <c r="XV102" s="387"/>
      <c r="XW102" s="387"/>
      <c r="XX102" s="387"/>
      <c r="XY102" s="387"/>
      <c r="XZ102" s="387"/>
      <c r="YA102" s="387"/>
      <c r="YB102" s="387"/>
      <c r="YC102" s="387"/>
      <c r="YD102" s="387"/>
      <c r="YE102" s="387"/>
      <c r="YF102" s="387"/>
      <c r="YG102" s="387"/>
      <c r="YH102" s="387"/>
      <c r="YI102" s="387"/>
      <c r="YJ102" s="387"/>
      <c r="YK102" s="387"/>
      <c r="YL102" s="387"/>
      <c r="YM102" s="387"/>
      <c r="YN102" s="387"/>
      <c r="YO102" s="387"/>
      <c r="YP102" s="387"/>
      <c r="YQ102" s="387"/>
      <c r="YR102" s="387"/>
      <c r="YS102" s="387"/>
      <c r="YT102" s="387"/>
      <c r="YU102" s="387"/>
      <c r="YV102" s="387"/>
      <c r="YW102" s="387"/>
      <c r="YX102" s="387"/>
      <c r="YY102" s="387"/>
      <c r="YZ102" s="387"/>
      <c r="ZA102" s="387"/>
      <c r="ZB102" s="387"/>
      <c r="ZC102" s="387"/>
      <c r="ZD102" s="387"/>
      <c r="ZE102" s="387"/>
      <c r="ZF102" s="387"/>
      <c r="ZG102" s="387"/>
      <c r="ZH102" s="387"/>
      <c r="ZI102" s="387"/>
      <c r="ZJ102" s="387"/>
      <c r="ZK102" s="387"/>
      <c r="ZL102" s="387"/>
      <c r="ZM102" s="387"/>
      <c r="ZN102" s="387"/>
      <c r="ZO102" s="387"/>
      <c r="ZP102" s="387"/>
      <c r="ZQ102" s="387"/>
      <c r="ZR102" s="387"/>
      <c r="ZS102" s="387"/>
      <c r="ZT102" s="387"/>
      <c r="ZU102" s="387"/>
      <c r="ZV102" s="387"/>
      <c r="ZW102" s="387"/>
      <c r="ZX102" s="387"/>
      <c r="ZY102" s="387"/>
      <c r="ZZ102" s="387"/>
      <c r="AAA102" s="387"/>
      <c r="AAB102" s="387"/>
      <c r="AAC102" s="387"/>
      <c r="AAD102" s="387"/>
      <c r="AAE102" s="387"/>
      <c r="AAF102" s="387"/>
      <c r="AAG102" s="387"/>
      <c r="AAH102" s="387"/>
      <c r="AAI102" s="387"/>
      <c r="AAJ102" s="387"/>
      <c r="AAK102" s="387"/>
      <c r="AAL102" s="387"/>
      <c r="AAM102" s="387"/>
      <c r="AAN102" s="387"/>
      <c r="AAO102" s="387"/>
      <c r="AAP102" s="387"/>
      <c r="AAQ102" s="387"/>
      <c r="AAR102" s="387"/>
      <c r="AAS102" s="387"/>
      <c r="AAT102" s="387"/>
      <c r="AAU102" s="387"/>
      <c r="AAV102" s="387"/>
      <c r="AAW102" s="387"/>
      <c r="AAX102" s="387"/>
      <c r="AAY102" s="387"/>
      <c r="AAZ102" s="387"/>
      <c r="ABA102" s="387"/>
      <c r="ABB102" s="387"/>
      <c r="ABC102" s="387"/>
      <c r="ABD102" s="387"/>
      <c r="ABE102" s="387"/>
      <c r="ABF102" s="387"/>
      <c r="ABG102" s="387"/>
      <c r="ABH102" s="387"/>
      <c r="ABI102" s="387"/>
      <c r="ABJ102" s="387"/>
      <c r="ABK102" s="387"/>
      <c r="ABL102" s="387"/>
      <c r="ABM102" s="387"/>
      <c r="ABN102" s="387"/>
      <c r="ABO102" s="387"/>
      <c r="ABP102" s="387"/>
      <c r="ABQ102" s="387"/>
      <c r="ABR102" s="387"/>
      <c r="ABS102" s="387"/>
      <c r="ABT102" s="387"/>
      <c r="ABU102" s="387"/>
      <c r="ABV102" s="387"/>
      <c r="ABW102" s="387"/>
      <c r="ABX102" s="387"/>
      <c r="ABY102" s="387"/>
      <c r="ABZ102" s="387"/>
      <c r="ACA102" s="387"/>
      <c r="ACB102" s="387"/>
      <c r="ACC102" s="387"/>
      <c r="ACD102" s="387"/>
      <c r="ACE102" s="387"/>
      <c r="ACF102" s="387"/>
      <c r="ACG102" s="387"/>
      <c r="ACH102" s="387"/>
      <c r="ACI102" s="387"/>
      <c r="ACJ102" s="387"/>
      <c r="ACK102" s="387"/>
      <c r="ACL102" s="387"/>
      <c r="ACM102" s="387"/>
      <c r="ACN102" s="387"/>
      <c r="ACO102" s="387"/>
      <c r="ACP102" s="387"/>
      <c r="ACQ102" s="387"/>
      <c r="ACR102" s="387"/>
      <c r="ACS102" s="387"/>
      <c r="ACT102" s="387"/>
      <c r="ACU102" s="387"/>
      <c r="ACV102" s="387"/>
      <c r="ACW102" s="387"/>
      <c r="ACX102" s="387"/>
      <c r="ACY102" s="387"/>
      <c r="ACZ102" s="387"/>
      <c r="ADA102" s="387"/>
      <c r="ADB102" s="387"/>
      <c r="ADC102" s="387"/>
      <c r="ADD102" s="387"/>
      <c r="ADE102" s="387"/>
      <c r="ADF102" s="387"/>
      <c r="ADG102" s="387"/>
      <c r="ADH102" s="387"/>
      <c r="ADI102" s="387"/>
      <c r="ADJ102" s="387"/>
      <c r="ADK102" s="387"/>
      <c r="ADL102" s="387"/>
      <c r="ADM102" s="387"/>
      <c r="ADN102" s="387"/>
      <c r="ADO102" s="387"/>
      <c r="ADP102" s="387"/>
      <c r="ADQ102" s="387"/>
      <c r="ADR102" s="387"/>
      <c r="ADS102" s="387"/>
      <c r="ADT102" s="387"/>
      <c r="ADU102" s="387"/>
      <c r="ADV102" s="387"/>
      <c r="ADW102" s="387"/>
      <c r="ADX102" s="387"/>
      <c r="ADY102" s="387"/>
      <c r="ADZ102" s="387"/>
      <c r="AEA102" s="387"/>
      <c r="AEB102" s="387"/>
      <c r="AEC102" s="387"/>
      <c r="AED102" s="387"/>
      <c r="AEE102" s="387"/>
      <c r="AEF102" s="387"/>
      <c r="AEG102" s="387"/>
      <c r="AEH102" s="387"/>
      <c r="AEI102" s="387"/>
      <c r="AEJ102" s="387"/>
      <c r="AEK102" s="387"/>
      <c r="AEL102" s="387"/>
      <c r="AEM102" s="387"/>
      <c r="AEN102" s="387"/>
      <c r="AEO102" s="387"/>
      <c r="AEP102" s="387"/>
      <c r="AEQ102" s="387"/>
      <c r="AER102" s="387"/>
      <c r="AES102" s="387"/>
      <c r="AET102" s="387"/>
      <c r="AEU102" s="387"/>
      <c r="AEV102" s="387"/>
      <c r="AEW102" s="387"/>
      <c r="AEX102" s="387"/>
      <c r="AEY102" s="387"/>
      <c r="AEZ102" s="387"/>
      <c r="AFA102" s="387"/>
      <c r="AFB102" s="387"/>
      <c r="AFC102" s="387"/>
      <c r="AFD102" s="387"/>
      <c r="AFE102" s="387"/>
      <c r="AFF102" s="387"/>
      <c r="AFG102" s="387"/>
      <c r="AFH102" s="387"/>
      <c r="AFI102" s="387"/>
      <c r="AFJ102" s="387"/>
      <c r="AFK102" s="387"/>
      <c r="AFL102" s="387"/>
      <c r="AFM102" s="387"/>
      <c r="AFN102" s="387"/>
      <c r="AFO102" s="387"/>
      <c r="AFP102" s="387"/>
      <c r="AFQ102" s="387"/>
      <c r="AFR102" s="387"/>
      <c r="AFS102" s="387"/>
      <c r="AFT102" s="387"/>
      <c r="AFU102" s="387"/>
      <c r="AFV102" s="387"/>
      <c r="AFW102" s="387"/>
      <c r="AFX102" s="387"/>
      <c r="AFY102" s="387"/>
      <c r="AFZ102" s="387"/>
      <c r="AGA102" s="387"/>
      <c r="AGB102" s="387"/>
      <c r="AGC102" s="387"/>
      <c r="AGD102" s="387"/>
      <c r="AGE102" s="387"/>
      <c r="AGF102" s="387"/>
      <c r="AGG102" s="387"/>
      <c r="AGH102" s="387"/>
      <c r="AGI102" s="387"/>
      <c r="AGJ102" s="387"/>
      <c r="AGK102" s="387"/>
      <c r="AGL102" s="387"/>
      <c r="AGM102" s="387"/>
      <c r="AGN102" s="387"/>
      <c r="AGO102" s="387"/>
      <c r="AGP102" s="387"/>
      <c r="AGQ102" s="387"/>
      <c r="AGR102" s="387"/>
      <c r="AGS102" s="387"/>
      <c r="AGT102" s="387"/>
      <c r="AGU102" s="387"/>
      <c r="AGV102" s="387"/>
      <c r="AGW102" s="387"/>
      <c r="AGX102" s="387"/>
      <c r="AGY102" s="387"/>
      <c r="AGZ102" s="387"/>
      <c r="AHA102" s="387"/>
      <c r="AHB102" s="387"/>
      <c r="AHC102" s="387"/>
      <c r="AHD102" s="387"/>
      <c r="AHE102" s="387"/>
      <c r="AHF102" s="387"/>
      <c r="AHG102" s="387"/>
      <c r="AHH102" s="387"/>
      <c r="AHI102" s="387"/>
      <c r="AHJ102" s="387"/>
      <c r="AHK102" s="387"/>
      <c r="AHL102" s="387"/>
      <c r="AHM102" s="387"/>
      <c r="AHN102" s="387"/>
      <c r="AHO102" s="387"/>
      <c r="AHP102" s="387"/>
      <c r="AHQ102" s="387"/>
      <c r="AHR102" s="387"/>
      <c r="AHS102" s="387"/>
      <c r="AHT102" s="387"/>
      <c r="AHU102" s="387"/>
      <c r="AHV102" s="387"/>
      <c r="AHW102" s="387"/>
      <c r="AHX102" s="387"/>
      <c r="AHY102" s="387"/>
      <c r="AHZ102" s="387"/>
      <c r="AIA102" s="387"/>
      <c r="AIB102" s="387"/>
      <c r="AIC102" s="387"/>
      <c r="AID102" s="387"/>
      <c r="AIE102" s="387"/>
      <c r="AIF102" s="387"/>
      <c r="AIG102" s="387"/>
      <c r="AIH102" s="387"/>
      <c r="AII102" s="387"/>
      <c r="AIJ102" s="387"/>
      <c r="AIK102" s="387"/>
      <c r="AIL102" s="387"/>
      <c r="AIM102" s="387"/>
      <c r="AIN102" s="387"/>
      <c r="AIO102" s="387"/>
      <c r="AIP102" s="387"/>
      <c r="AIQ102" s="387"/>
      <c r="AIR102" s="387"/>
      <c r="AIS102" s="387"/>
      <c r="AIT102" s="387"/>
      <c r="AIU102" s="387"/>
      <c r="AIV102" s="387"/>
      <c r="AIW102" s="387"/>
      <c r="AIX102" s="387"/>
      <c r="AIY102" s="387"/>
      <c r="AIZ102" s="387"/>
      <c r="AJA102" s="387"/>
      <c r="AJB102" s="387"/>
      <c r="AJC102" s="387"/>
      <c r="AJD102" s="387"/>
      <c r="AJE102" s="387"/>
      <c r="AJF102" s="387"/>
      <c r="AJG102" s="387"/>
      <c r="AJH102" s="387"/>
      <c r="AJI102" s="387"/>
      <c r="AJJ102" s="387"/>
      <c r="AJK102" s="387"/>
      <c r="AJL102" s="387"/>
      <c r="AJM102" s="387"/>
      <c r="AJN102" s="387"/>
      <c r="AJO102" s="387"/>
      <c r="AJP102" s="387"/>
      <c r="AJQ102" s="387"/>
      <c r="AJR102" s="387"/>
      <c r="AJS102" s="387"/>
      <c r="AJT102" s="387"/>
      <c r="AJU102" s="387"/>
      <c r="AJV102" s="387"/>
      <c r="AJW102" s="387"/>
      <c r="AJX102" s="387"/>
      <c r="AJY102" s="387"/>
      <c r="AJZ102" s="387"/>
      <c r="AKA102" s="387"/>
      <c r="AKB102" s="387"/>
      <c r="AKC102" s="387"/>
      <c r="AKD102" s="387"/>
      <c r="AKE102" s="387"/>
      <c r="AKF102" s="387"/>
      <c r="AKG102" s="387"/>
      <c r="AKH102" s="387"/>
      <c r="AKI102" s="387"/>
      <c r="AKJ102" s="387"/>
      <c r="AKK102" s="387"/>
      <c r="AKL102" s="387"/>
      <c r="AKM102" s="387"/>
      <c r="AKN102" s="387"/>
      <c r="AKO102" s="387"/>
      <c r="AKP102" s="387"/>
      <c r="AKQ102" s="387"/>
      <c r="AKR102" s="387"/>
      <c r="AKS102" s="387"/>
      <c r="AKT102" s="387"/>
      <c r="AKU102" s="387"/>
      <c r="AKV102" s="387"/>
      <c r="AKW102" s="387"/>
      <c r="AKX102" s="387"/>
      <c r="AKY102" s="387"/>
      <c r="AKZ102" s="387"/>
      <c r="ALA102" s="387"/>
      <c r="ALB102" s="387"/>
      <c r="ALC102" s="387"/>
      <c r="ALD102" s="387"/>
      <c r="ALE102" s="387"/>
      <c r="ALF102" s="387"/>
      <c r="ALG102" s="387"/>
      <c r="ALH102" s="387"/>
      <c r="ALI102" s="387"/>
      <c r="ALJ102" s="387"/>
      <c r="ALK102" s="387"/>
      <c r="ALL102" s="387"/>
      <c r="ALM102" s="387"/>
      <c r="ALN102" s="387"/>
      <c r="ALO102" s="387"/>
      <c r="ALP102" s="387"/>
      <c r="ALQ102" s="387"/>
      <c r="ALR102" s="387"/>
      <c r="ALS102" s="387"/>
      <c r="ALT102" s="387"/>
      <c r="ALU102" s="387"/>
      <c r="ALV102" s="387"/>
      <c r="ALW102" s="387"/>
      <c r="ALX102" s="387"/>
      <c r="ALY102" s="387"/>
      <c r="ALZ102" s="387"/>
      <c r="AMA102" s="387"/>
      <c r="AMB102" s="387"/>
      <c r="AMC102" s="387"/>
      <c r="AMD102" s="387"/>
      <c r="AME102" s="387"/>
      <c r="AMF102" s="387"/>
      <c r="AMG102" s="387"/>
      <c r="AMH102" s="387"/>
      <c r="AMI102" s="387"/>
      <c r="AMJ102" s="387"/>
      <c r="AMK102" s="387"/>
      <c r="AML102" s="387"/>
      <c r="AMM102" s="387"/>
      <c r="AMN102" s="387"/>
      <c r="AMO102" s="387"/>
      <c r="AMP102" s="387"/>
      <c r="AMQ102" s="387"/>
      <c r="AMR102" s="387"/>
      <c r="AMS102" s="387"/>
      <c r="AMT102" s="387"/>
      <c r="AMU102" s="387"/>
      <c r="AMV102" s="387"/>
      <c r="AMW102" s="387"/>
      <c r="AMX102" s="387"/>
      <c r="AMY102" s="387"/>
      <c r="AMZ102" s="387"/>
      <c r="ANA102" s="387"/>
      <c r="ANB102" s="387"/>
      <c r="ANC102" s="387"/>
      <c r="AND102" s="387"/>
      <c r="ANE102" s="387"/>
      <c r="ANF102" s="387"/>
      <c r="ANG102" s="387"/>
      <c r="ANH102" s="387"/>
      <c r="ANI102" s="387"/>
      <c r="ANJ102" s="387"/>
      <c r="ANK102" s="387"/>
      <c r="ANL102" s="387"/>
      <c r="ANM102" s="387"/>
      <c r="ANN102" s="387"/>
      <c r="ANO102" s="387"/>
      <c r="ANP102" s="387"/>
      <c r="ANQ102" s="387"/>
      <c r="ANR102" s="387"/>
      <c r="ANS102" s="387"/>
      <c r="ANT102" s="387"/>
      <c r="ANU102" s="387"/>
      <c r="ANV102" s="387"/>
      <c r="ANW102" s="387"/>
      <c r="ANX102" s="387"/>
      <c r="ANY102" s="387"/>
      <c r="ANZ102" s="387"/>
      <c r="AOA102" s="387"/>
      <c r="AOB102" s="387"/>
      <c r="AOC102" s="387"/>
      <c r="AOD102" s="387"/>
      <c r="AOE102" s="387"/>
      <c r="AOF102" s="387"/>
      <c r="AOG102" s="387"/>
      <c r="AOH102" s="387"/>
      <c r="AOI102" s="387"/>
      <c r="AOJ102" s="387"/>
      <c r="AOK102" s="387"/>
      <c r="AOL102" s="387"/>
      <c r="AOM102" s="387"/>
      <c r="AON102" s="387"/>
      <c r="AOO102" s="387"/>
      <c r="AOP102" s="387"/>
      <c r="AOQ102" s="387"/>
      <c r="AOR102" s="387"/>
      <c r="AOS102" s="387"/>
      <c r="AOT102" s="387"/>
      <c r="AOU102" s="387"/>
      <c r="AOV102" s="387"/>
      <c r="AOW102" s="387"/>
      <c r="AOX102" s="387"/>
      <c r="AOY102" s="387"/>
      <c r="AOZ102" s="387"/>
      <c r="APA102" s="387"/>
      <c r="APB102" s="387"/>
      <c r="APC102" s="387"/>
      <c r="APD102" s="387"/>
      <c r="APE102" s="387"/>
      <c r="APF102" s="387"/>
      <c r="APG102" s="387"/>
      <c r="APH102" s="387"/>
      <c r="API102" s="387"/>
      <c r="APJ102" s="387"/>
      <c r="APK102" s="387"/>
      <c r="APL102" s="387"/>
      <c r="APM102" s="387"/>
      <c r="APN102" s="387"/>
      <c r="APO102" s="387"/>
      <c r="APP102" s="387"/>
      <c r="APQ102" s="387"/>
      <c r="APR102" s="387"/>
      <c r="APS102" s="387"/>
      <c r="APT102" s="387"/>
      <c r="APU102" s="387"/>
      <c r="APV102" s="387"/>
      <c r="APW102" s="387"/>
      <c r="APX102" s="387"/>
      <c r="APY102" s="387"/>
      <c r="APZ102" s="387"/>
      <c r="AQA102" s="387"/>
      <c r="AQB102" s="387"/>
      <c r="AQC102" s="387"/>
      <c r="AQD102" s="387"/>
      <c r="AQE102" s="387"/>
      <c r="AQF102" s="387"/>
      <c r="AQG102" s="387"/>
      <c r="AQH102" s="387"/>
      <c r="AQI102" s="387"/>
      <c r="AQJ102" s="387"/>
      <c r="AQK102" s="387"/>
      <c r="AQL102" s="387"/>
      <c r="AQM102" s="387"/>
      <c r="AQN102" s="387"/>
      <c r="AQO102" s="387"/>
      <c r="AQP102" s="387"/>
      <c r="AQQ102" s="387"/>
      <c r="AQR102" s="387"/>
      <c r="AQS102" s="387"/>
      <c r="AQT102" s="387"/>
      <c r="AQU102" s="387"/>
      <c r="AQV102" s="387"/>
      <c r="AQW102" s="387"/>
      <c r="AQX102" s="387"/>
      <c r="AQY102" s="387"/>
      <c r="AQZ102" s="387"/>
      <c r="ARA102" s="387"/>
      <c r="ARB102" s="387"/>
      <c r="ARC102" s="387"/>
      <c r="ARD102" s="387"/>
      <c r="ARE102" s="387"/>
      <c r="ARF102" s="387"/>
      <c r="ARG102" s="387"/>
      <c r="ARH102" s="387"/>
      <c r="ARI102" s="387"/>
      <c r="ARJ102" s="387"/>
      <c r="ARK102" s="387"/>
      <c r="ARL102" s="387"/>
      <c r="ARM102" s="387"/>
      <c r="ARN102" s="387"/>
      <c r="ARO102" s="387"/>
      <c r="ARP102" s="387"/>
      <c r="ARQ102" s="387"/>
      <c r="ARR102" s="387"/>
      <c r="ARS102" s="387"/>
      <c r="ART102" s="387"/>
      <c r="ARU102" s="387"/>
      <c r="ARV102" s="387"/>
      <c r="ARW102" s="387"/>
      <c r="ARX102" s="387"/>
      <c r="ARY102" s="387"/>
      <c r="ARZ102" s="387"/>
      <c r="ASA102" s="387"/>
      <c r="ASB102" s="387"/>
      <c r="ASC102" s="387"/>
      <c r="ASD102" s="387"/>
      <c r="ASE102" s="387"/>
      <c r="ASF102" s="387"/>
      <c r="ASG102" s="387"/>
      <c r="ASH102" s="387"/>
      <c r="ASI102" s="387"/>
      <c r="ASJ102" s="387"/>
      <c r="ASK102" s="387"/>
      <c r="ASL102" s="387"/>
      <c r="ASM102" s="387"/>
      <c r="ASN102" s="387"/>
      <c r="ASO102" s="387"/>
      <c r="ASP102" s="387"/>
      <c r="ASQ102" s="387"/>
      <c r="ASR102" s="387"/>
      <c r="ASS102" s="387"/>
      <c r="AST102" s="387"/>
      <c r="ASU102" s="387"/>
      <c r="ASV102" s="387"/>
      <c r="ASW102" s="387"/>
      <c r="ASX102" s="387"/>
      <c r="ASY102" s="387"/>
      <c r="ASZ102" s="387"/>
      <c r="ATA102" s="387"/>
      <c r="ATB102" s="387"/>
      <c r="ATC102" s="387"/>
      <c r="ATD102" s="387"/>
      <c r="ATE102" s="387"/>
      <c r="ATF102" s="387"/>
      <c r="ATG102" s="387"/>
      <c r="ATH102" s="387"/>
      <c r="ATI102" s="387"/>
      <c r="ATJ102" s="387"/>
      <c r="ATK102" s="387"/>
      <c r="ATL102" s="387"/>
      <c r="ATM102" s="387"/>
      <c r="ATN102" s="387"/>
      <c r="ATO102" s="387"/>
      <c r="ATP102" s="387"/>
      <c r="ATQ102" s="387"/>
      <c r="ATR102" s="387"/>
      <c r="ATS102" s="387"/>
      <c r="ATT102" s="387"/>
      <c r="ATU102" s="387"/>
      <c r="ATV102" s="387"/>
      <c r="ATW102" s="387"/>
      <c r="ATX102" s="387"/>
      <c r="ATY102" s="387"/>
      <c r="ATZ102" s="387"/>
      <c r="AUA102" s="387"/>
      <c r="AUB102" s="387"/>
      <c r="AUC102" s="387"/>
      <c r="AUD102" s="387"/>
      <c r="AUE102" s="387"/>
      <c r="AUF102" s="387"/>
      <c r="AUG102" s="387"/>
      <c r="AUH102" s="387"/>
      <c r="AUI102" s="387"/>
      <c r="AUJ102" s="387"/>
      <c r="AUK102" s="387"/>
      <c r="AUL102" s="387"/>
      <c r="AUM102" s="387"/>
      <c r="AUN102" s="387"/>
      <c r="AUO102" s="387"/>
      <c r="AUP102" s="387"/>
      <c r="AUQ102" s="387"/>
      <c r="AUR102" s="387"/>
      <c r="AUS102" s="387"/>
      <c r="AUT102" s="387"/>
      <c r="AUU102" s="387"/>
      <c r="AUV102" s="387"/>
      <c r="AUW102" s="387"/>
      <c r="AUX102" s="387"/>
      <c r="AUY102" s="387"/>
      <c r="AUZ102" s="387"/>
      <c r="AVA102" s="387"/>
      <c r="AVB102" s="387"/>
      <c r="AVC102" s="387"/>
      <c r="AVD102" s="387"/>
      <c r="AVE102" s="387"/>
      <c r="AVF102" s="387"/>
      <c r="AVG102" s="387"/>
      <c r="AVH102" s="387"/>
      <c r="AVI102" s="387"/>
      <c r="AVJ102" s="387"/>
      <c r="AVK102" s="387"/>
      <c r="AVL102" s="387"/>
      <c r="AVM102" s="387"/>
      <c r="AVN102" s="387"/>
      <c r="AVO102" s="387"/>
      <c r="AVP102" s="387"/>
      <c r="AVQ102" s="387"/>
      <c r="AVR102" s="387"/>
      <c r="AVS102" s="387"/>
      <c r="AVT102" s="387"/>
      <c r="AVU102" s="387"/>
      <c r="AVV102" s="387"/>
      <c r="AVW102" s="387"/>
      <c r="AVX102" s="387"/>
      <c r="AVY102" s="387"/>
      <c r="AVZ102" s="387"/>
      <c r="AWA102" s="387"/>
      <c r="AWB102" s="387"/>
      <c r="AWC102" s="387"/>
      <c r="AWD102" s="387"/>
      <c r="AWE102" s="387"/>
      <c r="AWF102" s="387"/>
      <c r="AWG102" s="387"/>
      <c r="AWH102" s="387"/>
      <c r="AWI102" s="387"/>
      <c r="AWJ102" s="387"/>
      <c r="AWK102" s="387"/>
      <c r="AWL102" s="387"/>
      <c r="AWM102" s="387"/>
      <c r="AWN102" s="387"/>
      <c r="AWO102" s="387"/>
      <c r="AWP102" s="387"/>
      <c r="AWQ102" s="387"/>
      <c r="AWR102" s="387"/>
      <c r="AWS102" s="387"/>
      <c r="AWT102" s="387"/>
      <c r="AWU102" s="387"/>
      <c r="AWV102" s="387"/>
      <c r="AWW102" s="387"/>
      <c r="AWX102" s="387"/>
      <c r="AWY102" s="387"/>
      <c r="AWZ102" s="387"/>
      <c r="AXA102" s="387"/>
      <c r="AXB102" s="387"/>
      <c r="AXC102" s="387"/>
      <c r="AXD102" s="387"/>
      <c r="AXE102" s="387"/>
      <c r="AXF102" s="387"/>
      <c r="AXG102" s="387"/>
      <c r="AXH102" s="387"/>
      <c r="AXI102" s="387"/>
      <c r="AXJ102" s="387"/>
      <c r="AXK102" s="387"/>
      <c r="AXL102" s="387"/>
      <c r="AXM102" s="387"/>
      <c r="AXN102" s="387"/>
      <c r="AXO102" s="387"/>
      <c r="AXP102" s="387"/>
      <c r="AXQ102" s="387"/>
      <c r="AXR102" s="387"/>
      <c r="AXS102" s="387"/>
      <c r="AXT102" s="387"/>
      <c r="AXU102" s="387"/>
      <c r="AXV102" s="387"/>
      <c r="AXW102" s="387"/>
      <c r="AXX102" s="387"/>
      <c r="AXY102" s="387"/>
      <c r="AXZ102" s="387"/>
      <c r="AYA102" s="387"/>
      <c r="AYB102" s="387"/>
      <c r="AYC102" s="387"/>
      <c r="AYD102" s="387"/>
      <c r="AYE102" s="387"/>
      <c r="AYF102" s="387"/>
      <c r="AYG102" s="387"/>
      <c r="AYH102" s="387"/>
      <c r="AYI102" s="387"/>
      <c r="AYJ102" s="387"/>
      <c r="AYK102" s="387"/>
      <c r="AYL102" s="387"/>
      <c r="AYM102" s="387"/>
      <c r="AYN102" s="387"/>
      <c r="AYO102" s="387"/>
      <c r="AYP102" s="387"/>
      <c r="AYQ102" s="387"/>
      <c r="AYR102" s="387"/>
      <c r="AYS102" s="387"/>
      <c r="AYT102" s="387"/>
      <c r="AYU102" s="387"/>
      <c r="AYV102" s="387"/>
      <c r="AYW102" s="387"/>
      <c r="AYX102" s="387"/>
      <c r="AYY102" s="387"/>
      <c r="AYZ102" s="387"/>
      <c r="AZA102" s="387"/>
      <c r="AZB102" s="387"/>
      <c r="AZC102" s="387"/>
      <c r="AZD102" s="387"/>
      <c r="AZE102" s="387"/>
      <c r="AZF102" s="387"/>
      <c r="AZG102" s="387"/>
      <c r="AZH102" s="387"/>
      <c r="AZI102" s="387"/>
      <c r="AZJ102" s="387"/>
      <c r="AZK102" s="387"/>
      <c r="AZL102" s="387"/>
      <c r="AZM102" s="387"/>
      <c r="AZN102" s="387"/>
      <c r="AZO102" s="387"/>
      <c r="AZP102" s="387"/>
      <c r="AZQ102" s="387"/>
      <c r="AZR102" s="387"/>
      <c r="AZS102" s="387"/>
      <c r="AZT102" s="387"/>
      <c r="AZU102" s="387"/>
      <c r="AZV102" s="387"/>
      <c r="AZW102" s="387"/>
      <c r="AZX102" s="387"/>
      <c r="AZY102" s="387"/>
      <c r="AZZ102" s="387"/>
      <c r="BAA102" s="387"/>
      <c r="BAB102" s="387"/>
      <c r="BAC102" s="387"/>
      <c r="BAD102" s="387"/>
      <c r="BAE102" s="387"/>
      <c r="BAF102" s="387"/>
      <c r="BAG102" s="387"/>
      <c r="BAH102" s="387"/>
      <c r="BAI102" s="387"/>
      <c r="BAJ102" s="387"/>
      <c r="BAK102" s="387"/>
      <c r="BAL102" s="387"/>
      <c r="BAM102" s="387"/>
      <c r="BAN102" s="387"/>
      <c r="BAO102" s="387"/>
      <c r="BAP102" s="387"/>
      <c r="BAQ102" s="387"/>
      <c r="BAR102" s="387"/>
      <c r="BAS102" s="387"/>
      <c r="BAT102" s="387"/>
      <c r="BAU102" s="387"/>
      <c r="BAV102" s="387"/>
      <c r="BAW102" s="387"/>
      <c r="BAX102" s="387"/>
      <c r="BAY102" s="387"/>
      <c r="BAZ102" s="387"/>
      <c r="BBA102" s="387"/>
      <c r="BBB102" s="387"/>
      <c r="BBC102" s="387"/>
      <c r="BBD102" s="387"/>
      <c r="BBE102" s="387"/>
      <c r="BBF102" s="387"/>
      <c r="BBG102" s="387"/>
      <c r="BBH102" s="387"/>
      <c r="BBI102" s="387"/>
      <c r="BBJ102" s="387"/>
      <c r="BBK102" s="387"/>
      <c r="BBL102" s="387"/>
      <c r="BBM102" s="387"/>
      <c r="BBN102" s="387"/>
      <c r="BBO102" s="387"/>
      <c r="BBP102" s="387"/>
      <c r="BBQ102" s="387"/>
      <c r="BBR102" s="387"/>
      <c r="BBS102" s="387"/>
      <c r="BBT102" s="387"/>
      <c r="BBU102" s="387"/>
      <c r="BBV102" s="387"/>
      <c r="BBW102" s="387"/>
      <c r="BBX102" s="387"/>
      <c r="BBY102" s="387"/>
      <c r="BBZ102" s="387"/>
      <c r="BCA102" s="387"/>
      <c r="BCB102" s="387"/>
      <c r="BCC102" s="387"/>
      <c r="BCD102" s="387"/>
      <c r="BCE102" s="387"/>
      <c r="BCF102" s="387"/>
      <c r="BCG102" s="387"/>
      <c r="BCH102" s="387"/>
      <c r="BCI102" s="387"/>
      <c r="BCJ102" s="387"/>
      <c r="BCK102" s="387"/>
      <c r="BCL102" s="387"/>
      <c r="BCM102" s="387"/>
      <c r="BCN102" s="387"/>
      <c r="BCO102" s="387"/>
      <c r="BCP102" s="387"/>
      <c r="BCQ102" s="387"/>
      <c r="BCR102" s="387"/>
      <c r="BCS102" s="387"/>
      <c r="BCT102" s="387"/>
      <c r="BCU102" s="387"/>
      <c r="BCV102" s="387"/>
      <c r="BCW102" s="387"/>
      <c r="BCX102" s="387"/>
      <c r="BCY102" s="387"/>
      <c r="BCZ102" s="387"/>
      <c r="BDA102" s="387"/>
      <c r="BDB102" s="387"/>
      <c r="BDC102" s="387"/>
      <c r="BDD102" s="387"/>
      <c r="BDE102" s="387"/>
      <c r="BDF102" s="387"/>
      <c r="BDG102" s="387"/>
      <c r="BDH102" s="387"/>
      <c r="BDI102" s="387"/>
      <c r="BDJ102" s="387"/>
      <c r="BDK102" s="387"/>
      <c r="BDL102" s="387"/>
      <c r="BDM102" s="387"/>
      <c r="BDN102" s="387"/>
      <c r="BDO102" s="387"/>
      <c r="BDP102" s="387"/>
      <c r="BDQ102" s="387"/>
      <c r="BDR102" s="387"/>
      <c r="BDS102" s="387"/>
      <c r="BDT102" s="387"/>
      <c r="BDU102" s="387"/>
      <c r="BDV102" s="387"/>
      <c r="BDW102" s="387"/>
      <c r="BDX102" s="387"/>
      <c r="BDY102" s="387"/>
      <c r="BDZ102" s="387"/>
      <c r="BEA102" s="387"/>
      <c r="BEB102" s="387"/>
      <c r="BEC102" s="387"/>
      <c r="BED102" s="387"/>
      <c r="BEE102" s="387"/>
      <c r="BEF102" s="387"/>
      <c r="BEG102" s="387"/>
      <c r="BEH102" s="387"/>
      <c r="BEI102" s="387"/>
      <c r="BEJ102" s="387"/>
      <c r="BEK102" s="387"/>
      <c r="BEL102" s="387"/>
      <c r="BEM102" s="387"/>
      <c r="BEN102" s="387"/>
      <c r="BEO102" s="387"/>
      <c r="BEP102" s="387"/>
      <c r="BEQ102" s="387"/>
      <c r="BER102" s="387"/>
      <c r="BES102" s="387"/>
      <c r="BET102" s="387"/>
      <c r="BEU102" s="387"/>
      <c r="BEV102" s="387"/>
      <c r="BEW102" s="387"/>
      <c r="BEX102" s="387"/>
      <c r="BEY102" s="387"/>
      <c r="BEZ102" s="387"/>
      <c r="BFA102" s="387"/>
      <c r="BFB102" s="387"/>
      <c r="BFC102" s="387"/>
      <c r="BFD102" s="387"/>
      <c r="BFE102" s="387"/>
      <c r="BFF102" s="387"/>
      <c r="BFG102" s="387"/>
      <c r="BFH102" s="387"/>
      <c r="BFI102" s="387"/>
      <c r="BFJ102" s="387"/>
      <c r="BFK102" s="387"/>
      <c r="BFL102" s="387"/>
      <c r="BFM102" s="387"/>
      <c r="BFN102" s="387"/>
      <c r="BFO102" s="387"/>
      <c r="BFP102" s="387"/>
      <c r="BFQ102" s="387"/>
      <c r="BFR102" s="387"/>
      <c r="BFS102" s="387"/>
      <c r="BFT102" s="387"/>
      <c r="BFU102" s="387"/>
      <c r="BFV102" s="387"/>
      <c r="BFW102" s="387"/>
      <c r="BFX102" s="387"/>
      <c r="BFY102" s="387"/>
      <c r="BFZ102" s="387"/>
      <c r="BGA102" s="387"/>
      <c r="BGB102" s="387"/>
      <c r="BGC102" s="387"/>
      <c r="BGD102" s="387"/>
      <c r="BGE102" s="387"/>
      <c r="BGF102" s="387"/>
      <c r="BGG102" s="387"/>
      <c r="BGH102" s="387"/>
      <c r="BGI102" s="387"/>
      <c r="BGJ102" s="387"/>
      <c r="BGK102" s="387"/>
      <c r="BGL102" s="387"/>
      <c r="BGM102" s="387"/>
      <c r="BGN102" s="387"/>
      <c r="BGO102" s="387"/>
      <c r="BGP102" s="387"/>
      <c r="BGQ102" s="387"/>
      <c r="BGR102" s="387"/>
      <c r="BGS102" s="387"/>
      <c r="BGT102" s="387"/>
      <c r="BGU102" s="387"/>
      <c r="BGV102" s="387"/>
      <c r="BGW102" s="387"/>
      <c r="BGX102" s="387"/>
      <c r="BGY102" s="387"/>
      <c r="BGZ102" s="387"/>
      <c r="BHA102" s="387"/>
      <c r="BHB102" s="387"/>
      <c r="BHC102" s="387"/>
      <c r="BHD102" s="387"/>
      <c r="BHE102" s="387"/>
      <c r="BHF102" s="387"/>
      <c r="BHG102" s="387"/>
      <c r="BHH102" s="387"/>
      <c r="BHI102" s="387"/>
      <c r="BHJ102" s="387"/>
      <c r="BHK102" s="387"/>
      <c r="BHL102" s="387"/>
      <c r="BHM102" s="387"/>
      <c r="BHN102" s="387"/>
      <c r="BHO102" s="387"/>
      <c r="BHP102" s="387"/>
      <c r="BHQ102" s="387"/>
      <c r="BHR102" s="387"/>
      <c r="BHS102" s="387"/>
      <c r="BHT102" s="387"/>
      <c r="BHU102" s="387"/>
      <c r="BHV102" s="387"/>
      <c r="BHW102" s="387"/>
      <c r="BHX102" s="387"/>
      <c r="BHY102" s="387"/>
      <c r="BHZ102" s="387"/>
      <c r="BIA102" s="387"/>
      <c r="BIB102" s="387"/>
      <c r="BIC102" s="387"/>
      <c r="BID102" s="387"/>
      <c r="BIE102" s="387"/>
      <c r="BIF102" s="387"/>
      <c r="BIG102" s="387"/>
      <c r="BIH102" s="387"/>
      <c r="BII102" s="387"/>
      <c r="BIJ102" s="387"/>
      <c r="BIK102" s="387"/>
      <c r="BIL102" s="387"/>
      <c r="BIM102" s="387"/>
      <c r="BIN102" s="387"/>
      <c r="BIO102" s="387"/>
      <c r="BIP102" s="387"/>
      <c r="BIQ102" s="387"/>
      <c r="BIR102" s="387"/>
      <c r="BIS102" s="387"/>
      <c r="BIT102" s="387"/>
      <c r="BIU102" s="387"/>
      <c r="BIV102" s="387"/>
      <c r="BIW102" s="387"/>
      <c r="BIX102" s="387"/>
      <c r="BIY102" s="387"/>
      <c r="BIZ102" s="387"/>
      <c r="BJA102" s="387"/>
      <c r="BJB102" s="387"/>
      <c r="BJC102" s="387"/>
      <c r="BJD102" s="387"/>
      <c r="BJE102" s="387"/>
      <c r="BJF102" s="387"/>
      <c r="BJG102" s="387"/>
      <c r="BJH102" s="387"/>
      <c r="BJI102" s="387"/>
      <c r="BJJ102" s="387"/>
      <c r="BJK102" s="387"/>
      <c r="BJL102" s="387"/>
      <c r="BJM102" s="387"/>
      <c r="BJN102" s="387"/>
      <c r="BJO102" s="387"/>
      <c r="BJP102" s="387"/>
      <c r="BJQ102" s="387"/>
      <c r="BJR102" s="387"/>
      <c r="BJS102" s="387"/>
      <c r="BJT102" s="387"/>
      <c r="BJU102" s="387"/>
      <c r="BJV102" s="387"/>
      <c r="BJW102" s="387"/>
      <c r="BJX102" s="387"/>
      <c r="BJY102" s="387"/>
      <c r="BJZ102" s="387"/>
      <c r="BKA102" s="387"/>
      <c r="BKB102" s="387"/>
      <c r="BKC102" s="387"/>
      <c r="BKD102" s="387"/>
      <c r="BKE102" s="387"/>
      <c r="BKF102" s="387"/>
      <c r="BKG102" s="387"/>
      <c r="BKH102" s="387"/>
      <c r="BKI102" s="387"/>
      <c r="BKJ102" s="387"/>
      <c r="BKK102" s="387"/>
      <c r="BKL102" s="387"/>
      <c r="BKM102" s="387"/>
      <c r="BKN102" s="387"/>
      <c r="BKO102" s="387"/>
      <c r="BKP102" s="387"/>
      <c r="BKQ102" s="387"/>
      <c r="BKR102" s="387"/>
      <c r="BKS102" s="387"/>
      <c r="BKT102" s="387"/>
      <c r="BKU102" s="387"/>
      <c r="BKV102" s="387"/>
      <c r="BKW102" s="387"/>
      <c r="BKX102" s="387"/>
      <c r="BKY102" s="387"/>
      <c r="BKZ102" s="387"/>
      <c r="BLA102" s="387"/>
      <c r="BLB102" s="387"/>
      <c r="BLC102" s="387"/>
      <c r="BLD102" s="387"/>
      <c r="BLE102" s="387"/>
      <c r="BLF102" s="387"/>
      <c r="BLG102" s="387"/>
      <c r="BLH102" s="387"/>
      <c r="BLI102" s="387"/>
      <c r="BLJ102" s="387"/>
      <c r="BLK102" s="387"/>
      <c r="BLL102" s="387"/>
      <c r="BLM102" s="387"/>
      <c r="BLN102" s="387"/>
      <c r="BLO102" s="387"/>
      <c r="BLP102" s="387"/>
      <c r="BLQ102" s="387"/>
      <c r="BLR102" s="387"/>
      <c r="BLS102" s="387"/>
      <c r="BLT102" s="387"/>
      <c r="BLU102" s="387"/>
      <c r="BLV102" s="387"/>
      <c r="BLW102" s="387"/>
      <c r="BLX102" s="387"/>
      <c r="BLY102" s="387"/>
      <c r="BLZ102" s="387"/>
      <c r="BMA102" s="387"/>
      <c r="BMB102" s="387"/>
      <c r="BMC102" s="387"/>
      <c r="BMD102" s="387"/>
      <c r="BME102" s="387"/>
      <c r="BMF102" s="387"/>
      <c r="BMG102" s="387"/>
      <c r="BMH102" s="387"/>
      <c r="BMI102" s="387"/>
      <c r="BMJ102" s="387"/>
      <c r="BMK102" s="387"/>
      <c r="BML102" s="387"/>
      <c r="BMM102" s="387"/>
      <c r="BMN102" s="387"/>
      <c r="BMO102" s="387"/>
      <c r="BMP102" s="387"/>
      <c r="BMQ102" s="387"/>
      <c r="BMR102" s="387"/>
      <c r="BMS102" s="387"/>
      <c r="BMT102" s="387"/>
      <c r="BMU102" s="387"/>
      <c r="BMV102" s="387"/>
      <c r="BMW102" s="387"/>
      <c r="BMX102" s="387"/>
      <c r="BMY102" s="387"/>
      <c r="BMZ102" s="387"/>
      <c r="BNA102" s="387"/>
      <c r="BNB102" s="387"/>
      <c r="BNC102" s="387"/>
      <c r="BND102" s="387"/>
      <c r="BNE102" s="387"/>
      <c r="BNF102" s="387"/>
      <c r="BNG102" s="387"/>
      <c r="BNH102" s="387"/>
      <c r="BNI102" s="387"/>
      <c r="BNJ102" s="387"/>
      <c r="BNK102" s="387"/>
      <c r="BNL102" s="387"/>
      <c r="BNM102" s="387"/>
      <c r="BNN102" s="387"/>
      <c r="BNO102" s="387"/>
      <c r="BNP102" s="387"/>
      <c r="BNQ102" s="387"/>
      <c r="BNR102" s="387"/>
      <c r="BNS102" s="387"/>
      <c r="BNT102" s="387"/>
      <c r="BNU102" s="387"/>
      <c r="BNV102" s="387"/>
      <c r="BNW102" s="387"/>
      <c r="BNX102" s="387"/>
      <c r="BNY102" s="387"/>
      <c r="BNZ102" s="387"/>
      <c r="BOA102" s="387"/>
      <c r="BOB102" s="387"/>
      <c r="BOC102" s="387"/>
      <c r="BOD102" s="387"/>
      <c r="BOE102" s="387"/>
      <c r="BOF102" s="387"/>
      <c r="BOG102" s="387"/>
      <c r="BOH102" s="387"/>
      <c r="BOI102" s="387"/>
      <c r="BOJ102" s="387"/>
      <c r="BOK102" s="387"/>
      <c r="BOL102" s="387"/>
      <c r="BOM102" s="387"/>
      <c r="BON102" s="387"/>
      <c r="BOO102" s="387"/>
      <c r="BOP102" s="387"/>
      <c r="BOQ102" s="387"/>
      <c r="BOR102" s="387"/>
      <c r="BOS102" s="387"/>
      <c r="BOT102" s="387"/>
      <c r="BOU102" s="387"/>
      <c r="BOV102" s="387"/>
      <c r="BOW102" s="387"/>
      <c r="BOX102" s="387"/>
      <c r="BOY102" s="387"/>
      <c r="BOZ102" s="387"/>
      <c r="BPA102" s="387"/>
      <c r="BPB102" s="387"/>
      <c r="BPC102" s="387"/>
      <c r="BPD102" s="387"/>
      <c r="BPE102" s="387"/>
      <c r="BPF102" s="387"/>
      <c r="BPG102" s="387"/>
      <c r="BPH102" s="387"/>
      <c r="BPI102" s="387"/>
      <c r="BPJ102" s="387"/>
      <c r="BPK102" s="387"/>
      <c r="BPL102" s="387"/>
      <c r="BPM102" s="387"/>
      <c r="BPN102" s="387"/>
      <c r="BPO102" s="387"/>
      <c r="BPP102" s="387"/>
      <c r="BPQ102" s="387"/>
      <c r="BPR102" s="387"/>
      <c r="BPS102" s="387"/>
      <c r="BPT102" s="387"/>
      <c r="BPU102" s="387"/>
      <c r="BPV102" s="387"/>
      <c r="BPW102" s="387"/>
      <c r="BPX102" s="387"/>
      <c r="BPY102" s="387"/>
      <c r="BPZ102" s="387"/>
      <c r="BQA102" s="387"/>
      <c r="BQB102" s="387"/>
      <c r="BQC102" s="387"/>
      <c r="BQD102" s="387"/>
      <c r="BQE102" s="387"/>
      <c r="BQF102" s="387"/>
      <c r="BQG102" s="387"/>
      <c r="BQH102" s="387"/>
      <c r="BQI102" s="387"/>
      <c r="BQJ102" s="387"/>
      <c r="BQK102" s="387"/>
      <c r="BQL102" s="387"/>
      <c r="BQM102" s="387"/>
      <c r="BQN102" s="387"/>
      <c r="BQO102" s="387"/>
      <c r="BQP102" s="387"/>
      <c r="BQQ102" s="387"/>
      <c r="BQR102" s="387"/>
      <c r="BQS102" s="387"/>
      <c r="BQT102" s="387"/>
      <c r="BQU102" s="387"/>
      <c r="BQV102" s="387"/>
      <c r="BQW102" s="387"/>
      <c r="BQX102" s="387"/>
      <c r="BQY102" s="387"/>
      <c r="BQZ102" s="387"/>
      <c r="BRA102" s="387"/>
      <c r="BRB102" s="387"/>
      <c r="BRC102" s="387"/>
      <c r="BRD102" s="387"/>
      <c r="BRE102" s="387"/>
      <c r="BRF102" s="387"/>
      <c r="BRG102" s="387"/>
      <c r="BRH102" s="387"/>
      <c r="BRI102" s="387"/>
      <c r="BRJ102" s="387"/>
      <c r="BRK102" s="387"/>
      <c r="BRL102" s="387"/>
      <c r="BRM102" s="387"/>
      <c r="BRN102" s="387"/>
      <c r="BRO102" s="387"/>
      <c r="BRP102" s="387"/>
      <c r="BRQ102" s="387"/>
      <c r="BRR102" s="387"/>
      <c r="BRS102" s="387"/>
      <c r="BRT102" s="387"/>
      <c r="BRU102" s="387"/>
      <c r="BRV102" s="387"/>
      <c r="BRW102" s="387"/>
      <c r="BRX102" s="387"/>
      <c r="BRY102" s="387"/>
      <c r="BRZ102" s="387"/>
      <c r="BSA102" s="387"/>
      <c r="BSB102" s="387"/>
      <c r="BSC102" s="387"/>
      <c r="BSD102" s="387"/>
      <c r="BSE102" s="387"/>
      <c r="BSF102" s="387"/>
      <c r="BSG102" s="387"/>
      <c r="BSH102" s="387"/>
      <c r="BSI102" s="387"/>
      <c r="BSJ102" s="387"/>
      <c r="BSK102" s="387"/>
      <c r="BSL102" s="387"/>
      <c r="BSM102" s="387"/>
      <c r="BSN102" s="387"/>
      <c r="BSO102" s="387"/>
      <c r="BSP102" s="387"/>
      <c r="BSQ102" s="387"/>
      <c r="BSR102" s="387"/>
      <c r="BSS102" s="387"/>
      <c r="BST102" s="387"/>
      <c r="BSU102" s="387"/>
      <c r="BSV102" s="387"/>
      <c r="BSW102" s="387"/>
      <c r="BSX102" s="387"/>
      <c r="BSY102" s="387"/>
      <c r="BSZ102" s="387"/>
      <c r="BTA102" s="387"/>
      <c r="BTB102" s="387"/>
      <c r="BTC102" s="387"/>
      <c r="BTD102" s="387"/>
      <c r="BTE102" s="387"/>
      <c r="BTF102" s="387"/>
      <c r="BTG102" s="387"/>
      <c r="BTH102" s="387"/>
      <c r="BTI102" s="387"/>
    </row>
    <row r="103" spans="1:1881" s="372" customFormat="1" ht="87.75" customHeight="1" x14ac:dyDescent="0.25">
      <c r="A103" s="398">
        <v>360</v>
      </c>
      <c r="B103" s="392" t="s">
        <v>79</v>
      </c>
      <c r="C103" s="395" t="s">
        <v>200</v>
      </c>
      <c r="D103" s="396" t="s">
        <v>196</v>
      </c>
      <c r="E103" s="683" t="e">
        <f>HLOOKUP('Unit Data from Audit Worksheet'!$D$2,'2019 Data(H)'!$D$1:$BB$202,80,FALSE)</f>
        <v>#N/A</v>
      </c>
      <c r="F103" s="686"/>
      <c r="G103" s="388">
        <v>0</v>
      </c>
      <c r="H103" s="389"/>
      <c r="I103" s="390"/>
      <c r="J103" s="387"/>
      <c r="K103" s="387"/>
      <c r="L103" s="387"/>
      <c r="M103" s="387"/>
      <c r="N103"/>
      <c r="O103" s="387"/>
      <c r="P103" s="387"/>
      <c r="Q103" s="387"/>
      <c r="R103"/>
      <c r="S103" s="682"/>
      <c r="T103" s="387"/>
      <c r="U103" s="387"/>
      <c r="V103" s="387"/>
      <c r="W103" s="387"/>
      <c r="X103" s="682"/>
      <c r="Y103" s="387"/>
      <c r="Z103" s="387"/>
      <c r="AA103" s="387"/>
      <c r="AB103" s="387"/>
      <c r="AC103" s="387"/>
      <c r="AD103" s="387"/>
      <c r="AE103" s="387"/>
      <c r="AF103" s="387"/>
      <c r="AG103" s="387"/>
      <c r="AH103" s="387"/>
      <c r="AI103" s="387"/>
      <c r="AJ103" s="387"/>
      <c r="AK103" s="387"/>
      <c r="AL103" s="387"/>
      <c r="AM103" s="387"/>
      <c r="AN103" s="387"/>
      <c r="AO103" s="387"/>
      <c r="AP103" s="387"/>
      <c r="AQ103" s="387"/>
      <c r="AR103" s="387"/>
      <c r="AS103" s="387"/>
      <c r="AT103" s="387"/>
      <c r="AU103" s="387"/>
      <c r="AV103" s="387"/>
      <c r="AW103" s="387"/>
      <c r="AX103" s="387"/>
      <c r="AY103" s="387"/>
      <c r="AZ103" s="387"/>
      <c r="BA103" s="387"/>
      <c r="BB103" s="387"/>
      <c r="BC103" s="387"/>
      <c r="BD103" s="387"/>
      <c r="BE103" s="387"/>
      <c r="BF103" s="387"/>
      <c r="BG103" s="387"/>
      <c r="BH103" s="387"/>
      <c r="BI103" s="387"/>
      <c r="BJ103" s="387"/>
      <c r="BK103" s="387"/>
      <c r="BL103" s="387"/>
      <c r="BM103" s="387"/>
      <c r="BN103" s="387"/>
      <c r="BO103" s="387"/>
      <c r="BP103" s="387"/>
      <c r="BQ103" s="387"/>
      <c r="BR103" s="387"/>
      <c r="BS103" s="387"/>
      <c r="BT103" s="387"/>
      <c r="BU103" s="387"/>
      <c r="BV103" s="387"/>
      <c r="BW103" s="387"/>
      <c r="BX103" s="387"/>
      <c r="BY103" s="387"/>
      <c r="BZ103" s="387"/>
      <c r="CA103" s="387"/>
      <c r="CB103" s="387"/>
      <c r="CC103" s="387"/>
      <c r="CD103" s="387"/>
      <c r="CE103" s="387"/>
      <c r="CF103" s="387"/>
      <c r="CG103" s="387"/>
      <c r="CH103" s="387"/>
      <c r="CI103" s="387"/>
      <c r="CJ103" s="387"/>
      <c r="CK103" s="387"/>
      <c r="CL103" s="387"/>
      <c r="CM103" s="387"/>
      <c r="CN103" s="387"/>
      <c r="CO103" s="387"/>
      <c r="CP103" s="387"/>
      <c r="CQ103" s="387"/>
      <c r="CR103" s="387"/>
      <c r="CS103" s="387"/>
      <c r="CT103" s="387"/>
      <c r="CU103" s="387"/>
      <c r="CV103" s="387"/>
      <c r="CW103" s="387"/>
      <c r="CX103" s="387"/>
      <c r="CY103" s="387"/>
      <c r="CZ103" s="387"/>
      <c r="DA103" s="387"/>
      <c r="DB103" s="387"/>
      <c r="DC103" s="387"/>
      <c r="DD103" s="387"/>
      <c r="DE103" s="387"/>
      <c r="DF103" s="387"/>
      <c r="DG103" s="387"/>
      <c r="DH103" s="387"/>
      <c r="DI103" s="387"/>
      <c r="DJ103" s="387"/>
      <c r="DK103" s="387"/>
      <c r="DL103" s="387"/>
      <c r="DM103" s="387"/>
      <c r="DN103" s="387"/>
      <c r="DO103" s="387"/>
      <c r="DP103" s="387"/>
      <c r="DQ103" s="387"/>
      <c r="DR103" s="387"/>
      <c r="DS103" s="387"/>
      <c r="DT103" s="387"/>
      <c r="DU103" s="387"/>
      <c r="DV103" s="387"/>
      <c r="DW103" s="387"/>
      <c r="DX103" s="387"/>
      <c r="DY103" s="387"/>
      <c r="DZ103" s="387"/>
      <c r="EA103" s="387"/>
      <c r="EB103" s="387"/>
      <c r="EC103" s="387"/>
      <c r="ED103" s="387"/>
      <c r="EE103" s="387"/>
      <c r="EF103" s="387"/>
      <c r="EG103" s="387"/>
      <c r="EH103" s="387"/>
      <c r="EI103" s="387"/>
      <c r="EJ103" s="387"/>
      <c r="EK103" s="387"/>
      <c r="EL103" s="387"/>
      <c r="EM103" s="387"/>
      <c r="EN103" s="387"/>
      <c r="EO103" s="387"/>
      <c r="EP103" s="387"/>
      <c r="EQ103" s="387"/>
      <c r="ER103" s="387"/>
      <c r="ES103" s="387"/>
      <c r="ET103" s="387"/>
      <c r="EU103" s="387"/>
      <c r="EV103" s="387"/>
      <c r="EW103" s="387"/>
      <c r="EX103" s="387"/>
      <c r="EY103" s="387"/>
      <c r="EZ103" s="387"/>
      <c r="FA103" s="387"/>
      <c r="FB103" s="387"/>
      <c r="FC103" s="387"/>
      <c r="FD103" s="387"/>
      <c r="FE103" s="387"/>
      <c r="FF103" s="387"/>
      <c r="FG103" s="387"/>
      <c r="FH103" s="387"/>
      <c r="FI103" s="387"/>
      <c r="FJ103" s="387"/>
      <c r="FK103" s="387"/>
      <c r="FL103" s="387"/>
      <c r="FM103" s="387"/>
      <c r="FN103" s="387"/>
      <c r="FO103" s="387"/>
      <c r="FP103" s="387"/>
      <c r="FQ103" s="387"/>
      <c r="FR103" s="387"/>
      <c r="FS103" s="387"/>
      <c r="FT103" s="387"/>
      <c r="FU103" s="387"/>
      <c r="FV103" s="387"/>
      <c r="FW103" s="387"/>
      <c r="FX103" s="387"/>
      <c r="FY103" s="387"/>
      <c r="FZ103" s="387"/>
      <c r="GA103" s="387"/>
      <c r="GB103" s="387"/>
      <c r="GC103" s="387"/>
      <c r="GD103" s="387"/>
      <c r="GE103" s="387"/>
      <c r="GF103" s="387"/>
      <c r="GG103" s="387"/>
      <c r="GH103" s="387"/>
      <c r="GI103" s="387"/>
      <c r="GJ103" s="387"/>
      <c r="GK103" s="387"/>
      <c r="GL103" s="387"/>
      <c r="GM103" s="387"/>
      <c r="GN103" s="387"/>
      <c r="GO103" s="387"/>
      <c r="GP103" s="387"/>
      <c r="GQ103" s="387"/>
      <c r="GR103" s="387"/>
      <c r="GS103" s="387"/>
      <c r="GT103" s="387"/>
      <c r="GU103" s="387"/>
      <c r="GV103" s="387"/>
      <c r="GW103" s="387"/>
      <c r="GX103" s="387"/>
      <c r="GY103" s="387"/>
      <c r="GZ103" s="387"/>
      <c r="HA103" s="387"/>
      <c r="HB103" s="387"/>
      <c r="HC103" s="387"/>
      <c r="HD103" s="387"/>
      <c r="HE103" s="387"/>
      <c r="HF103" s="387"/>
      <c r="HG103" s="387"/>
      <c r="HH103" s="387"/>
      <c r="HI103" s="387"/>
      <c r="HJ103" s="387"/>
      <c r="HK103" s="387"/>
      <c r="HL103" s="387"/>
      <c r="HM103" s="387"/>
      <c r="HN103" s="387"/>
      <c r="HO103" s="387"/>
      <c r="HP103" s="387"/>
      <c r="HQ103" s="387"/>
      <c r="HR103" s="387"/>
      <c r="HS103" s="387"/>
      <c r="HT103" s="387"/>
      <c r="HU103" s="387"/>
      <c r="HV103" s="387"/>
      <c r="HW103" s="387"/>
      <c r="HX103" s="387"/>
      <c r="HY103" s="387"/>
      <c r="HZ103" s="387"/>
      <c r="IA103" s="387"/>
      <c r="IB103" s="387"/>
      <c r="IC103" s="387"/>
      <c r="ID103" s="387"/>
      <c r="IE103" s="387"/>
      <c r="IF103" s="387"/>
      <c r="IG103" s="387"/>
      <c r="IH103" s="387"/>
      <c r="II103" s="387"/>
      <c r="IJ103" s="387"/>
      <c r="IK103" s="387"/>
      <c r="IL103" s="387"/>
      <c r="IM103" s="387"/>
      <c r="IN103" s="387"/>
      <c r="IO103" s="387"/>
      <c r="IP103" s="387"/>
      <c r="IQ103" s="387"/>
      <c r="IR103" s="387"/>
      <c r="IS103" s="387"/>
      <c r="IT103" s="387"/>
      <c r="IU103" s="387"/>
      <c r="IV103" s="387"/>
      <c r="IW103" s="387"/>
      <c r="IX103" s="387"/>
      <c r="IY103" s="387"/>
      <c r="IZ103" s="387"/>
      <c r="JA103" s="387"/>
      <c r="JB103" s="387"/>
      <c r="JC103" s="387"/>
      <c r="JD103" s="387"/>
      <c r="JE103" s="387"/>
      <c r="JF103" s="387"/>
      <c r="JG103" s="387"/>
      <c r="JH103" s="387"/>
      <c r="JI103" s="387"/>
      <c r="JJ103" s="387"/>
      <c r="JK103" s="387"/>
      <c r="JL103" s="387"/>
      <c r="JM103" s="387"/>
      <c r="JN103" s="387"/>
      <c r="JO103" s="387"/>
      <c r="JP103" s="387"/>
      <c r="JQ103" s="387"/>
      <c r="JR103" s="387"/>
      <c r="JS103" s="387"/>
      <c r="JT103" s="387"/>
      <c r="JU103" s="387"/>
      <c r="JV103" s="387"/>
      <c r="JW103" s="387"/>
      <c r="JX103" s="387"/>
      <c r="JY103" s="387"/>
      <c r="JZ103" s="387"/>
      <c r="KA103" s="387"/>
      <c r="KB103" s="387"/>
      <c r="KC103" s="387"/>
      <c r="KD103" s="387"/>
      <c r="KE103" s="387"/>
      <c r="KF103" s="387"/>
      <c r="KG103" s="387"/>
      <c r="KH103" s="387"/>
      <c r="KI103" s="387"/>
      <c r="KJ103" s="387"/>
      <c r="KK103" s="387"/>
      <c r="KL103" s="387"/>
      <c r="KM103" s="387"/>
      <c r="KN103" s="387"/>
      <c r="KO103" s="387"/>
      <c r="KP103" s="387"/>
      <c r="KQ103" s="387"/>
      <c r="KR103" s="387"/>
      <c r="KS103" s="387"/>
      <c r="KT103" s="387"/>
      <c r="KU103" s="387"/>
      <c r="KV103" s="387"/>
      <c r="KW103" s="387"/>
      <c r="KX103" s="387"/>
      <c r="KY103" s="387"/>
      <c r="KZ103" s="387"/>
      <c r="LA103" s="387"/>
      <c r="LB103" s="387"/>
      <c r="LC103" s="387"/>
      <c r="LD103" s="387"/>
      <c r="LE103" s="387"/>
      <c r="LF103" s="387"/>
      <c r="LG103" s="387"/>
      <c r="LH103" s="387"/>
      <c r="LI103" s="387"/>
      <c r="LJ103" s="387"/>
      <c r="LK103" s="387"/>
      <c r="LL103" s="387"/>
      <c r="LM103" s="387"/>
      <c r="LN103" s="387"/>
      <c r="LO103" s="387"/>
      <c r="LP103" s="387"/>
      <c r="LQ103" s="387"/>
      <c r="LR103" s="387"/>
      <c r="LS103" s="387"/>
      <c r="LT103" s="387"/>
      <c r="LU103" s="387"/>
      <c r="LV103" s="387"/>
      <c r="LW103" s="387"/>
      <c r="LX103" s="387"/>
      <c r="LY103" s="387"/>
      <c r="LZ103" s="387"/>
      <c r="MA103" s="387"/>
      <c r="MB103" s="387"/>
      <c r="MC103" s="387"/>
      <c r="MD103" s="387"/>
      <c r="ME103" s="387"/>
      <c r="MF103" s="387"/>
      <c r="MG103" s="387"/>
      <c r="MH103" s="387"/>
      <c r="MI103" s="387"/>
      <c r="MJ103" s="387"/>
      <c r="MK103" s="387"/>
      <c r="ML103" s="387"/>
      <c r="MM103" s="387"/>
      <c r="MN103" s="387"/>
      <c r="MO103" s="387"/>
      <c r="MP103" s="387"/>
      <c r="MQ103" s="387"/>
      <c r="MR103" s="387"/>
      <c r="MS103" s="387"/>
      <c r="MT103" s="387"/>
      <c r="MU103" s="387"/>
      <c r="MV103" s="387"/>
      <c r="MW103" s="387"/>
      <c r="MX103" s="387"/>
      <c r="MY103" s="387"/>
      <c r="MZ103" s="387"/>
      <c r="NA103" s="387"/>
      <c r="NB103" s="387"/>
      <c r="NC103" s="387"/>
      <c r="ND103" s="387"/>
      <c r="NE103" s="387"/>
      <c r="NF103" s="387"/>
      <c r="NG103" s="387"/>
      <c r="NH103" s="387"/>
      <c r="NI103" s="387"/>
      <c r="NJ103" s="387"/>
      <c r="NK103" s="387"/>
      <c r="NL103" s="387"/>
      <c r="NM103" s="387"/>
      <c r="NN103" s="387"/>
      <c r="NO103" s="387"/>
      <c r="NP103" s="387"/>
      <c r="NQ103" s="387"/>
      <c r="NR103" s="387"/>
      <c r="NS103" s="387"/>
      <c r="NT103" s="387"/>
      <c r="NU103" s="387"/>
      <c r="NV103" s="387"/>
      <c r="NW103" s="387"/>
      <c r="NX103" s="387"/>
      <c r="NY103" s="387"/>
      <c r="NZ103" s="387"/>
      <c r="OA103" s="387"/>
      <c r="OB103" s="387"/>
      <c r="OC103" s="387"/>
      <c r="OD103" s="387"/>
      <c r="OE103" s="387"/>
      <c r="OF103" s="387"/>
      <c r="OG103" s="387"/>
      <c r="OH103" s="387"/>
      <c r="OI103" s="387"/>
      <c r="OJ103" s="387"/>
      <c r="OK103" s="387"/>
      <c r="OL103" s="387"/>
      <c r="OM103" s="387"/>
      <c r="ON103" s="387"/>
      <c r="OO103" s="387"/>
      <c r="OP103" s="387"/>
      <c r="OQ103" s="387"/>
      <c r="OR103" s="387"/>
      <c r="OS103" s="387"/>
      <c r="OT103" s="387"/>
      <c r="OU103" s="387"/>
      <c r="OV103" s="387"/>
      <c r="OW103" s="387"/>
      <c r="OX103" s="387"/>
      <c r="OY103" s="387"/>
      <c r="OZ103" s="387"/>
      <c r="PA103" s="387"/>
      <c r="PB103" s="387"/>
      <c r="PC103" s="387"/>
      <c r="PD103" s="387"/>
      <c r="PE103" s="387"/>
      <c r="PF103" s="387"/>
      <c r="PG103" s="387"/>
      <c r="PH103" s="387"/>
      <c r="PI103" s="387"/>
      <c r="PJ103" s="387"/>
      <c r="PK103" s="387"/>
      <c r="PL103" s="387"/>
      <c r="PM103" s="387"/>
      <c r="PN103" s="387"/>
      <c r="PO103" s="387"/>
      <c r="PP103" s="387"/>
      <c r="PQ103" s="387"/>
      <c r="PR103" s="387"/>
      <c r="PS103" s="387"/>
      <c r="PT103" s="387"/>
      <c r="PU103" s="387"/>
      <c r="PV103" s="387"/>
      <c r="PW103" s="387"/>
      <c r="PX103" s="387"/>
      <c r="PY103" s="387"/>
      <c r="PZ103" s="387"/>
      <c r="QA103" s="387"/>
      <c r="QB103" s="387"/>
      <c r="QC103" s="387"/>
      <c r="QD103" s="387"/>
      <c r="QE103" s="387"/>
      <c r="QF103" s="387"/>
      <c r="QG103" s="387"/>
      <c r="QH103" s="387"/>
      <c r="QI103" s="387"/>
      <c r="QJ103" s="387"/>
      <c r="QK103" s="387"/>
      <c r="QL103" s="387"/>
      <c r="QM103" s="387"/>
      <c r="QN103" s="387"/>
      <c r="QO103" s="387"/>
      <c r="QP103" s="387"/>
      <c r="QQ103" s="387"/>
      <c r="QR103" s="387"/>
      <c r="QS103" s="387"/>
      <c r="QT103" s="387"/>
      <c r="QU103" s="387"/>
      <c r="QV103" s="387"/>
      <c r="QW103" s="387"/>
      <c r="QX103" s="387"/>
      <c r="QY103" s="387"/>
      <c r="QZ103" s="387"/>
      <c r="RA103" s="387"/>
      <c r="RB103" s="387"/>
      <c r="RC103" s="387"/>
      <c r="RD103" s="387"/>
      <c r="RE103" s="387"/>
      <c r="RF103" s="387"/>
      <c r="RG103" s="387"/>
      <c r="RH103" s="387"/>
      <c r="RI103" s="387"/>
      <c r="RJ103" s="387"/>
      <c r="RK103" s="387"/>
      <c r="RL103" s="387"/>
      <c r="RM103" s="387"/>
      <c r="RN103" s="387"/>
      <c r="RO103" s="387"/>
      <c r="RP103" s="387"/>
      <c r="RQ103" s="387"/>
      <c r="RR103" s="387"/>
      <c r="RS103" s="387"/>
      <c r="RT103" s="387"/>
      <c r="RU103" s="387"/>
      <c r="RV103" s="387"/>
      <c r="RW103" s="387"/>
      <c r="RX103" s="387"/>
      <c r="RY103" s="387"/>
      <c r="RZ103" s="387"/>
      <c r="SA103" s="387"/>
      <c r="SB103" s="387"/>
      <c r="SC103" s="387"/>
      <c r="SD103" s="387"/>
      <c r="SE103" s="387"/>
      <c r="SF103" s="387"/>
      <c r="SG103" s="387"/>
      <c r="SH103" s="387"/>
      <c r="SI103" s="387"/>
      <c r="SJ103" s="387"/>
      <c r="SK103" s="387"/>
      <c r="SL103" s="387"/>
      <c r="SM103" s="387"/>
      <c r="SN103" s="387"/>
      <c r="SO103" s="387"/>
      <c r="SP103" s="387"/>
      <c r="SQ103" s="387"/>
      <c r="SR103" s="387"/>
      <c r="SS103" s="387"/>
      <c r="ST103" s="387"/>
      <c r="SU103" s="387"/>
      <c r="SV103" s="387"/>
      <c r="SW103" s="387"/>
      <c r="SX103" s="387"/>
      <c r="SY103" s="387"/>
      <c r="SZ103" s="387"/>
      <c r="TA103" s="387"/>
      <c r="TB103" s="387"/>
      <c r="TC103" s="387"/>
      <c r="TD103" s="387"/>
      <c r="TE103" s="387"/>
      <c r="TF103" s="387"/>
      <c r="TG103" s="387"/>
      <c r="TH103" s="387"/>
      <c r="TI103" s="387"/>
      <c r="TJ103" s="387"/>
      <c r="TK103" s="387"/>
      <c r="TL103" s="387"/>
      <c r="TM103" s="387"/>
      <c r="TN103" s="387"/>
      <c r="TO103" s="387"/>
      <c r="TP103" s="387"/>
      <c r="TQ103" s="387"/>
      <c r="TR103" s="387"/>
      <c r="TS103" s="387"/>
      <c r="TT103" s="387"/>
      <c r="TU103" s="387"/>
      <c r="TV103" s="387"/>
      <c r="TW103" s="387"/>
      <c r="TX103" s="387"/>
      <c r="TY103" s="387"/>
      <c r="TZ103" s="387"/>
      <c r="UA103" s="387"/>
      <c r="UB103" s="387"/>
      <c r="UC103" s="387"/>
      <c r="UD103" s="387"/>
      <c r="UE103" s="387"/>
      <c r="UF103" s="387"/>
      <c r="UG103" s="387"/>
      <c r="UH103" s="387"/>
      <c r="UI103" s="387"/>
      <c r="UJ103" s="387"/>
      <c r="UK103" s="387"/>
      <c r="UL103" s="387"/>
      <c r="UM103" s="387"/>
      <c r="UN103" s="387"/>
      <c r="UO103" s="387"/>
      <c r="UP103" s="387"/>
      <c r="UQ103" s="387"/>
      <c r="UR103" s="387"/>
      <c r="US103" s="387"/>
      <c r="UT103" s="387"/>
      <c r="UU103" s="387"/>
      <c r="UV103" s="387"/>
      <c r="UW103" s="387"/>
      <c r="UX103" s="387"/>
      <c r="UY103" s="387"/>
      <c r="UZ103" s="387"/>
      <c r="VA103" s="387"/>
      <c r="VB103" s="387"/>
      <c r="VC103" s="387"/>
      <c r="VD103" s="387"/>
      <c r="VE103" s="387"/>
      <c r="VF103" s="387"/>
      <c r="VG103" s="387"/>
      <c r="VH103" s="387"/>
      <c r="VI103" s="387"/>
      <c r="VJ103" s="387"/>
      <c r="VK103" s="387"/>
      <c r="VL103" s="387"/>
      <c r="VM103" s="387"/>
      <c r="VN103" s="387"/>
      <c r="VO103" s="387"/>
      <c r="VP103" s="387"/>
      <c r="VQ103" s="387"/>
      <c r="VR103" s="387"/>
      <c r="VS103" s="387"/>
      <c r="VT103" s="387"/>
      <c r="VU103" s="387"/>
      <c r="VV103" s="387"/>
      <c r="VW103" s="387"/>
      <c r="VX103" s="387"/>
      <c r="VY103" s="387"/>
      <c r="VZ103" s="387"/>
      <c r="WA103" s="387"/>
      <c r="WB103" s="387"/>
      <c r="WC103" s="387"/>
      <c r="WD103" s="387"/>
      <c r="WE103" s="387"/>
      <c r="WF103" s="387"/>
      <c r="WG103" s="387"/>
      <c r="WH103" s="387"/>
      <c r="WI103" s="387"/>
      <c r="WJ103" s="387"/>
      <c r="WK103" s="387"/>
      <c r="WL103" s="387"/>
      <c r="WM103" s="387"/>
      <c r="WN103" s="387"/>
      <c r="WO103" s="387"/>
      <c r="WP103" s="387"/>
      <c r="WQ103" s="387"/>
      <c r="WR103" s="387"/>
      <c r="WS103" s="387"/>
      <c r="WT103" s="387"/>
      <c r="WU103" s="387"/>
      <c r="WV103" s="387"/>
      <c r="WW103" s="387"/>
      <c r="WX103" s="387"/>
      <c r="WY103" s="387"/>
      <c r="WZ103" s="387"/>
      <c r="XA103" s="387"/>
      <c r="XB103" s="387"/>
      <c r="XC103" s="387"/>
      <c r="XD103" s="387"/>
      <c r="XE103" s="387"/>
      <c r="XF103" s="387"/>
      <c r="XG103" s="387"/>
      <c r="XH103" s="387"/>
      <c r="XI103" s="387"/>
      <c r="XJ103" s="387"/>
      <c r="XK103" s="387"/>
      <c r="XL103" s="387"/>
      <c r="XM103" s="387"/>
      <c r="XN103" s="387"/>
      <c r="XO103" s="387"/>
      <c r="XP103" s="387"/>
      <c r="XQ103" s="387"/>
      <c r="XR103" s="387"/>
      <c r="XS103" s="387"/>
      <c r="XT103" s="387"/>
      <c r="XU103" s="387"/>
      <c r="XV103" s="387"/>
      <c r="XW103" s="387"/>
      <c r="XX103" s="387"/>
      <c r="XY103" s="387"/>
      <c r="XZ103" s="387"/>
      <c r="YA103" s="387"/>
      <c r="YB103" s="387"/>
      <c r="YC103" s="387"/>
      <c r="YD103" s="387"/>
      <c r="YE103" s="387"/>
      <c r="YF103" s="387"/>
      <c r="YG103" s="387"/>
      <c r="YH103" s="387"/>
      <c r="YI103" s="387"/>
      <c r="YJ103" s="387"/>
      <c r="YK103" s="387"/>
      <c r="YL103" s="387"/>
      <c r="YM103" s="387"/>
      <c r="YN103" s="387"/>
      <c r="YO103" s="387"/>
      <c r="YP103" s="387"/>
      <c r="YQ103" s="387"/>
      <c r="YR103" s="387"/>
      <c r="YS103" s="387"/>
      <c r="YT103" s="387"/>
      <c r="YU103" s="387"/>
      <c r="YV103" s="387"/>
      <c r="YW103" s="387"/>
      <c r="YX103" s="387"/>
      <c r="YY103" s="387"/>
      <c r="YZ103" s="387"/>
      <c r="ZA103" s="387"/>
      <c r="ZB103" s="387"/>
      <c r="ZC103" s="387"/>
      <c r="ZD103" s="387"/>
      <c r="ZE103" s="387"/>
      <c r="ZF103" s="387"/>
      <c r="ZG103" s="387"/>
      <c r="ZH103" s="387"/>
      <c r="ZI103" s="387"/>
      <c r="ZJ103" s="387"/>
      <c r="ZK103" s="387"/>
      <c r="ZL103" s="387"/>
      <c r="ZM103" s="387"/>
      <c r="ZN103" s="387"/>
      <c r="ZO103" s="387"/>
      <c r="ZP103" s="387"/>
      <c r="ZQ103" s="387"/>
      <c r="ZR103" s="387"/>
      <c r="ZS103" s="387"/>
      <c r="ZT103" s="387"/>
      <c r="ZU103" s="387"/>
      <c r="ZV103" s="387"/>
      <c r="ZW103" s="387"/>
      <c r="ZX103" s="387"/>
      <c r="ZY103" s="387"/>
      <c r="ZZ103" s="387"/>
      <c r="AAA103" s="387"/>
      <c r="AAB103" s="387"/>
      <c r="AAC103" s="387"/>
      <c r="AAD103" s="387"/>
      <c r="AAE103" s="387"/>
      <c r="AAF103" s="387"/>
      <c r="AAG103" s="387"/>
      <c r="AAH103" s="387"/>
      <c r="AAI103" s="387"/>
      <c r="AAJ103" s="387"/>
      <c r="AAK103" s="387"/>
      <c r="AAL103" s="387"/>
      <c r="AAM103" s="387"/>
      <c r="AAN103" s="387"/>
      <c r="AAO103" s="387"/>
      <c r="AAP103" s="387"/>
      <c r="AAQ103" s="387"/>
      <c r="AAR103" s="387"/>
      <c r="AAS103" s="387"/>
      <c r="AAT103" s="387"/>
      <c r="AAU103" s="387"/>
      <c r="AAV103" s="387"/>
      <c r="AAW103" s="387"/>
      <c r="AAX103" s="387"/>
      <c r="AAY103" s="387"/>
      <c r="AAZ103" s="387"/>
      <c r="ABA103" s="387"/>
      <c r="ABB103" s="387"/>
      <c r="ABC103" s="387"/>
      <c r="ABD103" s="387"/>
      <c r="ABE103" s="387"/>
      <c r="ABF103" s="387"/>
      <c r="ABG103" s="387"/>
      <c r="ABH103" s="387"/>
      <c r="ABI103" s="387"/>
      <c r="ABJ103" s="387"/>
      <c r="ABK103" s="387"/>
      <c r="ABL103" s="387"/>
      <c r="ABM103" s="387"/>
      <c r="ABN103" s="387"/>
      <c r="ABO103" s="387"/>
      <c r="ABP103" s="387"/>
      <c r="ABQ103" s="387"/>
      <c r="ABR103" s="387"/>
      <c r="ABS103" s="387"/>
      <c r="ABT103" s="387"/>
      <c r="ABU103" s="387"/>
      <c r="ABV103" s="387"/>
      <c r="ABW103" s="387"/>
      <c r="ABX103" s="387"/>
      <c r="ABY103" s="387"/>
      <c r="ABZ103" s="387"/>
      <c r="ACA103" s="387"/>
      <c r="ACB103" s="387"/>
      <c r="ACC103" s="387"/>
      <c r="ACD103" s="387"/>
      <c r="ACE103" s="387"/>
      <c r="ACF103" s="387"/>
      <c r="ACG103" s="387"/>
      <c r="ACH103" s="387"/>
      <c r="ACI103" s="387"/>
      <c r="ACJ103" s="387"/>
      <c r="ACK103" s="387"/>
      <c r="ACL103" s="387"/>
      <c r="ACM103" s="387"/>
      <c r="ACN103" s="387"/>
      <c r="ACO103" s="387"/>
      <c r="ACP103" s="387"/>
      <c r="ACQ103" s="387"/>
      <c r="ACR103" s="387"/>
      <c r="ACS103" s="387"/>
      <c r="ACT103" s="387"/>
      <c r="ACU103" s="387"/>
      <c r="ACV103" s="387"/>
      <c r="ACW103" s="387"/>
      <c r="ACX103" s="387"/>
      <c r="ACY103" s="387"/>
      <c r="ACZ103" s="387"/>
      <c r="ADA103" s="387"/>
      <c r="ADB103" s="387"/>
      <c r="ADC103" s="387"/>
      <c r="ADD103" s="387"/>
      <c r="ADE103" s="387"/>
      <c r="ADF103" s="387"/>
      <c r="ADG103" s="387"/>
      <c r="ADH103" s="387"/>
      <c r="ADI103" s="387"/>
      <c r="ADJ103" s="387"/>
      <c r="ADK103" s="387"/>
      <c r="ADL103" s="387"/>
      <c r="ADM103" s="387"/>
      <c r="ADN103" s="387"/>
      <c r="ADO103" s="387"/>
      <c r="ADP103" s="387"/>
      <c r="ADQ103" s="387"/>
      <c r="ADR103" s="387"/>
      <c r="ADS103" s="387"/>
      <c r="ADT103" s="387"/>
      <c r="ADU103" s="387"/>
      <c r="ADV103" s="387"/>
      <c r="ADW103" s="387"/>
      <c r="ADX103" s="387"/>
      <c r="ADY103" s="387"/>
      <c r="ADZ103" s="387"/>
      <c r="AEA103" s="387"/>
      <c r="AEB103" s="387"/>
      <c r="AEC103" s="387"/>
      <c r="AED103" s="387"/>
      <c r="AEE103" s="387"/>
      <c r="AEF103" s="387"/>
      <c r="AEG103" s="387"/>
      <c r="AEH103" s="387"/>
      <c r="AEI103" s="387"/>
      <c r="AEJ103" s="387"/>
      <c r="AEK103" s="387"/>
      <c r="AEL103" s="387"/>
      <c r="AEM103" s="387"/>
      <c r="AEN103" s="387"/>
      <c r="AEO103" s="387"/>
      <c r="AEP103" s="387"/>
      <c r="AEQ103" s="387"/>
      <c r="AER103" s="387"/>
      <c r="AES103" s="387"/>
      <c r="AET103" s="387"/>
      <c r="AEU103" s="387"/>
      <c r="AEV103" s="387"/>
      <c r="AEW103" s="387"/>
      <c r="AEX103" s="387"/>
      <c r="AEY103" s="387"/>
      <c r="AEZ103" s="387"/>
      <c r="AFA103" s="387"/>
      <c r="AFB103" s="387"/>
      <c r="AFC103" s="387"/>
      <c r="AFD103" s="387"/>
      <c r="AFE103" s="387"/>
      <c r="AFF103" s="387"/>
      <c r="AFG103" s="387"/>
      <c r="AFH103" s="387"/>
      <c r="AFI103" s="387"/>
      <c r="AFJ103" s="387"/>
      <c r="AFK103" s="387"/>
      <c r="AFL103" s="387"/>
      <c r="AFM103" s="387"/>
      <c r="AFN103" s="387"/>
      <c r="AFO103" s="387"/>
      <c r="AFP103" s="387"/>
      <c r="AFQ103" s="387"/>
      <c r="AFR103" s="387"/>
      <c r="AFS103" s="387"/>
      <c r="AFT103" s="387"/>
      <c r="AFU103" s="387"/>
      <c r="AFV103" s="387"/>
      <c r="AFW103" s="387"/>
      <c r="AFX103" s="387"/>
      <c r="AFY103" s="387"/>
      <c r="AFZ103" s="387"/>
      <c r="AGA103" s="387"/>
      <c r="AGB103" s="387"/>
      <c r="AGC103" s="387"/>
      <c r="AGD103" s="387"/>
      <c r="AGE103" s="387"/>
      <c r="AGF103" s="387"/>
      <c r="AGG103" s="387"/>
      <c r="AGH103" s="387"/>
      <c r="AGI103" s="387"/>
      <c r="AGJ103" s="387"/>
      <c r="AGK103" s="387"/>
      <c r="AGL103" s="387"/>
      <c r="AGM103" s="387"/>
      <c r="AGN103" s="387"/>
      <c r="AGO103" s="387"/>
      <c r="AGP103" s="387"/>
      <c r="AGQ103" s="387"/>
      <c r="AGR103" s="387"/>
      <c r="AGS103" s="387"/>
      <c r="AGT103" s="387"/>
      <c r="AGU103" s="387"/>
      <c r="AGV103" s="387"/>
      <c r="AGW103" s="387"/>
      <c r="AGX103" s="387"/>
      <c r="AGY103" s="387"/>
      <c r="AGZ103" s="387"/>
      <c r="AHA103" s="387"/>
      <c r="AHB103" s="387"/>
      <c r="AHC103" s="387"/>
      <c r="AHD103" s="387"/>
      <c r="AHE103" s="387"/>
      <c r="AHF103" s="387"/>
      <c r="AHG103" s="387"/>
      <c r="AHH103" s="387"/>
      <c r="AHI103" s="387"/>
      <c r="AHJ103" s="387"/>
      <c r="AHK103" s="387"/>
      <c r="AHL103" s="387"/>
      <c r="AHM103" s="387"/>
      <c r="AHN103" s="387"/>
      <c r="AHO103" s="387"/>
      <c r="AHP103" s="387"/>
      <c r="AHQ103" s="387"/>
      <c r="AHR103" s="387"/>
      <c r="AHS103" s="387"/>
      <c r="AHT103" s="387"/>
      <c r="AHU103" s="387"/>
      <c r="AHV103" s="387"/>
      <c r="AHW103" s="387"/>
      <c r="AHX103" s="387"/>
      <c r="AHY103" s="387"/>
      <c r="AHZ103" s="387"/>
      <c r="AIA103" s="387"/>
      <c r="AIB103" s="387"/>
      <c r="AIC103" s="387"/>
      <c r="AID103" s="387"/>
      <c r="AIE103" s="387"/>
      <c r="AIF103" s="387"/>
      <c r="AIG103" s="387"/>
      <c r="AIH103" s="387"/>
      <c r="AII103" s="387"/>
      <c r="AIJ103" s="387"/>
      <c r="AIK103" s="387"/>
      <c r="AIL103" s="387"/>
      <c r="AIM103" s="387"/>
      <c r="AIN103" s="387"/>
      <c r="AIO103" s="387"/>
      <c r="AIP103" s="387"/>
      <c r="AIQ103" s="387"/>
      <c r="AIR103" s="387"/>
      <c r="AIS103" s="387"/>
      <c r="AIT103" s="387"/>
      <c r="AIU103" s="387"/>
      <c r="AIV103" s="387"/>
      <c r="AIW103" s="387"/>
      <c r="AIX103" s="387"/>
      <c r="AIY103" s="387"/>
      <c r="AIZ103" s="387"/>
      <c r="AJA103" s="387"/>
      <c r="AJB103" s="387"/>
      <c r="AJC103" s="387"/>
      <c r="AJD103" s="387"/>
      <c r="AJE103" s="387"/>
      <c r="AJF103" s="387"/>
      <c r="AJG103" s="387"/>
      <c r="AJH103" s="387"/>
      <c r="AJI103" s="387"/>
      <c r="AJJ103" s="387"/>
      <c r="AJK103" s="387"/>
      <c r="AJL103" s="387"/>
      <c r="AJM103" s="387"/>
      <c r="AJN103" s="387"/>
      <c r="AJO103" s="387"/>
      <c r="AJP103" s="387"/>
      <c r="AJQ103" s="387"/>
      <c r="AJR103" s="387"/>
      <c r="AJS103" s="387"/>
      <c r="AJT103" s="387"/>
      <c r="AJU103" s="387"/>
      <c r="AJV103" s="387"/>
      <c r="AJW103" s="387"/>
      <c r="AJX103" s="387"/>
      <c r="AJY103" s="387"/>
      <c r="AJZ103" s="387"/>
      <c r="AKA103" s="387"/>
      <c r="AKB103" s="387"/>
      <c r="AKC103" s="387"/>
      <c r="AKD103" s="387"/>
      <c r="AKE103" s="387"/>
      <c r="AKF103" s="387"/>
      <c r="AKG103" s="387"/>
      <c r="AKH103" s="387"/>
      <c r="AKI103" s="387"/>
      <c r="AKJ103" s="387"/>
      <c r="AKK103" s="387"/>
      <c r="AKL103" s="387"/>
      <c r="AKM103" s="387"/>
      <c r="AKN103" s="387"/>
      <c r="AKO103" s="387"/>
      <c r="AKP103" s="387"/>
      <c r="AKQ103" s="387"/>
      <c r="AKR103" s="387"/>
      <c r="AKS103" s="387"/>
      <c r="AKT103" s="387"/>
      <c r="AKU103" s="387"/>
      <c r="AKV103" s="387"/>
      <c r="AKW103" s="387"/>
      <c r="AKX103" s="387"/>
      <c r="AKY103" s="387"/>
      <c r="AKZ103" s="387"/>
      <c r="ALA103" s="387"/>
      <c r="ALB103" s="387"/>
      <c r="ALC103" s="387"/>
      <c r="ALD103" s="387"/>
      <c r="ALE103" s="387"/>
      <c r="ALF103" s="387"/>
      <c r="ALG103" s="387"/>
      <c r="ALH103" s="387"/>
      <c r="ALI103" s="387"/>
      <c r="ALJ103" s="387"/>
      <c r="ALK103" s="387"/>
      <c r="ALL103" s="387"/>
      <c r="ALM103" s="387"/>
      <c r="ALN103" s="387"/>
      <c r="ALO103" s="387"/>
      <c r="ALP103" s="387"/>
      <c r="ALQ103" s="387"/>
      <c r="ALR103" s="387"/>
      <c r="ALS103" s="387"/>
      <c r="ALT103" s="387"/>
      <c r="ALU103" s="387"/>
      <c r="ALV103" s="387"/>
      <c r="ALW103" s="387"/>
      <c r="ALX103" s="387"/>
      <c r="ALY103" s="387"/>
      <c r="ALZ103" s="387"/>
      <c r="AMA103" s="387"/>
      <c r="AMB103" s="387"/>
      <c r="AMC103" s="387"/>
      <c r="AMD103" s="387"/>
      <c r="AME103" s="387"/>
      <c r="AMF103" s="387"/>
      <c r="AMG103" s="387"/>
      <c r="AMH103" s="387"/>
      <c r="AMI103" s="387"/>
      <c r="AMJ103" s="387"/>
      <c r="AMK103" s="387"/>
      <c r="AML103" s="387"/>
      <c r="AMM103" s="387"/>
      <c r="AMN103" s="387"/>
      <c r="AMO103" s="387"/>
      <c r="AMP103" s="387"/>
      <c r="AMQ103" s="387"/>
      <c r="AMR103" s="387"/>
      <c r="AMS103" s="387"/>
      <c r="AMT103" s="387"/>
      <c r="AMU103" s="387"/>
      <c r="AMV103" s="387"/>
      <c r="AMW103" s="387"/>
      <c r="AMX103" s="387"/>
      <c r="AMY103" s="387"/>
      <c r="AMZ103" s="387"/>
      <c r="ANA103" s="387"/>
      <c r="ANB103" s="387"/>
      <c r="ANC103" s="387"/>
      <c r="AND103" s="387"/>
      <c r="ANE103" s="387"/>
      <c r="ANF103" s="387"/>
      <c r="ANG103" s="387"/>
      <c r="ANH103" s="387"/>
      <c r="ANI103" s="387"/>
      <c r="ANJ103" s="387"/>
      <c r="ANK103" s="387"/>
      <c r="ANL103" s="387"/>
      <c r="ANM103" s="387"/>
      <c r="ANN103" s="387"/>
      <c r="ANO103" s="387"/>
      <c r="ANP103" s="387"/>
      <c r="ANQ103" s="387"/>
      <c r="ANR103" s="387"/>
      <c r="ANS103" s="387"/>
      <c r="ANT103" s="387"/>
      <c r="ANU103" s="387"/>
      <c r="ANV103" s="387"/>
      <c r="ANW103" s="387"/>
      <c r="ANX103" s="387"/>
      <c r="ANY103" s="387"/>
      <c r="ANZ103" s="387"/>
      <c r="AOA103" s="387"/>
      <c r="AOB103" s="387"/>
      <c r="AOC103" s="387"/>
      <c r="AOD103" s="387"/>
      <c r="AOE103" s="387"/>
      <c r="AOF103" s="387"/>
      <c r="AOG103" s="387"/>
      <c r="AOH103" s="387"/>
      <c r="AOI103" s="387"/>
      <c r="AOJ103" s="387"/>
      <c r="AOK103" s="387"/>
      <c r="AOL103" s="387"/>
      <c r="AOM103" s="387"/>
      <c r="AON103" s="387"/>
      <c r="AOO103" s="387"/>
      <c r="AOP103" s="387"/>
      <c r="AOQ103" s="387"/>
      <c r="AOR103" s="387"/>
      <c r="AOS103" s="387"/>
      <c r="AOT103" s="387"/>
      <c r="AOU103" s="387"/>
      <c r="AOV103" s="387"/>
      <c r="AOW103" s="387"/>
      <c r="AOX103" s="387"/>
      <c r="AOY103" s="387"/>
      <c r="AOZ103" s="387"/>
      <c r="APA103" s="387"/>
      <c r="APB103" s="387"/>
      <c r="APC103" s="387"/>
      <c r="APD103" s="387"/>
      <c r="APE103" s="387"/>
      <c r="APF103" s="387"/>
      <c r="APG103" s="387"/>
      <c r="APH103" s="387"/>
      <c r="API103" s="387"/>
      <c r="APJ103" s="387"/>
      <c r="APK103" s="387"/>
      <c r="APL103" s="387"/>
      <c r="APM103" s="387"/>
      <c r="APN103" s="387"/>
      <c r="APO103" s="387"/>
      <c r="APP103" s="387"/>
      <c r="APQ103" s="387"/>
      <c r="APR103" s="387"/>
      <c r="APS103" s="387"/>
      <c r="APT103" s="387"/>
      <c r="APU103" s="387"/>
      <c r="APV103" s="387"/>
      <c r="APW103" s="387"/>
      <c r="APX103" s="387"/>
      <c r="APY103" s="387"/>
      <c r="APZ103" s="387"/>
      <c r="AQA103" s="387"/>
      <c r="AQB103" s="387"/>
      <c r="AQC103" s="387"/>
      <c r="AQD103" s="387"/>
      <c r="AQE103" s="387"/>
      <c r="AQF103" s="387"/>
      <c r="AQG103" s="387"/>
      <c r="AQH103" s="387"/>
      <c r="AQI103" s="387"/>
      <c r="AQJ103" s="387"/>
      <c r="AQK103" s="387"/>
      <c r="AQL103" s="387"/>
      <c r="AQM103" s="387"/>
      <c r="AQN103" s="387"/>
      <c r="AQO103" s="387"/>
      <c r="AQP103" s="387"/>
      <c r="AQQ103" s="387"/>
      <c r="AQR103" s="387"/>
      <c r="AQS103" s="387"/>
      <c r="AQT103" s="387"/>
      <c r="AQU103" s="387"/>
      <c r="AQV103" s="387"/>
      <c r="AQW103" s="387"/>
      <c r="AQX103" s="387"/>
      <c r="AQY103" s="387"/>
      <c r="AQZ103" s="387"/>
      <c r="ARA103" s="387"/>
      <c r="ARB103" s="387"/>
      <c r="ARC103" s="387"/>
      <c r="ARD103" s="387"/>
      <c r="ARE103" s="387"/>
      <c r="ARF103" s="387"/>
      <c r="ARG103" s="387"/>
      <c r="ARH103" s="387"/>
      <c r="ARI103" s="387"/>
      <c r="ARJ103" s="387"/>
      <c r="ARK103" s="387"/>
      <c r="ARL103" s="387"/>
      <c r="ARM103" s="387"/>
      <c r="ARN103" s="387"/>
      <c r="ARO103" s="387"/>
      <c r="ARP103" s="387"/>
      <c r="ARQ103" s="387"/>
      <c r="ARR103" s="387"/>
      <c r="ARS103" s="387"/>
      <c r="ART103" s="387"/>
      <c r="ARU103" s="387"/>
      <c r="ARV103" s="387"/>
      <c r="ARW103" s="387"/>
      <c r="ARX103" s="387"/>
      <c r="ARY103" s="387"/>
      <c r="ARZ103" s="387"/>
      <c r="ASA103" s="387"/>
      <c r="ASB103" s="387"/>
      <c r="ASC103" s="387"/>
      <c r="ASD103" s="387"/>
      <c r="ASE103" s="387"/>
      <c r="ASF103" s="387"/>
      <c r="ASG103" s="387"/>
      <c r="ASH103" s="387"/>
      <c r="ASI103" s="387"/>
      <c r="ASJ103" s="387"/>
      <c r="ASK103" s="387"/>
      <c r="ASL103" s="387"/>
      <c r="ASM103" s="387"/>
      <c r="ASN103" s="387"/>
      <c r="ASO103" s="387"/>
      <c r="ASP103" s="387"/>
      <c r="ASQ103" s="387"/>
      <c r="ASR103" s="387"/>
      <c r="ASS103" s="387"/>
      <c r="AST103" s="387"/>
      <c r="ASU103" s="387"/>
      <c r="ASV103" s="387"/>
      <c r="ASW103" s="387"/>
      <c r="ASX103" s="387"/>
      <c r="ASY103" s="387"/>
      <c r="ASZ103" s="387"/>
      <c r="ATA103" s="387"/>
      <c r="ATB103" s="387"/>
      <c r="ATC103" s="387"/>
      <c r="ATD103" s="387"/>
      <c r="ATE103" s="387"/>
      <c r="ATF103" s="387"/>
      <c r="ATG103" s="387"/>
      <c r="ATH103" s="387"/>
      <c r="ATI103" s="387"/>
      <c r="ATJ103" s="387"/>
      <c r="ATK103" s="387"/>
      <c r="ATL103" s="387"/>
      <c r="ATM103" s="387"/>
      <c r="ATN103" s="387"/>
      <c r="ATO103" s="387"/>
      <c r="ATP103" s="387"/>
      <c r="ATQ103" s="387"/>
      <c r="ATR103" s="387"/>
      <c r="ATS103" s="387"/>
      <c r="ATT103" s="387"/>
      <c r="ATU103" s="387"/>
      <c r="ATV103" s="387"/>
      <c r="ATW103" s="387"/>
      <c r="ATX103" s="387"/>
      <c r="ATY103" s="387"/>
      <c r="ATZ103" s="387"/>
      <c r="AUA103" s="387"/>
      <c r="AUB103" s="387"/>
      <c r="AUC103" s="387"/>
      <c r="AUD103" s="387"/>
      <c r="AUE103" s="387"/>
      <c r="AUF103" s="387"/>
      <c r="AUG103" s="387"/>
      <c r="AUH103" s="387"/>
      <c r="AUI103" s="387"/>
      <c r="AUJ103" s="387"/>
      <c r="AUK103" s="387"/>
      <c r="AUL103" s="387"/>
      <c r="AUM103" s="387"/>
      <c r="AUN103" s="387"/>
      <c r="AUO103" s="387"/>
      <c r="AUP103" s="387"/>
      <c r="AUQ103" s="387"/>
      <c r="AUR103" s="387"/>
      <c r="AUS103" s="387"/>
      <c r="AUT103" s="387"/>
      <c r="AUU103" s="387"/>
      <c r="AUV103" s="387"/>
      <c r="AUW103" s="387"/>
      <c r="AUX103" s="387"/>
      <c r="AUY103" s="387"/>
      <c r="AUZ103" s="387"/>
      <c r="AVA103" s="387"/>
      <c r="AVB103" s="387"/>
      <c r="AVC103" s="387"/>
      <c r="AVD103" s="387"/>
      <c r="AVE103" s="387"/>
      <c r="AVF103" s="387"/>
      <c r="AVG103" s="387"/>
      <c r="AVH103" s="387"/>
      <c r="AVI103" s="387"/>
      <c r="AVJ103" s="387"/>
      <c r="AVK103" s="387"/>
      <c r="AVL103" s="387"/>
      <c r="AVM103" s="387"/>
      <c r="AVN103" s="387"/>
      <c r="AVO103" s="387"/>
      <c r="AVP103" s="387"/>
      <c r="AVQ103" s="387"/>
      <c r="AVR103" s="387"/>
      <c r="AVS103" s="387"/>
      <c r="AVT103" s="387"/>
      <c r="AVU103" s="387"/>
      <c r="AVV103" s="387"/>
      <c r="AVW103" s="387"/>
      <c r="AVX103" s="387"/>
      <c r="AVY103" s="387"/>
      <c r="AVZ103" s="387"/>
      <c r="AWA103" s="387"/>
      <c r="AWB103" s="387"/>
      <c r="AWC103" s="387"/>
      <c r="AWD103" s="387"/>
      <c r="AWE103" s="387"/>
      <c r="AWF103" s="387"/>
      <c r="AWG103" s="387"/>
      <c r="AWH103" s="387"/>
      <c r="AWI103" s="387"/>
      <c r="AWJ103" s="387"/>
      <c r="AWK103" s="387"/>
      <c r="AWL103" s="387"/>
      <c r="AWM103" s="387"/>
      <c r="AWN103" s="387"/>
      <c r="AWO103" s="387"/>
      <c r="AWP103" s="387"/>
      <c r="AWQ103" s="387"/>
      <c r="AWR103" s="387"/>
      <c r="AWS103" s="387"/>
      <c r="AWT103" s="387"/>
      <c r="AWU103" s="387"/>
      <c r="AWV103" s="387"/>
      <c r="AWW103" s="387"/>
      <c r="AWX103" s="387"/>
      <c r="AWY103" s="387"/>
      <c r="AWZ103" s="387"/>
      <c r="AXA103" s="387"/>
      <c r="AXB103" s="387"/>
      <c r="AXC103" s="387"/>
      <c r="AXD103" s="387"/>
      <c r="AXE103" s="387"/>
      <c r="AXF103" s="387"/>
      <c r="AXG103" s="387"/>
      <c r="AXH103" s="387"/>
      <c r="AXI103" s="387"/>
      <c r="AXJ103" s="387"/>
      <c r="AXK103" s="387"/>
      <c r="AXL103" s="387"/>
      <c r="AXM103" s="387"/>
      <c r="AXN103" s="387"/>
      <c r="AXO103" s="387"/>
      <c r="AXP103" s="387"/>
      <c r="AXQ103" s="387"/>
      <c r="AXR103" s="387"/>
      <c r="AXS103" s="387"/>
      <c r="AXT103" s="387"/>
      <c r="AXU103" s="387"/>
      <c r="AXV103" s="387"/>
      <c r="AXW103" s="387"/>
      <c r="AXX103" s="387"/>
      <c r="AXY103" s="387"/>
      <c r="AXZ103" s="387"/>
      <c r="AYA103" s="387"/>
      <c r="AYB103" s="387"/>
      <c r="AYC103" s="387"/>
      <c r="AYD103" s="387"/>
      <c r="AYE103" s="387"/>
      <c r="AYF103" s="387"/>
      <c r="AYG103" s="387"/>
      <c r="AYH103" s="387"/>
      <c r="AYI103" s="387"/>
      <c r="AYJ103" s="387"/>
      <c r="AYK103" s="387"/>
      <c r="AYL103" s="387"/>
      <c r="AYM103" s="387"/>
      <c r="AYN103" s="387"/>
      <c r="AYO103" s="387"/>
      <c r="AYP103" s="387"/>
      <c r="AYQ103" s="387"/>
      <c r="AYR103" s="387"/>
      <c r="AYS103" s="387"/>
      <c r="AYT103" s="387"/>
      <c r="AYU103" s="387"/>
      <c r="AYV103" s="387"/>
      <c r="AYW103" s="387"/>
      <c r="AYX103" s="387"/>
      <c r="AYY103" s="387"/>
      <c r="AYZ103" s="387"/>
      <c r="AZA103" s="387"/>
      <c r="AZB103" s="387"/>
      <c r="AZC103" s="387"/>
      <c r="AZD103" s="387"/>
      <c r="AZE103" s="387"/>
      <c r="AZF103" s="387"/>
      <c r="AZG103" s="387"/>
      <c r="AZH103" s="387"/>
      <c r="AZI103" s="387"/>
      <c r="AZJ103" s="387"/>
      <c r="AZK103" s="387"/>
      <c r="AZL103" s="387"/>
      <c r="AZM103" s="387"/>
      <c r="AZN103" s="387"/>
      <c r="AZO103" s="387"/>
      <c r="AZP103" s="387"/>
      <c r="AZQ103" s="387"/>
      <c r="AZR103" s="387"/>
      <c r="AZS103" s="387"/>
      <c r="AZT103" s="387"/>
      <c r="AZU103" s="387"/>
      <c r="AZV103" s="387"/>
      <c r="AZW103" s="387"/>
      <c r="AZX103" s="387"/>
      <c r="AZY103" s="387"/>
      <c r="AZZ103" s="387"/>
      <c r="BAA103" s="387"/>
      <c r="BAB103" s="387"/>
      <c r="BAC103" s="387"/>
      <c r="BAD103" s="387"/>
      <c r="BAE103" s="387"/>
      <c r="BAF103" s="387"/>
      <c r="BAG103" s="387"/>
      <c r="BAH103" s="387"/>
      <c r="BAI103" s="387"/>
      <c r="BAJ103" s="387"/>
      <c r="BAK103" s="387"/>
      <c r="BAL103" s="387"/>
      <c r="BAM103" s="387"/>
      <c r="BAN103" s="387"/>
      <c r="BAO103" s="387"/>
      <c r="BAP103" s="387"/>
      <c r="BAQ103" s="387"/>
      <c r="BAR103" s="387"/>
      <c r="BAS103" s="387"/>
      <c r="BAT103" s="387"/>
      <c r="BAU103" s="387"/>
      <c r="BAV103" s="387"/>
      <c r="BAW103" s="387"/>
      <c r="BAX103" s="387"/>
      <c r="BAY103" s="387"/>
      <c r="BAZ103" s="387"/>
      <c r="BBA103" s="387"/>
      <c r="BBB103" s="387"/>
      <c r="BBC103" s="387"/>
      <c r="BBD103" s="387"/>
      <c r="BBE103" s="387"/>
      <c r="BBF103" s="387"/>
      <c r="BBG103" s="387"/>
      <c r="BBH103" s="387"/>
      <c r="BBI103" s="387"/>
      <c r="BBJ103" s="387"/>
      <c r="BBK103" s="387"/>
      <c r="BBL103" s="387"/>
      <c r="BBM103" s="387"/>
      <c r="BBN103" s="387"/>
      <c r="BBO103" s="387"/>
      <c r="BBP103" s="387"/>
      <c r="BBQ103" s="387"/>
      <c r="BBR103" s="387"/>
      <c r="BBS103" s="387"/>
      <c r="BBT103" s="387"/>
      <c r="BBU103" s="387"/>
      <c r="BBV103" s="387"/>
      <c r="BBW103" s="387"/>
      <c r="BBX103" s="387"/>
      <c r="BBY103" s="387"/>
      <c r="BBZ103" s="387"/>
      <c r="BCA103" s="387"/>
      <c r="BCB103" s="387"/>
      <c r="BCC103" s="387"/>
      <c r="BCD103" s="387"/>
      <c r="BCE103" s="387"/>
      <c r="BCF103" s="387"/>
      <c r="BCG103" s="387"/>
      <c r="BCH103" s="387"/>
      <c r="BCI103" s="387"/>
      <c r="BCJ103" s="387"/>
      <c r="BCK103" s="387"/>
      <c r="BCL103" s="387"/>
      <c r="BCM103" s="387"/>
      <c r="BCN103" s="387"/>
      <c r="BCO103" s="387"/>
      <c r="BCP103" s="387"/>
      <c r="BCQ103" s="387"/>
      <c r="BCR103" s="387"/>
      <c r="BCS103" s="387"/>
      <c r="BCT103" s="387"/>
      <c r="BCU103" s="387"/>
      <c r="BCV103" s="387"/>
      <c r="BCW103" s="387"/>
      <c r="BCX103" s="387"/>
      <c r="BCY103" s="387"/>
      <c r="BCZ103" s="387"/>
      <c r="BDA103" s="387"/>
      <c r="BDB103" s="387"/>
      <c r="BDC103" s="387"/>
      <c r="BDD103" s="387"/>
      <c r="BDE103" s="387"/>
      <c r="BDF103" s="387"/>
      <c r="BDG103" s="387"/>
      <c r="BDH103" s="387"/>
      <c r="BDI103" s="387"/>
      <c r="BDJ103" s="387"/>
      <c r="BDK103" s="387"/>
      <c r="BDL103" s="387"/>
      <c r="BDM103" s="387"/>
      <c r="BDN103" s="387"/>
      <c r="BDO103" s="387"/>
      <c r="BDP103" s="387"/>
      <c r="BDQ103" s="387"/>
      <c r="BDR103" s="387"/>
      <c r="BDS103" s="387"/>
      <c r="BDT103" s="387"/>
      <c r="BDU103" s="387"/>
      <c r="BDV103" s="387"/>
      <c r="BDW103" s="387"/>
      <c r="BDX103" s="387"/>
      <c r="BDY103" s="387"/>
      <c r="BDZ103" s="387"/>
      <c r="BEA103" s="387"/>
      <c r="BEB103" s="387"/>
      <c r="BEC103" s="387"/>
      <c r="BED103" s="387"/>
      <c r="BEE103" s="387"/>
      <c r="BEF103" s="387"/>
      <c r="BEG103" s="387"/>
      <c r="BEH103" s="387"/>
      <c r="BEI103" s="387"/>
      <c r="BEJ103" s="387"/>
      <c r="BEK103" s="387"/>
      <c r="BEL103" s="387"/>
      <c r="BEM103" s="387"/>
      <c r="BEN103" s="387"/>
      <c r="BEO103" s="387"/>
      <c r="BEP103" s="387"/>
      <c r="BEQ103" s="387"/>
      <c r="BER103" s="387"/>
      <c r="BES103" s="387"/>
      <c r="BET103" s="387"/>
      <c r="BEU103" s="387"/>
      <c r="BEV103" s="387"/>
      <c r="BEW103" s="387"/>
      <c r="BEX103" s="387"/>
      <c r="BEY103" s="387"/>
      <c r="BEZ103" s="387"/>
      <c r="BFA103" s="387"/>
      <c r="BFB103" s="387"/>
      <c r="BFC103" s="387"/>
      <c r="BFD103" s="387"/>
      <c r="BFE103" s="387"/>
      <c r="BFF103" s="387"/>
      <c r="BFG103" s="387"/>
      <c r="BFH103" s="387"/>
      <c r="BFI103" s="387"/>
      <c r="BFJ103" s="387"/>
      <c r="BFK103" s="387"/>
      <c r="BFL103" s="387"/>
      <c r="BFM103" s="387"/>
      <c r="BFN103" s="387"/>
      <c r="BFO103" s="387"/>
      <c r="BFP103" s="387"/>
      <c r="BFQ103" s="387"/>
      <c r="BFR103" s="387"/>
      <c r="BFS103" s="387"/>
      <c r="BFT103" s="387"/>
      <c r="BFU103" s="387"/>
      <c r="BFV103" s="387"/>
      <c r="BFW103" s="387"/>
      <c r="BFX103" s="387"/>
      <c r="BFY103" s="387"/>
      <c r="BFZ103" s="387"/>
      <c r="BGA103" s="387"/>
      <c r="BGB103" s="387"/>
      <c r="BGC103" s="387"/>
      <c r="BGD103" s="387"/>
      <c r="BGE103" s="387"/>
      <c r="BGF103" s="387"/>
      <c r="BGG103" s="387"/>
      <c r="BGH103" s="387"/>
      <c r="BGI103" s="387"/>
      <c r="BGJ103" s="387"/>
      <c r="BGK103" s="387"/>
      <c r="BGL103" s="387"/>
      <c r="BGM103" s="387"/>
      <c r="BGN103" s="387"/>
      <c r="BGO103" s="387"/>
      <c r="BGP103" s="387"/>
      <c r="BGQ103" s="387"/>
      <c r="BGR103" s="387"/>
      <c r="BGS103" s="387"/>
      <c r="BGT103" s="387"/>
      <c r="BGU103" s="387"/>
      <c r="BGV103" s="387"/>
      <c r="BGW103" s="387"/>
      <c r="BGX103" s="387"/>
      <c r="BGY103" s="387"/>
      <c r="BGZ103" s="387"/>
      <c r="BHA103" s="387"/>
      <c r="BHB103" s="387"/>
      <c r="BHC103" s="387"/>
      <c r="BHD103" s="387"/>
      <c r="BHE103" s="387"/>
      <c r="BHF103" s="387"/>
      <c r="BHG103" s="387"/>
      <c r="BHH103" s="387"/>
      <c r="BHI103" s="387"/>
      <c r="BHJ103" s="387"/>
      <c r="BHK103" s="387"/>
      <c r="BHL103" s="387"/>
      <c r="BHM103" s="387"/>
      <c r="BHN103" s="387"/>
      <c r="BHO103" s="387"/>
      <c r="BHP103" s="387"/>
      <c r="BHQ103" s="387"/>
      <c r="BHR103" s="387"/>
      <c r="BHS103" s="387"/>
      <c r="BHT103" s="387"/>
      <c r="BHU103" s="387"/>
      <c r="BHV103" s="387"/>
      <c r="BHW103" s="387"/>
      <c r="BHX103" s="387"/>
      <c r="BHY103" s="387"/>
      <c r="BHZ103" s="387"/>
      <c r="BIA103" s="387"/>
      <c r="BIB103" s="387"/>
      <c r="BIC103" s="387"/>
      <c r="BID103" s="387"/>
      <c r="BIE103" s="387"/>
      <c r="BIF103" s="387"/>
      <c r="BIG103" s="387"/>
      <c r="BIH103" s="387"/>
      <c r="BII103" s="387"/>
      <c r="BIJ103" s="387"/>
      <c r="BIK103" s="387"/>
      <c r="BIL103" s="387"/>
      <c r="BIM103" s="387"/>
      <c r="BIN103" s="387"/>
      <c r="BIO103" s="387"/>
      <c r="BIP103" s="387"/>
      <c r="BIQ103" s="387"/>
      <c r="BIR103" s="387"/>
      <c r="BIS103" s="387"/>
      <c r="BIT103" s="387"/>
      <c r="BIU103" s="387"/>
      <c r="BIV103" s="387"/>
      <c r="BIW103" s="387"/>
      <c r="BIX103" s="387"/>
      <c r="BIY103" s="387"/>
      <c r="BIZ103" s="387"/>
      <c r="BJA103" s="387"/>
      <c r="BJB103" s="387"/>
      <c r="BJC103" s="387"/>
      <c r="BJD103" s="387"/>
      <c r="BJE103" s="387"/>
      <c r="BJF103" s="387"/>
      <c r="BJG103" s="387"/>
      <c r="BJH103" s="387"/>
      <c r="BJI103" s="387"/>
      <c r="BJJ103" s="387"/>
      <c r="BJK103" s="387"/>
      <c r="BJL103" s="387"/>
      <c r="BJM103" s="387"/>
      <c r="BJN103" s="387"/>
      <c r="BJO103" s="387"/>
      <c r="BJP103" s="387"/>
      <c r="BJQ103" s="387"/>
      <c r="BJR103" s="387"/>
      <c r="BJS103" s="387"/>
      <c r="BJT103" s="387"/>
      <c r="BJU103" s="387"/>
      <c r="BJV103" s="387"/>
      <c r="BJW103" s="387"/>
      <c r="BJX103" s="387"/>
      <c r="BJY103" s="387"/>
      <c r="BJZ103" s="387"/>
      <c r="BKA103" s="387"/>
      <c r="BKB103" s="387"/>
      <c r="BKC103" s="387"/>
      <c r="BKD103" s="387"/>
      <c r="BKE103" s="387"/>
      <c r="BKF103" s="387"/>
      <c r="BKG103" s="387"/>
      <c r="BKH103" s="387"/>
      <c r="BKI103" s="387"/>
      <c r="BKJ103" s="387"/>
      <c r="BKK103" s="387"/>
      <c r="BKL103" s="387"/>
      <c r="BKM103" s="387"/>
      <c r="BKN103" s="387"/>
      <c r="BKO103" s="387"/>
      <c r="BKP103" s="387"/>
      <c r="BKQ103" s="387"/>
      <c r="BKR103" s="387"/>
      <c r="BKS103" s="387"/>
      <c r="BKT103" s="387"/>
      <c r="BKU103" s="387"/>
      <c r="BKV103" s="387"/>
      <c r="BKW103" s="387"/>
      <c r="BKX103" s="387"/>
      <c r="BKY103" s="387"/>
      <c r="BKZ103" s="387"/>
      <c r="BLA103" s="387"/>
      <c r="BLB103" s="387"/>
      <c r="BLC103" s="387"/>
      <c r="BLD103" s="387"/>
      <c r="BLE103" s="387"/>
      <c r="BLF103" s="387"/>
      <c r="BLG103" s="387"/>
      <c r="BLH103" s="387"/>
      <c r="BLI103" s="387"/>
      <c r="BLJ103" s="387"/>
      <c r="BLK103" s="387"/>
      <c r="BLL103" s="387"/>
      <c r="BLM103" s="387"/>
      <c r="BLN103" s="387"/>
      <c r="BLO103" s="387"/>
      <c r="BLP103" s="387"/>
      <c r="BLQ103" s="387"/>
      <c r="BLR103" s="387"/>
      <c r="BLS103" s="387"/>
      <c r="BLT103" s="387"/>
      <c r="BLU103" s="387"/>
      <c r="BLV103" s="387"/>
      <c r="BLW103" s="387"/>
      <c r="BLX103" s="387"/>
      <c r="BLY103" s="387"/>
      <c r="BLZ103" s="387"/>
      <c r="BMA103" s="387"/>
      <c r="BMB103" s="387"/>
      <c r="BMC103" s="387"/>
      <c r="BMD103" s="387"/>
      <c r="BME103" s="387"/>
      <c r="BMF103" s="387"/>
      <c r="BMG103" s="387"/>
      <c r="BMH103" s="387"/>
      <c r="BMI103" s="387"/>
      <c r="BMJ103" s="387"/>
      <c r="BMK103" s="387"/>
      <c r="BML103" s="387"/>
      <c r="BMM103" s="387"/>
      <c r="BMN103" s="387"/>
      <c r="BMO103" s="387"/>
      <c r="BMP103" s="387"/>
      <c r="BMQ103" s="387"/>
      <c r="BMR103" s="387"/>
      <c r="BMS103" s="387"/>
      <c r="BMT103" s="387"/>
      <c r="BMU103" s="387"/>
      <c r="BMV103" s="387"/>
      <c r="BMW103" s="387"/>
      <c r="BMX103" s="387"/>
      <c r="BMY103" s="387"/>
      <c r="BMZ103" s="387"/>
      <c r="BNA103" s="387"/>
      <c r="BNB103" s="387"/>
      <c r="BNC103" s="387"/>
      <c r="BND103" s="387"/>
      <c r="BNE103" s="387"/>
      <c r="BNF103" s="387"/>
      <c r="BNG103" s="387"/>
      <c r="BNH103" s="387"/>
      <c r="BNI103" s="387"/>
      <c r="BNJ103" s="387"/>
      <c r="BNK103" s="387"/>
      <c r="BNL103" s="387"/>
      <c r="BNM103" s="387"/>
      <c r="BNN103" s="387"/>
      <c r="BNO103" s="387"/>
      <c r="BNP103" s="387"/>
      <c r="BNQ103" s="387"/>
      <c r="BNR103" s="387"/>
      <c r="BNS103" s="387"/>
      <c r="BNT103" s="387"/>
      <c r="BNU103" s="387"/>
      <c r="BNV103" s="387"/>
      <c r="BNW103" s="387"/>
      <c r="BNX103" s="387"/>
      <c r="BNY103" s="387"/>
      <c r="BNZ103" s="387"/>
      <c r="BOA103" s="387"/>
      <c r="BOB103" s="387"/>
      <c r="BOC103" s="387"/>
      <c r="BOD103" s="387"/>
      <c r="BOE103" s="387"/>
      <c r="BOF103" s="387"/>
      <c r="BOG103" s="387"/>
      <c r="BOH103" s="387"/>
      <c r="BOI103" s="387"/>
      <c r="BOJ103" s="387"/>
      <c r="BOK103" s="387"/>
      <c r="BOL103" s="387"/>
      <c r="BOM103" s="387"/>
      <c r="BON103" s="387"/>
      <c r="BOO103" s="387"/>
      <c r="BOP103" s="387"/>
      <c r="BOQ103" s="387"/>
      <c r="BOR103" s="387"/>
      <c r="BOS103" s="387"/>
      <c r="BOT103" s="387"/>
      <c r="BOU103" s="387"/>
      <c r="BOV103" s="387"/>
      <c r="BOW103" s="387"/>
      <c r="BOX103" s="387"/>
      <c r="BOY103" s="387"/>
      <c r="BOZ103" s="387"/>
      <c r="BPA103" s="387"/>
      <c r="BPB103" s="387"/>
      <c r="BPC103" s="387"/>
      <c r="BPD103" s="387"/>
      <c r="BPE103" s="387"/>
      <c r="BPF103" s="387"/>
      <c r="BPG103" s="387"/>
      <c r="BPH103" s="387"/>
      <c r="BPI103" s="387"/>
      <c r="BPJ103" s="387"/>
      <c r="BPK103" s="387"/>
      <c r="BPL103" s="387"/>
      <c r="BPM103" s="387"/>
      <c r="BPN103" s="387"/>
      <c r="BPO103" s="387"/>
      <c r="BPP103" s="387"/>
      <c r="BPQ103" s="387"/>
      <c r="BPR103" s="387"/>
      <c r="BPS103" s="387"/>
      <c r="BPT103" s="387"/>
      <c r="BPU103" s="387"/>
      <c r="BPV103" s="387"/>
      <c r="BPW103" s="387"/>
      <c r="BPX103" s="387"/>
      <c r="BPY103" s="387"/>
      <c r="BPZ103" s="387"/>
      <c r="BQA103" s="387"/>
      <c r="BQB103" s="387"/>
      <c r="BQC103" s="387"/>
      <c r="BQD103" s="387"/>
      <c r="BQE103" s="387"/>
      <c r="BQF103" s="387"/>
      <c r="BQG103" s="387"/>
      <c r="BQH103" s="387"/>
      <c r="BQI103" s="387"/>
      <c r="BQJ103" s="387"/>
      <c r="BQK103" s="387"/>
      <c r="BQL103" s="387"/>
      <c r="BQM103" s="387"/>
      <c r="BQN103" s="387"/>
      <c r="BQO103" s="387"/>
      <c r="BQP103" s="387"/>
      <c r="BQQ103" s="387"/>
      <c r="BQR103" s="387"/>
      <c r="BQS103" s="387"/>
      <c r="BQT103" s="387"/>
      <c r="BQU103" s="387"/>
      <c r="BQV103" s="387"/>
      <c r="BQW103" s="387"/>
      <c r="BQX103" s="387"/>
      <c r="BQY103" s="387"/>
      <c r="BQZ103" s="387"/>
      <c r="BRA103" s="387"/>
      <c r="BRB103" s="387"/>
      <c r="BRC103" s="387"/>
      <c r="BRD103" s="387"/>
      <c r="BRE103" s="387"/>
      <c r="BRF103" s="387"/>
      <c r="BRG103" s="387"/>
      <c r="BRH103" s="387"/>
      <c r="BRI103" s="387"/>
      <c r="BRJ103" s="387"/>
      <c r="BRK103" s="387"/>
      <c r="BRL103" s="387"/>
      <c r="BRM103" s="387"/>
      <c r="BRN103" s="387"/>
      <c r="BRO103" s="387"/>
      <c r="BRP103" s="387"/>
      <c r="BRQ103" s="387"/>
      <c r="BRR103" s="387"/>
      <c r="BRS103" s="387"/>
      <c r="BRT103" s="387"/>
      <c r="BRU103" s="387"/>
      <c r="BRV103" s="387"/>
      <c r="BRW103" s="387"/>
      <c r="BRX103" s="387"/>
      <c r="BRY103" s="387"/>
      <c r="BRZ103" s="387"/>
      <c r="BSA103" s="387"/>
      <c r="BSB103" s="387"/>
      <c r="BSC103" s="387"/>
      <c r="BSD103" s="387"/>
      <c r="BSE103" s="387"/>
      <c r="BSF103" s="387"/>
      <c r="BSG103" s="387"/>
      <c r="BSH103" s="387"/>
      <c r="BSI103" s="387"/>
      <c r="BSJ103" s="387"/>
      <c r="BSK103" s="387"/>
      <c r="BSL103" s="387"/>
      <c r="BSM103" s="387"/>
      <c r="BSN103" s="387"/>
      <c r="BSO103" s="387"/>
      <c r="BSP103" s="387"/>
      <c r="BSQ103" s="387"/>
      <c r="BSR103" s="387"/>
      <c r="BSS103" s="387"/>
      <c r="BST103" s="387"/>
      <c r="BSU103" s="387"/>
      <c r="BSV103" s="387"/>
      <c r="BSW103" s="387"/>
      <c r="BSX103" s="387"/>
      <c r="BSY103" s="387"/>
      <c r="BSZ103" s="387"/>
      <c r="BTA103" s="387"/>
      <c r="BTB103" s="387"/>
      <c r="BTC103" s="387"/>
      <c r="BTD103" s="387"/>
      <c r="BTE103" s="387"/>
      <c r="BTF103" s="387"/>
      <c r="BTG103" s="387"/>
      <c r="BTH103" s="387"/>
      <c r="BTI103" s="387"/>
    </row>
    <row r="104" spans="1:1881" s="372" customFormat="1" ht="87.75" customHeight="1" x14ac:dyDescent="0.25">
      <c r="A104" s="398">
        <v>580</v>
      </c>
      <c r="B104" s="394" t="s">
        <v>578</v>
      </c>
      <c r="C104" s="397" t="s">
        <v>200</v>
      </c>
      <c r="D104" s="407" t="s">
        <v>583</v>
      </c>
      <c r="E104" s="683" t="e">
        <f>HLOOKUP('Unit Data from Audit Worksheet'!$D$2,'2019 Data(H)'!$D$1:$BB$202,164,FALSE)</f>
        <v>#N/A</v>
      </c>
      <c r="F104" s="686"/>
      <c r="G104" s="388"/>
      <c r="H104" s="389"/>
      <c r="J104" s="387"/>
      <c r="K104" s="387"/>
      <c r="L104" s="387"/>
      <c r="M104" s="387"/>
      <c r="N104"/>
      <c r="O104" s="387"/>
      <c r="P104" s="387"/>
      <c r="Q104" s="387"/>
      <c r="R104"/>
      <c r="S104" s="682"/>
      <c r="T104" s="387"/>
      <c r="U104" s="387"/>
      <c r="V104" s="387"/>
      <c r="W104" s="387"/>
      <c r="X104" s="682"/>
      <c r="Y104" s="387"/>
      <c r="Z104" s="387"/>
      <c r="AA104" s="387"/>
      <c r="AB104" s="387"/>
      <c r="AC104" s="387"/>
      <c r="AD104" s="387"/>
      <c r="AE104" s="387"/>
      <c r="AF104" s="387"/>
      <c r="AG104" s="387"/>
      <c r="AH104" s="387"/>
      <c r="AI104" s="387"/>
      <c r="AJ104" s="387"/>
      <c r="AK104" s="387"/>
      <c r="AL104" s="387"/>
      <c r="AM104" s="387"/>
      <c r="AN104" s="387"/>
      <c r="AO104" s="387"/>
      <c r="AP104" s="387"/>
      <c r="AQ104" s="387"/>
      <c r="AR104" s="387"/>
      <c r="AS104" s="387"/>
      <c r="AT104" s="387"/>
      <c r="AU104" s="387"/>
      <c r="AV104" s="387"/>
      <c r="AW104" s="387"/>
      <c r="AX104" s="387"/>
      <c r="AY104" s="387"/>
      <c r="AZ104" s="387"/>
      <c r="BA104" s="387"/>
      <c r="BB104" s="387"/>
      <c r="BC104" s="387"/>
      <c r="BD104" s="387"/>
      <c r="BE104" s="387"/>
      <c r="BF104" s="387"/>
      <c r="BG104" s="387"/>
      <c r="BH104" s="387"/>
      <c r="BI104" s="387"/>
      <c r="BJ104" s="387"/>
      <c r="BK104" s="387"/>
      <c r="BL104" s="387"/>
      <c r="BM104" s="387"/>
      <c r="BN104" s="387"/>
      <c r="BO104" s="387"/>
      <c r="BP104" s="387"/>
      <c r="BQ104" s="387"/>
      <c r="BR104" s="387"/>
      <c r="BS104" s="387"/>
      <c r="BT104" s="387"/>
      <c r="BU104" s="387"/>
      <c r="BV104" s="387"/>
      <c r="BW104" s="387"/>
      <c r="BX104" s="387"/>
      <c r="BY104" s="387"/>
      <c r="BZ104" s="387"/>
      <c r="CA104" s="387"/>
      <c r="CB104" s="387"/>
      <c r="CC104" s="387"/>
      <c r="CD104" s="387"/>
      <c r="CE104" s="387"/>
      <c r="CF104" s="387"/>
      <c r="CG104" s="387"/>
      <c r="CH104" s="387"/>
      <c r="CI104" s="387"/>
      <c r="CJ104" s="387"/>
      <c r="CK104" s="387"/>
      <c r="CL104" s="387"/>
      <c r="CM104" s="387"/>
      <c r="CN104" s="387"/>
      <c r="CO104" s="387"/>
      <c r="CP104" s="387"/>
      <c r="CQ104" s="387"/>
      <c r="CR104" s="387"/>
      <c r="CS104" s="387"/>
      <c r="CT104" s="387"/>
      <c r="CU104" s="387"/>
      <c r="CV104" s="387"/>
      <c r="CW104" s="387"/>
      <c r="CX104" s="387"/>
      <c r="CY104" s="387"/>
      <c r="CZ104" s="387"/>
      <c r="DA104" s="387"/>
      <c r="DB104" s="387"/>
      <c r="DC104" s="387"/>
      <c r="DD104" s="387"/>
      <c r="DE104" s="387"/>
      <c r="DF104" s="387"/>
      <c r="DG104" s="387"/>
      <c r="DH104" s="387"/>
      <c r="DI104" s="387"/>
      <c r="DJ104" s="387"/>
      <c r="DK104" s="387"/>
      <c r="DL104" s="387"/>
      <c r="DM104" s="387"/>
      <c r="DN104" s="387"/>
      <c r="DO104" s="387"/>
      <c r="DP104" s="387"/>
      <c r="DQ104" s="387"/>
      <c r="DR104" s="387"/>
      <c r="DS104" s="387"/>
      <c r="DT104" s="387"/>
      <c r="DU104" s="387"/>
      <c r="DV104" s="387"/>
      <c r="DW104" s="387"/>
      <c r="DX104" s="387"/>
      <c r="DY104" s="387"/>
      <c r="DZ104" s="387"/>
      <c r="EA104" s="387"/>
      <c r="EB104" s="387"/>
      <c r="EC104" s="387"/>
      <c r="ED104" s="387"/>
      <c r="EE104" s="387"/>
      <c r="EF104" s="387"/>
      <c r="EG104" s="387"/>
      <c r="EH104" s="387"/>
      <c r="EI104" s="387"/>
      <c r="EJ104" s="387"/>
      <c r="EK104" s="387"/>
      <c r="EL104" s="387"/>
      <c r="EM104" s="387"/>
      <c r="EN104" s="387"/>
      <c r="EO104" s="387"/>
      <c r="EP104" s="387"/>
      <c r="EQ104" s="387"/>
      <c r="ER104" s="387"/>
      <c r="ES104" s="387"/>
      <c r="ET104" s="387"/>
      <c r="EU104" s="387"/>
      <c r="EV104" s="387"/>
      <c r="EW104" s="387"/>
      <c r="EX104" s="387"/>
      <c r="EY104" s="387"/>
      <c r="EZ104" s="387"/>
      <c r="FA104" s="387"/>
      <c r="FB104" s="387"/>
      <c r="FC104" s="387"/>
      <c r="FD104" s="387"/>
      <c r="FE104" s="387"/>
      <c r="FF104" s="387"/>
      <c r="FG104" s="387"/>
      <c r="FH104" s="387"/>
      <c r="FI104" s="387"/>
      <c r="FJ104" s="387"/>
      <c r="FK104" s="387"/>
      <c r="FL104" s="387"/>
      <c r="FM104" s="387"/>
      <c r="FN104" s="387"/>
      <c r="FO104" s="387"/>
      <c r="FP104" s="387"/>
      <c r="FQ104" s="387"/>
      <c r="FR104" s="387"/>
      <c r="FS104" s="387"/>
      <c r="FT104" s="387"/>
      <c r="FU104" s="387"/>
      <c r="FV104" s="387"/>
      <c r="FW104" s="387"/>
      <c r="FX104" s="387"/>
      <c r="FY104" s="387"/>
      <c r="FZ104" s="387"/>
      <c r="GA104" s="387"/>
      <c r="GB104" s="387"/>
      <c r="GC104" s="387"/>
      <c r="GD104" s="387"/>
      <c r="GE104" s="387"/>
      <c r="GF104" s="387"/>
      <c r="GG104" s="387"/>
      <c r="GH104" s="387"/>
      <c r="GI104" s="387"/>
      <c r="GJ104" s="387"/>
      <c r="GK104" s="387"/>
      <c r="GL104" s="387"/>
      <c r="GM104" s="387"/>
      <c r="GN104" s="387"/>
      <c r="GO104" s="387"/>
      <c r="GP104" s="387"/>
      <c r="GQ104" s="387"/>
      <c r="GR104" s="387"/>
      <c r="GS104" s="387"/>
      <c r="GT104" s="387"/>
      <c r="GU104" s="387"/>
      <c r="GV104" s="387"/>
      <c r="GW104" s="387"/>
      <c r="GX104" s="387"/>
      <c r="GY104" s="387"/>
      <c r="GZ104" s="387"/>
      <c r="HA104" s="387"/>
      <c r="HB104" s="387"/>
      <c r="HC104" s="387"/>
      <c r="HD104" s="387"/>
      <c r="HE104" s="387"/>
      <c r="HF104" s="387"/>
      <c r="HG104" s="387"/>
      <c r="HH104" s="387"/>
      <c r="HI104" s="387"/>
      <c r="HJ104" s="387"/>
      <c r="HK104" s="387"/>
      <c r="HL104" s="387"/>
      <c r="HM104" s="387"/>
      <c r="HN104" s="387"/>
      <c r="HO104" s="387"/>
      <c r="HP104" s="387"/>
      <c r="HQ104" s="387"/>
      <c r="HR104" s="387"/>
      <c r="HS104" s="387"/>
      <c r="HT104" s="387"/>
      <c r="HU104" s="387"/>
      <c r="HV104" s="387"/>
      <c r="HW104" s="387"/>
      <c r="HX104" s="387"/>
      <c r="HY104" s="387"/>
      <c r="HZ104" s="387"/>
      <c r="IA104" s="387"/>
      <c r="IB104" s="387"/>
      <c r="IC104" s="387"/>
      <c r="ID104" s="387"/>
      <c r="IE104" s="387"/>
      <c r="IF104" s="387"/>
      <c r="IG104" s="387"/>
      <c r="IH104" s="387"/>
      <c r="II104" s="387"/>
      <c r="IJ104" s="387"/>
      <c r="IK104" s="387"/>
      <c r="IL104" s="387"/>
      <c r="IM104" s="387"/>
      <c r="IN104" s="387"/>
      <c r="IO104" s="387"/>
      <c r="IP104" s="387"/>
      <c r="IQ104" s="387"/>
      <c r="IR104" s="387"/>
      <c r="IS104" s="387"/>
      <c r="IT104" s="387"/>
      <c r="IU104" s="387"/>
      <c r="IV104" s="387"/>
      <c r="IW104" s="387"/>
      <c r="IX104" s="387"/>
      <c r="IY104" s="387"/>
      <c r="IZ104" s="387"/>
      <c r="JA104" s="387"/>
      <c r="JB104" s="387"/>
      <c r="JC104" s="387"/>
      <c r="JD104" s="387"/>
      <c r="JE104" s="387"/>
      <c r="JF104" s="387"/>
      <c r="JG104" s="387"/>
      <c r="JH104" s="387"/>
      <c r="JI104" s="387"/>
      <c r="JJ104" s="387"/>
      <c r="JK104" s="387"/>
      <c r="JL104" s="387"/>
      <c r="JM104" s="387"/>
      <c r="JN104" s="387"/>
      <c r="JO104" s="387"/>
      <c r="JP104" s="387"/>
      <c r="JQ104" s="387"/>
      <c r="JR104" s="387"/>
      <c r="JS104" s="387"/>
      <c r="JT104" s="387"/>
      <c r="JU104" s="387"/>
      <c r="JV104" s="387"/>
      <c r="JW104" s="387"/>
      <c r="JX104" s="387"/>
      <c r="JY104" s="387"/>
      <c r="JZ104" s="387"/>
      <c r="KA104" s="387"/>
      <c r="KB104" s="387"/>
      <c r="KC104" s="387"/>
      <c r="KD104" s="387"/>
      <c r="KE104" s="387"/>
      <c r="KF104" s="387"/>
      <c r="KG104" s="387"/>
      <c r="KH104" s="387"/>
      <c r="KI104" s="387"/>
      <c r="KJ104" s="387"/>
      <c r="KK104" s="387"/>
      <c r="KL104" s="387"/>
      <c r="KM104" s="387"/>
      <c r="KN104" s="387"/>
      <c r="KO104" s="387"/>
      <c r="KP104" s="387"/>
      <c r="KQ104" s="387"/>
      <c r="KR104" s="387"/>
      <c r="KS104" s="387"/>
      <c r="KT104" s="387"/>
      <c r="KU104" s="387"/>
      <c r="KV104" s="387"/>
      <c r="KW104" s="387"/>
      <c r="KX104" s="387"/>
      <c r="KY104" s="387"/>
      <c r="KZ104" s="387"/>
      <c r="LA104" s="387"/>
      <c r="LB104" s="387"/>
      <c r="LC104" s="387"/>
      <c r="LD104" s="387"/>
      <c r="LE104" s="387"/>
      <c r="LF104" s="387"/>
      <c r="LG104" s="387"/>
      <c r="LH104" s="387"/>
      <c r="LI104" s="387"/>
      <c r="LJ104" s="387"/>
      <c r="LK104" s="387"/>
      <c r="LL104" s="387"/>
      <c r="LM104" s="387"/>
      <c r="LN104" s="387"/>
      <c r="LO104" s="387"/>
      <c r="LP104" s="387"/>
      <c r="LQ104" s="387"/>
      <c r="LR104" s="387"/>
      <c r="LS104" s="387"/>
      <c r="LT104" s="387"/>
      <c r="LU104" s="387"/>
      <c r="LV104" s="387"/>
      <c r="LW104" s="387"/>
      <c r="LX104" s="387"/>
      <c r="LY104" s="387"/>
      <c r="LZ104" s="387"/>
      <c r="MA104" s="387"/>
      <c r="MB104" s="387"/>
      <c r="MC104" s="387"/>
      <c r="MD104" s="387"/>
      <c r="ME104" s="387"/>
      <c r="MF104" s="387"/>
      <c r="MG104" s="387"/>
      <c r="MH104" s="387"/>
      <c r="MI104" s="387"/>
      <c r="MJ104" s="387"/>
      <c r="MK104" s="387"/>
      <c r="ML104" s="387"/>
      <c r="MM104" s="387"/>
      <c r="MN104" s="387"/>
      <c r="MO104" s="387"/>
      <c r="MP104" s="387"/>
      <c r="MQ104" s="387"/>
      <c r="MR104" s="387"/>
      <c r="MS104" s="387"/>
      <c r="MT104" s="387"/>
      <c r="MU104" s="387"/>
      <c r="MV104" s="387"/>
      <c r="MW104" s="387"/>
      <c r="MX104" s="387"/>
      <c r="MY104" s="387"/>
      <c r="MZ104" s="387"/>
      <c r="NA104" s="387"/>
      <c r="NB104" s="387"/>
      <c r="NC104" s="387"/>
      <c r="ND104" s="387"/>
      <c r="NE104" s="387"/>
      <c r="NF104" s="387"/>
      <c r="NG104" s="387"/>
      <c r="NH104" s="387"/>
      <c r="NI104" s="387"/>
      <c r="NJ104" s="387"/>
      <c r="NK104" s="387"/>
      <c r="NL104" s="387"/>
      <c r="NM104" s="387"/>
      <c r="NN104" s="387"/>
      <c r="NO104" s="387"/>
      <c r="NP104" s="387"/>
      <c r="NQ104" s="387"/>
      <c r="NR104" s="387"/>
      <c r="NS104" s="387"/>
      <c r="NT104" s="387"/>
      <c r="NU104" s="387"/>
      <c r="NV104" s="387"/>
      <c r="NW104" s="387"/>
      <c r="NX104" s="387"/>
      <c r="NY104" s="387"/>
      <c r="NZ104" s="387"/>
      <c r="OA104" s="387"/>
      <c r="OB104" s="387"/>
      <c r="OC104" s="387"/>
      <c r="OD104" s="387"/>
      <c r="OE104" s="387"/>
      <c r="OF104" s="387"/>
      <c r="OG104" s="387"/>
      <c r="OH104" s="387"/>
      <c r="OI104" s="387"/>
      <c r="OJ104" s="387"/>
      <c r="OK104" s="387"/>
      <c r="OL104" s="387"/>
      <c r="OM104" s="387"/>
      <c r="ON104" s="387"/>
      <c r="OO104" s="387"/>
      <c r="OP104" s="387"/>
      <c r="OQ104" s="387"/>
      <c r="OR104" s="387"/>
      <c r="OS104" s="387"/>
      <c r="OT104" s="387"/>
      <c r="OU104" s="387"/>
      <c r="OV104" s="387"/>
      <c r="OW104" s="387"/>
      <c r="OX104" s="387"/>
      <c r="OY104" s="387"/>
      <c r="OZ104" s="387"/>
      <c r="PA104" s="387"/>
      <c r="PB104" s="387"/>
      <c r="PC104" s="387"/>
      <c r="PD104" s="387"/>
      <c r="PE104" s="387"/>
      <c r="PF104" s="387"/>
      <c r="PG104" s="387"/>
      <c r="PH104" s="387"/>
      <c r="PI104" s="387"/>
      <c r="PJ104" s="387"/>
      <c r="PK104" s="387"/>
      <c r="PL104" s="387"/>
      <c r="PM104" s="387"/>
      <c r="PN104" s="387"/>
      <c r="PO104" s="387"/>
      <c r="PP104" s="387"/>
      <c r="PQ104" s="387"/>
      <c r="PR104" s="387"/>
      <c r="PS104" s="387"/>
      <c r="PT104" s="387"/>
      <c r="PU104" s="387"/>
      <c r="PV104" s="387"/>
      <c r="PW104" s="387"/>
      <c r="PX104" s="387"/>
      <c r="PY104" s="387"/>
      <c r="PZ104" s="387"/>
      <c r="QA104" s="387"/>
      <c r="QB104" s="387"/>
      <c r="QC104" s="387"/>
      <c r="QD104" s="387"/>
      <c r="QE104" s="387"/>
      <c r="QF104" s="387"/>
      <c r="QG104" s="387"/>
      <c r="QH104" s="387"/>
      <c r="QI104" s="387"/>
      <c r="QJ104" s="387"/>
      <c r="QK104" s="387"/>
      <c r="QL104" s="387"/>
      <c r="QM104" s="387"/>
      <c r="QN104" s="387"/>
      <c r="QO104" s="387"/>
      <c r="QP104" s="387"/>
      <c r="QQ104" s="387"/>
      <c r="QR104" s="387"/>
      <c r="QS104" s="387"/>
      <c r="QT104" s="387"/>
      <c r="QU104" s="387"/>
      <c r="QV104" s="387"/>
      <c r="QW104" s="387"/>
      <c r="QX104" s="387"/>
      <c r="QY104" s="387"/>
      <c r="QZ104" s="387"/>
      <c r="RA104" s="387"/>
      <c r="RB104" s="387"/>
      <c r="RC104" s="387"/>
      <c r="RD104" s="387"/>
      <c r="RE104" s="387"/>
      <c r="RF104" s="387"/>
      <c r="RG104" s="387"/>
      <c r="RH104" s="387"/>
      <c r="RI104" s="387"/>
      <c r="RJ104" s="387"/>
      <c r="RK104" s="387"/>
      <c r="RL104" s="387"/>
      <c r="RM104" s="387"/>
      <c r="RN104" s="387"/>
      <c r="RO104" s="387"/>
      <c r="RP104" s="387"/>
      <c r="RQ104" s="387"/>
      <c r="RR104" s="387"/>
      <c r="RS104" s="387"/>
      <c r="RT104" s="387"/>
      <c r="RU104" s="387"/>
      <c r="RV104" s="387"/>
      <c r="RW104" s="387"/>
      <c r="RX104" s="387"/>
      <c r="RY104" s="387"/>
      <c r="RZ104" s="387"/>
      <c r="SA104" s="387"/>
      <c r="SB104" s="387"/>
      <c r="SC104" s="387"/>
      <c r="SD104" s="387"/>
      <c r="SE104" s="387"/>
      <c r="SF104" s="387"/>
      <c r="SG104" s="387"/>
      <c r="SH104" s="387"/>
      <c r="SI104" s="387"/>
      <c r="SJ104" s="387"/>
      <c r="SK104" s="387"/>
      <c r="SL104" s="387"/>
      <c r="SM104" s="387"/>
      <c r="SN104" s="387"/>
      <c r="SO104" s="387"/>
      <c r="SP104" s="387"/>
      <c r="SQ104" s="387"/>
      <c r="SR104" s="387"/>
      <c r="SS104" s="387"/>
      <c r="ST104" s="387"/>
      <c r="SU104" s="387"/>
      <c r="SV104" s="387"/>
      <c r="SW104" s="387"/>
      <c r="SX104" s="387"/>
      <c r="SY104" s="387"/>
      <c r="SZ104" s="387"/>
      <c r="TA104" s="387"/>
      <c r="TB104" s="387"/>
      <c r="TC104" s="387"/>
      <c r="TD104" s="387"/>
      <c r="TE104" s="387"/>
      <c r="TF104" s="387"/>
      <c r="TG104" s="387"/>
      <c r="TH104" s="387"/>
      <c r="TI104" s="387"/>
      <c r="TJ104" s="387"/>
      <c r="TK104" s="387"/>
      <c r="TL104" s="387"/>
      <c r="TM104" s="387"/>
      <c r="TN104" s="387"/>
      <c r="TO104" s="387"/>
      <c r="TP104" s="387"/>
      <c r="TQ104" s="387"/>
      <c r="TR104" s="387"/>
      <c r="TS104" s="387"/>
      <c r="TT104" s="387"/>
      <c r="TU104" s="387"/>
      <c r="TV104" s="387"/>
      <c r="TW104" s="387"/>
      <c r="TX104" s="387"/>
      <c r="TY104" s="387"/>
      <c r="TZ104" s="387"/>
      <c r="UA104" s="387"/>
      <c r="UB104" s="387"/>
      <c r="UC104" s="387"/>
      <c r="UD104" s="387"/>
      <c r="UE104" s="387"/>
      <c r="UF104" s="387"/>
      <c r="UG104" s="387"/>
      <c r="UH104" s="387"/>
      <c r="UI104" s="387"/>
      <c r="UJ104" s="387"/>
      <c r="UK104" s="387"/>
      <c r="UL104" s="387"/>
      <c r="UM104" s="387"/>
      <c r="UN104" s="387"/>
      <c r="UO104" s="387"/>
      <c r="UP104" s="387"/>
      <c r="UQ104" s="387"/>
      <c r="UR104" s="387"/>
      <c r="US104" s="387"/>
      <c r="UT104" s="387"/>
      <c r="UU104" s="387"/>
      <c r="UV104" s="387"/>
      <c r="UW104" s="387"/>
      <c r="UX104" s="387"/>
      <c r="UY104" s="387"/>
      <c r="UZ104" s="387"/>
      <c r="VA104" s="387"/>
      <c r="VB104" s="387"/>
      <c r="VC104" s="387"/>
      <c r="VD104" s="387"/>
      <c r="VE104" s="387"/>
      <c r="VF104" s="387"/>
      <c r="VG104" s="387"/>
      <c r="VH104" s="387"/>
      <c r="VI104" s="387"/>
      <c r="VJ104" s="387"/>
      <c r="VK104" s="387"/>
      <c r="VL104" s="387"/>
      <c r="VM104" s="387"/>
      <c r="VN104" s="387"/>
      <c r="VO104" s="387"/>
      <c r="VP104" s="387"/>
      <c r="VQ104" s="387"/>
      <c r="VR104" s="387"/>
      <c r="VS104" s="387"/>
      <c r="VT104" s="387"/>
      <c r="VU104" s="387"/>
      <c r="VV104" s="387"/>
      <c r="VW104" s="387"/>
      <c r="VX104" s="387"/>
      <c r="VY104" s="387"/>
      <c r="VZ104" s="387"/>
      <c r="WA104" s="387"/>
      <c r="WB104" s="387"/>
      <c r="WC104" s="387"/>
      <c r="WD104" s="387"/>
      <c r="WE104" s="387"/>
      <c r="WF104" s="387"/>
      <c r="WG104" s="387"/>
      <c r="WH104" s="387"/>
      <c r="WI104" s="387"/>
      <c r="WJ104" s="387"/>
      <c r="WK104" s="387"/>
      <c r="WL104" s="387"/>
      <c r="WM104" s="387"/>
      <c r="WN104" s="387"/>
      <c r="WO104" s="387"/>
      <c r="WP104" s="387"/>
      <c r="WQ104" s="387"/>
      <c r="WR104" s="387"/>
      <c r="WS104" s="387"/>
      <c r="WT104" s="387"/>
      <c r="WU104" s="387"/>
      <c r="WV104" s="387"/>
      <c r="WW104" s="387"/>
      <c r="WX104" s="387"/>
      <c r="WY104" s="387"/>
      <c r="WZ104" s="387"/>
      <c r="XA104" s="387"/>
      <c r="XB104" s="387"/>
      <c r="XC104" s="387"/>
      <c r="XD104" s="387"/>
      <c r="XE104" s="387"/>
      <c r="XF104" s="387"/>
      <c r="XG104" s="387"/>
      <c r="XH104" s="387"/>
      <c r="XI104" s="387"/>
      <c r="XJ104" s="387"/>
      <c r="XK104" s="387"/>
      <c r="XL104" s="387"/>
      <c r="XM104" s="387"/>
      <c r="XN104" s="387"/>
      <c r="XO104" s="387"/>
      <c r="XP104" s="387"/>
      <c r="XQ104" s="387"/>
      <c r="XR104" s="387"/>
      <c r="XS104" s="387"/>
      <c r="XT104" s="387"/>
      <c r="XU104" s="387"/>
      <c r="XV104" s="387"/>
      <c r="XW104" s="387"/>
      <c r="XX104" s="387"/>
      <c r="XY104" s="387"/>
      <c r="XZ104" s="387"/>
      <c r="YA104" s="387"/>
      <c r="YB104" s="387"/>
      <c r="YC104" s="387"/>
      <c r="YD104" s="387"/>
      <c r="YE104" s="387"/>
      <c r="YF104" s="387"/>
      <c r="YG104" s="387"/>
      <c r="YH104" s="387"/>
      <c r="YI104" s="387"/>
      <c r="YJ104" s="387"/>
      <c r="YK104" s="387"/>
      <c r="YL104" s="387"/>
      <c r="YM104" s="387"/>
      <c r="YN104" s="387"/>
      <c r="YO104" s="387"/>
      <c r="YP104" s="387"/>
      <c r="YQ104" s="387"/>
      <c r="YR104" s="387"/>
      <c r="YS104" s="387"/>
      <c r="YT104" s="387"/>
      <c r="YU104" s="387"/>
      <c r="YV104" s="387"/>
      <c r="YW104" s="387"/>
      <c r="YX104" s="387"/>
      <c r="YY104" s="387"/>
      <c r="YZ104" s="387"/>
      <c r="ZA104" s="387"/>
      <c r="ZB104" s="387"/>
      <c r="ZC104" s="387"/>
      <c r="ZD104" s="387"/>
      <c r="ZE104" s="387"/>
      <c r="ZF104" s="387"/>
      <c r="ZG104" s="387"/>
      <c r="ZH104" s="387"/>
      <c r="ZI104" s="387"/>
      <c r="ZJ104" s="387"/>
      <c r="ZK104" s="387"/>
      <c r="ZL104" s="387"/>
      <c r="ZM104" s="387"/>
      <c r="ZN104" s="387"/>
      <c r="ZO104" s="387"/>
      <c r="ZP104" s="387"/>
      <c r="ZQ104" s="387"/>
      <c r="ZR104" s="387"/>
      <c r="ZS104" s="387"/>
      <c r="ZT104" s="387"/>
      <c r="ZU104" s="387"/>
      <c r="ZV104" s="387"/>
      <c r="ZW104" s="387"/>
      <c r="ZX104" s="387"/>
      <c r="ZY104" s="387"/>
      <c r="ZZ104" s="387"/>
      <c r="AAA104" s="387"/>
      <c r="AAB104" s="387"/>
      <c r="AAC104" s="387"/>
      <c r="AAD104" s="387"/>
      <c r="AAE104" s="387"/>
      <c r="AAF104" s="387"/>
      <c r="AAG104" s="387"/>
      <c r="AAH104" s="387"/>
      <c r="AAI104" s="387"/>
      <c r="AAJ104" s="387"/>
      <c r="AAK104" s="387"/>
      <c r="AAL104" s="387"/>
      <c r="AAM104" s="387"/>
      <c r="AAN104" s="387"/>
      <c r="AAO104" s="387"/>
      <c r="AAP104" s="387"/>
      <c r="AAQ104" s="387"/>
      <c r="AAR104" s="387"/>
      <c r="AAS104" s="387"/>
      <c r="AAT104" s="387"/>
      <c r="AAU104" s="387"/>
      <c r="AAV104" s="387"/>
      <c r="AAW104" s="387"/>
      <c r="AAX104" s="387"/>
      <c r="AAY104" s="387"/>
      <c r="AAZ104" s="387"/>
      <c r="ABA104" s="387"/>
      <c r="ABB104" s="387"/>
      <c r="ABC104" s="387"/>
      <c r="ABD104" s="387"/>
      <c r="ABE104" s="387"/>
      <c r="ABF104" s="387"/>
      <c r="ABG104" s="387"/>
      <c r="ABH104" s="387"/>
      <c r="ABI104" s="387"/>
      <c r="ABJ104" s="387"/>
      <c r="ABK104" s="387"/>
      <c r="ABL104" s="387"/>
      <c r="ABM104" s="387"/>
      <c r="ABN104" s="387"/>
      <c r="ABO104" s="387"/>
      <c r="ABP104" s="387"/>
      <c r="ABQ104" s="387"/>
      <c r="ABR104" s="387"/>
      <c r="ABS104" s="387"/>
      <c r="ABT104" s="387"/>
      <c r="ABU104" s="387"/>
      <c r="ABV104" s="387"/>
      <c r="ABW104" s="387"/>
      <c r="ABX104" s="387"/>
      <c r="ABY104" s="387"/>
      <c r="ABZ104" s="387"/>
      <c r="ACA104" s="387"/>
      <c r="ACB104" s="387"/>
      <c r="ACC104" s="387"/>
      <c r="ACD104" s="387"/>
      <c r="ACE104" s="387"/>
      <c r="ACF104" s="387"/>
      <c r="ACG104" s="387"/>
      <c r="ACH104" s="387"/>
      <c r="ACI104" s="387"/>
      <c r="ACJ104" s="387"/>
      <c r="ACK104" s="387"/>
      <c r="ACL104" s="387"/>
      <c r="ACM104" s="387"/>
      <c r="ACN104" s="387"/>
      <c r="ACO104" s="387"/>
      <c r="ACP104" s="387"/>
      <c r="ACQ104" s="387"/>
      <c r="ACR104" s="387"/>
      <c r="ACS104" s="387"/>
      <c r="ACT104" s="387"/>
      <c r="ACU104" s="387"/>
      <c r="ACV104" s="387"/>
      <c r="ACW104" s="387"/>
      <c r="ACX104" s="387"/>
      <c r="ACY104" s="387"/>
      <c r="ACZ104" s="387"/>
      <c r="ADA104" s="387"/>
      <c r="ADB104" s="387"/>
      <c r="ADC104" s="387"/>
      <c r="ADD104" s="387"/>
      <c r="ADE104" s="387"/>
      <c r="ADF104" s="387"/>
      <c r="ADG104" s="387"/>
      <c r="ADH104" s="387"/>
      <c r="ADI104" s="387"/>
      <c r="ADJ104" s="387"/>
      <c r="ADK104" s="387"/>
      <c r="ADL104" s="387"/>
      <c r="ADM104" s="387"/>
      <c r="ADN104" s="387"/>
      <c r="ADO104" s="387"/>
      <c r="ADP104" s="387"/>
      <c r="ADQ104" s="387"/>
      <c r="ADR104" s="387"/>
      <c r="ADS104" s="387"/>
      <c r="ADT104" s="387"/>
      <c r="ADU104" s="387"/>
      <c r="ADV104" s="387"/>
      <c r="ADW104" s="387"/>
      <c r="ADX104" s="387"/>
      <c r="ADY104" s="387"/>
      <c r="ADZ104" s="387"/>
      <c r="AEA104" s="387"/>
      <c r="AEB104" s="387"/>
      <c r="AEC104" s="387"/>
      <c r="AED104" s="387"/>
      <c r="AEE104" s="387"/>
      <c r="AEF104" s="387"/>
      <c r="AEG104" s="387"/>
      <c r="AEH104" s="387"/>
      <c r="AEI104" s="387"/>
      <c r="AEJ104" s="387"/>
      <c r="AEK104" s="387"/>
      <c r="AEL104" s="387"/>
      <c r="AEM104" s="387"/>
      <c r="AEN104" s="387"/>
      <c r="AEO104" s="387"/>
      <c r="AEP104" s="387"/>
      <c r="AEQ104" s="387"/>
      <c r="AER104" s="387"/>
      <c r="AES104" s="387"/>
      <c r="AET104" s="387"/>
      <c r="AEU104" s="387"/>
      <c r="AEV104" s="387"/>
      <c r="AEW104" s="387"/>
      <c r="AEX104" s="387"/>
      <c r="AEY104" s="387"/>
      <c r="AEZ104" s="387"/>
      <c r="AFA104" s="387"/>
      <c r="AFB104" s="387"/>
      <c r="AFC104" s="387"/>
      <c r="AFD104" s="387"/>
      <c r="AFE104" s="387"/>
      <c r="AFF104" s="387"/>
      <c r="AFG104" s="387"/>
      <c r="AFH104" s="387"/>
      <c r="AFI104" s="387"/>
      <c r="AFJ104" s="387"/>
      <c r="AFK104" s="387"/>
      <c r="AFL104" s="387"/>
      <c r="AFM104" s="387"/>
      <c r="AFN104" s="387"/>
      <c r="AFO104" s="387"/>
      <c r="AFP104" s="387"/>
      <c r="AFQ104" s="387"/>
      <c r="AFR104" s="387"/>
      <c r="AFS104" s="387"/>
      <c r="AFT104" s="387"/>
      <c r="AFU104" s="387"/>
      <c r="AFV104" s="387"/>
      <c r="AFW104" s="387"/>
      <c r="AFX104" s="387"/>
      <c r="AFY104" s="387"/>
      <c r="AFZ104" s="387"/>
      <c r="AGA104" s="387"/>
      <c r="AGB104" s="387"/>
      <c r="AGC104" s="387"/>
      <c r="AGD104" s="387"/>
      <c r="AGE104" s="387"/>
      <c r="AGF104" s="387"/>
      <c r="AGG104" s="387"/>
      <c r="AGH104" s="387"/>
      <c r="AGI104" s="387"/>
      <c r="AGJ104" s="387"/>
      <c r="AGK104" s="387"/>
      <c r="AGL104" s="387"/>
      <c r="AGM104" s="387"/>
      <c r="AGN104" s="387"/>
      <c r="AGO104" s="387"/>
      <c r="AGP104" s="387"/>
      <c r="AGQ104" s="387"/>
      <c r="AGR104" s="387"/>
      <c r="AGS104" s="387"/>
      <c r="AGT104" s="387"/>
      <c r="AGU104" s="387"/>
      <c r="AGV104" s="387"/>
      <c r="AGW104" s="387"/>
      <c r="AGX104" s="387"/>
      <c r="AGY104" s="387"/>
      <c r="AGZ104" s="387"/>
      <c r="AHA104" s="387"/>
      <c r="AHB104" s="387"/>
      <c r="AHC104" s="387"/>
      <c r="AHD104" s="387"/>
      <c r="AHE104" s="387"/>
      <c r="AHF104" s="387"/>
      <c r="AHG104" s="387"/>
      <c r="AHH104" s="387"/>
      <c r="AHI104" s="387"/>
      <c r="AHJ104" s="387"/>
      <c r="AHK104" s="387"/>
      <c r="AHL104" s="387"/>
      <c r="AHM104" s="387"/>
      <c r="AHN104" s="387"/>
      <c r="AHO104" s="387"/>
      <c r="AHP104" s="387"/>
      <c r="AHQ104" s="387"/>
      <c r="AHR104" s="387"/>
      <c r="AHS104" s="387"/>
      <c r="AHT104" s="387"/>
      <c r="AHU104" s="387"/>
      <c r="AHV104" s="387"/>
      <c r="AHW104" s="387"/>
      <c r="AHX104" s="387"/>
      <c r="AHY104" s="387"/>
      <c r="AHZ104" s="387"/>
      <c r="AIA104" s="387"/>
      <c r="AIB104" s="387"/>
      <c r="AIC104" s="387"/>
      <c r="AID104" s="387"/>
      <c r="AIE104" s="387"/>
      <c r="AIF104" s="387"/>
      <c r="AIG104" s="387"/>
      <c r="AIH104" s="387"/>
      <c r="AII104" s="387"/>
      <c r="AIJ104" s="387"/>
      <c r="AIK104" s="387"/>
      <c r="AIL104" s="387"/>
      <c r="AIM104" s="387"/>
      <c r="AIN104" s="387"/>
      <c r="AIO104" s="387"/>
      <c r="AIP104" s="387"/>
      <c r="AIQ104" s="387"/>
      <c r="AIR104" s="387"/>
      <c r="AIS104" s="387"/>
      <c r="AIT104" s="387"/>
      <c r="AIU104" s="387"/>
      <c r="AIV104" s="387"/>
      <c r="AIW104" s="387"/>
      <c r="AIX104" s="387"/>
      <c r="AIY104" s="387"/>
      <c r="AIZ104" s="387"/>
      <c r="AJA104" s="387"/>
      <c r="AJB104" s="387"/>
      <c r="AJC104" s="387"/>
      <c r="AJD104" s="387"/>
      <c r="AJE104" s="387"/>
      <c r="AJF104" s="387"/>
      <c r="AJG104" s="387"/>
      <c r="AJH104" s="387"/>
      <c r="AJI104" s="387"/>
      <c r="AJJ104" s="387"/>
      <c r="AJK104" s="387"/>
      <c r="AJL104" s="387"/>
      <c r="AJM104" s="387"/>
      <c r="AJN104" s="387"/>
      <c r="AJO104" s="387"/>
      <c r="AJP104" s="387"/>
      <c r="AJQ104" s="387"/>
      <c r="AJR104" s="387"/>
      <c r="AJS104" s="387"/>
      <c r="AJT104" s="387"/>
      <c r="AJU104" s="387"/>
      <c r="AJV104" s="387"/>
      <c r="AJW104" s="387"/>
      <c r="AJX104" s="387"/>
      <c r="AJY104" s="387"/>
      <c r="AJZ104" s="387"/>
      <c r="AKA104" s="387"/>
      <c r="AKB104" s="387"/>
      <c r="AKC104" s="387"/>
      <c r="AKD104" s="387"/>
      <c r="AKE104" s="387"/>
      <c r="AKF104" s="387"/>
      <c r="AKG104" s="387"/>
      <c r="AKH104" s="387"/>
      <c r="AKI104" s="387"/>
      <c r="AKJ104" s="387"/>
      <c r="AKK104" s="387"/>
      <c r="AKL104" s="387"/>
      <c r="AKM104" s="387"/>
      <c r="AKN104" s="387"/>
      <c r="AKO104" s="387"/>
      <c r="AKP104" s="387"/>
      <c r="AKQ104" s="387"/>
      <c r="AKR104" s="387"/>
      <c r="AKS104" s="387"/>
      <c r="AKT104" s="387"/>
      <c r="AKU104" s="387"/>
      <c r="AKV104" s="387"/>
      <c r="AKW104" s="387"/>
      <c r="AKX104" s="387"/>
      <c r="AKY104" s="387"/>
      <c r="AKZ104" s="387"/>
      <c r="ALA104" s="387"/>
      <c r="ALB104" s="387"/>
      <c r="ALC104" s="387"/>
      <c r="ALD104" s="387"/>
      <c r="ALE104" s="387"/>
      <c r="ALF104" s="387"/>
      <c r="ALG104" s="387"/>
      <c r="ALH104" s="387"/>
      <c r="ALI104" s="387"/>
      <c r="ALJ104" s="387"/>
      <c r="ALK104" s="387"/>
      <c r="ALL104" s="387"/>
      <c r="ALM104" s="387"/>
      <c r="ALN104" s="387"/>
      <c r="ALO104" s="387"/>
      <c r="ALP104" s="387"/>
      <c r="ALQ104" s="387"/>
      <c r="ALR104" s="387"/>
      <c r="ALS104" s="387"/>
      <c r="ALT104" s="387"/>
      <c r="ALU104" s="387"/>
      <c r="ALV104" s="387"/>
      <c r="ALW104" s="387"/>
      <c r="ALX104" s="387"/>
      <c r="ALY104" s="387"/>
      <c r="ALZ104" s="387"/>
      <c r="AMA104" s="387"/>
      <c r="AMB104" s="387"/>
      <c r="AMC104" s="387"/>
      <c r="AMD104" s="387"/>
      <c r="AME104" s="387"/>
      <c r="AMF104" s="387"/>
      <c r="AMG104" s="387"/>
      <c r="AMH104" s="387"/>
      <c r="AMI104" s="387"/>
      <c r="AMJ104" s="387"/>
      <c r="AMK104" s="387"/>
      <c r="AML104" s="387"/>
      <c r="AMM104" s="387"/>
      <c r="AMN104" s="387"/>
      <c r="AMO104" s="387"/>
      <c r="AMP104" s="387"/>
      <c r="AMQ104" s="387"/>
      <c r="AMR104" s="387"/>
      <c r="AMS104" s="387"/>
      <c r="AMT104" s="387"/>
      <c r="AMU104" s="387"/>
      <c r="AMV104" s="387"/>
      <c r="AMW104" s="387"/>
      <c r="AMX104" s="387"/>
      <c r="AMY104" s="387"/>
      <c r="AMZ104" s="387"/>
      <c r="ANA104" s="387"/>
      <c r="ANB104" s="387"/>
      <c r="ANC104" s="387"/>
      <c r="AND104" s="387"/>
      <c r="ANE104" s="387"/>
      <c r="ANF104" s="387"/>
      <c r="ANG104" s="387"/>
      <c r="ANH104" s="387"/>
      <c r="ANI104" s="387"/>
      <c r="ANJ104" s="387"/>
      <c r="ANK104" s="387"/>
      <c r="ANL104" s="387"/>
      <c r="ANM104" s="387"/>
      <c r="ANN104" s="387"/>
      <c r="ANO104" s="387"/>
      <c r="ANP104" s="387"/>
      <c r="ANQ104" s="387"/>
      <c r="ANR104" s="387"/>
      <c r="ANS104" s="387"/>
      <c r="ANT104" s="387"/>
      <c r="ANU104" s="387"/>
      <c r="ANV104" s="387"/>
      <c r="ANW104" s="387"/>
      <c r="ANX104" s="387"/>
      <c r="ANY104" s="387"/>
      <c r="ANZ104" s="387"/>
      <c r="AOA104" s="387"/>
      <c r="AOB104" s="387"/>
      <c r="AOC104" s="387"/>
      <c r="AOD104" s="387"/>
      <c r="AOE104" s="387"/>
      <c r="AOF104" s="387"/>
      <c r="AOG104" s="387"/>
      <c r="AOH104" s="387"/>
      <c r="AOI104" s="387"/>
      <c r="AOJ104" s="387"/>
      <c r="AOK104" s="387"/>
      <c r="AOL104" s="387"/>
      <c r="AOM104" s="387"/>
      <c r="AON104" s="387"/>
      <c r="AOO104" s="387"/>
      <c r="AOP104" s="387"/>
      <c r="AOQ104" s="387"/>
      <c r="AOR104" s="387"/>
      <c r="AOS104" s="387"/>
      <c r="AOT104" s="387"/>
      <c r="AOU104" s="387"/>
      <c r="AOV104" s="387"/>
      <c r="AOW104" s="387"/>
      <c r="AOX104" s="387"/>
      <c r="AOY104" s="387"/>
      <c r="AOZ104" s="387"/>
      <c r="APA104" s="387"/>
      <c r="APB104" s="387"/>
      <c r="APC104" s="387"/>
      <c r="APD104" s="387"/>
      <c r="APE104" s="387"/>
      <c r="APF104" s="387"/>
      <c r="APG104" s="387"/>
      <c r="APH104" s="387"/>
      <c r="API104" s="387"/>
      <c r="APJ104" s="387"/>
      <c r="APK104" s="387"/>
      <c r="APL104" s="387"/>
      <c r="APM104" s="387"/>
      <c r="APN104" s="387"/>
      <c r="APO104" s="387"/>
      <c r="APP104" s="387"/>
      <c r="APQ104" s="387"/>
      <c r="APR104" s="387"/>
      <c r="APS104" s="387"/>
      <c r="APT104" s="387"/>
      <c r="APU104" s="387"/>
      <c r="APV104" s="387"/>
      <c r="APW104" s="387"/>
      <c r="APX104" s="387"/>
      <c r="APY104" s="387"/>
      <c r="APZ104" s="387"/>
      <c r="AQA104" s="387"/>
      <c r="AQB104" s="387"/>
      <c r="AQC104" s="387"/>
      <c r="AQD104" s="387"/>
      <c r="AQE104" s="387"/>
      <c r="AQF104" s="387"/>
      <c r="AQG104" s="387"/>
      <c r="AQH104" s="387"/>
      <c r="AQI104" s="387"/>
      <c r="AQJ104" s="387"/>
      <c r="AQK104" s="387"/>
      <c r="AQL104" s="387"/>
      <c r="AQM104" s="387"/>
      <c r="AQN104" s="387"/>
      <c r="AQO104" s="387"/>
      <c r="AQP104" s="387"/>
      <c r="AQQ104" s="387"/>
      <c r="AQR104" s="387"/>
      <c r="AQS104" s="387"/>
      <c r="AQT104" s="387"/>
      <c r="AQU104" s="387"/>
      <c r="AQV104" s="387"/>
      <c r="AQW104" s="387"/>
      <c r="AQX104" s="387"/>
      <c r="AQY104" s="387"/>
      <c r="AQZ104" s="387"/>
      <c r="ARA104" s="387"/>
      <c r="ARB104" s="387"/>
      <c r="ARC104" s="387"/>
      <c r="ARD104" s="387"/>
      <c r="ARE104" s="387"/>
      <c r="ARF104" s="387"/>
      <c r="ARG104" s="387"/>
      <c r="ARH104" s="387"/>
      <c r="ARI104" s="387"/>
      <c r="ARJ104" s="387"/>
      <c r="ARK104" s="387"/>
      <c r="ARL104" s="387"/>
      <c r="ARM104" s="387"/>
      <c r="ARN104" s="387"/>
      <c r="ARO104" s="387"/>
      <c r="ARP104" s="387"/>
      <c r="ARQ104" s="387"/>
      <c r="ARR104" s="387"/>
      <c r="ARS104" s="387"/>
      <c r="ART104" s="387"/>
      <c r="ARU104" s="387"/>
      <c r="ARV104" s="387"/>
      <c r="ARW104" s="387"/>
      <c r="ARX104" s="387"/>
      <c r="ARY104" s="387"/>
      <c r="ARZ104" s="387"/>
      <c r="ASA104" s="387"/>
      <c r="ASB104" s="387"/>
      <c r="ASC104" s="387"/>
      <c r="ASD104" s="387"/>
      <c r="ASE104" s="387"/>
      <c r="ASF104" s="387"/>
      <c r="ASG104" s="387"/>
      <c r="ASH104" s="387"/>
      <c r="ASI104" s="387"/>
      <c r="ASJ104" s="387"/>
      <c r="ASK104" s="387"/>
      <c r="ASL104" s="387"/>
      <c r="ASM104" s="387"/>
      <c r="ASN104" s="387"/>
      <c r="ASO104" s="387"/>
      <c r="ASP104" s="387"/>
      <c r="ASQ104" s="387"/>
      <c r="ASR104" s="387"/>
      <c r="ASS104" s="387"/>
      <c r="AST104" s="387"/>
      <c r="ASU104" s="387"/>
      <c r="ASV104" s="387"/>
      <c r="ASW104" s="387"/>
      <c r="ASX104" s="387"/>
      <c r="ASY104" s="387"/>
      <c r="ASZ104" s="387"/>
      <c r="ATA104" s="387"/>
      <c r="ATB104" s="387"/>
      <c r="ATC104" s="387"/>
      <c r="ATD104" s="387"/>
      <c r="ATE104" s="387"/>
      <c r="ATF104" s="387"/>
      <c r="ATG104" s="387"/>
      <c r="ATH104" s="387"/>
      <c r="ATI104" s="387"/>
      <c r="ATJ104" s="387"/>
      <c r="ATK104" s="387"/>
      <c r="ATL104" s="387"/>
      <c r="ATM104" s="387"/>
      <c r="ATN104" s="387"/>
      <c r="ATO104" s="387"/>
      <c r="ATP104" s="387"/>
      <c r="ATQ104" s="387"/>
      <c r="ATR104" s="387"/>
      <c r="ATS104" s="387"/>
      <c r="ATT104" s="387"/>
      <c r="ATU104" s="387"/>
      <c r="ATV104" s="387"/>
      <c r="ATW104" s="387"/>
      <c r="ATX104" s="387"/>
      <c r="ATY104" s="387"/>
      <c r="ATZ104" s="387"/>
      <c r="AUA104" s="387"/>
      <c r="AUB104" s="387"/>
      <c r="AUC104" s="387"/>
      <c r="AUD104" s="387"/>
      <c r="AUE104" s="387"/>
      <c r="AUF104" s="387"/>
      <c r="AUG104" s="387"/>
      <c r="AUH104" s="387"/>
      <c r="AUI104" s="387"/>
      <c r="AUJ104" s="387"/>
      <c r="AUK104" s="387"/>
      <c r="AUL104" s="387"/>
      <c r="AUM104" s="387"/>
      <c r="AUN104" s="387"/>
      <c r="AUO104" s="387"/>
      <c r="AUP104" s="387"/>
      <c r="AUQ104" s="387"/>
      <c r="AUR104" s="387"/>
      <c r="AUS104" s="387"/>
      <c r="AUT104" s="387"/>
      <c r="AUU104" s="387"/>
      <c r="AUV104" s="387"/>
      <c r="AUW104" s="387"/>
      <c r="AUX104" s="387"/>
      <c r="AUY104" s="387"/>
      <c r="AUZ104" s="387"/>
      <c r="AVA104" s="387"/>
      <c r="AVB104" s="387"/>
      <c r="AVC104" s="387"/>
      <c r="AVD104" s="387"/>
      <c r="AVE104" s="387"/>
      <c r="AVF104" s="387"/>
      <c r="AVG104" s="387"/>
      <c r="AVH104" s="387"/>
      <c r="AVI104" s="387"/>
      <c r="AVJ104" s="387"/>
      <c r="AVK104" s="387"/>
      <c r="AVL104" s="387"/>
      <c r="AVM104" s="387"/>
      <c r="AVN104" s="387"/>
      <c r="AVO104" s="387"/>
      <c r="AVP104" s="387"/>
      <c r="AVQ104" s="387"/>
      <c r="AVR104" s="387"/>
      <c r="AVS104" s="387"/>
      <c r="AVT104" s="387"/>
      <c r="AVU104" s="387"/>
      <c r="AVV104" s="387"/>
      <c r="AVW104" s="387"/>
      <c r="AVX104" s="387"/>
      <c r="AVY104" s="387"/>
      <c r="AVZ104" s="387"/>
      <c r="AWA104" s="387"/>
      <c r="AWB104" s="387"/>
      <c r="AWC104" s="387"/>
      <c r="AWD104" s="387"/>
      <c r="AWE104" s="387"/>
      <c r="AWF104" s="387"/>
      <c r="AWG104" s="387"/>
      <c r="AWH104" s="387"/>
      <c r="AWI104" s="387"/>
      <c r="AWJ104" s="387"/>
      <c r="AWK104" s="387"/>
      <c r="AWL104" s="387"/>
      <c r="AWM104" s="387"/>
      <c r="AWN104" s="387"/>
      <c r="AWO104" s="387"/>
      <c r="AWP104" s="387"/>
      <c r="AWQ104" s="387"/>
      <c r="AWR104" s="387"/>
      <c r="AWS104" s="387"/>
      <c r="AWT104" s="387"/>
      <c r="AWU104" s="387"/>
      <c r="AWV104" s="387"/>
      <c r="AWW104" s="387"/>
      <c r="AWX104" s="387"/>
      <c r="AWY104" s="387"/>
      <c r="AWZ104" s="387"/>
      <c r="AXA104" s="387"/>
      <c r="AXB104" s="387"/>
      <c r="AXC104" s="387"/>
      <c r="AXD104" s="387"/>
      <c r="AXE104" s="387"/>
      <c r="AXF104" s="387"/>
      <c r="AXG104" s="387"/>
      <c r="AXH104" s="387"/>
      <c r="AXI104" s="387"/>
      <c r="AXJ104" s="387"/>
      <c r="AXK104" s="387"/>
      <c r="AXL104" s="387"/>
      <c r="AXM104" s="387"/>
      <c r="AXN104" s="387"/>
      <c r="AXO104" s="387"/>
      <c r="AXP104" s="387"/>
      <c r="AXQ104" s="387"/>
      <c r="AXR104" s="387"/>
      <c r="AXS104" s="387"/>
      <c r="AXT104" s="387"/>
      <c r="AXU104" s="387"/>
      <c r="AXV104" s="387"/>
      <c r="AXW104" s="387"/>
      <c r="AXX104" s="387"/>
      <c r="AXY104" s="387"/>
      <c r="AXZ104" s="387"/>
      <c r="AYA104" s="387"/>
      <c r="AYB104" s="387"/>
      <c r="AYC104" s="387"/>
      <c r="AYD104" s="387"/>
      <c r="AYE104" s="387"/>
      <c r="AYF104" s="387"/>
      <c r="AYG104" s="387"/>
      <c r="AYH104" s="387"/>
      <c r="AYI104" s="387"/>
      <c r="AYJ104" s="387"/>
      <c r="AYK104" s="387"/>
      <c r="AYL104" s="387"/>
      <c r="AYM104" s="387"/>
      <c r="AYN104" s="387"/>
      <c r="AYO104" s="387"/>
      <c r="AYP104" s="387"/>
      <c r="AYQ104" s="387"/>
      <c r="AYR104" s="387"/>
      <c r="AYS104" s="387"/>
      <c r="AYT104" s="387"/>
      <c r="AYU104" s="387"/>
      <c r="AYV104" s="387"/>
      <c r="AYW104" s="387"/>
      <c r="AYX104" s="387"/>
      <c r="AYY104" s="387"/>
      <c r="AYZ104" s="387"/>
      <c r="AZA104" s="387"/>
      <c r="AZB104" s="387"/>
      <c r="AZC104" s="387"/>
      <c r="AZD104" s="387"/>
      <c r="AZE104" s="387"/>
      <c r="AZF104" s="387"/>
      <c r="AZG104" s="387"/>
      <c r="AZH104" s="387"/>
      <c r="AZI104" s="387"/>
      <c r="AZJ104" s="387"/>
      <c r="AZK104" s="387"/>
      <c r="AZL104" s="387"/>
      <c r="AZM104" s="387"/>
      <c r="AZN104" s="387"/>
      <c r="AZO104" s="387"/>
      <c r="AZP104" s="387"/>
      <c r="AZQ104" s="387"/>
      <c r="AZR104" s="387"/>
      <c r="AZS104" s="387"/>
      <c r="AZT104" s="387"/>
      <c r="AZU104" s="387"/>
      <c r="AZV104" s="387"/>
      <c r="AZW104" s="387"/>
      <c r="AZX104" s="387"/>
      <c r="AZY104" s="387"/>
      <c r="AZZ104" s="387"/>
      <c r="BAA104" s="387"/>
      <c r="BAB104" s="387"/>
      <c r="BAC104" s="387"/>
      <c r="BAD104" s="387"/>
      <c r="BAE104" s="387"/>
      <c r="BAF104" s="387"/>
      <c r="BAG104" s="387"/>
      <c r="BAH104" s="387"/>
      <c r="BAI104" s="387"/>
      <c r="BAJ104" s="387"/>
      <c r="BAK104" s="387"/>
      <c r="BAL104" s="387"/>
      <c r="BAM104" s="387"/>
      <c r="BAN104" s="387"/>
      <c r="BAO104" s="387"/>
      <c r="BAP104" s="387"/>
      <c r="BAQ104" s="387"/>
      <c r="BAR104" s="387"/>
      <c r="BAS104" s="387"/>
      <c r="BAT104" s="387"/>
      <c r="BAU104" s="387"/>
      <c r="BAV104" s="387"/>
      <c r="BAW104" s="387"/>
      <c r="BAX104" s="387"/>
      <c r="BAY104" s="387"/>
      <c r="BAZ104" s="387"/>
      <c r="BBA104" s="387"/>
      <c r="BBB104" s="387"/>
      <c r="BBC104" s="387"/>
      <c r="BBD104" s="387"/>
      <c r="BBE104" s="387"/>
      <c r="BBF104" s="387"/>
      <c r="BBG104" s="387"/>
      <c r="BBH104" s="387"/>
      <c r="BBI104" s="387"/>
      <c r="BBJ104" s="387"/>
      <c r="BBK104" s="387"/>
      <c r="BBL104" s="387"/>
      <c r="BBM104" s="387"/>
      <c r="BBN104" s="387"/>
      <c r="BBO104" s="387"/>
      <c r="BBP104" s="387"/>
      <c r="BBQ104" s="387"/>
      <c r="BBR104" s="387"/>
      <c r="BBS104" s="387"/>
      <c r="BBT104" s="387"/>
      <c r="BBU104" s="387"/>
      <c r="BBV104" s="387"/>
      <c r="BBW104" s="387"/>
      <c r="BBX104" s="387"/>
      <c r="BBY104" s="387"/>
      <c r="BBZ104" s="387"/>
      <c r="BCA104" s="387"/>
      <c r="BCB104" s="387"/>
      <c r="BCC104" s="387"/>
      <c r="BCD104" s="387"/>
      <c r="BCE104" s="387"/>
      <c r="BCF104" s="387"/>
      <c r="BCG104" s="387"/>
      <c r="BCH104" s="387"/>
      <c r="BCI104" s="387"/>
      <c r="BCJ104" s="387"/>
      <c r="BCK104" s="387"/>
      <c r="BCL104" s="387"/>
      <c r="BCM104" s="387"/>
      <c r="BCN104" s="387"/>
      <c r="BCO104" s="387"/>
      <c r="BCP104" s="387"/>
      <c r="BCQ104" s="387"/>
      <c r="BCR104" s="387"/>
      <c r="BCS104" s="387"/>
      <c r="BCT104" s="387"/>
      <c r="BCU104" s="387"/>
      <c r="BCV104" s="387"/>
      <c r="BCW104" s="387"/>
      <c r="BCX104" s="387"/>
      <c r="BCY104" s="387"/>
      <c r="BCZ104" s="387"/>
      <c r="BDA104" s="387"/>
      <c r="BDB104" s="387"/>
      <c r="BDC104" s="387"/>
      <c r="BDD104" s="387"/>
      <c r="BDE104" s="387"/>
      <c r="BDF104" s="387"/>
      <c r="BDG104" s="387"/>
      <c r="BDH104" s="387"/>
      <c r="BDI104" s="387"/>
      <c r="BDJ104" s="387"/>
      <c r="BDK104" s="387"/>
      <c r="BDL104" s="387"/>
      <c r="BDM104" s="387"/>
      <c r="BDN104" s="387"/>
      <c r="BDO104" s="387"/>
      <c r="BDP104" s="387"/>
      <c r="BDQ104" s="387"/>
      <c r="BDR104" s="387"/>
      <c r="BDS104" s="387"/>
      <c r="BDT104" s="387"/>
      <c r="BDU104" s="387"/>
      <c r="BDV104" s="387"/>
      <c r="BDW104" s="387"/>
      <c r="BDX104" s="387"/>
      <c r="BDY104" s="387"/>
      <c r="BDZ104" s="387"/>
      <c r="BEA104" s="387"/>
      <c r="BEB104" s="387"/>
      <c r="BEC104" s="387"/>
      <c r="BED104" s="387"/>
      <c r="BEE104" s="387"/>
      <c r="BEF104" s="387"/>
      <c r="BEG104" s="387"/>
      <c r="BEH104" s="387"/>
      <c r="BEI104" s="387"/>
      <c r="BEJ104" s="387"/>
      <c r="BEK104" s="387"/>
      <c r="BEL104" s="387"/>
      <c r="BEM104" s="387"/>
      <c r="BEN104" s="387"/>
      <c r="BEO104" s="387"/>
      <c r="BEP104" s="387"/>
      <c r="BEQ104" s="387"/>
      <c r="BER104" s="387"/>
      <c r="BES104" s="387"/>
      <c r="BET104" s="387"/>
      <c r="BEU104" s="387"/>
      <c r="BEV104" s="387"/>
      <c r="BEW104" s="387"/>
      <c r="BEX104" s="387"/>
      <c r="BEY104" s="387"/>
      <c r="BEZ104" s="387"/>
      <c r="BFA104" s="387"/>
      <c r="BFB104" s="387"/>
      <c r="BFC104" s="387"/>
      <c r="BFD104" s="387"/>
      <c r="BFE104" s="387"/>
      <c r="BFF104" s="387"/>
      <c r="BFG104" s="387"/>
      <c r="BFH104" s="387"/>
      <c r="BFI104" s="387"/>
      <c r="BFJ104" s="387"/>
      <c r="BFK104" s="387"/>
      <c r="BFL104" s="387"/>
      <c r="BFM104" s="387"/>
      <c r="BFN104" s="387"/>
      <c r="BFO104" s="387"/>
      <c r="BFP104" s="387"/>
      <c r="BFQ104" s="387"/>
      <c r="BFR104" s="387"/>
      <c r="BFS104" s="387"/>
      <c r="BFT104" s="387"/>
      <c r="BFU104" s="387"/>
      <c r="BFV104" s="387"/>
      <c r="BFW104" s="387"/>
      <c r="BFX104" s="387"/>
      <c r="BFY104" s="387"/>
      <c r="BFZ104" s="387"/>
      <c r="BGA104" s="387"/>
      <c r="BGB104" s="387"/>
      <c r="BGC104" s="387"/>
      <c r="BGD104" s="387"/>
      <c r="BGE104" s="387"/>
      <c r="BGF104" s="387"/>
      <c r="BGG104" s="387"/>
      <c r="BGH104" s="387"/>
      <c r="BGI104" s="387"/>
      <c r="BGJ104" s="387"/>
      <c r="BGK104" s="387"/>
      <c r="BGL104" s="387"/>
      <c r="BGM104" s="387"/>
      <c r="BGN104" s="387"/>
      <c r="BGO104" s="387"/>
      <c r="BGP104" s="387"/>
      <c r="BGQ104" s="387"/>
      <c r="BGR104" s="387"/>
      <c r="BGS104" s="387"/>
      <c r="BGT104" s="387"/>
      <c r="BGU104" s="387"/>
      <c r="BGV104" s="387"/>
      <c r="BGW104" s="387"/>
      <c r="BGX104" s="387"/>
      <c r="BGY104" s="387"/>
      <c r="BGZ104" s="387"/>
      <c r="BHA104" s="387"/>
      <c r="BHB104" s="387"/>
      <c r="BHC104" s="387"/>
      <c r="BHD104" s="387"/>
      <c r="BHE104" s="387"/>
      <c r="BHF104" s="387"/>
      <c r="BHG104" s="387"/>
      <c r="BHH104" s="387"/>
      <c r="BHI104" s="387"/>
      <c r="BHJ104" s="387"/>
      <c r="BHK104" s="387"/>
      <c r="BHL104" s="387"/>
      <c r="BHM104" s="387"/>
      <c r="BHN104" s="387"/>
      <c r="BHO104" s="387"/>
      <c r="BHP104" s="387"/>
      <c r="BHQ104" s="387"/>
      <c r="BHR104" s="387"/>
      <c r="BHS104" s="387"/>
      <c r="BHT104" s="387"/>
      <c r="BHU104" s="387"/>
      <c r="BHV104" s="387"/>
      <c r="BHW104" s="387"/>
      <c r="BHX104" s="387"/>
      <c r="BHY104" s="387"/>
      <c r="BHZ104" s="387"/>
      <c r="BIA104" s="387"/>
      <c r="BIB104" s="387"/>
      <c r="BIC104" s="387"/>
      <c r="BID104" s="387"/>
      <c r="BIE104" s="387"/>
      <c r="BIF104" s="387"/>
      <c r="BIG104" s="387"/>
      <c r="BIH104" s="387"/>
      <c r="BII104" s="387"/>
      <c r="BIJ104" s="387"/>
      <c r="BIK104" s="387"/>
      <c r="BIL104" s="387"/>
      <c r="BIM104" s="387"/>
      <c r="BIN104" s="387"/>
      <c r="BIO104" s="387"/>
      <c r="BIP104" s="387"/>
      <c r="BIQ104" s="387"/>
      <c r="BIR104" s="387"/>
      <c r="BIS104" s="387"/>
      <c r="BIT104" s="387"/>
      <c r="BIU104" s="387"/>
      <c r="BIV104" s="387"/>
      <c r="BIW104" s="387"/>
      <c r="BIX104" s="387"/>
      <c r="BIY104" s="387"/>
      <c r="BIZ104" s="387"/>
      <c r="BJA104" s="387"/>
      <c r="BJB104" s="387"/>
      <c r="BJC104" s="387"/>
      <c r="BJD104" s="387"/>
      <c r="BJE104" s="387"/>
      <c r="BJF104" s="387"/>
      <c r="BJG104" s="387"/>
      <c r="BJH104" s="387"/>
      <c r="BJI104" s="387"/>
      <c r="BJJ104" s="387"/>
      <c r="BJK104" s="387"/>
      <c r="BJL104" s="387"/>
      <c r="BJM104" s="387"/>
      <c r="BJN104" s="387"/>
      <c r="BJO104" s="387"/>
      <c r="BJP104" s="387"/>
      <c r="BJQ104" s="387"/>
      <c r="BJR104" s="387"/>
      <c r="BJS104" s="387"/>
      <c r="BJT104" s="387"/>
      <c r="BJU104" s="387"/>
      <c r="BJV104" s="387"/>
      <c r="BJW104" s="387"/>
      <c r="BJX104" s="387"/>
      <c r="BJY104" s="387"/>
      <c r="BJZ104" s="387"/>
      <c r="BKA104" s="387"/>
      <c r="BKB104" s="387"/>
      <c r="BKC104" s="387"/>
      <c r="BKD104" s="387"/>
      <c r="BKE104" s="387"/>
      <c r="BKF104" s="387"/>
      <c r="BKG104" s="387"/>
      <c r="BKH104" s="387"/>
      <c r="BKI104" s="387"/>
      <c r="BKJ104" s="387"/>
      <c r="BKK104" s="387"/>
      <c r="BKL104" s="387"/>
      <c r="BKM104" s="387"/>
      <c r="BKN104" s="387"/>
      <c r="BKO104" s="387"/>
      <c r="BKP104" s="387"/>
      <c r="BKQ104" s="387"/>
      <c r="BKR104" s="387"/>
      <c r="BKS104" s="387"/>
      <c r="BKT104" s="387"/>
      <c r="BKU104" s="387"/>
      <c r="BKV104" s="387"/>
      <c r="BKW104" s="387"/>
      <c r="BKX104" s="387"/>
      <c r="BKY104" s="387"/>
      <c r="BKZ104" s="387"/>
      <c r="BLA104" s="387"/>
      <c r="BLB104" s="387"/>
      <c r="BLC104" s="387"/>
      <c r="BLD104" s="387"/>
      <c r="BLE104" s="387"/>
      <c r="BLF104" s="387"/>
      <c r="BLG104" s="387"/>
      <c r="BLH104" s="387"/>
      <c r="BLI104" s="387"/>
      <c r="BLJ104" s="387"/>
      <c r="BLK104" s="387"/>
      <c r="BLL104" s="387"/>
      <c r="BLM104" s="387"/>
      <c r="BLN104" s="387"/>
      <c r="BLO104" s="387"/>
      <c r="BLP104" s="387"/>
      <c r="BLQ104" s="387"/>
      <c r="BLR104" s="387"/>
      <c r="BLS104" s="387"/>
      <c r="BLT104" s="387"/>
      <c r="BLU104" s="387"/>
      <c r="BLV104" s="387"/>
      <c r="BLW104" s="387"/>
      <c r="BLX104" s="387"/>
      <c r="BLY104" s="387"/>
      <c r="BLZ104" s="387"/>
      <c r="BMA104" s="387"/>
      <c r="BMB104" s="387"/>
      <c r="BMC104" s="387"/>
      <c r="BMD104" s="387"/>
      <c r="BME104" s="387"/>
      <c r="BMF104" s="387"/>
      <c r="BMG104" s="387"/>
      <c r="BMH104" s="387"/>
      <c r="BMI104" s="387"/>
      <c r="BMJ104" s="387"/>
      <c r="BMK104" s="387"/>
      <c r="BML104" s="387"/>
      <c r="BMM104" s="387"/>
      <c r="BMN104" s="387"/>
      <c r="BMO104" s="387"/>
      <c r="BMP104" s="387"/>
      <c r="BMQ104" s="387"/>
      <c r="BMR104" s="387"/>
      <c r="BMS104" s="387"/>
      <c r="BMT104" s="387"/>
      <c r="BMU104" s="387"/>
      <c r="BMV104" s="387"/>
      <c r="BMW104" s="387"/>
      <c r="BMX104" s="387"/>
      <c r="BMY104" s="387"/>
      <c r="BMZ104" s="387"/>
      <c r="BNA104" s="387"/>
      <c r="BNB104" s="387"/>
      <c r="BNC104" s="387"/>
      <c r="BND104" s="387"/>
      <c r="BNE104" s="387"/>
      <c r="BNF104" s="387"/>
      <c r="BNG104" s="387"/>
      <c r="BNH104" s="387"/>
      <c r="BNI104" s="387"/>
      <c r="BNJ104" s="387"/>
      <c r="BNK104" s="387"/>
      <c r="BNL104" s="387"/>
      <c r="BNM104" s="387"/>
      <c r="BNN104" s="387"/>
      <c r="BNO104" s="387"/>
      <c r="BNP104" s="387"/>
      <c r="BNQ104" s="387"/>
      <c r="BNR104" s="387"/>
      <c r="BNS104" s="387"/>
      <c r="BNT104" s="387"/>
      <c r="BNU104" s="387"/>
      <c r="BNV104" s="387"/>
      <c r="BNW104" s="387"/>
      <c r="BNX104" s="387"/>
      <c r="BNY104" s="387"/>
      <c r="BNZ104" s="387"/>
      <c r="BOA104" s="387"/>
      <c r="BOB104" s="387"/>
      <c r="BOC104" s="387"/>
      <c r="BOD104" s="387"/>
      <c r="BOE104" s="387"/>
      <c r="BOF104" s="387"/>
      <c r="BOG104" s="387"/>
      <c r="BOH104" s="387"/>
      <c r="BOI104" s="387"/>
      <c r="BOJ104" s="387"/>
      <c r="BOK104" s="387"/>
      <c r="BOL104" s="387"/>
      <c r="BOM104" s="387"/>
      <c r="BON104" s="387"/>
      <c r="BOO104" s="387"/>
      <c r="BOP104" s="387"/>
      <c r="BOQ104" s="387"/>
      <c r="BOR104" s="387"/>
      <c r="BOS104" s="387"/>
      <c r="BOT104" s="387"/>
      <c r="BOU104" s="387"/>
      <c r="BOV104" s="387"/>
      <c r="BOW104" s="387"/>
      <c r="BOX104" s="387"/>
      <c r="BOY104" s="387"/>
      <c r="BOZ104" s="387"/>
      <c r="BPA104" s="387"/>
      <c r="BPB104" s="387"/>
      <c r="BPC104" s="387"/>
      <c r="BPD104" s="387"/>
      <c r="BPE104" s="387"/>
      <c r="BPF104" s="387"/>
      <c r="BPG104" s="387"/>
      <c r="BPH104" s="387"/>
      <c r="BPI104" s="387"/>
      <c r="BPJ104" s="387"/>
      <c r="BPK104" s="387"/>
      <c r="BPL104" s="387"/>
      <c r="BPM104" s="387"/>
      <c r="BPN104" s="387"/>
      <c r="BPO104" s="387"/>
      <c r="BPP104" s="387"/>
      <c r="BPQ104" s="387"/>
      <c r="BPR104" s="387"/>
      <c r="BPS104" s="387"/>
      <c r="BPT104" s="387"/>
      <c r="BPU104" s="387"/>
      <c r="BPV104" s="387"/>
      <c r="BPW104" s="387"/>
      <c r="BPX104" s="387"/>
      <c r="BPY104" s="387"/>
      <c r="BPZ104" s="387"/>
      <c r="BQA104" s="387"/>
      <c r="BQB104" s="387"/>
      <c r="BQC104" s="387"/>
      <c r="BQD104" s="387"/>
      <c r="BQE104" s="387"/>
      <c r="BQF104" s="387"/>
      <c r="BQG104" s="387"/>
      <c r="BQH104" s="387"/>
      <c r="BQI104" s="387"/>
      <c r="BQJ104" s="387"/>
      <c r="BQK104" s="387"/>
      <c r="BQL104" s="387"/>
      <c r="BQM104" s="387"/>
      <c r="BQN104" s="387"/>
      <c r="BQO104" s="387"/>
      <c r="BQP104" s="387"/>
      <c r="BQQ104" s="387"/>
      <c r="BQR104" s="387"/>
      <c r="BQS104" s="387"/>
      <c r="BQT104" s="387"/>
      <c r="BQU104" s="387"/>
      <c r="BQV104" s="387"/>
      <c r="BQW104" s="387"/>
      <c r="BQX104" s="387"/>
      <c r="BQY104" s="387"/>
      <c r="BQZ104" s="387"/>
      <c r="BRA104" s="387"/>
      <c r="BRB104" s="387"/>
      <c r="BRC104" s="387"/>
      <c r="BRD104" s="387"/>
      <c r="BRE104" s="387"/>
      <c r="BRF104" s="387"/>
      <c r="BRG104" s="387"/>
      <c r="BRH104" s="387"/>
      <c r="BRI104" s="387"/>
      <c r="BRJ104" s="387"/>
      <c r="BRK104" s="387"/>
      <c r="BRL104" s="387"/>
      <c r="BRM104" s="387"/>
      <c r="BRN104" s="387"/>
      <c r="BRO104" s="387"/>
      <c r="BRP104" s="387"/>
      <c r="BRQ104" s="387"/>
      <c r="BRR104" s="387"/>
      <c r="BRS104" s="387"/>
      <c r="BRT104" s="387"/>
      <c r="BRU104" s="387"/>
      <c r="BRV104" s="387"/>
      <c r="BRW104" s="387"/>
      <c r="BRX104" s="387"/>
      <c r="BRY104" s="387"/>
      <c r="BRZ104" s="387"/>
      <c r="BSA104" s="387"/>
      <c r="BSB104" s="387"/>
      <c r="BSC104" s="387"/>
      <c r="BSD104" s="387"/>
      <c r="BSE104" s="387"/>
      <c r="BSF104" s="387"/>
      <c r="BSG104" s="387"/>
      <c r="BSH104" s="387"/>
      <c r="BSI104" s="387"/>
      <c r="BSJ104" s="387"/>
      <c r="BSK104" s="387"/>
      <c r="BSL104" s="387"/>
      <c r="BSM104" s="387"/>
      <c r="BSN104" s="387"/>
      <c r="BSO104" s="387"/>
      <c r="BSP104" s="387"/>
      <c r="BSQ104" s="387"/>
      <c r="BSR104" s="387"/>
      <c r="BSS104" s="387"/>
      <c r="BST104" s="387"/>
      <c r="BSU104" s="387"/>
      <c r="BSV104" s="387"/>
      <c r="BSW104" s="387"/>
      <c r="BSX104" s="387"/>
      <c r="BSY104" s="387"/>
      <c r="BSZ104" s="387"/>
      <c r="BTA104" s="387"/>
      <c r="BTB104" s="387"/>
      <c r="BTC104" s="387"/>
      <c r="BTD104" s="387"/>
      <c r="BTE104" s="387"/>
      <c r="BTF104" s="387"/>
      <c r="BTG104" s="387"/>
      <c r="BTH104" s="387"/>
      <c r="BTI104" s="387"/>
    </row>
    <row r="105" spans="1:1881" ht="105" x14ac:dyDescent="0.25">
      <c r="A105" s="442">
        <v>639</v>
      </c>
      <c r="B105" s="443" t="s">
        <v>1017</v>
      </c>
      <c r="C105" s="444" t="s">
        <v>200</v>
      </c>
      <c r="D105" s="445" t="s">
        <v>725</v>
      </c>
      <c r="E105" s="446" t="s">
        <v>676</v>
      </c>
      <c r="F105" s="686"/>
      <c r="G105" s="431">
        <f>IF(F105&lt;0,"Error: Enter as positive.",)</f>
        <v>0</v>
      </c>
      <c r="H105" s="432"/>
      <c r="S105" s="682"/>
      <c r="X105" s="682"/>
    </row>
    <row r="106" spans="1:1881" ht="84" customHeight="1" x14ac:dyDescent="0.25">
      <c r="A106" s="447">
        <v>640</v>
      </c>
      <c r="B106" s="448" t="s">
        <v>674</v>
      </c>
      <c r="C106" s="444" t="s">
        <v>200</v>
      </c>
      <c r="D106" s="445" t="s">
        <v>889</v>
      </c>
      <c r="E106" s="446" t="s">
        <v>676</v>
      </c>
      <c r="F106" s="686"/>
      <c r="G106" s="703">
        <f>IF(F106&gt;F105,"Error: Please review components of current liabilities above. Account numbers 640&gt;639",)</f>
        <v>0</v>
      </c>
      <c r="H106" s="432"/>
      <c r="I106" s="478"/>
      <c r="S106" s="682"/>
      <c r="X106" s="682"/>
    </row>
    <row r="107" spans="1:1881" ht="91.5" customHeight="1" x14ac:dyDescent="0.25">
      <c r="A107" s="447">
        <v>641</v>
      </c>
      <c r="B107" s="448" t="s">
        <v>674</v>
      </c>
      <c r="C107" s="444" t="s">
        <v>200</v>
      </c>
      <c r="D107" s="445" t="s">
        <v>890</v>
      </c>
      <c r="E107" s="446" t="s">
        <v>676</v>
      </c>
      <c r="F107" s="686"/>
      <c r="G107" s="703">
        <f>IF(F107&gt;F105,"Error: Please review components of current liabilities above. Account numbers 641&gt;639",)</f>
        <v>0</v>
      </c>
      <c r="H107" s="432"/>
      <c r="I107" s="433"/>
      <c r="S107" s="682"/>
      <c r="X107" s="682"/>
    </row>
    <row r="108" spans="1:1881" ht="84" customHeight="1" x14ac:dyDescent="0.25">
      <c r="A108" s="447">
        <v>642</v>
      </c>
      <c r="B108" s="448" t="s">
        <v>674</v>
      </c>
      <c r="C108" s="444" t="s">
        <v>200</v>
      </c>
      <c r="D108" s="445" t="s">
        <v>891</v>
      </c>
      <c r="E108" s="446" t="s">
        <v>676</v>
      </c>
      <c r="F108" s="686"/>
      <c r="G108" s="703">
        <f>IF(F108&gt;F105,"Error: Please review components of current liabilities above. Account numbers  642&gt;639",)</f>
        <v>0</v>
      </c>
      <c r="H108" s="432"/>
      <c r="I108" s="433"/>
      <c r="S108" s="682"/>
      <c r="X108" s="682"/>
    </row>
    <row r="109" spans="1:1881" ht="81.75" customHeight="1" x14ac:dyDescent="0.25">
      <c r="A109" s="447">
        <v>643</v>
      </c>
      <c r="B109" s="448" t="s">
        <v>674</v>
      </c>
      <c r="C109" s="444" t="s">
        <v>200</v>
      </c>
      <c r="D109" s="445" t="s">
        <v>892</v>
      </c>
      <c r="E109" s="446" t="s">
        <v>676</v>
      </c>
      <c r="F109" s="686"/>
      <c r="G109" s="703">
        <f>IF(F109&gt;F105,"Error: Please review components of current liabilities above. Account numbers 643&gt;639",)</f>
        <v>0</v>
      </c>
      <c r="H109" s="432"/>
      <c r="I109" s="433"/>
      <c r="S109" s="682"/>
      <c r="X109" s="682"/>
    </row>
    <row r="110" spans="1:1881" ht="84.75" customHeight="1" x14ac:dyDescent="0.25">
      <c r="A110" s="447">
        <v>644</v>
      </c>
      <c r="B110" s="448" t="s">
        <v>674</v>
      </c>
      <c r="C110" s="444" t="s">
        <v>200</v>
      </c>
      <c r="D110" s="445" t="s">
        <v>893</v>
      </c>
      <c r="E110" s="446" t="s">
        <v>676</v>
      </c>
      <c r="F110" s="686"/>
      <c r="G110" s="703">
        <f>IF(F110&gt;F105,"Error: Please review components of current liabilities above. Account number 644&gt;639",)</f>
        <v>0</v>
      </c>
      <c r="H110" s="432"/>
      <c r="I110" s="433"/>
      <c r="S110" s="682"/>
      <c r="X110" s="682"/>
    </row>
    <row r="111" spans="1:1881" ht="73.5" customHeight="1" x14ac:dyDescent="0.25">
      <c r="A111" s="186">
        <v>384</v>
      </c>
      <c r="B111" s="62" t="s">
        <v>86</v>
      </c>
      <c r="C111" s="157" t="s">
        <v>200</v>
      </c>
      <c r="D111" s="173" t="s">
        <v>894</v>
      </c>
      <c r="E111" s="683" t="e">
        <f>HLOOKUP('Unit Data from Audit Worksheet'!$D$2,'2019 Data(H)'!$D$1:$BB$202,101,FALSE)</f>
        <v>#N/A</v>
      </c>
      <c r="F111" s="559"/>
      <c r="G111" s="705">
        <f>IF(F111&gt;F105,"Error: Please review components of current liabilities above. Account number 384&gt;639",)</f>
        <v>0</v>
      </c>
      <c r="I111" s="31"/>
      <c r="S111" s="682"/>
      <c r="X111" s="682"/>
    </row>
    <row r="112" spans="1:1881" ht="84.75" customHeight="1" x14ac:dyDescent="0.25">
      <c r="A112" s="186">
        <v>361</v>
      </c>
      <c r="B112" s="62" t="s">
        <v>79</v>
      </c>
      <c r="C112" s="157" t="s">
        <v>200</v>
      </c>
      <c r="D112" s="139" t="s">
        <v>197</v>
      </c>
      <c r="E112" s="683" t="e">
        <f>HLOOKUP('Unit Data from Audit Worksheet'!$D$2,'2019 Data(H)'!$D$1:$BB$202,81,FALSE)</f>
        <v>#N/A</v>
      </c>
      <c r="F112" s="686"/>
      <c r="G112" s="311"/>
      <c r="H112" s="14"/>
      <c r="I112" s="31"/>
      <c r="S112" s="682"/>
      <c r="X112" s="682"/>
    </row>
    <row r="113" spans="1:1881" ht="90" customHeight="1" x14ac:dyDescent="0.25">
      <c r="A113" s="186">
        <v>362</v>
      </c>
      <c r="B113" s="62" t="s">
        <v>79</v>
      </c>
      <c r="C113" s="157" t="s">
        <v>200</v>
      </c>
      <c r="D113" s="172" t="s">
        <v>198</v>
      </c>
      <c r="E113" s="683" t="e">
        <f>HLOOKUP('Unit Data from Audit Worksheet'!$D$2,'2019 Data(H)'!$D$1:$BB$202,82,FALSE)</f>
        <v>#N/A</v>
      </c>
      <c r="F113" s="686"/>
      <c r="G113" s="388">
        <f>IF(H113=0,,"Error: Total assets less total liabilities do not equal total net position. Account numbers 382-360-362=0  The amount of the formula is in the cell to the right")</f>
        <v>0</v>
      </c>
      <c r="H113" s="189">
        <f>F102-F103-F113</f>
        <v>0</v>
      </c>
      <c r="I113" s="31"/>
      <c r="S113" s="682"/>
      <c r="X113" s="682"/>
    </row>
    <row r="114" spans="1:1881" ht="26.25" customHeight="1" x14ac:dyDescent="0.25">
      <c r="A114" s="187"/>
      <c r="B114" s="124" t="s">
        <v>263</v>
      </c>
      <c r="C114" s="124"/>
      <c r="D114" s="131"/>
      <c r="E114" s="141"/>
      <c r="F114" s="747"/>
      <c r="G114" s="527"/>
      <c r="H114" s="14"/>
      <c r="I114" s="31"/>
      <c r="S114" s="682"/>
      <c r="X114" s="682"/>
    </row>
    <row r="115" spans="1:1881" s="4" customFormat="1" ht="76.5" customHeight="1" x14ac:dyDescent="0.3">
      <c r="A115" s="187"/>
      <c r="B115" s="878" t="s">
        <v>698</v>
      </c>
      <c r="C115" s="878"/>
      <c r="D115" s="878"/>
      <c r="E115" s="153"/>
      <c r="F115" s="748"/>
      <c r="G115" s="528"/>
      <c r="H115" s="14"/>
      <c r="I115" s="31"/>
      <c r="J115" s="387"/>
      <c r="K115" s="387"/>
      <c r="L115" s="387"/>
      <c r="M115" s="387"/>
      <c r="N115"/>
      <c r="O115" s="387"/>
      <c r="P115" s="387"/>
      <c r="Q115" s="387"/>
      <c r="R115"/>
      <c r="S115" s="682"/>
      <c r="T115" s="387"/>
      <c r="U115" s="387"/>
      <c r="V115" s="387"/>
      <c r="W115" s="387"/>
      <c r="X115" s="682"/>
      <c r="Y115" s="387"/>
      <c r="Z115" s="387"/>
      <c r="AA115" s="387"/>
      <c r="AB115" s="387"/>
      <c r="AC115" s="387"/>
      <c r="AD115" s="387"/>
      <c r="AE115" s="387"/>
      <c r="AF115" s="387"/>
      <c r="AG115" s="387"/>
      <c r="AH115" s="387"/>
      <c r="AI115" s="387"/>
      <c r="AJ115" s="387"/>
      <c r="AK115" s="387"/>
      <c r="AL115" s="387"/>
      <c r="AM115" s="387"/>
      <c r="AN115" s="387"/>
      <c r="AO115" s="387"/>
      <c r="AP115" s="387"/>
      <c r="AQ115" s="387"/>
      <c r="AR115" s="387"/>
      <c r="AS115" s="387"/>
      <c r="AT115" s="387"/>
      <c r="AU115" s="387"/>
      <c r="AV115" s="387"/>
      <c r="AW115" s="387"/>
      <c r="AX115" s="387"/>
      <c r="AY115" s="387"/>
      <c r="AZ115" s="387"/>
      <c r="BA115" s="387"/>
      <c r="BB115" s="387"/>
      <c r="BC115" s="387"/>
      <c r="BD115" s="387"/>
      <c r="BE115" s="387"/>
      <c r="BF115" s="387"/>
      <c r="BG115" s="387"/>
      <c r="BH115" s="387"/>
      <c r="BI115" s="387"/>
      <c r="BJ115" s="387"/>
      <c r="BK115" s="387"/>
      <c r="BL115" s="387"/>
      <c r="BM115" s="387"/>
      <c r="BN115" s="387"/>
      <c r="BO115" s="387"/>
      <c r="BP115" s="387"/>
      <c r="BQ115" s="387"/>
      <c r="BR115" s="387"/>
      <c r="BS115" s="387"/>
      <c r="BT115" s="387"/>
      <c r="BU115" s="387"/>
      <c r="BV115" s="387"/>
      <c r="BW115" s="387"/>
      <c r="BX115" s="387"/>
      <c r="BY115" s="387"/>
      <c r="BZ115" s="387"/>
      <c r="CA115" s="387"/>
      <c r="CB115" s="387"/>
      <c r="CC115" s="387"/>
      <c r="CD115" s="387"/>
      <c r="CE115" s="387"/>
      <c r="CF115" s="387"/>
      <c r="CG115" s="387"/>
      <c r="CH115" s="387"/>
      <c r="CI115" s="387"/>
      <c r="CJ115" s="387"/>
      <c r="CK115" s="387"/>
      <c r="CL115" s="387"/>
      <c r="CM115" s="387"/>
      <c r="CN115" s="387"/>
      <c r="CO115" s="387"/>
      <c r="CP115" s="387"/>
      <c r="CQ115" s="387"/>
      <c r="CR115" s="387"/>
      <c r="CS115" s="387"/>
      <c r="CT115" s="387"/>
      <c r="CU115" s="387"/>
      <c r="CV115" s="387"/>
      <c r="CW115" s="387"/>
      <c r="CX115" s="387"/>
      <c r="CY115" s="387"/>
      <c r="CZ115" s="387"/>
      <c r="DA115" s="387"/>
      <c r="DB115" s="387"/>
      <c r="DC115" s="387"/>
      <c r="DD115" s="387"/>
      <c r="DE115" s="387"/>
      <c r="DF115" s="387"/>
      <c r="DG115" s="387"/>
      <c r="DH115" s="387"/>
      <c r="DI115" s="387"/>
      <c r="DJ115" s="387"/>
      <c r="DK115" s="387"/>
      <c r="DL115" s="387"/>
      <c r="DM115" s="387"/>
      <c r="DN115" s="387"/>
      <c r="DO115" s="387"/>
      <c r="DP115" s="387"/>
      <c r="DQ115" s="387"/>
      <c r="DR115" s="387"/>
      <c r="DS115" s="387"/>
      <c r="DT115" s="387"/>
      <c r="DU115" s="387"/>
      <c r="DV115" s="387"/>
      <c r="DW115" s="387"/>
      <c r="DX115" s="387"/>
      <c r="DY115" s="387"/>
      <c r="DZ115" s="387"/>
      <c r="EA115" s="387"/>
      <c r="EB115" s="387"/>
      <c r="EC115" s="387"/>
      <c r="ED115" s="387"/>
      <c r="EE115" s="387"/>
      <c r="EF115" s="387"/>
      <c r="EG115" s="387"/>
      <c r="EH115" s="387"/>
      <c r="EI115" s="387"/>
      <c r="EJ115" s="387"/>
      <c r="EK115" s="387"/>
      <c r="EL115" s="387"/>
      <c r="EM115" s="387"/>
      <c r="EN115" s="387"/>
      <c r="EO115" s="387"/>
      <c r="EP115" s="387"/>
      <c r="EQ115" s="387"/>
      <c r="ER115" s="387"/>
      <c r="ES115" s="387"/>
      <c r="ET115" s="387"/>
      <c r="EU115" s="387"/>
      <c r="EV115" s="387"/>
      <c r="EW115" s="387"/>
      <c r="EX115" s="387"/>
      <c r="EY115" s="387"/>
      <c r="EZ115" s="387"/>
      <c r="FA115" s="387"/>
      <c r="FB115" s="387"/>
      <c r="FC115" s="387"/>
      <c r="FD115" s="387"/>
      <c r="FE115" s="387"/>
      <c r="FF115" s="387"/>
      <c r="FG115" s="387"/>
      <c r="FH115" s="387"/>
      <c r="FI115" s="387"/>
      <c r="FJ115" s="387"/>
      <c r="FK115" s="387"/>
      <c r="FL115" s="387"/>
      <c r="FM115" s="387"/>
      <c r="FN115" s="387"/>
      <c r="FO115" s="387"/>
      <c r="FP115" s="387"/>
      <c r="FQ115" s="387"/>
      <c r="FR115" s="387"/>
      <c r="FS115" s="387"/>
      <c r="FT115" s="387"/>
      <c r="FU115" s="387"/>
      <c r="FV115" s="387"/>
      <c r="FW115" s="387"/>
      <c r="FX115" s="387"/>
      <c r="FY115" s="387"/>
      <c r="FZ115" s="387"/>
      <c r="GA115" s="387"/>
      <c r="GB115" s="387"/>
      <c r="GC115" s="387"/>
      <c r="GD115" s="387"/>
      <c r="GE115" s="387"/>
      <c r="GF115" s="387"/>
      <c r="GG115" s="387"/>
      <c r="GH115" s="387"/>
      <c r="GI115" s="387"/>
      <c r="GJ115" s="387"/>
      <c r="GK115" s="387"/>
      <c r="GL115" s="387"/>
      <c r="GM115" s="387"/>
      <c r="GN115" s="387"/>
      <c r="GO115" s="387"/>
      <c r="GP115" s="387"/>
      <c r="GQ115" s="387"/>
      <c r="GR115" s="387"/>
      <c r="GS115" s="387"/>
      <c r="GT115" s="387"/>
      <c r="GU115" s="387"/>
      <c r="GV115" s="387"/>
      <c r="GW115" s="387"/>
      <c r="GX115" s="387"/>
      <c r="GY115" s="387"/>
      <c r="GZ115" s="387"/>
      <c r="HA115" s="387"/>
      <c r="HB115" s="387"/>
      <c r="HC115" s="387"/>
      <c r="HD115" s="387"/>
      <c r="HE115" s="387"/>
      <c r="HF115" s="387"/>
      <c r="HG115" s="387"/>
      <c r="HH115" s="387"/>
      <c r="HI115" s="387"/>
      <c r="HJ115" s="387"/>
      <c r="HK115" s="387"/>
      <c r="HL115" s="387"/>
      <c r="HM115" s="387"/>
      <c r="HN115" s="387"/>
      <c r="HO115" s="387"/>
      <c r="HP115" s="387"/>
      <c r="HQ115" s="387"/>
      <c r="HR115" s="387"/>
      <c r="HS115" s="387"/>
      <c r="HT115" s="387"/>
      <c r="HU115" s="387"/>
      <c r="HV115" s="387"/>
      <c r="HW115" s="387"/>
      <c r="HX115" s="387"/>
      <c r="HY115" s="387"/>
      <c r="HZ115" s="387"/>
      <c r="IA115" s="387"/>
      <c r="IB115" s="387"/>
      <c r="IC115" s="387"/>
      <c r="ID115" s="387"/>
      <c r="IE115" s="387"/>
      <c r="IF115" s="387"/>
      <c r="IG115" s="387"/>
      <c r="IH115" s="387"/>
      <c r="II115" s="387"/>
      <c r="IJ115" s="387"/>
      <c r="IK115" s="387"/>
      <c r="IL115" s="387"/>
      <c r="IM115" s="387"/>
      <c r="IN115" s="387"/>
      <c r="IO115" s="387"/>
      <c r="IP115" s="387"/>
      <c r="IQ115" s="387"/>
      <c r="IR115" s="387"/>
      <c r="IS115" s="387"/>
      <c r="IT115" s="387"/>
      <c r="IU115" s="387"/>
      <c r="IV115" s="387"/>
      <c r="IW115" s="387"/>
      <c r="IX115" s="387"/>
      <c r="IY115" s="387"/>
      <c r="IZ115" s="387"/>
      <c r="JA115" s="387"/>
      <c r="JB115" s="387"/>
      <c r="JC115" s="387"/>
      <c r="JD115" s="387"/>
      <c r="JE115" s="387"/>
      <c r="JF115" s="387"/>
      <c r="JG115" s="387"/>
      <c r="JH115" s="387"/>
      <c r="JI115" s="387"/>
      <c r="JJ115" s="387"/>
      <c r="JK115" s="387"/>
      <c r="JL115" s="387"/>
      <c r="JM115" s="387"/>
      <c r="JN115" s="387"/>
      <c r="JO115" s="387"/>
      <c r="JP115" s="387"/>
      <c r="JQ115" s="387"/>
      <c r="JR115" s="387"/>
      <c r="JS115" s="387"/>
      <c r="JT115" s="387"/>
      <c r="JU115" s="387"/>
      <c r="JV115" s="387"/>
      <c r="JW115" s="387"/>
      <c r="JX115" s="387"/>
      <c r="JY115" s="387"/>
      <c r="JZ115" s="387"/>
      <c r="KA115" s="387"/>
      <c r="KB115" s="387"/>
      <c r="KC115" s="387"/>
      <c r="KD115" s="387"/>
      <c r="KE115" s="387"/>
      <c r="KF115" s="387"/>
      <c r="KG115" s="387"/>
      <c r="KH115" s="387"/>
      <c r="KI115" s="387"/>
      <c r="KJ115" s="387"/>
      <c r="KK115" s="387"/>
      <c r="KL115" s="387"/>
      <c r="KM115" s="387"/>
      <c r="KN115" s="387"/>
      <c r="KO115" s="387"/>
      <c r="KP115" s="387"/>
      <c r="KQ115" s="387"/>
      <c r="KR115" s="387"/>
      <c r="KS115" s="387"/>
      <c r="KT115" s="387"/>
      <c r="KU115" s="387"/>
      <c r="KV115" s="387"/>
      <c r="KW115" s="387"/>
      <c r="KX115" s="387"/>
      <c r="KY115" s="387"/>
      <c r="KZ115" s="387"/>
      <c r="LA115" s="387"/>
      <c r="LB115" s="387"/>
      <c r="LC115" s="387"/>
      <c r="LD115" s="387"/>
      <c r="LE115" s="387"/>
      <c r="LF115" s="387"/>
      <c r="LG115" s="387"/>
      <c r="LH115" s="387"/>
      <c r="LI115" s="387"/>
      <c r="LJ115" s="387"/>
      <c r="LK115" s="387"/>
      <c r="LL115" s="387"/>
      <c r="LM115" s="387"/>
      <c r="LN115" s="387"/>
      <c r="LO115" s="387"/>
      <c r="LP115" s="387"/>
      <c r="LQ115" s="387"/>
      <c r="LR115" s="387"/>
      <c r="LS115" s="387"/>
      <c r="LT115" s="387"/>
      <c r="LU115" s="387"/>
      <c r="LV115" s="387"/>
      <c r="LW115" s="387"/>
      <c r="LX115" s="387"/>
      <c r="LY115" s="387"/>
      <c r="LZ115" s="387"/>
      <c r="MA115" s="387"/>
      <c r="MB115" s="387"/>
      <c r="MC115" s="387"/>
      <c r="MD115" s="387"/>
      <c r="ME115" s="387"/>
      <c r="MF115" s="387"/>
      <c r="MG115" s="387"/>
      <c r="MH115" s="387"/>
      <c r="MI115" s="387"/>
      <c r="MJ115" s="387"/>
      <c r="MK115" s="387"/>
      <c r="ML115" s="387"/>
      <c r="MM115" s="387"/>
      <c r="MN115" s="387"/>
      <c r="MO115" s="387"/>
      <c r="MP115" s="387"/>
      <c r="MQ115" s="387"/>
      <c r="MR115" s="387"/>
      <c r="MS115" s="387"/>
      <c r="MT115" s="387"/>
      <c r="MU115" s="387"/>
      <c r="MV115" s="387"/>
      <c r="MW115" s="387"/>
      <c r="MX115" s="387"/>
      <c r="MY115" s="387"/>
      <c r="MZ115" s="387"/>
      <c r="NA115" s="387"/>
      <c r="NB115" s="387"/>
      <c r="NC115" s="387"/>
      <c r="ND115" s="387"/>
      <c r="NE115" s="387"/>
      <c r="NF115" s="387"/>
      <c r="NG115" s="387"/>
      <c r="NH115" s="387"/>
      <c r="NI115" s="387"/>
      <c r="NJ115" s="387"/>
      <c r="NK115" s="387"/>
      <c r="NL115" s="387"/>
      <c r="NM115" s="387"/>
      <c r="NN115" s="387"/>
      <c r="NO115" s="387"/>
      <c r="NP115" s="387"/>
      <c r="NQ115" s="387"/>
      <c r="NR115" s="387"/>
      <c r="NS115" s="387"/>
      <c r="NT115" s="387"/>
      <c r="NU115" s="387"/>
      <c r="NV115" s="387"/>
      <c r="NW115" s="387"/>
      <c r="NX115" s="387"/>
      <c r="NY115" s="387"/>
      <c r="NZ115" s="387"/>
      <c r="OA115" s="387"/>
      <c r="OB115" s="387"/>
      <c r="OC115" s="387"/>
      <c r="OD115" s="387"/>
      <c r="OE115" s="387"/>
      <c r="OF115" s="387"/>
      <c r="OG115" s="387"/>
      <c r="OH115" s="387"/>
      <c r="OI115" s="387"/>
      <c r="OJ115" s="387"/>
      <c r="OK115" s="387"/>
      <c r="OL115" s="387"/>
      <c r="OM115" s="387"/>
      <c r="ON115" s="387"/>
      <c r="OO115" s="387"/>
      <c r="OP115" s="387"/>
      <c r="OQ115" s="387"/>
      <c r="OR115" s="387"/>
      <c r="OS115" s="387"/>
      <c r="OT115" s="387"/>
      <c r="OU115" s="387"/>
      <c r="OV115" s="387"/>
      <c r="OW115" s="387"/>
      <c r="OX115" s="387"/>
      <c r="OY115" s="387"/>
      <c r="OZ115" s="387"/>
      <c r="PA115" s="387"/>
      <c r="PB115" s="387"/>
      <c r="PC115" s="387"/>
      <c r="PD115" s="387"/>
      <c r="PE115" s="387"/>
      <c r="PF115" s="387"/>
      <c r="PG115" s="387"/>
      <c r="PH115" s="387"/>
      <c r="PI115" s="387"/>
      <c r="PJ115" s="387"/>
      <c r="PK115" s="387"/>
      <c r="PL115" s="387"/>
      <c r="PM115" s="387"/>
      <c r="PN115" s="387"/>
      <c r="PO115" s="387"/>
      <c r="PP115" s="387"/>
      <c r="PQ115" s="387"/>
      <c r="PR115" s="387"/>
      <c r="PS115" s="387"/>
      <c r="PT115" s="387"/>
      <c r="PU115" s="387"/>
      <c r="PV115" s="387"/>
      <c r="PW115" s="387"/>
      <c r="PX115" s="387"/>
      <c r="PY115" s="387"/>
      <c r="PZ115" s="387"/>
      <c r="QA115" s="387"/>
      <c r="QB115" s="387"/>
      <c r="QC115" s="387"/>
      <c r="QD115" s="387"/>
      <c r="QE115" s="387"/>
      <c r="QF115" s="387"/>
      <c r="QG115" s="387"/>
      <c r="QH115" s="387"/>
      <c r="QI115" s="387"/>
      <c r="QJ115" s="387"/>
      <c r="QK115" s="387"/>
      <c r="QL115" s="387"/>
      <c r="QM115" s="387"/>
      <c r="QN115" s="387"/>
      <c r="QO115" s="387"/>
      <c r="QP115" s="387"/>
      <c r="QQ115" s="387"/>
      <c r="QR115" s="387"/>
      <c r="QS115" s="387"/>
      <c r="QT115" s="387"/>
      <c r="QU115" s="387"/>
      <c r="QV115" s="387"/>
      <c r="QW115" s="387"/>
      <c r="QX115" s="387"/>
      <c r="QY115" s="387"/>
      <c r="QZ115" s="387"/>
      <c r="RA115" s="387"/>
      <c r="RB115" s="387"/>
      <c r="RC115" s="387"/>
      <c r="RD115" s="387"/>
      <c r="RE115" s="387"/>
      <c r="RF115" s="387"/>
      <c r="RG115" s="387"/>
      <c r="RH115" s="387"/>
      <c r="RI115" s="387"/>
      <c r="RJ115" s="387"/>
      <c r="RK115" s="387"/>
      <c r="RL115" s="387"/>
      <c r="RM115" s="387"/>
      <c r="RN115" s="387"/>
      <c r="RO115" s="387"/>
      <c r="RP115" s="387"/>
      <c r="RQ115" s="387"/>
      <c r="RR115" s="387"/>
      <c r="RS115" s="387"/>
      <c r="RT115" s="387"/>
      <c r="RU115" s="387"/>
      <c r="RV115" s="387"/>
      <c r="RW115" s="387"/>
      <c r="RX115" s="387"/>
      <c r="RY115" s="387"/>
      <c r="RZ115" s="387"/>
      <c r="SA115" s="387"/>
      <c r="SB115" s="387"/>
      <c r="SC115" s="387"/>
      <c r="SD115" s="387"/>
      <c r="SE115" s="387"/>
      <c r="SF115" s="387"/>
      <c r="SG115" s="387"/>
      <c r="SH115" s="387"/>
      <c r="SI115" s="387"/>
      <c r="SJ115" s="387"/>
      <c r="SK115" s="387"/>
      <c r="SL115" s="387"/>
      <c r="SM115" s="387"/>
      <c r="SN115" s="387"/>
      <c r="SO115" s="387"/>
      <c r="SP115" s="387"/>
      <c r="SQ115" s="387"/>
      <c r="SR115" s="387"/>
      <c r="SS115" s="387"/>
      <c r="ST115" s="387"/>
      <c r="SU115" s="387"/>
      <c r="SV115" s="387"/>
      <c r="SW115" s="387"/>
      <c r="SX115" s="387"/>
      <c r="SY115" s="387"/>
      <c r="SZ115" s="387"/>
      <c r="TA115" s="387"/>
      <c r="TB115" s="387"/>
      <c r="TC115" s="387"/>
      <c r="TD115" s="387"/>
      <c r="TE115" s="387"/>
      <c r="TF115" s="387"/>
      <c r="TG115" s="387"/>
      <c r="TH115" s="387"/>
      <c r="TI115" s="387"/>
      <c r="TJ115" s="387"/>
      <c r="TK115" s="387"/>
      <c r="TL115" s="387"/>
      <c r="TM115" s="387"/>
      <c r="TN115" s="387"/>
      <c r="TO115" s="387"/>
      <c r="TP115" s="387"/>
      <c r="TQ115" s="387"/>
      <c r="TR115" s="387"/>
      <c r="TS115" s="387"/>
      <c r="TT115" s="387"/>
      <c r="TU115" s="387"/>
      <c r="TV115" s="387"/>
      <c r="TW115" s="387"/>
      <c r="TX115" s="387"/>
      <c r="TY115" s="387"/>
      <c r="TZ115" s="387"/>
      <c r="UA115" s="387"/>
      <c r="UB115" s="387"/>
      <c r="UC115" s="387"/>
      <c r="UD115" s="387"/>
      <c r="UE115" s="387"/>
      <c r="UF115" s="387"/>
      <c r="UG115" s="387"/>
      <c r="UH115" s="387"/>
      <c r="UI115" s="387"/>
      <c r="UJ115" s="387"/>
      <c r="UK115" s="387"/>
      <c r="UL115" s="387"/>
      <c r="UM115" s="387"/>
      <c r="UN115" s="387"/>
      <c r="UO115" s="387"/>
      <c r="UP115" s="387"/>
      <c r="UQ115" s="387"/>
      <c r="UR115" s="387"/>
      <c r="US115" s="387"/>
      <c r="UT115" s="387"/>
      <c r="UU115" s="387"/>
      <c r="UV115" s="387"/>
      <c r="UW115" s="387"/>
      <c r="UX115" s="387"/>
      <c r="UY115" s="387"/>
      <c r="UZ115" s="387"/>
      <c r="VA115" s="387"/>
      <c r="VB115" s="387"/>
      <c r="VC115" s="387"/>
      <c r="VD115" s="387"/>
      <c r="VE115" s="387"/>
      <c r="VF115" s="387"/>
      <c r="VG115" s="387"/>
      <c r="VH115" s="387"/>
      <c r="VI115" s="387"/>
      <c r="VJ115" s="387"/>
      <c r="VK115" s="387"/>
      <c r="VL115" s="387"/>
      <c r="VM115" s="387"/>
      <c r="VN115" s="387"/>
      <c r="VO115" s="387"/>
      <c r="VP115" s="387"/>
      <c r="VQ115" s="387"/>
      <c r="VR115" s="387"/>
      <c r="VS115" s="387"/>
      <c r="VT115" s="387"/>
      <c r="VU115" s="387"/>
      <c r="VV115" s="387"/>
      <c r="VW115" s="387"/>
      <c r="VX115" s="387"/>
      <c r="VY115" s="387"/>
      <c r="VZ115" s="387"/>
      <c r="WA115" s="387"/>
      <c r="WB115" s="387"/>
      <c r="WC115" s="387"/>
      <c r="WD115" s="387"/>
      <c r="WE115" s="387"/>
      <c r="WF115" s="387"/>
      <c r="WG115" s="387"/>
      <c r="WH115" s="387"/>
      <c r="WI115" s="387"/>
      <c r="WJ115" s="387"/>
      <c r="WK115" s="387"/>
      <c r="WL115" s="387"/>
      <c r="WM115" s="387"/>
      <c r="WN115" s="387"/>
      <c r="WO115" s="387"/>
      <c r="WP115" s="387"/>
      <c r="WQ115" s="387"/>
      <c r="WR115" s="387"/>
      <c r="WS115" s="387"/>
      <c r="WT115" s="387"/>
      <c r="WU115" s="387"/>
      <c r="WV115" s="387"/>
      <c r="WW115" s="387"/>
      <c r="WX115" s="387"/>
      <c r="WY115" s="387"/>
      <c r="WZ115" s="387"/>
      <c r="XA115" s="387"/>
      <c r="XB115" s="387"/>
      <c r="XC115" s="387"/>
      <c r="XD115" s="387"/>
      <c r="XE115" s="387"/>
      <c r="XF115" s="387"/>
      <c r="XG115" s="387"/>
      <c r="XH115" s="387"/>
      <c r="XI115" s="387"/>
      <c r="XJ115" s="387"/>
      <c r="XK115" s="387"/>
      <c r="XL115" s="387"/>
      <c r="XM115" s="387"/>
      <c r="XN115" s="387"/>
      <c r="XO115" s="387"/>
      <c r="XP115" s="387"/>
      <c r="XQ115" s="387"/>
      <c r="XR115" s="387"/>
      <c r="XS115" s="387"/>
      <c r="XT115" s="387"/>
      <c r="XU115" s="387"/>
      <c r="XV115" s="387"/>
      <c r="XW115" s="387"/>
      <c r="XX115" s="387"/>
      <c r="XY115" s="387"/>
      <c r="XZ115" s="387"/>
      <c r="YA115" s="387"/>
      <c r="YB115" s="387"/>
      <c r="YC115" s="387"/>
      <c r="YD115" s="387"/>
      <c r="YE115" s="387"/>
      <c r="YF115" s="387"/>
      <c r="YG115" s="387"/>
      <c r="YH115" s="387"/>
      <c r="YI115" s="387"/>
      <c r="YJ115" s="387"/>
      <c r="YK115" s="387"/>
      <c r="YL115" s="387"/>
      <c r="YM115" s="387"/>
      <c r="YN115" s="387"/>
      <c r="YO115" s="387"/>
      <c r="YP115" s="387"/>
      <c r="YQ115" s="387"/>
      <c r="YR115" s="387"/>
      <c r="YS115" s="387"/>
      <c r="YT115" s="387"/>
      <c r="YU115" s="387"/>
      <c r="YV115" s="387"/>
      <c r="YW115" s="387"/>
      <c r="YX115" s="387"/>
      <c r="YY115" s="387"/>
      <c r="YZ115" s="387"/>
      <c r="ZA115" s="387"/>
      <c r="ZB115" s="387"/>
      <c r="ZC115" s="387"/>
      <c r="ZD115" s="387"/>
      <c r="ZE115" s="387"/>
      <c r="ZF115" s="387"/>
      <c r="ZG115" s="387"/>
      <c r="ZH115" s="387"/>
      <c r="ZI115" s="387"/>
      <c r="ZJ115" s="387"/>
      <c r="ZK115" s="387"/>
      <c r="ZL115" s="387"/>
      <c r="ZM115" s="387"/>
      <c r="ZN115" s="387"/>
      <c r="ZO115" s="387"/>
      <c r="ZP115" s="387"/>
      <c r="ZQ115" s="387"/>
      <c r="ZR115" s="387"/>
      <c r="ZS115" s="387"/>
      <c r="ZT115" s="387"/>
      <c r="ZU115" s="387"/>
      <c r="ZV115" s="387"/>
      <c r="ZW115" s="387"/>
      <c r="ZX115" s="387"/>
      <c r="ZY115" s="387"/>
      <c r="ZZ115" s="387"/>
      <c r="AAA115" s="387"/>
      <c r="AAB115" s="387"/>
      <c r="AAC115" s="387"/>
      <c r="AAD115" s="387"/>
      <c r="AAE115" s="387"/>
      <c r="AAF115" s="387"/>
      <c r="AAG115" s="387"/>
      <c r="AAH115" s="387"/>
      <c r="AAI115" s="387"/>
      <c r="AAJ115" s="387"/>
      <c r="AAK115" s="387"/>
      <c r="AAL115" s="387"/>
      <c r="AAM115" s="387"/>
      <c r="AAN115" s="387"/>
      <c r="AAO115" s="387"/>
      <c r="AAP115" s="387"/>
      <c r="AAQ115" s="387"/>
      <c r="AAR115" s="387"/>
      <c r="AAS115" s="387"/>
      <c r="AAT115" s="387"/>
      <c r="AAU115" s="387"/>
      <c r="AAV115" s="387"/>
      <c r="AAW115" s="387"/>
      <c r="AAX115" s="387"/>
      <c r="AAY115" s="387"/>
      <c r="AAZ115" s="387"/>
      <c r="ABA115" s="387"/>
      <c r="ABB115" s="387"/>
      <c r="ABC115" s="387"/>
      <c r="ABD115" s="387"/>
      <c r="ABE115" s="387"/>
      <c r="ABF115" s="387"/>
      <c r="ABG115" s="387"/>
      <c r="ABH115" s="387"/>
      <c r="ABI115" s="387"/>
      <c r="ABJ115" s="387"/>
      <c r="ABK115" s="387"/>
      <c r="ABL115" s="387"/>
      <c r="ABM115" s="387"/>
      <c r="ABN115" s="387"/>
      <c r="ABO115" s="387"/>
      <c r="ABP115" s="387"/>
      <c r="ABQ115" s="387"/>
      <c r="ABR115" s="387"/>
      <c r="ABS115" s="387"/>
      <c r="ABT115" s="387"/>
      <c r="ABU115" s="387"/>
      <c r="ABV115" s="387"/>
      <c r="ABW115" s="387"/>
      <c r="ABX115" s="387"/>
      <c r="ABY115" s="387"/>
      <c r="ABZ115" s="387"/>
      <c r="ACA115" s="387"/>
      <c r="ACB115" s="387"/>
      <c r="ACC115" s="387"/>
      <c r="ACD115" s="387"/>
      <c r="ACE115" s="387"/>
      <c r="ACF115" s="387"/>
      <c r="ACG115" s="387"/>
      <c r="ACH115" s="387"/>
      <c r="ACI115" s="387"/>
      <c r="ACJ115" s="387"/>
      <c r="ACK115" s="387"/>
      <c r="ACL115" s="387"/>
      <c r="ACM115" s="387"/>
      <c r="ACN115" s="387"/>
      <c r="ACO115" s="387"/>
      <c r="ACP115" s="387"/>
      <c r="ACQ115" s="387"/>
      <c r="ACR115" s="387"/>
      <c r="ACS115" s="387"/>
      <c r="ACT115" s="387"/>
      <c r="ACU115" s="387"/>
      <c r="ACV115" s="387"/>
      <c r="ACW115" s="387"/>
      <c r="ACX115" s="387"/>
      <c r="ACY115" s="387"/>
      <c r="ACZ115" s="387"/>
      <c r="ADA115" s="387"/>
      <c r="ADB115" s="387"/>
      <c r="ADC115" s="387"/>
      <c r="ADD115" s="387"/>
      <c r="ADE115" s="387"/>
      <c r="ADF115" s="387"/>
      <c r="ADG115" s="387"/>
      <c r="ADH115" s="387"/>
      <c r="ADI115" s="387"/>
      <c r="ADJ115" s="387"/>
      <c r="ADK115" s="387"/>
      <c r="ADL115" s="387"/>
      <c r="ADM115" s="387"/>
      <c r="ADN115" s="387"/>
      <c r="ADO115" s="387"/>
      <c r="ADP115" s="387"/>
      <c r="ADQ115" s="387"/>
      <c r="ADR115" s="387"/>
      <c r="ADS115" s="387"/>
      <c r="ADT115" s="387"/>
      <c r="ADU115" s="387"/>
      <c r="ADV115" s="387"/>
      <c r="ADW115" s="387"/>
      <c r="ADX115" s="387"/>
      <c r="ADY115" s="387"/>
      <c r="ADZ115" s="387"/>
      <c r="AEA115" s="387"/>
      <c r="AEB115" s="387"/>
      <c r="AEC115" s="387"/>
      <c r="AED115" s="387"/>
      <c r="AEE115" s="387"/>
      <c r="AEF115" s="387"/>
      <c r="AEG115" s="387"/>
      <c r="AEH115" s="387"/>
      <c r="AEI115" s="387"/>
      <c r="AEJ115" s="387"/>
      <c r="AEK115" s="387"/>
      <c r="AEL115" s="387"/>
      <c r="AEM115" s="387"/>
      <c r="AEN115" s="387"/>
      <c r="AEO115" s="387"/>
      <c r="AEP115" s="387"/>
      <c r="AEQ115" s="387"/>
      <c r="AER115" s="387"/>
      <c r="AES115" s="387"/>
      <c r="AET115" s="387"/>
      <c r="AEU115" s="387"/>
      <c r="AEV115" s="387"/>
      <c r="AEW115" s="387"/>
      <c r="AEX115" s="387"/>
      <c r="AEY115" s="387"/>
      <c r="AEZ115" s="387"/>
      <c r="AFA115" s="387"/>
      <c r="AFB115" s="387"/>
      <c r="AFC115" s="387"/>
      <c r="AFD115" s="387"/>
      <c r="AFE115" s="387"/>
      <c r="AFF115" s="387"/>
      <c r="AFG115" s="387"/>
      <c r="AFH115" s="387"/>
      <c r="AFI115" s="387"/>
      <c r="AFJ115" s="387"/>
      <c r="AFK115" s="387"/>
      <c r="AFL115" s="387"/>
      <c r="AFM115" s="387"/>
      <c r="AFN115" s="387"/>
      <c r="AFO115" s="387"/>
      <c r="AFP115" s="387"/>
      <c r="AFQ115" s="387"/>
      <c r="AFR115" s="387"/>
      <c r="AFS115" s="387"/>
      <c r="AFT115" s="387"/>
      <c r="AFU115" s="387"/>
      <c r="AFV115" s="387"/>
      <c r="AFW115" s="387"/>
      <c r="AFX115" s="387"/>
      <c r="AFY115" s="387"/>
      <c r="AFZ115" s="387"/>
      <c r="AGA115" s="387"/>
      <c r="AGB115" s="387"/>
      <c r="AGC115" s="387"/>
      <c r="AGD115" s="387"/>
      <c r="AGE115" s="387"/>
      <c r="AGF115" s="387"/>
      <c r="AGG115" s="387"/>
      <c r="AGH115" s="387"/>
      <c r="AGI115" s="387"/>
      <c r="AGJ115" s="387"/>
      <c r="AGK115" s="387"/>
      <c r="AGL115" s="387"/>
      <c r="AGM115" s="387"/>
      <c r="AGN115" s="387"/>
      <c r="AGO115" s="387"/>
      <c r="AGP115" s="387"/>
      <c r="AGQ115" s="387"/>
      <c r="AGR115" s="387"/>
      <c r="AGS115" s="387"/>
      <c r="AGT115" s="387"/>
      <c r="AGU115" s="387"/>
      <c r="AGV115" s="387"/>
      <c r="AGW115" s="387"/>
      <c r="AGX115" s="387"/>
      <c r="AGY115" s="387"/>
      <c r="AGZ115" s="387"/>
      <c r="AHA115" s="387"/>
      <c r="AHB115" s="387"/>
      <c r="AHC115" s="387"/>
      <c r="AHD115" s="387"/>
      <c r="AHE115" s="387"/>
      <c r="AHF115" s="387"/>
      <c r="AHG115" s="387"/>
      <c r="AHH115" s="387"/>
      <c r="AHI115" s="387"/>
      <c r="AHJ115" s="387"/>
      <c r="AHK115" s="387"/>
      <c r="AHL115" s="387"/>
      <c r="AHM115" s="387"/>
      <c r="AHN115" s="387"/>
      <c r="AHO115" s="387"/>
      <c r="AHP115" s="387"/>
      <c r="AHQ115" s="387"/>
      <c r="AHR115" s="387"/>
      <c r="AHS115" s="387"/>
      <c r="AHT115" s="387"/>
      <c r="AHU115" s="387"/>
      <c r="AHV115" s="387"/>
      <c r="AHW115" s="387"/>
      <c r="AHX115" s="387"/>
      <c r="AHY115" s="387"/>
      <c r="AHZ115" s="387"/>
      <c r="AIA115" s="387"/>
      <c r="AIB115" s="387"/>
      <c r="AIC115" s="387"/>
      <c r="AID115" s="387"/>
      <c r="AIE115" s="387"/>
      <c r="AIF115" s="387"/>
      <c r="AIG115" s="387"/>
      <c r="AIH115" s="387"/>
      <c r="AII115" s="387"/>
      <c r="AIJ115" s="387"/>
      <c r="AIK115" s="387"/>
      <c r="AIL115" s="387"/>
      <c r="AIM115" s="387"/>
      <c r="AIN115" s="387"/>
      <c r="AIO115" s="387"/>
      <c r="AIP115" s="387"/>
      <c r="AIQ115" s="387"/>
      <c r="AIR115" s="387"/>
      <c r="AIS115" s="387"/>
      <c r="AIT115" s="387"/>
      <c r="AIU115" s="387"/>
      <c r="AIV115" s="387"/>
      <c r="AIW115" s="387"/>
      <c r="AIX115" s="387"/>
      <c r="AIY115" s="387"/>
      <c r="AIZ115" s="387"/>
      <c r="AJA115" s="387"/>
      <c r="AJB115" s="387"/>
      <c r="AJC115" s="387"/>
      <c r="AJD115" s="387"/>
      <c r="AJE115" s="387"/>
      <c r="AJF115" s="387"/>
      <c r="AJG115" s="387"/>
      <c r="AJH115" s="387"/>
      <c r="AJI115" s="387"/>
      <c r="AJJ115" s="387"/>
      <c r="AJK115" s="387"/>
      <c r="AJL115" s="387"/>
      <c r="AJM115" s="387"/>
      <c r="AJN115" s="387"/>
      <c r="AJO115" s="387"/>
      <c r="AJP115" s="387"/>
      <c r="AJQ115" s="387"/>
      <c r="AJR115" s="387"/>
      <c r="AJS115" s="387"/>
      <c r="AJT115" s="387"/>
      <c r="AJU115" s="387"/>
      <c r="AJV115" s="387"/>
      <c r="AJW115" s="387"/>
      <c r="AJX115" s="387"/>
      <c r="AJY115" s="387"/>
      <c r="AJZ115" s="387"/>
      <c r="AKA115" s="387"/>
      <c r="AKB115" s="387"/>
      <c r="AKC115" s="387"/>
      <c r="AKD115" s="387"/>
      <c r="AKE115" s="387"/>
      <c r="AKF115" s="387"/>
      <c r="AKG115" s="387"/>
      <c r="AKH115" s="387"/>
      <c r="AKI115" s="387"/>
      <c r="AKJ115" s="387"/>
      <c r="AKK115" s="387"/>
      <c r="AKL115" s="387"/>
      <c r="AKM115" s="387"/>
      <c r="AKN115" s="387"/>
      <c r="AKO115" s="387"/>
      <c r="AKP115" s="387"/>
      <c r="AKQ115" s="387"/>
      <c r="AKR115" s="387"/>
      <c r="AKS115" s="387"/>
      <c r="AKT115" s="387"/>
      <c r="AKU115" s="387"/>
      <c r="AKV115" s="387"/>
      <c r="AKW115" s="387"/>
      <c r="AKX115" s="387"/>
      <c r="AKY115" s="387"/>
      <c r="AKZ115" s="387"/>
      <c r="ALA115" s="387"/>
      <c r="ALB115" s="387"/>
      <c r="ALC115" s="387"/>
      <c r="ALD115" s="387"/>
      <c r="ALE115" s="387"/>
      <c r="ALF115" s="387"/>
      <c r="ALG115" s="387"/>
      <c r="ALH115" s="387"/>
      <c r="ALI115" s="387"/>
      <c r="ALJ115" s="387"/>
      <c r="ALK115" s="387"/>
      <c r="ALL115" s="387"/>
      <c r="ALM115" s="387"/>
      <c r="ALN115" s="387"/>
      <c r="ALO115" s="387"/>
      <c r="ALP115" s="387"/>
      <c r="ALQ115" s="387"/>
      <c r="ALR115" s="387"/>
      <c r="ALS115" s="387"/>
      <c r="ALT115" s="387"/>
      <c r="ALU115" s="387"/>
      <c r="ALV115" s="387"/>
      <c r="ALW115" s="387"/>
      <c r="ALX115" s="387"/>
      <c r="ALY115" s="387"/>
      <c r="ALZ115" s="387"/>
      <c r="AMA115" s="387"/>
      <c r="AMB115" s="387"/>
      <c r="AMC115" s="387"/>
      <c r="AMD115" s="387"/>
      <c r="AME115" s="387"/>
      <c r="AMF115" s="387"/>
      <c r="AMG115" s="387"/>
      <c r="AMH115" s="387"/>
      <c r="AMI115" s="387"/>
      <c r="AMJ115" s="387"/>
      <c r="AMK115" s="387"/>
      <c r="AML115" s="387"/>
      <c r="AMM115" s="387"/>
      <c r="AMN115" s="387"/>
      <c r="AMO115" s="387"/>
      <c r="AMP115" s="387"/>
      <c r="AMQ115" s="387"/>
      <c r="AMR115" s="387"/>
      <c r="AMS115" s="387"/>
      <c r="AMT115" s="387"/>
      <c r="AMU115" s="387"/>
      <c r="AMV115" s="387"/>
      <c r="AMW115" s="387"/>
      <c r="AMX115" s="387"/>
      <c r="AMY115" s="387"/>
      <c r="AMZ115" s="387"/>
      <c r="ANA115" s="387"/>
      <c r="ANB115" s="387"/>
      <c r="ANC115" s="387"/>
      <c r="AND115" s="387"/>
      <c r="ANE115" s="387"/>
      <c r="ANF115" s="387"/>
      <c r="ANG115" s="387"/>
      <c r="ANH115" s="387"/>
      <c r="ANI115" s="387"/>
      <c r="ANJ115" s="387"/>
      <c r="ANK115" s="387"/>
      <c r="ANL115" s="387"/>
      <c r="ANM115" s="387"/>
      <c r="ANN115" s="387"/>
      <c r="ANO115" s="387"/>
      <c r="ANP115" s="387"/>
      <c r="ANQ115" s="387"/>
      <c r="ANR115" s="387"/>
      <c r="ANS115" s="387"/>
      <c r="ANT115" s="387"/>
      <c r="ANU115" s="387"/>
      <c r="ANV115" s="387"/>
      <c r="ANW115" s="387"/>
      <c r="ANX115" s="387"/>
      <c r="ANY115" s="387"/>
      <c r="ANZ115" s="387"/>
      <c r="AOA115" s="387"/>
      <c r="AOB115" s="387"/>
      <c r="AOC115" s="387"/>
      <c r="AOD115" s="387"/>
      <c r="AOE115" s="387"/>
      <c r="AOF115" s="387"/>
      <c r="AOG115" s="387"/>
      <c r="AOH115" s="387"/>
      <c r="AOI115" s="387"/>
      <c r="AOJ115" s="387"/>
      <c r="AOK115" s="387"/>
      <c r="AOL115" s="387"/>
      <c r="AOM115" s="387"/>
      <c r="AON115" s="387"/>
      <c r="AOO115" s="387"/>
      <c r="AOP115" s="387"/>
      <c r="AOQ115" s="387"/>
      <c r="AOR115" s="387"/>
      <c r="AOS115" s="387"/>
      <c r="AOT115" s="387"/>
      <c r="AOU115" s="387"/>
      <c r="AOV115" s="387"/>
      <c r="AOW115" s="387"/>
      <c r="AOX115" s="387"/>
      <c r="AOY115" s="387"/>
      <c r="AOZ115" s="387"/>
      <c r="APA115" s="387"/>
      <c r="APB115" s="387"/>
      <c r="APC115" s="387"/>
      <c r="APD115" s="387"/>
      <c r="APE115" s="387"/>
      <c r="APF115" s="387"/>
      <c r="APG115" s="387"/>
      <c r="APH115" s="387"/>
      <c r="API115" s="387"/>
      <c r="APJ115" s="387"/>
      <c r="APK115" s="387"/>
      <c r="APL115" s="387"/>
      <c r="APM115" s="387"/>
      <c r="APN115" s="387"/>
      <c r="APO115" s="387"/>
      <c r="APP115" s="387"/>
      <c r="APQ115" s="387"/>
      <c r="APR115" s="387"/>
      <c r="APS115" s="387"/>
      <c r="APT115" s="387"/>
      <c r="APU115" s="387"/>
      <c r="APV115" s="387"/>
      <c r="APW115" s="387"/>
      <c r="APX115" s="387"/>
      <c r="APY115" s="387"/>
      <c r="APZ115" s="387"/>
      <c r="AQA115" s="387"/>
      <c r="AQB115" s="387"/>
      <c r="AQC115" s="387"/>
      <c r="AQD115" s="387"/>
      <c r="AQE115" s="387"/>
      <c r="AQF115" s="387"/>
      <c r="AQG115" s="387"/>
      <c r="AQH115" s="387"/>
      <c r="AQI115" s="387"/>
      <c r="AQJ115" s="387"/>
      <c r="AQK115" s="387"/>
      <c r="AQL115" s="387"/>
      <c r="AQM115" s="387"/>
      <c r="AQN115" s="387"/>
      <c r="AQO115" s="387"/>
      <c r="AQP115" s="387"/>
      <c r="AQQ115" s="387"/>
      <c r="AQR115" s="387"/>
      <c r="AQS115" s="387"/>
      <c r="AQT115" s="387"/>
      <c r="AQU115" s="387"/>
      <c r="AQV115" s="387"/>
      <c r="AQW115" s="387"/>
      <c r="AQX115" s="387"/>
      <c r="AQY115" s="387"/>
      <c r="AQZ115" s="387"/>
      <c r="ARA115" s="387"/>
      <c r="ARB115" s="387"/>
      <c r="ARC115" s="387"/>
      <c r="ARD115" s="387"/>
      <c r="ARE115" s="387"/>
      <c r="ARF115" s="387"/>
      <c r="ARG115" s="387"/>
      <c r="ARH115" s="387"/>
      <c r="ARI115" s="387"/>
      <c r="ARJ115" s="387"/>
      <c r="ARK115" s="387"/>
      <c r="ARL115" s="387"/>
      <c r="ARM115" s="387"/>
      <c r="ARN115" s="387"/>
      <c r="ARO115" s="387"/>
      <c r="ARP115" s="387"/>
      <c r="ARQ115" s="387"/>
      <c r="ARR115" s="387"/>
      <c r="ARS115" s="387"/>
      <c r="ART115" s="387"/>
      <c r="ARU115" s="387"/>
      <c r="ARV115" s="387"/>
      <c r="ARW115" s="387"/>
      <c r="ARX115" s="387"/>
      <c r="ARY115" s="387"/>
      <c r="ARZ115" s="387"/>
      <c r="ASA115" s="387"/>
      <c r="ASB115" s="387"/>
      <c r="ASC115" s="387"/>
      <c r="ASD115" s="387"/>
      <c r="ASE115" s="387"/>
      <c r="ASF115" s="387"/>
      <c r="ASG115" s="387"/>
      <c r="ASH115" s="387"/>
      <c r="ASI115" s="387"/>
      <c r="ASJ115" s="387"/>
      <c r="ASK115" s="387"/>
      <c r="ASL115" s="387"/>
      <c r="ASM115" s="387"/>
      <c r="ASN115" s="387"/>
      <c r="ASO115" s="387"/>
      <c r="ASP115" s="387"/>
      <c r="ASQ115" s="387"/>
      <c r="ASR115" s="387"/>
      <c r="ASS115" s="387"/>
      <c r="AST115" s="387"/>
      <c r="ASU115" s="387"/>
      <c r="ASV115" s="387"/>
      <c r="ASW115" s="387"/>
      <c r="ASX115" s="387"/>
      <c r="ASY115" s="387"/>
      <c r="ASZ115" s="387"/>
      <c r="ATA115" s="387"/>
      <c r="ATB115" s="387"/>
      <c r="ATC115" s="387"/>
      <c r="ATD115" s="387"/>
      <c r="ATE115" s="387"/>
      <c r="ATF115" s="387"/>
      <c r="ATG115" s="387"/>
      <c r="ATH115" s="387"/>
      <c r="ATI115" s="387"/>
      <c r="ATJ115" s="387"/>
      <c r="ATK115" s="387"/>
      <c r="ATL115" s="387"/>
      <c r="ATM115" s="387"/>
      <c r="ATN115" s="387"/>
      <c r="ATO115" s="387"/>
      <c r="ATP115" s="387"/>
      <c r="ATQ115" s="387"/>
      <c r="ATR115" s="387"/>
      <c r="ATS115" s="387"/>
      <c r="ATT115" s="387"/>
      <c r="ATU115" s="387"/>
      <c r="ATV115" s="387"/>
      <c r="ATW115" s="387"/>
      <c r="ATX115" s="387"/>
      <c r="ATY115" s="387"/>
      <c r="ATZ115" s="387"/>
      <c r="AUA115" s="387"/>
      <c r="AUB115" s="387"/>
      <c r="AUC115" s="387"/>
      <c r="AUD115" s="387"/>
      <c r="AUE115" s="387"/>
      <c r="AUF115" s="387"/>
      <c r="AUG115" s="387"/>
      <c r="AUH115" s="387"/>
      <c r="AUI115" s="387"/>
      <c r="AUJ115" s="387"/>
      <c r="AUK115" s="387"/>
      <c r="AUL115" s="387"/>
      <c r="AUM115" s="387"/>
      <c r="AUN115" s="387"/>
      <c r="AUO115" s="387"/>
      <c r="AUP115" s="387"/>
      <c r="AUQ115" s="387"/>
      <c r="AUR115" s="387"/>
      <c r="AUS115" s="387"/>
      <c r="AUT115" s="387"/>
      <c r="AUU115" s="387"/>
      <c r="AUV115" s="387"/>
      <c r="AUW115" s="387"/>
      <c r="AUX115" s="387"/>
      <c r="AUY115" s="387"/>
      <c r="AUZ115" s="387"/>
      <c r="AVA115" s="387"/>
      <c r="AVB115" s="387"/>
      <c r="AVC115" s="387"/>
      <c r="AVD115" s="387"/>
      <c r="AVE115" s="387"/>
      <c r="AVF115" s="387"/>
      <c r="AVG115" s="387"/>
      <c r="AVH115" s="387"/>
      <c r="AVI115" s="387"/>
      <c r="AVJ115" s="387"/>
      <c r="AVK115" s="387"/>
      <c r="AVL115" s="387"/>
      <c r="AVM115" s="387"/>
      <c r="AVN115" s="387"/>
      <c r="AVO115" s="387"/>
      <c r="AVP115" s="387"/>
      <c r="AVQ115" s="387"/>
      <c r="AVR115" s="387"/>
      <c r="AVS115" s="387"/>
      <c r="AVT115" s="387"/>
      <c r="AVU115" s="387"/>
      <c r="AVV115" s="387"/>
      <c r="AVW115" s="387"/>
      <c r="AVX115" s="387"/>
      <c r="AVY115" s="387"/>
      <c r="AVZ115" s="387"/>
      <c r="AWA115" s="387"/>
      <c r="AWB115" s="387"/>
      <c r="AWC115" s="387"/>
      <c r="AWD115" s="387"/>
      <c r="AWE115" s="387"/>
      <c r="AWF115" s="387"/>
      <c r="AWG115" s="387"/>
      <c r="AWH115" s="387"/>
      <c r="AWI115" s="387"/>
      <c r="AWJ115" s="387"/>
      <c r="AWK115" s="387"/>
      <c r="AWL115" s="387"/>
      <c r="AWM115" s="387"/>
      <c r="AWN115" s="387"/>
      <c r="AWO115" s="387"/>
      <c r="AWP115" s="387"/>
      <c r="AWQ115" s="387"/>
      <c r="AWR115" s="387"/>
      <c r="AWS115" s="387"/>
      <c r="AWT115" s="387"/>
      <c r="AWU115" s="387"/>
      <c r="AWV115" s="387"/>
      <c r="AWW115" s="387"/>
      <c r="AWX115" s="387"/>
      <c r="AWY115" s="387"/>
      <c r="AWZ115" s="387"/>
      <c r="AXA115" s="387"/>
      <c r="AXB115" s="387"/>
      <c r="AXC115" s="387"/>
      <c r="AXD115" s="387"/>
      <c r="AXE115" s="387"/>
      <c r="AXF115" s="387"/>
      <c r="AXG115" s="387"/>
      <c r="AXH115" s="387"/>
      <c r="AXI115" s="387"/>
      <c r="AXJ115" s="387"/>
      <c r="AXK115" s="387"/>
      <c r="AXL115" s="387"/>
      <c r="AXM115" s="387"/>
      <c r="AXN115" s="387"/>
      <c r="AXO115" s="387"/>
      <c r="AXP115" s="387"/>
      <c r="AXQ115" s="387"/>
      <c r="AXR115" s="387"/>
      <c r="AXS115" s="387"/>
      <c r="AXT115" s="387"/>
      <c r="AXU115" s="387"/>
      <c r="AXV115" s="387"/>
      <c r="AXW115" s="387"/>
      <c r="AXX115" s="387"/>
      <c r="AXY115" s="387"/>
      <c r="AXZ115" s="387"/>
      <c r="AYA115" s="387"/>
      <c r="AYB115" s="387"/>
      <c r="AYC115" s="387"/>
      <c r="AYD115" s="387"/>
      <c r="AYE115" s="387"/>
      <c r="AYF115" s="387"/>
      <c r="AYG115" s="387"/>
      <c r="AYH115" s="387"/>
      <c r="AYI115" s="387"/>
      <c r="AYJ115" s="387"/>
      <c r="AYK115" s="387"/>
      <c r="AYL115" s="387"/>
      <c r="AYM115" s="387"/>
      <c r="AYN115" s="387"/>
      <c r="AYO115" s="387"/>
      <c r="AYP115" s="387"/>
      <c r="AYQ115" s="387"/>
      <c r="AYR115" s="387"/>
      <c r="AYS115" s="387"/>
      <c r="AYT115" s="387"/>
      <c r="AYU115" s="387"/>
      <c r="AYV115" s="387"/>
      <c r="AYW115" s="387"/>
      <c r="AYX115" s="387"/>
      <c r="AYY115" s="387"/>
      <c r="AYZ115" s="387"/>
      <c r="AZA115" s="387"/>
      <c r="AZB115" s="387"/>
      <c r="AZC115" s="387"/>
      <c r="AZD115" s="387"/>
      <c r="AZE115" s="387"/>
      <c r="AZF115" s="387"/>
      <c r="AZG115" s="387"/>
      <c r="AZH115" s="387"/>
      <c r="AZI115" s="387"/>
      <c r="AZJ115" s="387"/>
      <c r="AZK115" s="387"/>
      <c r="AZL115" s="387"/>
      <c r="AZM115" s="387"/>
      <c r="AZN115" s="387"/>
      <c r="AZO115" s="387"/>
      <c r="AZP115" s="387"/>
      <c r="AZQ115" s="387"/>
      <c r="AZR115" s="387"/>
      <c r="AZS115" s="387"/>
      <c r="AZT115" s="387"/>
      <c r="AZU115" s="387"/>
      <c r="AZV115" s="387"/>
      <c r="AZW115" s="387"/>
      <c r="AZX115" s="387"/>
      <c r="AZY115" s="387"/>
      <c r="AZZ115" s="387"/>
      <c r="BAA115" s="387"/>
      <c r="BAB115" s="387"/>
      <c r="BAC115" s="387"/>
      <c r="BAD115" s="387"/>
      <c r="BAE115" s="387"/>
      <c r="BAF115" s="387"/>
      <c r="BAG115" s="387"/>
      <c r="BAH115" s="387"/>
      <c r="BAI115" s="387"/>
      <c r="BAJ115" s="387"/>
      <c r="BAK115" s="387"/>
      <c r="BAL115" s="387"/>
      <c r="BAM115" s="387"/>
      <c r="BAN115" s="387"/>
      <c r="BAO115" s="387"/>
      <c r="BAP115" s="387"/>
      <c r="BAQ115" s="387"/>
      <c r="BAR115" s="387"/>
      <c r="BAS115" s="387"/>
      <c r="BAT115" s="387"/>
      <c r="BAU115" s="387"/>
      <c r="BAV115" s="387"/>
      <c r="BAW115" s="387"/>
      <c r="BAX115" s="387"/>
      <c r="BAY115" s="387"/>
      <c r="BAZ115" s="387"/>
      <c r="BBA115" s="387"/>
      <c r="BBB115" s="387"/>
      <c r="BBC115" s="387"/>
      <c r="BBD115" s="387"/>
      <c r="BBE115" s="387"/>
      <c r="BBF115" s="387"/>
      <c r="BBG115" s="387"/>
      <c r="BBH115" s="387"/>
      <c r="BBI115" s="387"/>
      <c r="BBJ115" s="387"/>
      <c r="BBK115" s="387"/>
      <c r="BBL115" s="387"/>
      <c r="BBM115" s="387"/>
      <c r="BBN115" s="387"/>
      <c r="BBO115" s="387"/>
      <c r="BBP115" s="387"/>
      <c r="BBQ115" s="387"/>
      <c r="BBR115" s="387"/>
      <c r="BBS115" s="387"/>
      <c r="BBT115" s="387"/>
      <c r="BBU115" s="387"/>
      <c r="BBV115" s="387"/>
      <c r="BBW115" s="387"/>
      <c r="BBX115" s="387"/>
      <c r="BBY115" s="387"/>
      <c r="BBZ115" s="387"/>
      <c r="BCA115" s="387"/>
      <c r="BCB115" s="387"/>
      <c r="BCC115" s="387"/>
      <c r="BCD115" s="387"/>
      <c r="BCE115" s="387"/>
      <c r="BCF115" s="387"/>
      <c r="BCG115" s="387"/>
      <c r="BCH115" s="387"/>
      <c r="BCI115" s="387"/>
      <c r="BCJ115" s="387"/>
      <c r="BCK115" s="387"/>
      <c r="BCL115" s="387"/>
      <c r="BCM115" s="387"/>
      <c r="BCN115" s="387"/>
      <c r="BCO115" s="387"/>
      <c r="BCP115" s="387"/>
      <c r="BCQ115" s="387"/>
      <c r="BCR115" s="387"/>
      <c r="BCS115" s="387"/>
      <c r="BCT115" s="387"/>
      <c r="BCU115" s="387"/>
      <c r="BCV115" s="387"/>
      <c r="BCW115" s="387"/>
      <c r="BCX115" s="387"/>
      <c r="BCY115" s="387"/>
      <c r="BCZ115" s="387"/>
      <c r="BDA115" s="387"/>
      <c r="BDB115" s="387"/>
      <c r="BDC115" s="387"/>
      <c r="BDD115" s="387"/>
      <c r="BDE115" s="387"/>
      <c r="BDF115" s="387"/>
      <c r="BDG115" s="387"/>
      <c r="BDH115" s="387"/>
      <c r="BDI115" s="387"/>
      <c r="BDJ115" s="387"/>
      <c r="BDK115" s="387"/>
      <c r="BDL115" s="387"/>
      <c r="BDM115" s="387"/>
      <c r="BDN115" s="387"/>
      <c r="BDO115" s="387"/>
      <c r="BDP115" s="387"/>
      <c r="BDQ115" s="387"/>
      <c r="BDR115" s="387"/>
      <c r="BDS115" s="387"/>
      <c r="BDT115" s="387"/>
      <c r="BDU115" s="387"/>
      <c r="BDV115" s="387"/>
      <c r="BDW115" s="387"/>
      <c r="BDX115" s="387"/>
      <c r="BDY115" s="387"/>
      <c r="BDZ115" s="387"/>
      <c r="BEA115" s="387"/>
      <c r="BEB115" s="387"/>
      <c r="BEC115" s="387"/>
      <c r="BED115" s="387"/>
      <c r="BEE115" s="387"/>
      <c r="BEF115" s="387"/>
      <c r="BEG115" s="387"/>
      <c r="BEH115" s="387"/>
      <c r="BEI115" s="387"/>
      <c r="BEJ115" s="387"/>
      <c r="BEK115" s="387"/>
      <c r="BEL115" s="387"/>
      <c r="BEM115" s="387"/>
      <c r="BEN115" s="387"/>
      <c r="BEO115" s="387"/>
      <c r="BEP115" s="387"/>
      <c r="BEQ115" s="387"/>
      <c r="BER115" s="387"/>
      <c r="BES115" s="387"/>
      <c r="BET115" s="387"/>
      <c r="BEU115" s="387"/>
      <c r="BEV115" s="387"/>
      <c r="BEW115" s="387"/>
      <c r="BEX115" s="387"/>
      <c r="BEY115" s="387"/>
      <c r="BEZ115" s="387"/>
      <c r="BFA115" s="387"/>
      <c r="BFB115" s="387"/>
      <c r="BFC115" s="387"/>
      <c r="BFD115" s="387"/>
      <c r="BFE115" s="387"/>
      <c r="BFF115" s="387"/>
      <c r="BFG115" s="387"/>
      <c r="BFH115" s="387"/>
      <c r="BFI115" s="387"/>
      <c r="BFJ115" s="387"/>
      <c r="BFK115" s="387"/>
      <c r="BFL115" s="387"/>
      <c r="BFM115" s="387"/>
      <c r="BFN115" s="387"/>
      <c r="BFO115" s="387"/>
      <c r="BFP115" s="387"/>
      <c r="BFQ115" s="387"/>
      <c r="BFR115" s="387"/>
      <c r="BFS115" s="387"/>
      <c r="BFT115" s="387"/>
      <c r="BFU115" s="387"/>
      <c r="BFV115" s="387"/>
      <c r="BFW115" s="387"/>
      <c r="BFX115" s="387"/>
      <c r="BFY115" s="387"/>
      <c r="BFZ115" s="387"/>
      <c r="BGA115" s="387"/>
      <c r="BGB115" s="387"/>
      <c r="BGC115" s="387"/>
      <c r="BGD115" s="387"/>
      <c r="BGE115" s="387"/>
      <c r="BGF115" s="387"/>
      <c r="BGG115" s="387"/>
      <c r="BGH115" s="387"/>
      <c r="BGI115" s="387"/>
      <c r="BGJ115" s="387"/>
      <c r="BGK115" s="387"/>
      <c r="BGL115" s="387"/>
      <c r="BGM115" s="387"/>
      <c r="BGN115" s="387"/>
      <c r="BGO115" s="387"/>
      <c r="BGP115" s="387"/>
      <c r="BGQ115" s="387"/>
      <c r="BGR115" s="387"/>
      <c r="BGS115" s="387"/>
      <c r="BGT115" s="387"/>
      <c r="BGU115" s="387"/>
      <c r="BGV115" s="387"/>
      <c r="BGW115" s="387"/>
      <c r="BGX115" s="387"/>
      <c r="BGY115" s="387"/>
      <c r="BGZ115" s="387"/>
      <c r="BHA115" s="387"/>
      <c r="BHB115" s="387"/>
      <c r="BHC115" s="387"/>
      <c r="BHD115" s="387"/>
      <c r="BHE115" s="387"/>
      <c r="BHF115" s="387"/>
      <c r="BHG115" s="387"/>
      <c r="BHH115" s="387"/>
      <c r="BHI115" s="387"/>
      <c r="BHJ115" s="387"/>
      <c r="BHK115" s="387"/>
      <c r="BHL115" s="387"/>
      <c r="BHM115" s="387"/>
      <c r="BHN115" s="387"/>
      <c r="BHO115" s="387"/>
      <c r="BHP115" s="387"/>
      <c r="BHQ115" s="387"/>
      <c r="BHR115" s="387"/>
      <c r="BHS115" s="387"/>
      <c r="BHT115" s="387"/>
      <c r="BHU115" s="387"/>
      <c r="BHV115" s="387"/>
      <c r="BHW115" s="387"/>
      <c r="BHX115" s="387"/>
      <c r="BHY115" s="387"/>
      <c r="BHZ115" s="387"/>
      <c r="BIA115" s="387"/>
      <c r="BIB115" s="387"/>
      <c r="BIC115" s="387"/>
      <c r="BID115" s="387"/>
      <c r="BIE115" s="387"/>
      <c r="BIF115" s="387"/>
      <c r="BIG115" s="387"/>
      <c r="BIH115" s="387"/>
      <c r="BII115" s="387"/>
      <c r="BIJ115" s="387"/>
      <c r="BIK115" s="387"/>
      <c r="BIL115" s="387"/>
      <c r="BIM115" s="387"/>
      <c r="BIN115" s="387"/>
      <c r="BIO115" s="387"/>
      <c r="BIP115" s="387"/>
      <c r="BIQ115" s="387"/>
      <c r="BIR115" s="387"/>
      <c r="BIS115" s="387"/>
      <c r="BIT115" s="387"/>
      <c r="BIU115" s="387"/>
      <c r="BIV115" s="387"/>
      <c r="BIW115" s="387"/>
      <c r="BIX115" s="387"/>
      <c r="BIY115" s="387"/>
      <c r="BIZ115" s="387"/>
      <c r="BJA115" s="387"/>
      <c r="BJB115" s="387"/>
      <c r="BJC115" s="387"/>
      <c r="BJD115" s="387"/>
      <c r="BJE115" s="387"/>
      <c r="BJF115" s="387"/>
      <c r="BJG115" s="387"/>
      <c r="BJH115" s="387"/>
      <c r="BJI115" s="387"/>
      <c r="BJJ115" s="387"/>
      <c r="BJK115" s="387"/>
      <c r="BJL115" s="387"/>
      <c r="BJM115" s="387"/>
      <c r="BJN115" s="387"/>
      <c r="BJO115" s="387"/>
      <c r="BJP115" s="387"/>
      <c r="BJQ115" s="387"/>
      <c r="BJR115" s="387"/>
      <c r="BJS115" s="387"/>
      <c r="BJT115" s="387"/>
      <c r="BJU115" s="387"/>
      <c r="BJV115" s="387"/>
      <c r="BJW115" s="387"/>
      <c r="BJX115" s="387"/>
      <c r="BJY115" s="387"/>
      <c r="BJZ115" s="387"/>
      <c r="BKA115" s="387"/>
      <c r="BKB115" s="387"/>
      <c r="BKC115" s="387"/>
      <c r="BKD115" s="387"/>
      <c r="BKE115" s="387"/>
      <c r="BKF115" s="387"/>
      <c r="BKG115" s="387"/>
      <c r="BKH115" s="387"/>
      <c r="BKI115" s="387"/>
      <c r="BKJ115" s="387"/>
      <c r="BKK115" s="387"/>
      <c r="BKL115" s="387"/>
      <c r="BKM115" s="387"/>
      <c r="BKN115" s="387"/>
      <c r="BKO115" s="387"/>
      <c r="BKP115" s="387"/>
      <c r="BKQ115" s="387"/>
      <c r="BKR115" s="387"/>
      <c r="BKS115" s="387"/>
      <c r="BKT115" s="387"/>
      <c r="BKU115" s="387"/>
      <c r="BKV115" s="387"/>
      <c r="BKW115" s="387"/>
      <c r="BKX115" s="387"/>
      <c r="BKY115" s="387"/>
      <c r="BKZ115" s="387"/>
      <c r="BLA115" s="387"/>
      <c r="BLB115" s="387"/>
      <c r="BLC115" s="387"/>
      <c r="BLD115" s="387"/>
      <c r="BLE115" s="387"/>
      <c r="BLF115" s="387"/>
      <c r="BLG115" s="387"/>
      <c r="BLH115" s="387"/>
      <c r="BLI115" s="387"/>
      <c r="BLJ115" s="387"/>
      <c r="BLK115" s="387"/>
      <c r="BLL115" s="387"/>
      <c r="BLM115" s="387"/>
      <c r="BLN115" s="387"/>
      <c r="BLO115" s="387"/>
      <c r="BLP115" s="387"/>
      <c r="BLQ115" s="387"/>
      <c r="BLR115" s="387"/>
      <c r="BLS115" s="387"/>
      <c r="BLT115" s="387"/>
      <c r="BLU115" s="387"/>
      <c r="BLV115" s="387"/>
      <c r="BLW115" s="387"/>
      <c r="BLX115" s="387"/>
      <c r="BLY115" s="387"/>
      <c r="BLZ115" s="387"/>
      <c r="BMA115" s="387"/>
      <c r="BMB115" s="387"/>
      <c r="BMC115" s="387"/>
      <c r="BMD115" s="387"/>
      <c r="BME115" s="387"/>
      <c r="BMF115" s="387"/>
      <c r="BMG115" s="387"/>
      <c r="BMH115" s="387"/>
      <c r="BMI115" s="387"/>
      <c r="BMJ115" s="387"/>
      <c r="BMK115" s="387"/>
      <c r="BML115" s="387"/>
      <c r="BMM115" s="387"/>
      <c r="BMN115" s="387"/>
      <c r="BMO115" s="387"/>
      <c r="BMP115" s="387"/>
      <c r="BMQ115" s="387"/>
      <c r="BMR115" s="387"/>
      <c r="BMS115" s="387"/>
      <c r="BMT115" s="387"/>
      <c r="BMU115" s="387"/>
      <c r="BMV115" s="387"/>
      <c r="BMW115" s="387"/>
      <c r="BMX115" s="387"/>
      <c r="BMY115" s="387"/>
      <c r="BMZ115" s="387"/>
      <c r="BNA115" s="387"/>
      <c r="BNB115" s="387"/>
      <c r="BNC115" s="387"/>
      <c r="BND115" s="387"/>
      <c r="BNE115" s="387"/>
      <c r="BNF115" s="387"/>
      <c r="BNG115" s="387"/>
      <c r="BNH115" s="387"/>
      <c r="BNI115" s="387"/>
      <c r="BNJ115" s="387"/>
      <c r="BNK115" s="387"/>
      <c r="BNL115" s="387"/>
      <c r="BNM115" s="387"/>
      <c r="BNN115" s="387"/>
      <c r="BNO115" s="387"/>
      <c r="BNP115" s="387"/>
      <c r="BNQ115" s="387"/>
      <c r="BNR115" s="387"/>
      <c r="BNS115" s="387"/>
      <c r="BNT115" s="387"/>
      <c r="BNU115" s="387"/>
      <c r="BNV115" s="387"/>
      <c r="BNW115" s="387"/>
      <c r="BNX115" s="387"/>
      <c r="BNY115" s="387"/>
      <c r="BNZ115" s="387"/>
      <c r="BOA115" s="387"/>
      <c r="BOB115" s="387"/>
      <c r="BOC115" s="387"/>
      <c r="BOD115" s="387"/>
      <c r="BOE115" s="387"/>
      <c r="BOF115" s="387"/>
      <c r="BOG115" s="387"/>
      <c r="BOH115" s="387"/>
      <c r="BOI115" s="387"/>
      <c r="BOJ115" s="387"/>
      <c r="BOK115" s="387"/>
      <c r="BOL115" s="387"/>
      <c r="BOM115" s="387"/>
      <c r="BON115" s="387"/>
      <c r="BOO115" s="387"/>
      <c r="BOP115" s="387"/>
      <c r="BOQ115" s="387"/>
      <c r="BOR115" s="387"/>
      <c r="BOS115" s="387"/>
      <c r="BOT115" s="387"/>
      <c r="BOU115" s="387"/>
      <c r="BOV115" s="387"/>
      <c r="BOW115" s="387"/>
      <c r="BOX115" s="387"/>
      <c r="BOY115" s="387"/>
      <c r="BOZ115" s="387"/>
      <c r="BPA115" s="387"/>
      <c r="BPB115" s="387"/>
      <c r="BPC115" s="387"/>
      <c r="BPD115" s="387"/>
      <c r="BPE115" s="387"/>
      <c r="BPF115" s="387"/>
      <c r="BPG115" s="387"/>
      <c r="BPH115" s="387"/>
      <c r="BPI115" s="387"/>
      <c r="BPJ115" s="387"/>
      <c r="BPK115" s="387"/>
      <c r="BPL115" s="387"/>
      <c r="BPM115" s="387"/>
      <c r="BPN115" s="387"/>
      <c r="BPO115" s="387"/>
      <c r="BPP115" s="387"/>
      <c r="BPQ115" s="387"/>
      <c r="BPR115" s="387"/>
      <c r="BPS115" s="387"/>
      <c r="BPT115" s="387"/>
      <c r="BPU115" s="387"/>
      <c r="BPV115" s="387"/>
      <c r="BPW115" s="387"/>
      <c r="BPX115" s="387"/>
      <c r="BPY115" s="387"/>
      <c r="BPZ115" s="387"/>
      <c r="BQA115" s="387"/>
      <c r="BQB115" s="387"/>
      <c r="BQC115" s="387"/>
      <c r="BQD115" s="387"/>
      <c r="BQE115" s="387"/>
      <c r="BQF115" s="387"/>
      <c r="BQG115" s="387"/>
      <c r="BQH115" s="387"/>
      <c r="BQI115" s="387"/>
      <c r="BQJ115" s="387"/>
      <c r="BQK115" s="387"/>
      <c r="BQL115" s="387"/>
      <c r="BQM115" s="387"/>
      <c r="BQN115" s="387"/>
      <c r="BQO115" s="387"/>
      <c r="BQP115" s="387"/>
      <c r="BQQ115" s="387"/>
      <c r="BQR115" s="387"/>
      <c r="BQS115" s="387"/>
      <c r="BQT115" s="387"/>
      <c r="BQU115" s="387"/>
      <c r="BQV115" s="387"/>
      <c r="BQW115" s="387"/>
      <c r="BQX115" s="387"/>
      <c r="BQY115" s="387"/>
      <c r="BQZ115" s="387"/>
      <c r="BRA115" s="387"/>
      <c r="BRB115" s="387"/>
      <c r="BRC115" s="387"/>
      <c r="BRD115" s="387"/>
      <c r="BRE115" s="387"/>
      <c r="BRF115" s="387"/>
      <c r="BRG115" s="387"/>
      <c r="BRH115" s="387"/>
      <c r="BRI115" s="387"/>
      <c r="BRJ115" s="387"/>
      <c r="BRK115" s="387"/>
      <c r="BRL115" s="387"/>
      <c r="BRM115" s="387"/>
      <c r="BRN115" s="387"/>
      <c r="BRO115" s="387"/>
      <c r="BRP115" s="387"/>
      <c r="BRQ115" s="387"/>
      <c r="BRR115" s="387"/>
      <c r="BRS115" s="387"/>
      <c r="BRT115" s="387"/>
      <c r="BRU115" s="387"/>
      <c r="BRV115" s="387"/>
      <c r="BRW115" s="387"/>
      <c r="BRX115" s="387"/>
      <c r="BRY115" s="387"/>
      <c r="BRZ115" s="387"/>
      <c r="BSA115" s="387"/>
      <c r="BSB115" s="387"/>
      <c r="BSC115" s="387"/>
      <c r="BSD115" s="387"/>
      <c r="BSE115" s="387"/>
      <c r="BSF115" s="387"/>
      <c r="BSG115" s="387"/>
      <c r="BSH115" s="387"/>
      <c r="BSI115" s="387"/>
      <c r="BSJ115" s="387"/>
      <c r="BSK115" s="387"/>
      <c r="BSL115" s="387"/>
      <c r="BSM115" s="387"/>
      <c r="BSN115" s="387"/>
      <c r="BSO115" s="387"/>
      <c r="BSP115" s="387"/>
      <c r="BSQ115" s="387"/>
      <c r="BSR115" s="387"/>
      <c r="BSS115" s="387"/>
      <c r="BST115" s="387"/>
      <c r="BSU115" s="387"/>
      <c r="BSV115" s="387"/>
      <c r="BSW115" s="387"/>
      <c r="BSX115" s="387"/>
      <c r="BSY115" s="387"/>
      <c r="BSZ115" s="387"/>
      <c r="BTA115" s="387"/>
      <c r="BTB115" s="387"/>
      <c r="BTC115" s="387"/>
      <c r="BTD115" s="387"/>
      <c r="BTE115" s="387"/>
      <c r="BTF115" s="387"/>
      <c r="BTG115" s="387"/>
      <c r="BTH115" s="387"/>
      <c r="BTI115" s="387"/>
    </row>
    <row r="116" spans="1:1881" ht="69.75" customHeight="1" x14ac:dyDescent="0.25">
      <c r="A116" s="186">
        <v>88</v>
      </c>
      <c r="B116" s="62" t="s">
        <v>84</v>
      </c>
      <c r="C116" s="157" t="s">
        <v>199</v>
      </c>
      <c r="D116" s="163" t="s">
        <v>558</v>
      </c>
      <c r="E116" s="683" t="e">
        <f>HLOOKUP('Unit Data from Audit Worksheet'!$D$2,'2019 Data(H)'!$D$1:$BB$202,31,FALSE)</f>
        <v>#N/A</v>
      </c>
      <c r="F116" s="686"/>
      <c r="G116" s="311"/>
      <c r="H116" s="14"/>
      <c r="I116" s="31"/>
      <c r="S116" s="682"/>
      <c r="X116" s="682"/>
    </row>
    <row r="117" spans="1:1881" ht="68.25" customHeight="1" x14ac:dyDescent="0.25">
      <c r="A117" s="186">
        <v>84</v>
      </c>
      <c r="B117" s="62" t="s">
        <v>84</v>
      </c>
      <c r="C117" s="157" t="s">
        <v>199</v>
      </c>
      <c r="D117" s="173" t="s">
        <v>202</v>
      </c>
      <c r="E117" s="683" t="e">
        <f>HLOOKUP('Unit Data from Audit Worksheet'!$D$2,'2019 Data(H)'!$D$1:$BB$202,29,FALSE)</f>
        <v>#N/A</v>
      </c>
      <c r="F117" s="686"/>
      <c r="G117" s="388">
        <f>IF(120&gt;=119,,"Error: Charges for services exceed total operating revenues. Account numbers 84&gt;=88")</f>
        <v>0</v>
      </c>
      <c r="H117" s="14"/>
      <c r="I117" s="31"/>
      <c r="S117" s="682"/>
      <c r="X117" s="682"/>
    </row>
    <row r="118" spans="1:1881" ht="72" customHeight="1" x14ac:dyDescent="0.25">
      <c r="A118" s="186">
        <v>49</v>
      </c>
      <c r="B118" s="62" t="s">
        <v>80</v>
      </c>
      <c r="C118" s="157" t="s">
        <v>199</v>
      </c>
      <c r="D118" s="173" t="s">
        <v>203</v>
      </c>
      <c r="E118" s="683" t="e">
        <f>HLOOKUP('Unit Data from Audit Worksheet'!$D$2,'2019 Data(H)'!$D$1:$BB$202,18,FALSE)</f>
        <v>#N/A</v>
      </c>
      <c r="F118" s="686"/>
      <c r="G118" s="388">
        <f>IF(F118&lt;0,"Error: Enter as positive.",)</f>
        <v>0</v>
      </c>
      <c r="H118" s="14"/>
      <c r="I118" s="31"/>
      <c r="S118" s="682"/>
      <c r="X118" s="682"/>
    </row>
    <row r="119" spans="1:1881" ht="72" customHeight="1" x14ac:dyDescent="0.25">
      <c r="A119" s="186">
        <v>85</v>
      </c>
      <c r="B119" s="62" t="s">
        <v>91</v>
      </c>
      <c r="C119" s="157" t="s">
        <v>199</v>
      </c>
      <c r="D119" s="173" t="s">
        <v>204</v>
      </c>
      <c r="E119" s="683" t="e">
        <f>HLOOKUP('Unit Data from Audit Worksheet'!$D$2,'2019 Data(H)'!$D$1:$BB$202,30,FALSE)</f>
        <v>#N/A</v>
      </c>
      <c r="F119" s="686"/>
      <c r="G119" s="388">
        <f>IF(F119&lt;0,"Error: Enter as positive.",)</f>
        <v>0</v>
      </c>
      <c r="H119" s="14"/>
      <c r="I119" s="31"/>
      <c r="S119" s="682"/>
      <c r="X119" s="682"/>
    </row>
    <row r="120" spans="1:1881" ht="69.75" customHeight="1" x14ac:dyDescent="0.25">
      <c r="A120" s="186">
        <v>89</v>
      </c>
      <c r="B120" s="62" t="s">
        <v>79</v>
      </c>
      <c r="C120" s="157" t="s">
        <v>199</v>
      </c>
      <c r="D120" s="173" t="s">
        <v>205</v>
      </c>
      <c r="E120" s="683" t="e">
        <f>HLOOKUP('Unit Data from Audit Worksheet'!$D$2,'2019 Data(H)'!$D$1:$BB$202,32,FALSE)</f>
        <v>#N/A</v>
      </c>
      <c r="F120" s="686"/>
      <c r="G120" s="388">
        <f>IF(F120&lt;0,"Error: Enter as positive.",)</f>
        <v>0</v>
      </c>
      <c r="H120" s="14"/>
      <c r="I120" s="31"/>
      <c r="S120" s="682"/>
      <c r="X120" s="682"/>
    </row>
    <row r="121" spans="1:1881" ht="68.25" customHeight="1" x14ac:dyDescent="0.25">
      <c r="A121" s="186">
        <v>350</v>
      </c>
      <c r="B121" s="62" t="s">
        <v>79</v>
      </c>
      <c r="C121" s="157" t="s">
        <v>199</v>
      </c>
      <c r="D121" s="163" t="s">
        <v>206</v>
      </c>
      <c r="E121" s="683" t="e">
        <f>HLOOKUP('Unit Data from Audit Worksheet'!$D$2,'2019 Data(H)'!$D$1:$BB$202,73,FALSE)</f>
        <v>#N/A</v>
      </c>
      <c r="F121" s="686"/>
      <c r="G121" s="554"/>
      <c r="H121" s="14"/>
      <c r="I121" s="31"/>
      <c r="S121" s="682"/>
      <c r="X121" s="682"/>
    </row>
    <row r="122" spans="1:1881" ht="66" customHeight="1" x14ac:dyDescent="0.25">
      <c r="A122" s="186">
        <v>351</v>
      </c>
      <c r="B122" s="62" t="s">
        <v>79</v>
      </c>
      <c r="C122" s="157" t="s">
        <v>199</v>
      </c>
      <c r="D122" s="163" t="s">
        <v>545</v>
      </c>
      <c r="E122" s="683" t="e">
        <f>HLOOKUP('Unit Data from Audit Worksheet'!$D$2,'2019 Data(H)'!$D$1:$BB$202,74,FALSE)</f>
        <v>#N/A</v>
      </c>
      <c r="F122" s="686"/>
      <c r="G122" s="388">
        <f>IF(F122&lt;0,"Error: Enter as positive.",)</f>
        <v>0</v>
      </c>
      <c r="H122" s="14"/>
      <c r="I122" s="31"/>
      <c r="S122" s="682"/>
      <c r="X122" s="682"/>
    </row>
    <row r="123" spans="1:1881" ht="64.5" customHeight="1" x14ac:dyDescent="0.25">
      <c r="A123" s="186">
        <v>191</v>
      </c>
      <c r="B123" s="62" t="s">
        <v>80</v>
      </c>
      <c r="C123" s="157" t="s">
        <v>199</v>
      </c>
      <c r="D123" s="163" t="s">
        <v>207</v>
      </c>
      <c r="E123" s="683" t="e">
        <f>HLOOKUP('Unit Data from Audit Worksheet'!$D$2,'2019 Data(H)'!$D$1:$BB$202,45,FALSE)</f>
        <v>#N/A</v>
      </c>
      <c r="F123" s="686"/>
      <c r="G123" s="388">
        <f>IF(F123&lt;0,"Error: Enter as positive.",)</f>
        <v>0</v>
      </c>
      <c r="H123" s="14"/>
      <c r="I123" s="31"/>
      <c r="S123" s="682"/>
      <c r="X123" s="682"/>
    </row>
    <row r="124" spans="1:1881" ht="75" customHeight="1" x14ac:dyDescent="0.25">
      <c r="A124" s="186">
        <v>352</v>
      </c>
      <c r="B124" s="62" t="s">
        <v>91</v>
      </c>
      <c r="C124" s="157" t="s">
        <v>199</v>
      </c>
      <c r="D124" s="173" t="s">
        <v>168</v>
      </c>
      <c r="E124" s="683" t="e">
        <f>HLOOKUP('Unit Data from Audit Worksheet'!$D$2,'2019 Data(H)'!$D$1:$BB$202,75,FALSE)</f>
        <v>#N/A</v>
      </c>
      <c r="F124" s="686"/>
      <c r="G124" s="388">
        <f>IF(F124&lt;0,"Error: Enter as positive.",)</f>
        <v>0</v>
      </c>
      <c r="H124" s="14"/>
      <c r="I124" s="31"/>
      <c r="S124" s="682"/>
      <c r="X124" s="682"/>
    </row>
    <row r="125" spans="1:1881" ht="69" customHeight="1" x14ac:dyDescent="0.25">
      <c r="A125" s="186">
        <v>353</v>
      </c>
      <c r="B125" s="62" t="s">
        <v>91</v>
      </c>
      <c r="C125" s="157" t="s">
        <v>199</v>
      </c>
      <c r="D125" s="173" t="s">
        <v>169</v>
      </c>
      <c r="E125" s="683" t="e">
        <f>HLOOKUP('Unit Data from Audit Worksheet'!$D$2,'2019 Data(H)'!$D$1:$BB$202,76,FALSE)</f>
        <v>#N/A</v>
      </c>
      <c r="F125" s="686"/>
      <c r="G125" s="552">
        <f>IF(F125&lt;0,"Error: Enter as positive.",)</f>
        <v>0</v>
      </c>
      <c r="H125" s="14"/>
      <c r="I125" s="31"/>
      <c r="S125" s="682"/>
      <c r="X125" s="682"/>
    </row>
    <row r="126" spans="1:1881" ht="69" customHeight="1" x14ac:dyDescent="0.25">
      <c r="A126" s="186">
        <v>50</v>
      </c>
      <c r="B126" s="62" t="s">
        <v>87</v>
      </c>
      <c r="C126" s="157" t="s">
        <v>199</v>
      </c>
      <c r="D126" s="139" t="s">
        <v>208</v>
      </c>
      <c r="E126" s="683" t="e">
        <f>HLOOKUP('Unit Data from Audit Worksheet'!$D$2,'2019 Data(H)'!$D$1:$BB$202,19,FALSE)</f>
        <v>#N/A</v>
      </c>
      <c r="F126" s="672"/>
      <c r="G126" s="388">
        <f>IF(H126=0,,"Error: Total revenues less total expenses do not equal total change in net position. Account number 84-85+350-351+191+352-353-50=0  The amount of the formula is in the cell to the right")</f>
        <v>0</v>
      </c>
      <c r="H126" s="189">
        <f>F117-F119+F121-F122+F123+F124-F125-F126</f>
        <v>0</v>
      </c>
      <c r="I126" s="31"/>
      <c r="S126" s="682"/>
      <c r="X126" s="682"/>
    </row>
    <row r="127" spans="1:1881" ht="100.5" customHeight="1" x14ac:dyDescent="0.25">
      <c r="A127" s="186">
        <v>377</v>
      </c>
      <c r="B127" s="62" t="s">
        <v>91</v>
      </c>
      <c r="C127" s="157" t="s">
        <v>199</v>
      </c>
      <c r="D127" s="139" t="s">
        <v>211</v>
      </c>
      <c r="E127" s="683" t="e">
        <f>HLOOKUP('Unit Data from Audit Worksheet'!$D$2,'2019 Data(H)'!$D$1:$BB$202,94,FALSE)</f>
        <v>#N/A</v>
      </c>
      <c r="F127" s="672"/>
      <c r="G127" s="705" t="e">
        <f>IF(F94-F126-F127=E94,,"Error: Beginning Balance does not agree with our records.  Cell F97-F129-F130=E97  The amount of the formula is in the cell to the right")</f>
        <v>#N/A</v>
      </c>
      <c r="H127" s="189" t="e">
        <f>+F94-F126-F127-E94</f>
        <v>#N/A</v>
      </c>
      <c r="I127" s="31"/>
      <c r="S127" s="682"/>
      <c r="X127" s="682"/>
    </row>
    <row r="128" spans="1:1881" ht="101.25" customHeight="1" x14ac:dyDescent="0.25">
      <c r="A128" s="186">
        <v>537</v>
      </c>
      <c r="B128" s="148" t="s">
        <v>82</v>
      </c>
      <c r="C128" s="180" t="s">
        <v>199</v>
      </c>
      <c r="D128" s="238" t="s">
        <v>209</v>
      </c>
      <c r="E128" s="685"/>
      <c r="F128" s="686"/>
      <c r="G128" s="388"/>
      <c r="H128" s="18"/>
      <c r="I128" s="292"/>
      <c r="S128" s="682"/>
      <c r="X128" s="682"/>
    </row>
    <row r="129" spans="1:1881" ht="67.5" x14ac:dyDescent="0.25">
      <c r="A129" s="186">
        <v>538</v>
      </c>
      <c r="B129" s="148" t="s">
        <v>82</v>
      </c>
      <c r="C129" s="180" t="s">
        <v>199</v>
      </c>
      <c r="D129" s="238" t="s">
        <v>210</v>
      </c>
      <c r="E129" s="685"/>
      <c r="F129" s="686"/>
      <c r="G129" s="388"/>
      <c r="H129" s="18"/>
      <c r="I129" s="292"/>
      <c r="S129" s="682"/>
      <c r="X129" s="682"/>
    </row>
    <row r="130" spans="1:1881" ht="26.25" customHeight="1" x14ac:dyDescent="0.3">
      <c r="A130" s="187"/>
      <c r="B130" s="159" t="s">
        <v>6</v>
      </c>
      <c r="C130" s="158"/>
      <c r="D130" s="153"/>
      <c r="E130" s="153"/>
      <c r="F130" s="748"/>
      <c r="G130" s="528"/>
      <c r="H130" s="14"/>
      <c r="I130" s="31"/>
      <c r="S130" s="682"/>
      <c r="X130" s="682"/>
    </row>
    <row r="131" spans="1:1881" ht="67.5" x14ac:dyDescent="0.25">
      <c r="A131" s="186">
        <v>97</v>
      </c>
      <c r="B131" s="62" t="s">
        <v>91</v>
      </c>
      <c r="C131" s="157" t="s">
        <v>212</v>
      </c>
      <c r="D131" s="173" t="s">
        <v>213</v>
      </c>
      <c r="E131" s="683" t="e">
        <f>HLOOKUP('Unit Data from Audit Worksheet'!$D$2,'2019 Data(H)'!$D$1:$BB$202,37,FALSE)</f>
        <v>#N/A</v>
      </c>
      <c r="F131" s="560"/>
      <c r="G131" s="311"/>
      <c r="H131" s="14"/>
      <c r="I131" s="31"/>
      <c r="S131" s="682"/>
      <c r="X131" s="682"/>
    </row>
    <row r="132" spans="1:1881" ht="67.5" x14ac:dyDescent="0.25">
      <c r="A132" s="186">
        <v>93</v>
      </c>
      <c r="B132" s="62" t="s">
        <v>89</v>
      </c>
      <c r="C132" s="157" t="s">
        <v>212</v>
      </c>
      <c r="D132" s="173" t="s">
        <v>202</v>
      </c>
      <c r="E132" s="683" t="e">
        <f>HLOOKUP('Unit Data from Audit Worksheet'!$D$2,'2019 Data(H)'!$D$1:$BB$202,35,FALSE)</f>
        <v>#N/A</v>
      </c>
      <c r="F132" s="560"/>
      <c r="G132" s="388">
        <f>IF(F131&gt;F132,"Error: Charges for services exceed total operating revenues. Account number 97&gt;93",)</f>
        <v>0</v>
      </c>
      <c r="H132" s="14"/>
      <c r="I132" s="31"/>
      <c r="S132" s="682"/>
      <c r="X132" s="682"/>
    </row>
    <row r="133" spans="1:1881" ht="82.5" customHeight="1" x14ac:dyDescent="0.25">
      <c r="A133" s="186">
        <v>99</v>
      </c>
      <c r="B133" s="62" t="s">
        <v>81</v>
      </c>
      <c r="C133" s="157" t="s">
        <v>212</v>
      </c>
      <c r="D133" s="173" t="s">
        <v>214</v>
      </c>
      <c r="E133" s="683" t="e">
        <f>HLOOKUP('Unit Data from Audit Worksheet'!$D$2,'2019 Data(H)'!$D$1:$BB$202,39,FALSE)</f>
        <v>#N/A</v>
      </c>
      <c r="F133" s="560"/>
      <c r="G133" s="552">
        <f t="shared" ref="G133:G141" si="2">IF(F133&lt;0,"Error: Enter as positive.",)</f>
        <v>0</v>
      </c>
      <c r="H133" s="14"/>
      <c r="I133" s="31"/>
      <c r="S133" s="682"/>
      <c r="X133" s="682"/>
    </row>
    <row r="134" spans="1:1881" ht="59.25" customHeight="1" x14ac:dyDescent="0.25">
      <c r="A134" s="186">
        <v>52</v>
      </c>
      <c r="B134" s="62" t="s">
        <v>81</v>
      </c>
      <c r="C134" s="157" t="s">
        <v>212</v>
      </c>
      <c r="D134" s="173" t="s">
        <v>203</v>
      </c>
      <c r="E134" s="683" t="e">
        <f>HLOOKUP('Unit Data from Audit Worksheet'!$D$2,'2019 Data(H)'!$D$1:$BB$202,21,FALSE)</f>
        <v>#N/A</v>
      </c>
      <c r="F134" s="560"/>
      <c r="G134" s="552">
        <f t="shared" si="2"/>
        <v>0</v>
      </c>
      <c r="H134" s="14"/>
      <c r="I134" s="31"/>
      <c r="S134" s="682"/>
      <c r="X134" s="682"/>
    </row>
    <row r="135" spans="1:1881" ht="67.5" customHeight="1" x14ac:dyDescent="0.25">
      <c r="A135" s="186">
        <v>94</v>
      </c>
      <c r="B135" s="62" t="s">
        <v>89</v>
      </c>
      <c r="C135" s="157" t="s">
        <v>212</v>
      </c>
      <c r="D135" s="173" t="s">
        <v>204</v>
      </c>
      <c r="E135" s="683" t="e">
        <f>HLOOKUP('Unit Data from Audit Worksheet'!$D$2,'2019 Data(H)'!$D$1:$BB$202,36,FALSE)</f>
        <v>#N/A</v>
      </c>
      <c r="F135" s="560"/>
      <c r="G135" s="552">
        <f t="shared" si="2"/>
        <v>0</v>
      </c>
      <c r="H135" s="14"/>
      <c r="I135" s="31"/>
      <c r="S135" s="682"/>
      <c r="X135" s="682"/>
    </row>
    <row r="136" spans="1:1881" ht="67.5" x14ac:dyDescent="0.25">
      <c r="A136" s="186">
        <v>98</v>
      </c>
      <c r="B136" s="62" t="s">
        <v>89</v>
      </c>
      <c r="C136" s="157" t="s">
        <v>212</v>
      </c>
      <c r="D136" s="173" t="s">
        <v>205</v>
      </c>
      <c r="E136" s="683" t="e">
        <f>HLOOKUP('Unit Data from Audit Worksheet'!$D$2,'2019 Data(H)'!$D$1:$BB$202,38,FALSE)</f>
        <v>#N/A</v>
      </c>
      <c r="F136" s="560"/>
      <c r="G136" s="552">
        <f t="shared" si="2"/>
        <v>0</v>
      </c>
      <c r="H136" s="14"/>
      <c r="I136" s="31"/>
      <c r="S136" s="682"/>
      <c r="X136" s="682"/>
    </row>
    <row r="137" spans="1:1881" ht="73.5" customHeight="1" x14ac:dyDescent="0.25">
      <c r="A137" s="186">
        <v>363</v>
      </c>
      <c r="B137" s="62" t="s">
        <v>79</v>
      </c>
      <c r="C137" s="157" t="s">
        <v>212</v>
      </c>
      <c r="D137" s="163" t="s">
        <v>531</v>
      </c>
      <c r="E137" s="683" t="e">
        <f>HLOOKUP('Unit Data from Audit Worksheet'!$D$2,'2019 Data(H)'!$D$1:$BB$202,83,FALSE)</f>
        <v>#N/A</v>
      </c>
      <c r="F137" s="560"/>
      <c r="G137" s="552">
        <f t="shared" si="2"/>
        <v>0</v>
      </c>
      <c r="H137" s="14"/>
      <c r="I137" s="31"/>
      <c r="S137" s="682"/>
      <c r="X137" s="682"/>
    </row>
    <row r="138" spans="1:1881" ht="60.75" customHeight="1" x14ac:dyDescent="0.25">
      <c r="A138" s="186">
        <v>364</v>
      </c>
      <c r="B138" s="62" t="s">
        <v>79</v>
      </c>
      <c r="C138" s="157" t="s">
        <v>212</v>
      </c>
      <c r="D138" s="163" t="s">
        <v>546</v>
      </c>
      <c r="E138" s="683" t="e">
        <f>HLOOKUP('Unit Data from Audit Worksheet'!$D$2,'2019 Data(H)'!$D$1:$BB$202,84,FALSE)</f>
        <v>#N/A</v>
      </c>
      <c r="F138" s="560"/>
      <c r="G138" s="552">
        <f t="shared" si="2"/>
        <v>0</v>
      </c>
      <c r="H138" s="14"/>
      <c r="I138" s="31"/>
      <c r="S138" s="682"/>
      <c r="X138" s="682"/>
    </row>
    <row r="139" spans="1:1881" ht="71.25" customHeight="1" x14ac:dyDescent="0.25">
      <c r="A139" s="186">
        <v>192</v>
      </c>
      <c r="B139" s="62" t="s">
        <v>81</v>
      </c>
      <c r="C139" s="157" t="s">
        <v>212</v>
      </c>
      <c r="D139" s="163" t="s">
        <v>215</v>
      </c>
      <c r="E139" s="683" t="e">
        <f>HLOOKUP('Unit Data from Audit Worksheet'!$D$2,'2019 Data(H)'!$D$1:$BB$202,46,FALSE)</f>
        <v>#N/A</v>
      </c>
      <c r="F139" s="560"/>
      <c r="G139" s="552">
        <f t="shared" si="2"/>
        <v>0</v>
      </c>
      <c r="H139" s="14"/>
      <c r="I139" s="31"/>
      <c r="S139" s="682"/>
      <c r="X139" s="682"/>
    </row>
    <row r="140" spans="1:1881" ht="67.5" x14ac:dyDescent="0.25">
      <c r="A140" s="186">
        <v>365</v>
      </c>
      <c r="B140" s="62" t="s">
        <v>89</v>
      </c>
      <c r="C140" s="157" t="s">
        <v>212</v>
      </c>
      <c r="D140" s="163" t="s">
        <v>217</v>
      </c>
      <c r="E140" s="683" t="e">
        <f>HLOOKUP('Unit Data from Audit Worksheet'!$D$2,'2019 Data(H)'!$D$1:$BB$202,85,FALSE)</f>
        <v>#N/A</v>
      </c>
      <c r="F140" s="560"/>
      <c r="G140" s="552">
        <f t="shared" si="2"/>
        <v>0</v>
      </c>
      <c r="H140" s="14"/>
      <c r="I140" s="31"/>
      <c r="S140" s="682"/>
      <c r="X140" s="682"/>
    </row>
    <row r="141" spans="1:1881" ht="67.5" x14ac:dyDescent="0.25">
      <c r="A141" s="186">
        <v>366</v>
      </c>
      <c r="B141" s="62" t="s">
        <v>89</v>
      </c>
      <c r="C141" s="157" t="s">
        <v>212</v>
      </c>
      <c r="D141" s="163" t="s">
        <v>218</v>
      </c>
      <c r="E141" s="683" t="e">
        <f>HLOOKUP('Unit Data from Audit Worksheet'!$D$2,'2019 Data(H)'!$D$1:$BB$202,86,FALSE)</f>
        <v>#N/A</v>
      </c>
      <c r="F141" s="560"/>
      <c r="G141" s="552">
        <f t="shared" si="2"/>
        <v>0</v>
      </c>
      <c r="H141" s="14"/>
      <c r="I141" s="31"/>
      <c r="S141" s="682"/>
      <c r="X141" s="682"/>
    </row>
    <row r="142" spans="1:1881" s="4" customFormat="1" ht="75" customHeight="1" x14ac:dyDescent="0.25">
      <c r="A142" s="186">
        <v>53</v>
      </c>
      <c r="B142" s="148" t="s">
        <v>89</v>
      </c>
      <c r="C142" s="180" t="s">
        <v>212</v>
      </c>
      <c r="D142" s="139" t="s">
        <v>216</v>
      </c>
      <c r="E142" s="683" t="e">
        <f>HLOOKUP('Unit Data from Audit Worksheet'!$D$2,'2019 Data(H)'!$D$1:$BB$202,22,FALSE)</f>
        <v>#N/A</v>
      </c>
      <c r="F142" s="560"/>
      <c r="G142" s="388">
        <f>IF(H142=0,,"Error: Total revenues less total expenses do not equal total change in net position. Account number 93-94+363-364+192+365-366-53=0  The amount of the formula is in the cell to the right")</f>
        <v>0</v>
      </c>
      <c r="H142" s="189">
        <f>+F132-F135+F137-F138+F139+F140-F141-F142</f>
        <v>0</v>
      </c>
      <c r="I142" s="31"/>
      <c r="J142" s="387"/>
      <c r="K142" s="387"/>
      <c r="L142" s="387"/>
      <c r="M142" s="387"/>
      <c r="N142"/>
      <c r="O142" s="387"/>
      <c r="P142" s="387"/>
      <c r="Q142" s="387"/>
      <c r="R142"/>
      <c r="S142" s="682"/>
      <c r="T142" s="387"/>
      <c r="U142" s="387"/>
      <c r="V142" s="387"/>
      <c r="W142" s="387"/>
      <c r="X142" s="682"/>
      <c r="Y142" s="387"/>
      <c r="Z142" s="387"/>
      <c r="AA142" s="387"/>
      <c r="AB142" s="387"/>
      <c r="AC142" s="387"/>
      <c r="AD142" s="387"/>
      <c r="AE142" s="387"/>
      <c r="AF142" s="387"/>
      <c r="AG142" s="387"/>
      <c r="AH142" s="387"/>
      <c r="AI142" s="387"/>
      <c r="AJ142" s="387"/>
      <c r="AK142" s="387"/>
      <c r="AL142" s="387"/>
      <c r="AM142" s="387"/>
      <c r="AN142" s="387"/>
      <c r="AO142" s="387"/>
      <c r="AP142" s="387"/>
      <c r="AQ142" s="387"/>
      <c r="AR142" s="387"/>
      <c r="AS142" s="387"/>
      <c r="AT142" s="387"/>
      <c r="AU142" s="387"/>
      <c r="AV142" s="387"/>
      <c r="AW142" s="387"/>
      <c r="AX142" s="387"/>
      <c r="AY142" s="387"/>
      <c r="AZ142" s="387"/>
      <c r="BA142" s="387"/>
      <c r="BB142" s="387"/>
      <c r="BC142" s="387"/>
      <c r="BD142" s="387"/>
      <c r="BE142" s="387"/>
      <c r="BF142" s="387"/>
      <c r="BG142" s="387"/>
      <c r="BH142" s="387"/>
      <c r="BI142" s="387"/>
      <c r="BJ142" s="387"/>
      <c r="BK142" s="387"/>
      <c r="BL142" s="387"/>
      <c r="BM142" s="387"/>
      <c r="BN142" s="387"/>
      <c r="BO142" s="387"/>
      <c r="BP142" s="387"/>
      <c r="BQ142" s="387"/>
      <c r="BR142" s="387"/>
      <c r="BS142" s="387"/>
      <c r="BT142" s="387"/>
      <c r="BU142" s="387"/>
      <c r="BV142" s="387"/>
      <c r="BW142" s="387"/>
      <c r="BX142" s="387"/>
      <c r="BY142" s="387"/>
      <c r="BZ142" s="387"/>
      <c r="CA142" s="387"/>
      <c r="CB142" s="387"/>
      <c r="CC142" s="387"/>
      <c r="CD142" s="387"/>
      <c r="CE142" s="387"/>
      <c r="CF142" s="387"/>
      <c r="CG142" s="387"/>
      <c r="CH142" s="387"/>
      <c r="CI142" s="387"/>
      <c r="CJ142" s="387"/>
      <c r="CK142" s="387"/>
      <c r="CL142" s="387"/>
      <c r="CM142" s="387"/>
      <c r="CN142" s="387"/>
      <c r="CO142" s="387"/>
      <c r="CP142" s="387"/>
      <c r="CQ142" s="387"/>
      <c r="CR142" s="387"/>
      <c r="CS142" s="387"/>
      <c r="CT142" s="387"/>
      <c r="CU142" s="387"/>
      <c r="CV142" s="387"/>
      <c r="CW142" s="387"/>
      <c r="CX142" s="387"/>
      <c r="CY142" s="387"/>
      <c r="CZ142" s="387"/>
      <c r="DA142" s="387"/>
      <c r="DB142" s="387"/>
      <c r="DC142" s="387"/>
      <c r="DD142" s="387"/>
      <c r="DE142" s="387"/>
      <c r="DF142" s="387"/>
      <c r="DG142" s="387"/>
      <c r="DH142" s="387"/>
      <c r="DI142" s="387"/>
      <c r="DJ142" s="387"/>
      <c r="DK142" s="387"/>
      <c r="DL142" s="387"/>
      <c r="DM142" s="387"/>
      <c r="DN142" s="387"/>
      <c r="DO142" s="387"/>
      <c r="DP142" s="387"/>
      <c r="DQ142" s="387"/>
      <c r="DR142" s="387"/>
      <c r="DS142" s="387"/>
      <c r="DT142" s="387"/>
      <c r="DU142" s="387"/>
      <c r="DV142" s="387"/>
      <c r="DW142" s="387"/>
      <c r="DX142" s="387"/>
      <c r="DY142" s="387"/>
      <c r="DZ142" s="387"/>
      <c r="EA142" s="387"/>
      <c r="EB142" s="387"/>
      <c r="EC142" s="387"/>
      <c r="ED142" s="387"/>
      <c r="EE142" s="387"/>
      <c r="EF142" s="387"/>
      <c r="EG142" s="387"/>
      <c r="EH142" s="387"/>
      <c r="EI142" s="387"/>
      <c r="EJ142" s="387"/>
      <c r="EK142" s="387"/>
      <c r="EL142" s="387"/>
      <c r="EM142" s="387"/>
      <c r="EN142" s="387"/>
      <c r="EO142" s="387"/>
      <c r="EP142" s="387"/>
      <c r="EQ142" s="387"/>
      <c r="ER142" s="387"/>
      <c r="ES142" s="387"/>
      <c r="ET142" s="387"/>
      <c r="EU142" s="387"/>
      <c r="EV142" s="387"/>
      <c r="EW142" s="387"/>
      <c r="EX142" s="387"/>
      <c r="EY142" s="387"/>
      <c r="EZ142" s="387"/>
      <c r="FA142" s="387"/>
      <c r="FB142" s="387"/>
      <c r="FC142" s="387"/>
      <c r="FD142" s="387"/>
      <c r="FE142" s="387"/>
      <c r="FF142" s="387"/>
      <c r="FG142" s="387"/>
      <c r="FH142" s="387"/>
      <c r="FI142" s="387"/>
      <c r="FJ142" s="387"/>
      <c r="FK142" s="387"/>
      <c r="FL142" s="387"/>
      <c r="FM142" s="387"/>
      <c r="FN142" s="387"/>
      <c r="FO142" s="387"/>
      <c r="FP142" s="387"/>
      <c r="FQ142" s="387"/>
      <c r="FR142" s="387"/>
      <c r="FS142" s="387"/>
      <c r="FT142" s="387"/>
      <c r="FU142" s="387"/>
      <c r="FV142" s="387"/>
      <c r="FW142" s="387"/>
      <c r="FX142" s="387"/>
      <c r="FY142" s="387"/>
      <c r="FZ142" s="387"/>
      <c r="GA142" s="387"/>
      <c r="GB142" s="387"/>
      <c r="GC142" s="387"/>
      <c r="GD142" s="387"/>
      <c r="GE142" s="387"/>
      <c r="GF142" s="387"/>
      <c r="GG142" s="387"/>
      <c r="GH142" s="387"/>
      <c r="GI142" s="387"/>
      <c r="GJ142" s="387"/>
      <c r="GK142" s="387"/>
      <c r="GL142" s="387"/>
      <c r="GM142" s="387"/>
      <c r="GN142" s="387"/>
      <c r="GO142" s="387"/>
      <c r="GP142" s="387"/>
      <c r="GQ142" s="387"/>
      <c r="GR142" s="387"/>
      <c r="GS142" s="387"/>
      <c r="GT142" s="387"/>
      <c r="GU142" s="387"/>
      <c r="GV142" s="387"/>
      <c r="GW142" s="387"/>
      <c r="GX142" s="387"/>
      <c r="GY142" s="387"/>
      <c r="GZ142" s="387"/>
      <c r="HA142" s="387"/>
      <c r="HB142" s="387"/>
      <c r="HC142" s="387"/>
      <c r="HD142" s="387"/>
      <c r="HE142" s="387"/>
      <c r="HF142" s="387"/>
      <c r="HG142" s="387"/>
      <c r="HH142" s="387"/>
      <c r="HI142" s="387"/>
      <c r="HJ142" s="387"/>
      <c r="HK142" s="387"/>
      <c r="HL142" s="387"/>
      <c r="HM142" s="387"/>
      <c r="HN142" s="387"/>
      <c r="HO142" s="387"/>
      <c r="HP142" s="387"/>
      <c r="HQ142" s="387"/>
      <c r="HR142" s="387"/>
      <c r="HS142" s="387"/>
      <c r="HT142" s="387"/>
      <c r="HU142" s="387"/>
      <c r="HV142" s="387"/>
      <c r="HW142" s="387"/>
      <c r="HX142" s="387"/>
      <c r="HY142" s="387"/>
      <c r="HZ142" s="387"/>
      <c r="IA142" s="387"/>
      <c r="IB142" s="387"/>
      <c r="IC142" s="387"/>
      <c r="ID142" s="387"/>
      <c r="IE142" s="387"/>
      <c r="IF142" s="387"/>
      <c r="IG142" s="387"/>
      <c r="IH142" s="387"/>
      <c r="II142" s="387"/>
      <c r="IJ142" s="387"/>
      <c r="IK142" s="387"/>
      <c r="IL142" s="387"/>
      <c r="IM142" s="387"/>
      <c r="IN142" s="387"/>
      <c r="IO142" s="387"/>
      <c r="IP142" s="387"/>
      <c r="IQ142" s="387"/>
      <c r="IR142" s="387"/>
      <c r="IS142" s="387"/>
      <c r="IT142" s="387"/>
      <c r="IU142" s="387"/>
      <c r="IV142" s="387"/>
      <c r="IW142" s="387"/>
      <c r="IX142" s="387"/>
      <c r="IY142" s="387"/>
      <c r="IZ142" s="387"/>
      <c r="JA142" s="387"/>
      <c r="JB142" s="387"/>
      <c r="JC142" s="387"/>
      <c r="JD142" s="387"/>
      <c r="JE142" s="387"/>
      <c r="JF142" s="387"/>
      <c r="JG142" s="387"/>
      <c r="JH142" s="387"/>
      <c r="JI142" s="387"/>
      <c r="JJ142" s="387"/>
      <c r="JK142" s="387"/>
      <c r="JL142" s="387"/>
      <c r="JM142" s="387"/>
      <c r="JN142" s="387"/>
      <c r="JO142" s="387"/>
      <c r="JP142" s="387"/>
      <c r="JQ142" s="387"/>
      <c r="JR142" s="387"/>
      <c r="JS142" s="387"/>
      <c r="JT142" s="387"/>
      <c r="JU142" s="387"/>
      <c r="JV142" s="387"/>
      <c r="JW142" s="387"/>
      <c r="JX142" s="387"/>
      <c r="JY142" s="387"/>
      <c r="JZ142" s="387"/>
      <c r="KA142" s="387"/>
      <c r="KB142" s="387"/>
      <c r="KC142" s="387"/>
      <c r="KD142" s="387"/>
      <c r="KE142" s="387"/>
      <c r="KF142" s="387"/>
      <c r="KG142" s="387"/>
      <c r="KH142" s="387"/>
      <c r="KI142" s="387"/>
      <c r="KJ142" s="387"/>
      <c r="KK142" s="387"/>
      <c r="KL142" s="387"/>
      <c r="KM142" s="387"/>
      <c r="KN142" s="387"/>
      <c r="KO142" s="387"/>
      <c r="KP142" s="387"/>
      <c r="KQ142" s="387"/>
      <c r="KR142" s="387"/>
      <c r="KS142" s="387"/>
      <c r="KT142" s="387"/>
      <c r="KU142" s="387"/>
      <c r="KV142" s="387"/>
      <c r="KW142" s="387"/>
      <c r="KX142" s="387"/>
      <c r="KY142" s="387"/>
      <c r="KZ142" s="387"/>
      <c r="LA142" s="387"/>
      <c r="LB142" s="387"/>
      <c r="LC142" s="387"/>
      <c r="LD142" s="387"/>
      <c r="LE142" s="387"/>
      <c r="LF142" s="387"/>
      <c r="LG142" s="387"/>
      <c r="LH142" s="387"/>
      <c r="LI142" s="387"/>
      <c r="LJ142" s="387"/>
      <c r="LK142" s="387"/>
      <c r="LL142" s="387"/>
      <c r="LM142" s="387"/>
      <c r="LN142" s="387"/>
      <c r="LO142" s="387"/>
      <c r="LP142" s="387"/>
      <c r="LQ142" s="387"/>
      <c r="LR142" s="387"/>
      <c r="LS142" s="387"/>
      <c r="LT142" s="387"/>
      <c r="LU142" s="387"/>
      <c r="LV142" s="387"/>
      <c r="LW142" s="387"/>
      <c r="LX142" s="387"/>
      <c r="LY142" s="387"/>
      <c r="LZ142" s="387"/>
      <c r="MA142" s="387"/>
      <c r="MB142" s="387"/>
      <c r="MC142" s="387"/>
      <c r="MD142" s="387"/>
      <c r="ME142" s="387"/>
      <c r="MF142" s="387"/>
      <c r="MG142" s="387"/>
      <c r="MH142" s="387"/>
      <c r="MI142" s="387"/>
      <c r="MJ142" s="387"/>
      <c r="MK142" s="387"/>
      <c r="ML142" s="387"/>
      <c r="MM142" s="387"/>
      <c r="MN142" s="387"/>
      <c r="MO142" s="387"/>
      <c r="MP142" s="387"/>
      <c r="MQ142" s="387"/>
      <c r="MR142" s="387"/>
      <c r="MS142" s="387"/>
      <c r="MT142" s="387"/>
      <c r="MU142" s="387"/>
      <c r="MV142" s="387"/>
      <c r="MW142" s="387"/>
      <c r="MX142" s="387"/>
      <c r="MY142" s="387"/>
      <c r="MZ142" s="387"/>
      <c r="NA142" s="387"/>
      <c r="NB142" s="387"/>
      <c r="NC142" s="387"/>
      <c r="ND142" s="387"/>
      <c r="NE142" s="387"/>
      <c r="NF142" s="387"/>
      <c r="NG142" s="387"/>
      <c r="NH142" s="387"/>
      <c r="NI142" s="387"/>
      <c r="NJ142" s="387"/>
      <c r="NK142" s="387"/>
      <c r="NL142" s="387"/>
      <c r="NM142" s="387"/>
      <c r="NN142" s="387"/>
      <c r="NO142" s="387"/>
      <c r="NP142" s="387"/>
      <c r="NQ142" s="387"/>
      <c r="NR142" s="387"/>
      <c r="NS142" s="387"/>
      <c r="NT142" s="387"/>
      <c r="NU142" s="387"/>
      <c r="NV142" s="387"/>
      <c r="NW142" s="387"/>
      <c r="NX142" s="387"/>
      <c r="NY142" s="387"/>
      <c r="NZ142" s="387"/>
      <c r="OA142" s="387"/>
      <c r="OB142" s="387"/>
      <c r="OC142" s="387"/>
      <c r="OD142" s="387"/>
      <c r="OE142" s="387"/>
      <c r="OF142" s="387"/>
      <c r="OG142" s="387"/>
      <c r="OH142" s="387"/>
      <c r="OI142" s="387"/>
      <c r="OJ142" s="387"/>
      <c r="OK142" s="387"/>
      <c r="OL142" s="387"/>
      <c r="OM142" s="387"/>
      <c r="ON142" s="387"/>
      <c r="OO142" s="387"/>
      <c r="OP142" s="387"/>
      <c r="OQ142" s="387"/>
      <c r="OR142" s="387"/>
      <c r="OS142" s="387"/>
      <c r="OT142" s="387"/>
      <c r="OU142" s="387"/>
      <c r="OV142" s="387"/>
      <c r="OW142" s="387"/>
      <c r="OX142" s="387"/>
      <c r="OY142" s="387"/>
      <c r="OZ142" s="387"/>
      <c r="PA142" s="387"/>
      <c r="PB142" s="387"/>
      <c r="PC142" s="387"/>
      <c r="PD142" s="387"/>
      <c r="PE142" s="387"/>
      <c r="PF142" s="387"/>
      <c r="PG142" s="387"/>
      <c r="PH142" s="387"/>
      <c r="PI142" s="387"/>
      <c r="PJ142" s="387"/>
      <c r="PK142" s="387"/>
      <c r="PL142" s="387"/>
      <c r="PM142" s="387"/>
      <c r="PN142" s="387"/>
      <c r="PO142" s="387"/>
      <c r="PP142" s="387"/>
      <c r="PQ142" s="387"/>
      <c r="PR142" s="387"/>
      <c r="PS142" s="387"/>
      <c r="PT142" s="387"/>
      <c r="PU142" s="387"/>
      <c r="PV142" s="387"/>
      <c r="PW142" s="387"/>
      <c r="PX142" s="387"/>
      <c r="PY142" s="387"/>
      <c r="PZ142" s="387"/>
      <c r="QA142" s="387"/>
      <c r="QB142" s="387"/>
      <c r="QC142" s="387"/>
      <c r="QD142" s="387"/>
      <c r="QE142" s="387"/>
      <c r="QF142" s="387"/>
      <c r="QG142" s="387"/>
      <c r="QH142" s="387"/>
      <c r="QI142" s="387"/>
      <c r="QJ142" s="387"/>
      <c r="QK142" s="387"/>
      <c r="QL142" s="387"/>
      <c r="QM142" s="387"/>
      <c r="QN142" s="387"/>
      <c r="QO142" s="387"/>
      <c r="QP142" s="387"/>
      <c r="QQ142" s="387"/>
      <c r="QR142" s="387"/>
      <c r="QS142" s="387"/>
      <c r="QT142" s="387"/>
      <c r="QU142" s="387"/>
      <c r="QV142" s="387"/>
      <c r="QW142" s="387"/>
      <c r="QX142" s="387"/>
      <c r="QY142" s="387"/>
      <c r="QZ142" s="387"/>
      <c r="RA142" s="387"/>
      <c r="RB142" s="387"/>
      <c r="RC142" s="387"/>
      <c r="RD142" s="387"/>
      <c r="RE142" s="387"/>
      <c r="RF142" s="387"/>
      <c r="RG142" s="387"/>
      <c r="RH142" s="387"/>
      <c r="RI142" s="387"/>
      <c r="RJ142" s="387"/>
      <c r="RK142" s="387"/>
      <c r="RL142" s="387"/>
      <c r="RM142" s="387"/>
      <c r="RN142" s="387"/>
      <c r="RO142" s="387"/>
      <c r="RP142" s="387"/>
      <c r="RQ142" s="387"/>
      <c r="RR142" s="387"/>
      <c r="RS142" s="387"/>
      <c r="RT142" s="387"/>
      <c r="RU142" s="387"/>
      <c r="RV142" s="387"/>
      <c r="RW142" s="387"/>
      <c r="RX142" s="387"/>
      <c r="RY142" s="387"/>
      <c r="RZ142" s="387"/>
      <c r="SA142" s="387"/>
      <c r="SB142" s="387"/>
      <c r="SC142" s="387"/>
      <c r="SD142" s="387"/>
      <c r="SE142" s="387"/>
      <c r="SF142" s="387"/>
      <c r="SG142" s="387"/>
      <c r="SH142" s="387"/>
      <c r="SI142" s="387"/>
      <c r="SJ142" s="387"/>
      <c r="SK142" s="387"/>
      <c r="SL142" s="387"/>
      <c r="SM142" s="387"/>
      <c r="SN142" s="387"/>
      <c r="SO142" s="387"/>
      <c r="SP142" s="387"/>
      <c r="SQ142" s="387"/>
      <c r="SR142" s="387"/>
      <c r="SS142" s="387"/>
      <c r="ST142" s="387"/>
      <c r="SU142" s="387"/>
      <c r="SV142" s="387"/>
      <c r="SW142" s="387"/>
      <c r="SX142" s="387"/>
      <c r="SY142" s="387"/>
      <c r="SZ142" s="387"/>
      <c r="TA142" s="387"/>
      <c r="TB142" s="387"/>
      <c r="TC142" s="387"/>
      <c r="TD142" s="387"/>
      <c r="TE142" s="387"/>
      <c r="TF142" s="387"/>
      <c r="TG142" s="387"/>
      <c r="TH142" s="387"/>
      <c r="TI142" s="387"/>
      <c r="TJ142" s="387"/>
      <c r="TK142" s="387"/>
      <c r="TL142" s="387"/>
      <c r="TM142" s="387"/>
      <c r="TN142" s="387"/>
      <c r="TO142" s="387"/>
      <c r="TP142" s="387"/>
      <c r="TQ142" s="387"/>
      <c r="TR142" s="387"/>
      <c r="TS142" s="387"/>
      <c r="TT142" s="387"/>
      <c r="TU142" s="387"/>
      <c r="TV142" s="387"/>
      <c r="TW142" s="387"/>
      <c r="TX142" s="387"/>
      <c r="TY142" s="387"/>
      <c r="TZ142" s="387"/>
      <c r="UA142" s="387"/>
      <c r="UB142" s="387"/>
      <c r="UC142" s="387"/>
      <c r="UD142" s="387"/>
      <c r="UE142" s="387"/>
      <c r="UF142" s="387"/>
      <c r="UG142" s="387"/>
      <c r="UH142" s="387"/>
      <c r="UI142" s="387"/>
      <c r="UJ142" s="387"/>
      <c r="UK142" s="387"/>
      <c r="UL142" s="387"/>
      <c r="UM142" s="387"/>
      <c r="UN142" s="387"/>
      <c r="UO142" s="387"/>
      <c r="UP142" s="387"/>
      <c r="UQ142" s="387"/>
      <c r="UR142" s="387"/>
      <c r="US142" s="387"/>
      <c r="UT142" s="387"/>
      <c r="UU142" s="387"/>
      <c r="UV142" s="387"/>
      <c r="UW142" s="387"/>
      <c r="UX142" s="387"/>
      <c r="UY142" s="387"/>
      <c r="UZ142" s="387"/>
      <c r="VA142" s="387"/>
      <c r="VB142" s="387"/>
      <c r="VC142" s="387"/>
      <c r="VD142" s="387"/>
      <c r="VE142" s="387"/>
      <c r="VF142" s="387"/>
      <c r="VG142" s="387"/>
      <c r="VH142" s="387"/>
      <c r="VI142" s="387"/>
      <c r="VJ142" s="387"/>
      <c r="VK142" s="387"/>
      <c r="VL142" s="387"/>
      <c r="VM142" s="387"/>
      <c r="VN142" s="387"/>
      <c r="VO142" s="387"/>
      <c r="VP142" s="387"/>
      <c r="VQ142" s="387"/>
      <c r="VR142" s="387"/>
      <c r="VS142" s="387"/>
      <c r="VT142" s="387"/>
      <c r="VU142" s="387"/>
      <c r="VV142" s="387"/>
      <c r="VW142" s="387"/>
      <c r="VX142" s="387"/>
      <c r="VY142" s="387"/>
      <c r="VZ142" s="387"/>
      <c r="WA142" s="387"/>
      <c r="WB142" s="387"/>
      <c r="WC142" s="387"/>
      <c r="WD142" s="387"/>
      <c r="WE142" s="387"/>
      <c r="WF142" s="387"/>
      <c r="WG142" s="387"/>
      <c r="WH142" s="387"/>
      <c r="WI142" s="387"/>
      <c r="WJ142" s="387"/>
      <c r="WK142" s="387"/>
      <c r="WL142" s="387"/>
      <c r="WM142" s="387"/>
      <c r="WN142" s="387"/>
      <c r="WO142" s="387"/>
      <c r="WP142" s="387"/>
      <c r="WQ142" s="387"/>
      <c r="WR142" s="387"/>
      <c r="WS142" s="387"/>
      <c r="WT142" s="387"/>
      <c r="WU142" s="387"/>
      <c r="WV142" s="387"/>
      <c r="WW142" s="387"/>
      <c r="WX142" s="387"/>
      <c r="WY142" s="387"/>
      <c r="WZ142" s="387"/>
      <c r="XA142" s="387"/>
      <c r="XB142" s="387"/>
      <c r="XC142" s="387"/>
      <c r="XD142" s="387"/>
      <c r="XE142" s="387"/>
      <c r="XF142" s="387"/>
      <c r="XG142" s="387"/>
      <c r="XH142" s="387"/>
      <c r="XI142" s="387"/>
      <c r="XJ142" s="387"/>
      <c r="XK142" s="387"/>
      <c r="XL142" s="387"/>
      <c r="XM142" s="387"/>
      <c r="XN142" s="387"/>
      <c r="XO142" s="387"/>
      <c r="XP142" s="387"/>
      <c r="XQ142" s="387"/>
      <c r="XR142" s="387"/>
      <c r="XS142" s="387"/>
      <c r="XT142" s="387"/>
      <c r="XU142" s="387"/>
      <c r="XV142" s="387"/>
      <c r="XW142" s="387"/>
      <c r="XX142" s="387"/>
      <c r="XY142" s="387"/>
      <c r="XZ142" s="387"/>
      <c r="YA142" s="387"/>
      <c r="YB142" s="387"/>
      <c r="YC142" s="387"/>
      <c r="YD142" s="387"/>
      <c r="YE142" s="387"/>
      <c r="YF142" s="387"/>
      <c r="YG142" s="387"/>
      <c r="YH142" s="387"/>
      <c r="YI142" s="387"/>
      <c r="YJ142" s="387"/>
      <c r="YK142" s="387"/>
      <c r="YL142" s="387"/>
      <c r="YM142" s="387"/>
      <c r="YN142" s="387"/>
      <c r="YO142" s="387"/>
      <c r="YP142" s="387"/>
      <c r="YQ142" s="387"/>
      <c r="YR142" s="387"/>
      <c r="YS142" s="387"/>
      <c r="YT142" s="387"/>
      <c r="YU142" s="387"/>
      <c r="YV142" s="387"/>
      <c r="YW142" s="387"/>
      <c r="YX142" s="387"/>
      <c r="YY142" s="387"/>
      <c r="YZ142" s="387"/>
      <c r="ZA142" s="387"/>
      <c r="ZB142" s="387"/>
      <c r="ZC142" s="387"/>
      <c r="ZD142" s="387"/>
      <c r="ZE142" s="387"/>
      <c r="ZF142" s="387"/>
      <c r="ZG142" s="387"/>
      <c r="ZH142" s="387"/>
      <c r="ZI142" s="387"/>
      <c r="ZJ142" s="387"/>
      <c r="ZK142" s="387"/>
      <c r="ZL142" s="387"/>
      <c r="ZM142" s="387"/>
      <c r="ZN142" s="387"/>
      <c r="ZO142" s="387"/>
      <c r="ZP142" s="387"/>
      <c r="ZQ142" s="387"/>
      <c r="ZR142" s="387"/>
      <c r="ZS142" s="387"/>
      <c r="ZT142" s="387"/>
      <c r="ZU142" s="387"/>
      <c r="ZV142" s="387"/>
      <c r="ZW142" s="387"/>
      <c r="ZX142" s="387"/>
      <c r="ZY142" s="387"/>
      <c r="ZZ142" s="387"/>
      <c r="AAA142" s="387"/>
      <c r="AAB142" s="387"/>
      <c r="AAC142" s="387"/>
      <c r="AAD142" s="387"/>
      <c r="AAE142" s="387"/>
      <c r="AAF142" s="387"/>
      <c r="AAG142" s="387"/>
      <c r="AAH142" s="387"/>
      <c r="AAI142" s="387"/>
      <c r="AAJ142" s="387"/>
      <c r="AAK142" s="387"/>
      <c r="AAL142" s="387"/>
      <c r="AAM142" s="387"/>
      <c r="AAN142" s="387"/>
      <c r="AAO142" s="387"/>
      <c r="AAP142" s="387"/>
      <c r="AAQ142" s="387"/>
      <c r="AAR142" s="387"/>
      <c r="AAS142" s="387"/>
      <c r="AAT142" s="387"/>
      <c r="AAU142" s="387"/>
      <c r="AAV142" s="387"/>
      <c r="AAW142" s="387"/>
      <c r="AAX142" s="387"/>
      <c r="AAY142" s="387"/>
      <c r="AAZ142" s="387"/>
      <c r="ABA142" s="387"/>
      <c r="ABB142" s="387"/>
      <c r="ABC142" s="387"/>
      <c r="ABD142" s="387"/>
      <c r="ABE142" s="387"/>
      <c r="ABF142" s="387"/>
      <c r="ABG142" s="387"/>
      <c r="ABH142" s="387"/>
      <c r="ABI142" s="387"/>
      <c r="ABJ142" s="387"/>
      <c r="ABK142" s="387"/>
      <c r="ABL142" s="387"/>
      <c r="ABM142" s="387"/>
      <c r="ABN142" s="387"/>
      <c r="ABO142" s="387"/>
      <c r="ABP142" s="387"/>
      <c r="ABQ142" s="387"/>
      <c r="ABR142" s="387"/>
      <c r="ABS142" s="387"/>
      <c r="ABT142" s="387"/>
      <c r="ABU142" s="387"/>
      <c r="ABV142" s="387"/>
      <c r="ABW142" s="387"/>
      <c r="ABX142" s="387"/>
      <c r="ABY142" s="387"/>
      <c r="ABZ142" s="387"/>
      <c r="ACA142" s="387"/>
      <c r="ACB142" s="387"/>
      <c r="ACC142" s="387"/>
      <c r="ACD142" s="387"/>
      <c r="ACE142" s="387"/>
      <c r="ACF142" s="387"/>
      <c r="ACG142" s="387"/>
      <c r="ACH142" s="387"/>
      <c r="ACI142" s="387"/>
      <c r="ACJ142" s="387"/>
      <c r="ACK142" s="387"/>
      <c r="ACL142" s="387"/>
      <c r="ACM142" s="387"/>
      <c r="ACN142" s="387"/>
      <c r="ACO142" s="387"/>
      <c r="ACP142" s="387"/>
      <c r="ACQ142" s="387"/>
      <c r="ACR142" s="387"/>
      <c r="ACS142" s="387"/>
      <c r="ACT142" s="387"/>
      <c r="ACU142" s="387"/>
      <c r="ACV142" s="387"/>
      <c r="ACW142" s="387"/>
      <c r="ACX142" s="387"/>
      <c r="ACY142" s="387"/>
      <c r="ACZ142" s="387"/>
      <c r="ADA142" s="387"/>
      <c r="ADB142" s="387"/>
      <c r="ADC142" s="387"/>
      <c r="ADD142" s="387"/>
      <c r="ADE142" s="387"/>
      <c r="ADF142" s="387"/>
      <c r="ADG142" s="387"/>
      <c r="ADH142" s="387"/>
      <c r="ADI142" s="387"/>
      <c r="ADJ142" s="387"/>
      <c r="ADK142" s="387"/>
      <c r="ADL142" s="387"/>
      <c r="ADM142" s="387"/>
      <c r="ADN142" s="387"/>
      <c r="ADO142" s="387"/>
      <c r="ADP142" s="387"/>
      <c r="ADQ142" s="387"/>
      <c r="ADR142" s="387"/>
      <c r="ADS142" s="387"/>
      <c r="ADT142" s="387"/>
      <c r="ADU142" s="387"/>
      <c r="ADV142" s="387"/>
      <c r="ADW142" s="387"/>
      <c r="ADX142" s="387"/>
      <c r="ADY142" s="387"/>
      <c r="ADZ142" s="387"/>
      <c r="AEA142" s="387"/>
      <c r="AEB142" s="387"/>
      <c r="AEC142" s="387"/>
      <c r="AED142" s="387"/>
      <c r="AEE142" s="387"/>
      <c r="AEF142" s="387"/>
      <c r="AEG142" s="387"/>
      <c r="AEH142" s="387"/>
      <c r="AEI142" s="387"/>
      <c r="AEJ142" s="387"/>
      <c r="AEK142" s="387"/>
      <c r="AEL142" s="387"/>
      <c r="AEM142" s="387"/>
      <c r="AEN142" s="387"/>
      <c r="AEO142" s="387"/>
      <c r="AEP142" s="387"/>
      <c r="AEQ142" s="387"/>
      <c r="AER142" s="387"/>
      <c r="AES142" s="387"/>
      <c r="AET142" s="387"/>
      <c r="AEU142" s="387"/>
      <c r="AEV142" s="387"/>
      <c r="AEW142" s="387"/>
      <c r="AEX142" s="387"/>
      <c r="AEY142" s="387"/>
      <c r="AEZ142" s="387"/>
      <c r="AFA142" s="387"/>
      <c r="AFB142" s="387"/>
      <c r="AFC142" s="387"/>
      <c r="AFD142" s="387"/>
      <c r="AFE142" s="387"/>
      <c r="AFF142" s="387"/>
      <c r="AFG142" s="387"/>
      <c r="AFH142" s="387"/>
      <c r="AFI142" s="387"/>
      <c r="AFJ142" s="387"/>
      <c r="AFK142" s="387"/>
      <c r="AFL142" s="387"/>
      <c r="AFM142" s="387"/>
      <c r="AFN142" s="387"/>
      <c r="AFO142" s="387"/>
      <c r="AFP142" s="387"/>
      <c r="AFQ142" s="387"/>
      <c r="AFR142" s="387"/>
      <c r="AFS142" s="387"/>
      <c r="AFT142" s="387"/>
      <c r="AFU142" s="387"/>
      <c r="AFV142" s="387"/>
      <c r="AFW142" s="387"/>
      <c r="AFX142" s="387"/>
      <c r="AFY142" s="387"/>
      <c r="AFZ142" s="387"/>
      <c r="AGA142" s="387"/>
      <c r="AGB142" s="387"/>
      <c r="AGC142" s="387"/>
      <c r="AGD142" s="387"/>
      <c r="AGE142" s="387"/>
      <c r="AGF142" s="387"/>
      <c r="AGG142" s="387"/>
      <c r="AGH142" s="387"/>
      <c r="AGI142" s="387"/>
      <c r="AGJ142" s="387"/>
      <c r="AGK142" s="387"/>
      <c r="AGL142" s="387"/>
      <c r="AGM142" s="387"/>
      <c r="AGN142" s="387"/>
      <c r="AGO142" s="387"/>
      <c r="AGP142" s="387"/>
      <c r="AGQ142" s="387"/>
      <c r="AGR142" s="387"/>
      <c r="AGS142" s="387"/>
      <c r="AGT142" s="387"/>
      <c r="AGU142" s="387"/>
      <c r="AGV142" s="387"/>
      <c r="AGW142" s="387"/>
      <c r="AGX142" s="387"/>
      <c r="AGY142" s="387"/>
      <c r="AGZ142" s="387"/>
      <c r="AHA142" s="387"/>
      <c r="AHB142" s="387"/>
      <c r="AHC142" s="387"/>
      <c r="AHD142" s="387"/>
      <c r="AHE142" s="387"/>
      <c r="AHF142" s="387"/>
      <c r="AHG142" s="387"/>
      <c r="AHH142" s="387"/>
      <c r="AHI142" s="387"/>
      <c r="AHJ142" s="387"/>
      <c r="AHK142" s="387"/>
      <c r="AHL142" s="387"/>
      <c r="AHM142" s="387"/>
      <c r="AHN142" s="387"/>
      <c r="AHO142" s="387"/>
      <c r="AHP142" s="387"/>
      <c r="AHQ142" s="387"/>
      <c r="AHR142" s="387"/>
      <c r="AHS142" s="387"/>
      <c r="AHT142" s="387"/>
      <c r="AHU142" s="387"/>
      <c r="AHV142" s="387"/>
      <c r="AHW142" s="387"/>
      <c r="AHX142" s="387"/>
      <c r="AHY142" s="387"/>
      <c r="AHZ142" s="387"/>
      <c r="AIA142" s="387"/>
      <c r="AIB142" s="387"/>
      <c r="AIC142" s="387"/>
      <c r="AID142" s="387"/>
      <c r="AIE142" s="387"/>
      <c r="AIF142" s="387"/>
      <c r="AIG142" s="387"/>
      <c r="AIH142" s="387"/>
      <c r="AII142" s="387"/>
      <c r="AIJ142" s="387"/>
      <c r="AIK142" s="387"/>
      <c r="AIL142" s="387"/>
      <c r="AIM142" s="387"/>
      <c r="AIN142" s="387"/>
      <c r="AIO142" s="387"/>
      <c r="AIP142" s="387"/>
      <c r="AIQ142" s="387"/>
      <c r="AIR142" s="387"/>
      <c r="AIS142" s="387"/>
      <c r="AIT142" s="387"/>
      <c r="AIU142" s="387"/>
      <c r="AIV142" s="387"/>
      <c r="AIW142" s="387"/>
      <c r="AIX142" s="387"/>
      <c r="AIY142" s="387"/>
      <c r="AIZ142" s="387"/>
      <c r="AJA142" s="387"/>
      <c r="AJB142" s="387"/>
      <c r="AJC142" s="387"/>
      <c r="AJD142" s="387"/>
      <c r="AJE142" s="387"/>
      <c r="AJF142" s="387"/>
      <c r="AJG142" s="387"/>
      <c r="AJH142" s="387"/>
      <c r="AJI142" s="387"/>
      <c r="AJJ142" s="387"/>
      <c r="AJK142" s="387"/>
      <c r="AJL142" s="387"/>
      <c r="AJM142" s="387"/>
      <c r="AJN142" s="387"/>
      <c r="AJO142" s="387"/>
      <c r="AJP142" s="387"/>
      <c r="AJQ142" s="387"/>
      <c r="AJR142" s="387"/>
      <c r="AJS142" s="387"/>
      <c r="AJT142" s="387"/>
      <c r="AJU142" s="387"/>
      <c r="AJV142" s="387"/>
      <c r="AJW142" s="387"/>
      <c r="AJX142" s="387"/>
      <c r="AJY142" s="387"/>
      <c r="AJZ142" s="387"/>
      <c r="AKA142" s="387"/>
      <c r="AKB142" s="387"/>
      <c r="AKC142" s="387"/>
      <c r="AKD142" s="387"/>
      <c r="AKE142" s="387"/>
      <c r="AKF142" s="387"/>
      <c r="AKG142" s="387"/>
      <c r="AKH142" s="387"/>
      <c r="AKI142" s="387"/>
      <c r="AKJ142" s="387"/>
      <c r="AKK142" s="387"/>
      <c r="AKL142" s="387"/>
      <c r="AKM142" s="387"/>
      <c r="AKN142" s="387"/>
      <c r="AKO142" s="387"/>
      <c r="AKP142" s="387"/>
      <c r="AKQ142" s="387"/>
      <c r="AKR142" s="387"/>
      <c r="AKS142" s="387"/>
      <c r="AKT142" s="387"/>
      <c r="AKU142" s="387"/>
      <c r="AKV142" s="387"/>
      <c r="AKW142" s="387"/>
      <c r="AKX142" s="387"/>
      <c r="AKY142" s="387"/>
      <c r="AKZ142" s="387"/>
      <c r="ALA142" s="387"/>
      <c r="ALB142" s="387"/>
      <c r="ALC142" s="387"/>
      <c r="ALD142" s="387"/>
      <c r="ALE142" s="387"/>
      <c r="ALF142" s="387"/>
      <c r="ALG142" s="387"/>
      <c r="ALH142" s="387"/>
      <c r="ALI142" s="387"/>
      <c r="ALJ142" s="387"/>
      <c r="ALK142" s="387"/>
      <c r="ALL142" s="387"/>
      <c r="ALM142" s="387"/>
      <c r="ALN142" s="387"/>
      <c r="ALO142" s="387"/>
      <c r="ALP142" s="387"/>
      <c r="ALQ142" s="387"/>
      <c r="ALR142" s="387"/>
      <c r="ALS142" s="387"/>
      <c r="ALT142" s="387"/>
      <c r="ALU142" s="387"/>
      <c r="ALV142" s="387"/>
      <c r="ALW142" s="387"/>
      <c r="ALX142" s="387"/>
      <c r="ALY142" s="387"/>
      <c r="ALZ142" s="387"/>
      <c r="AMA142" s="387"/>
      <c r="AMB142" s="387"/>
      <c r="AMC142" s="387"/>
      <c r="AMD142" s="387"/>
      <c r="AME142" s="387"/>
      <c r="AMF142" s="387"/>
      <c r="AMG142" s="387"/>
      <c r="AMH142" s="387"/>
      <c r="AMI142" s="387"/>
      <c r="AMJ142" s="387"/>
      <c r="AMK142" s="387"/>
      <c r="AML142" s="387"/>
      <c r="AMM142" s="387"/>
      <c r="AMN142" s="387"/>
      <c r="AMO142" s="387"/>
      <c r="AMP142" s="387"/>
      <c r="AMQ142" s="387"/>
      <c r="AMR142" s="387"/>
      <c r="AMS142" s="387"/>
      <c r="AMT142" s="387"/>
      <c r="AMU142" s="387"/>
      <c r="AMV142" s="387"/>
      <c r="AMW142" s="387"/>
      <c r="AMX142" s="387"/>
      <c r="AMY142" s="387"/>
      <c r="AMZ142" s="387"/>
      <c r="ANA142" s="387"/>
      <c r="ANB142" s="387"/>
      <c r="ANC142" s="387"/>
      <c r="AND142" s="387"/>
      <c r="ANE142" s="387"/>
      <c r="ANF142" s="387"/>
      <c r="ANG142" s="387"/>
      <c r="ANH142" s="387"/>
      <c r="ANI142" s="387"/>
      <c r="ANJ142" s="387"/>
      <c r="ANK142" s="387"/>
      <c r="ANL142" s="387"/>
      <c r="ANM142" s="387"/>
      <c r="ANN142" s="387"/>
      <c r="ANO142" s="387"/>
      <c r="ANP142" s="387"/>
      <c r="ANQ142" s="387"/>
      <c r="ANR142" s="387"/>
      <c r="ANS142" s="387"/>
      <c r="ANT142" s="387"/>
      <c r="ANU142" s="387"/>
      <c r="ANV142" s="387"/>
      <c r="ANW142" s="387"/>
      <c r="ANX142" s="387"/>
      <c r="ANY142" s="387"/>
      <c r="ANZ142" s="387"/>
      <c r="AOA142" s="387"/>
      <c r="AOB142" s="387"/>
      <c r="AOC142" s="387"/>
      <c r="AOD142" s="387"/>
      <c r="AOE142" s="387"/>
      <c r="AOF142" s="387"/>
      <c r="AOG142" s="387"/>
      <c r="AOH142" s="387"/>
      <c r="AOI142" s="387"/>
      <c r="AOJ142" s="387"/>
      <c r="AOK142" s="387"/>
      <c r="AOL142" s="387"/>
      <c r="AOM142" s="387"/>
      <c r="AON142" s="387"/>
      <c r="AOO142" s="387"/>
      <c r="AOP142" s="387"/>
      <c r="AOQ142" s="387"/>
      <c r="AOR142" s="387"/>
      <c r="AOS142" s="387"/>
      <c r="AOT142" s="387"/>
      <c r="AOU142" s="387"/>
      <c r="AOV142" s="387"/>
      <c r="AOW142" s="387"/>
      <c r="AOX142" s="387"/>
      <c r="AOY142" s="387"/>
      <c r="AOZ142" s="387"/>
      <c r="APA142" s="387"/>
      <c r="APB142" s="387"/>
      <c r="APC142" s="387"/>
      <c r="APD142" s="387"/>
      <c r="APE142" s="387"/>
      <c r="APF142" s="387"/>
      <c r="APG142" s="387"/>
      <c r="APH142" s="387"/>
      <c r="API142" s="387"/>
      <c r="APJ142" s="387"/>
      <c r="APK142" s="387"/>
      <c r="APL142" s="387"/>
      <c r="APM142" s="387"/>
      <c r="APN142" s="387"/>
      <c r="APO142" s="387"/>
      <c r="APP142" s="387"/>
      <c r="APQ142" s="387"/>
      <c r="APR142" s="387"/>
      <c r="APS142" s="387"/>
      <c r="APT142" s="387"/>
      <c r="APU142" s="387"/>
      <c r="APV142" s="387"/>
      <c r="APW142" s="387"/>
      <c r="APX142" s="387"/>
      <c r="APY142" s="387"/>
      <c r="APZ142" s="387"/>
      <c r="AQA142" s="387"/>
      <c r="AQB142" s="387"/>
      <c r="AQC142" s="387"/>
      <c r="AQD142" s="387"/>
      <c r="AQE142" s="387"/>
      <c r="AQF142" s="387"/>
      <c r="AQG142" s="387"/>
      <c r="AQH142" s="387"/>
      <c r="AQI142" s="387"/>
      <c r="AQJ142" s="387"/>
      <c r="AQK142" s="387"/>
      <c r="AQL142" s="387"/>
      <c r="AQM142" s="387"/>
      <c r="AQN142" s="387"/>
      <c r="AQO142" s="387"/>
      <c r="AQP142" s="387"/>
      <c r="AQQ142" s="387"/>
      <c r="AQR142" s="387"/>
      <c r="AQS142" s="387"/>
      <c r="AQT142" s="387"/>
      <c r="AQU142" s="387"/>
      <c r="AQV142" s="387"/>
      <c r="AQW142" s="387"/>
      <c r="AQX142" s="387"/>
      <c r="AQY142" s="387"/>
      <c r="AQZ142" s="387"/>
      <c r="ARA142" s="387"/>
      <c r="ARB142" s="387"/>
      <c r="ARC142" s="387"/>
      <c r="ARD142" s="387"/>
      <c r="ARE142" s="387"/>
      <c r="ARF142" s="387"/>
      <c r="ARG142" s="387"/>
      <c r="ARH142" s="387"/>
      <c r="ARI142" s="387"/>
      <c r="ARJ142" s="387"/>
      <c r="ARK142" s="387"/>
      <c r="ARL142" s="387"/>
      <c r="ARM142" s="387"/>
      <c r="ARN142" s="387"/>
      <c r="ARO142" s="387"/>
      <c r="ARP142" s="387"/>
      <c r="ARQ142" s="387"/>
      <c r="ARR142" s="387"/>
      <c r="ARS142" s="387"/>
      <c r="ART142" s="387"/>
      <c r="ARU142" s="387"/>
      <c r="ARV142" s="387"/>
      <c r="ARW142" s="387"/>
      <c r="ARX142" s="387"/>
      <c r="ARY142" s="387"/>
      <c r="ARZ142" s="387"/>
      <c r="ASA142" s="387"/>
      <c r="ASB142" s="387"/>
      <c r="ASC142" s="387"/>
      <c r="ASD142" s="387"/>
      <c r="ASE142" s="387"/>
      <c r="ASF142" s="387"/>
      <c r="ASG142" s="387"/>
      <c r="ASH142" s="387"/>
      <c r="ASI142" s="387"/>
      <c r="ASJ142" s="387"/>
      <c r="ASK142" s="387"/>
      <c r="ASL142" s="387"/>
      <c r="ASM142" s="387"/>
      <c r="ASN142" s="387"/>
      <c r="ASO142" s="387"/>
      <c r="ASP142" s="387"/>
      <c r="ASQ142" s="387"/>
      <c r="ASR142" s="387"/>
      <c r="ASS142" s="387"/>
      <c r="AST142" s="387"/>
      <c r="ASU142" s="387"/>
      <c r="ASV142" s="387"/>
      <c r="ASW142" s="387"/>
      <c r="ASX142" s="387"/>
      <c r="ASY142" s="387"/>
      <c r="ASZ142" s="387"/>
      <c r="ATA142" s="387"/>
      <c r="ATB142" s="387"/>
      <c r="ATC142" s="387"/>
      <c r="ATD142" s="387"/>
      <c r="ATE142" s="387"/>
      <c r="ATF142" s="387"/>
      <c r="ATG142" s="387"/>
      <c r="ATH142" s="387"/>
      <c r="ATI142" s="387"/>
      <c r="ATJ142" s="387"/>
      <c r="ATK142" s="387"/>
      <c r="ATL142" s="387"/>
      <c r="ATM142" s="387"/>
      <c r="ATN142" s="387"/>
      <c r="ATO142" s="387"/>
      <c r="ATP142" s="387"/>
      <c r="ATQ142" s="387"/>
      <c r="ATR142" s="387"/>
      <c r="ATS142" s="387"/>
      <c r="ATT142" s="387"/>
      <c r="ATU142" s="387"/>
      <c r="ATV142" s="387"/>
      <c r="ATW142" s="387"/>
      <c r="ATX142" s="387"/>
      <c r="ATY142" s="387"/>
      <c r="ATZ142" s="387"/>
      <c r="AUA142" s="387"/>
      <c r="AUB142" s="387"/>
      <c r="AUC142" s="387"/>
      <c r="AUD142" s="387"/>
      <c r="AUE142" s="387"/>
      <c r="AUF142" s="387"/>
      <c r="AUG142" s="387"/>
      <c r="AUH142" s="387"/>
      <c r="AUI142" s="387"/>
      <c r="AUJ142" s="387"/>
      <c r="AUK142" s="387"/>
      <c r="AUL142" s="387"/>
      <c r="AUM142" s="387"/>
      <c r="AUN142" s="387"/>
      <c r="AUO142" s="387"/>
      <c r="AUP142" s="387"/>
      <c r="AUQ142" s="387"/>
      <c r="AUR142" s="387"/>
      <c r="AUS142" s="387"/>
      <c r="AUT142" s="387"/>
      <c r="AUU142" s="387"/>
      <c r="AUV142" s="387"/>
      <c r="AUW142" s="387"/>
      <c r="AUX142" s="387"/>
      <c r="AUY142" s="387"/>
      <c r="AUZ142" s="387"/>
      <c r="AVA142" s="387"/>
      <c r="AVB142" s="387"/>
      <c r="AVC142" s="387"/>
      <c r="AVD142" s="387"/>
      <c r="AVE142" s="387"/>
      <c r="AVF142" s="387"/>
      <c r="AVG142" s="387"/>
      <c r="AVH142" s="387"/>
      <c r="AVI142" s="387"/>
      <c r="AVJ142" s="387"/>
      <c r="AVK142" s="387"/>
      <c r="AVL142" s="387"/>
      <c r="AVM142" s="387"/>
      <c r="AVN142" s="387"/>
      <c r="AVO142" s="387"/>
      <c r="AVP142" s="387"/>
      <c r="AVQ142" s="387"/>
      <c r="AVR142" s="387"/>
      <c r="AVS142" s="387"/>
      <c r="AVT142" s="387"/>
      <c r="AVU142" s="387"/>
      <c r="AVV142" s="387"/>
      <c r="AVW142" s="387"/>
      <c r="AVX142" s="387"/>
      <c r="AVY142" s="387"/>
      <c r="AVZ142" s="387"/>
      <c r="AWA142" s="387"/>
      <c r="AWB142" s="387"/>
      <c r="AWC142" s="387"/>
      <c r="AWD142" s="387"/>
      <c r="AWE142" s="387"/>
      <c r="AWF142" s="387"/>
      <c r="AWG142" s="387"/>
      <c r="AWH142" s="387"/>
      <c r="AWI142" s="387"/>
      <c r="AWJ142" s="387"/>
      <c r="AWK142" s="387"/>
      <c r="AWL142" s="387"/>
      <c r="AWM142" s="387"/>
      <c r="AWN142" s="387"/>
      <c r="AWO142" s="387"/>
      <c r="AWP142" s="387"/>
      <c r="AWQ142" s="387"/>
      <c r="AWR142" s="387"/>
      <c r="AWS142" s="387"/>
      <c r="AWT142" s="387"/>
      <c r="AWU142" s="387"/>
      <c r="AWV142" s="387"/>
      <c r="AWW142" s="387"/>
      <c r="AWX142" s="387"/>
      <c r="AWY142" s="387"/>
      <c r="AWZ142" s="387"/>
      <c r="AXA142" s="387"/>
      <c r="AXB142" s="387"/>
      <c r="AXC142" s="387"/>
      <c r="AXD142" s="387"/>
      <c r="AXE142" s="387"/>
      <c r="AXF142" s="387"/>
      <c r="AXG142" s="387"/>
      <c r="AXH142" s="387"/>
      <c r="AXI142" s="387"/>
      <c r="AXJ142" s="387"/>
      <c r="AXK142" s="387"/>
      <c r="AXL142" s="387"/>
      <c r="AXM142" s="387"/>
      <c r="AXN142" s="387"/>
      <c r="AXO142" s="387"/>
      <c r="AXP142" s="387"/>
      <c r="AXQ142" s="387"/>
      <c r="AXR142" s="387"/>
      <c r="AXS142" s="387"/>
      <c r="AXT142" s="387"/>
      <c r="AXU142" s="387"/>
      <c r="AXV142" s="387"/>
      <c r="AXW142" s="387"/>
      <c r="AXX142" s="387"/>
      <c r="AXY142" s="387"/>
      <c r="AXZ142" s="387"/>
      <c r="AYA142" s="387"/>
      <c r="AYB142" s="387"/>
      <c r="AYC142" s="387"/>
      <c r="AYD142" s="387"/>
      <c r="AYE142" s="387"/>
      <c r="AYF142" s="387"/>
      <c r="AYG142" s="387"/>
      <c r="AYH142" s="387"/>
      <c r="AYI142" s="387"/>
      <c r="AYJ142" s="387"/>
      <c r="AYK142" s="387"/>
      <c r="AYL142" s="387"/>
      <c r="AYM142" s="387"/>
      <c r="AYN142" s="387"/>
      <c r="AYO142" s="387"/>
      <c r="AYP142" s="387"/>
      <c r="AYQ142" s="387"/>
      <c r="AYR142" s="387"/>
      <c r="AYS142" s="387"/>
      <c r="AYT142" s="387"/>
      <c r="AYU142" s="387"/>
      <c r="AYV142" s="387"/>
      <c r="AYW142" s="387"/>
      <c r="AYX142" s="387"/>
      <c r="AYY142" s="387"/>
      <c r="AYZ142" s="387"/>
      <c r="AZA142" s="387"/>
      <c r="AZB142" s="387"/>
      <c r="AZC142" s="387"/>
      <c r="AZD142" s="387"/>
      <c r="AZE142" s="387"/>
      <c r="AZF142" s="387"/>
      <c r="AZG142" s="387"/>
      <c r="AZH142" s="387"/>
      <c r="AZI142" s="387"/>
      <c r="AZJ142" s="387"/>
      <c r="AZK142" s="387"/>
      <c r="AZL142" s="387"/>
      <c r="AZM142" s="387"/>
      <c r="AZN142" s="387"/>
      <c r="AZO142" s="387"/>
      <c r="AZP142" s="387"/>
      <c r="AZQ142" s="387"/>
      <c r="AZR142" s="387"/>
      <c r="AZS142" s="387"/>
      <c r="AZT142" s="387"/>
      <c r="AZU142" s="387"/>
      <c r="AZV142" s="387"/>
      <c r="AZW142" s="387"/>
      <c r="AZX142" s="387"/>
      <c r="AZY142" s="387"/>
      <c r="AZZ142" s="387"/>
      <c r="BAA142" s="387"/>
      <c r="BAB142" s="387"/>
      <c r="BAC142" s="387"/>
      <c r="BAD142" s="387"/>
      <c r="BAE142" s="387"/>
      <c r="BAF142" s="387"/>
      <c r="BAG142" s="387"/>
      <c r="BAH142" s="387"/>
      <c r="BAI142" s="387"/>
      <c r="BAJ142" s="387"/>
      <c r="BAK142" s="387"/>
      <c r="BAL142" s="387"/>
      <c r="BAM142" s="387"/>
      <c r="BAN142" s="387"/>
      <c r="BAO142" s="387"/>
      <c r="BAP142" s="387"/>
      <c r="BAQ142" s="387"/>
      <c r="BAR142" s="387"/>
      <c r="BAS142" s="387"/>
      <c r="BAT142" s="387"/>
      <c r="BAU142" s="387"/>
      <c r="BAV142" s="387"/>
      <c r="BAW142" s="387"/>
      <c r="BAX142" s="387"/>
      <c r="BAY142" s="387"/>
      <c r="BAZ142" s="387"/>
      <c r="BBA142" s="387"/>
      <c r="BBB142" s="387"/>
      <c r="BBC142" s="387"/>
      <c r="BBD142" s="387"/>
      <c r="BBE142" s="387"/>
      <c r="BBF142" s="387"/>
      <c r="BBG142" s="387"/>
      <c r="BBH142" s="387"/>
      <c r="BBI142" s="387"/>
      <c r="BBJ142" s="387"/>
      <c r="BBK142" s="387"/>
      <c r="BBL142" s="387"/>
      <c r="BBM142" s="387"/>
      <c r="BBN142" s="387"/>
      <c r="BBO142" s="387"/>
      <c r="BBP142" s="387"/>
      <c r="BBQ142" s="387"/>
      <c r="BBR142" s="387"/>
      <c r="BBS142" s="387"/>
      <c r="BBT142" s="387"/>
      <c r="BBU142" s="387"/>
      <c r="BBV142" s="387"/>
      <c r="BBW142" s="387"/>
      <c r="BBX142" s="387"/>
      <c r="BBY142" s="387"/>
      <c r="BBZ142" s="387"/>
      <c r="BCA142" s="387"/>
      <c r="BCB142" s="387"/>
      <c r="BCC142" s="387"/>
      <c r="BCD142" s="387"/>
      <c r="BCE142" s="387"/>
      <c r="BCF142" s="387"/>
      <c r="BCG142" s="387"/>
      <c r="BCH142" s="387"/>
      <c r="BCI142" s="387"/>
      <c r="BCJ142" s="387"/>
      <c r="BCK142" s="387"/>
      <c r="BCL142" s="387"/>
      <c r="BCM142" s="387"/>
      <c r="BCN142" s="387"/>
      <c r="BCO142" s="387"/>
      <c r="BCP142" s="387"/>
      <c r="BCQ142" s="387"/>
      <c r="BCR142" s="387"/>
      <c r="BCS142" s="387"/>
      <c r="BCT142" s="387"/>
      <c r="BCU142" s="387"/>
      <c r="BCV142" s="387"/>
      <c r="BCW142" s="387"/>
      <c r="BCX142" s="387"/>
      <c r="BCY142" s="387"/>
      <c r="BCZ142" s="387"/>
      <c r="BDA142" s="387"/>
      <c r="BDB142" s="387"/>
      <c r="BDC142" s="387"/>
      <c r="BDD142" s="387"/>
      <c r="BDE142" s="387"/>
      <c r="BDF142" s="387"/>
      <c r="BDG142" s="387"/>
      <c r="BDH142" s="387"/>
      <c r="BDI142" s="387"/>
      <c r="BDJ142" s="387"/>
      <c r="BDK142" s="387"/>
      <c r="BDL142" s="387"/>
      <c r="BDM142" s="387"/>
      <c r="BDN142" s="387"/>
      <c r="BDO142" s="387"/>
      <c r="BDP142" s="387"/>
      <c r="BDQ142" s="387"/>
      <c r="BDR142" s="387"/>
      <c r="BDS142" s="387"/>
      <c r="BDT142" s="387"/>
      <c r="BDU142" s="387"/>
      <c r="BDV142" s="387"/>
      <c r="BDW142" s="387"/>
      <c r="BDX142" s="387"/>
      <c r="BDY142" s="387"/>
      <c r="BDZ142" s="387"/>
      <c r="BEA142" s="387"/>
      <c r="BEB142" s="387"/>
      <c r="BEC142" s="387"/>
      <c r="BED142" s="387"/>
      <c r="BEE142" s="387"/>
      <c r="BEF142" s="387"/>
      <c r="BEG142" s="387"/>
      <c r="BEH142" s="387"/>
      <c r="BEI142" s="387"/>
      <c r="BEJ142" s="387"/>
      <c r="BEK142" s="387"/>
      <c r="BEL142" s="387"/>
      <c r="BEM142" s="387"/>
      <c r="BEN142" s="387"/>
      <c r="BEO142" s="387"/>
      <c r="BEP142" s="387"/>
      <c r="BEQ142" s="387"/>
      <c r="BER142" s="387"/>
      <c r="BES142" s="387"/>
      <c r="BET142" s="387"/>
      <c r="BEU142" s="387"/>
      <c r="BEV142" s="387"/>
      <c r="BEW142" s="387"/>
      <c r="BEX142" s="387"/>
      <c r="BEY142" s="387"/>
      <c r="BEZ142" s="387"/>
      <c r="BFA142" s="387"/>
      <c r="BFB142" s="387"/>
      <c r="BFC142" s="387"/>
      <c r="BFD142" s="387"/>
      <c r="BFE142" s="387"/>
      <c r="BFF142" s="387"/>
      <c r="BFG142" s="387"/>
      <c r="BFH142" s="387"/>
      <c r="BFI142" s="387"/>
      <c r="BFJ142" s="387"/>
      <c r="BFK142" s="387"/>
      <c r="BFL142" s="387"/>
      <c r="BFM142" s="387"/>
      <c r="BFN142" s="387"/>
      <c r="BFO142" s="387"/>
      <c r="BFP142" s="387"/>
      <c r="BFQ142" s="387"/>
      <c r="BFR142" s="387"/>
      <c r="BFS142" s="387"/>
      <c r="BFT142" s="387"/>
      <c r="BFU142" s="387"/>
      <c r="BFV142" s="387"/>
      <c r="BFW142" s="387"/>
      <c r="BFX142" s="387"/>
      <c r="BFY142" s="387"/>
      <c r="BFZ142" s="387"/>
      <c r="BGA142" s="387"/>
      <c r="BGB142" s="387"/>
      <c r="BGC142" s="387"/>
      <c r="BGD142" s="387"/>
      <c r="BGE142" s="387"/>
      <c r="BGF142" s="387"/>
      <c r="BGG142" s="387"/>
      <c r="BGH142" s="387"/>
      <c r="BGI142" s="387"/>
      <c r="BGJ142" s="387"/>
      <c r="BGK142" s="387"/>
      <c r="BGL142" s="387"/>
      <c r="BGM142" s="387"/>
      <c r="BGN142" s="387"/>
      <c r="BGO142" s="387"/>
      <c r="BGP142" s="387"/>
      <c r="BGQ142" s="387"/>
      <c r="BGR142" s="387"/>
      <c r="BGS142" s="387"/>
      <c r="BGT142" s="387"/>
      <c r="BGU142" s="387"/>
      <c r="BGV142" s="387"/>
      <c r="BGW142" s="387"/>
      <c r="BGX142" s="387"/>
      <c r="BGY142" s="387"/>
      <c r="BGZ142" s="387"/>
      <c r="BHA142" s="387"/>
      <c r="BHB142" s="387"/>
      <c r="BHC142" s="387"/>
      <c r="BHD142" s="387"/>
      <c r="BHE142" s="387"/>
      <c r="BHF142" s="387"/>
      <c r="BHG142" s="387"/>
      <c r="BHH142" s="387"/>
      <c r="BHI142" s="387"/>
      <c r="BHJ142" s="387"/>
      <c r="BHK142" s="387"/>
      <c r="BHL142" s="387"/>
      <c r="BHM142" s="387"/>
      <c r="BHN142" s="387"/>
      <c r="BHO142" s="387"/>
      <c r="BHP142" s="387"/>
      <c r="BHQ142" s="387"/>
      <c r="BHR142" s="387"/>
      <c r="BHS142" s="387"/>
      <c r="BHT142" s="387"/>
      <c r="BHU142" s="387"/>
      <c r="BHV142" s="387"/>
      <c r="BHW142" s="387"/>
      <c r="BHX142" s="387"/>
      <c r="BHY142" s="387"/>
      <c r="BHZ142" s="387"/>
      <c r="BIA142" s="387"/>
      <c r="BIB142" s="387"/>
      <c r="BIC142" s="387"/>
      <c r="BID142" s="387"/>
      <c r="BIE142" s="387"/>
      <c r="BIF142" s="387"/>
      <c r="BIG142" s="387"/>
      <c r="BIH142" s="387"/>
      <c r="BII142" s="387"/>
      <c r="BIJ142" s="387"/>
      <c r="BIK142" s="387"/>
      <c r="BIL142" s="387"/>
      <c r="BIM142" s="387"/>
      <c r="BIN142" s="387"/>
      <c r="BIO142" s="387"/>
      <c r="BIP142" s="387"/>
      <c r="BIQ142" s="387"/>
      <c r="BIR142" s="387"/>
      <c r="BIS142" s="387"/>
      <c r="BIT142" s="387"/>
      <c r="BIU142" s="387"/>
      <c r="BIV142" s="387"/>
      <c r="BIW142" s="387"/>
      <c r="BIX142" s="387"/>
      <c r="BIY142" s="387"/>
      <c r="BIZ142" s="387"/>
      <c r="BJA142" s="387"/>
      <c r="BJB142" s="387"/>
      <c r="BJC142" s="387"/>
      <c r="BJD142" s="387"/>
      <c r="BJE142" s="387"/>
      <c r="BJF142" s="387"/>
      <c r="BJG142" s="387"/>
      <c r="BJH142" s="387"/>
      <c r="BJI142" s="387"/>
      <c r="BJJ142" s="387"/>
      <c r="BJK142" s="387"/>
      <c r="BJL142" s="387"/>
      <c r="BJM142" s="387"/>
      <c r="BJN142" s="387"/>
      <c r="BJO142" s="387"/>
      <c r="BJP142" s="387"/>
      <c r="BJQ142" s="387"/>
      <c r="BJR142" s="387"/>
      <c r="BJS142" s="387"/>
      <c r="BJT142" s="387"/>
      <c r="BJU142" s="387"/>
      <c r="BJV142" s="387"/>
      <c r="BJW142" s="387"/>
      <c r="BJX142" s="387"/>
      <c r="BJY142" s="387"/>
      <c r="BJZ142" s="387"/>
      <c r="BKA142" s="387"/>
      <c r="BKB142" s="387"/>
      <c r="BKC142" s="387"/>
      <c r="BKD142" s="387"/>
      <c r="BKE142" s="387"/>
      <c r="BKF142" s="387"/>
      <c r="BKG142" s="387"/>
      <c r="BKH142" s="387"/>
      <c r="BKI142" s="387"/>
      <c r="BKJ142" s="387"/>
      <c r="BKK142" s="387"/>
      <c r="BKL142" s="387"/>
      <c r="BKM142" s="387"/>
      <c r="BKN142" s="387"/>
      <c r="BKO142" s="387"/>
      <c r="BKP142" s="387"/>
      <c r="BKQ142" s="387"/>
      <c r="BKR142" s="387"/>
      <c r="BKS142" s="387"/>
      <c r="BKT142" s="387"/>
      <c r="BKU142" s="387"/>
      <c r="BKV142" s="387"/>
      <c r="BKW142" s="387"/>
      <c r="BKX142" s="387"/>
      <c r="BKY142" s="387"/>
      <c r="BKZ142" s="387"/>
      <c r="BLA142" s="387"/>
      <c r="BLB142" s="387"/>
      <c r="BLC142" s="387"/>
      <c r="BLD142" s="387"/>
      <c r="BLE142" s="387"/>
      <c r="BLF142" s="387"/>
      <c r="BLG142" s="387"/>
      <c r="BLH142" s="387"/>
      <c r="BLI142" s="387"/>
      <c r="BLJ142" s="387"/>
      <c r="BLK142" s="387"/>
      <c r="BLL142" s="387"/>
      <c r="BLM142" s="387"/>
      <c r="BLN142" s="387"/>
      <c r="BLO142" s="387"/>
      <c r="BLP142" s="387"/>
      <c r="BLQ142" s="387"/>
      <c r="BLR142" s="387"/>
      <c r="BLS142" s="387"/>
      <c r="BLT142" s="387"/>
      <c r="BLU142" s="387"/>
      <c r="BLV142" s="387"/>
      <c r="BLW142" s="387"/>
      <c r="BLX142" s="387"/>
      <c r="BLY142" s="387"/>
      <c r="BLZ142" s="387"/>
      <c r="BMA142" s="387"/>
      <c r="BMB142" s="387"/>
      <c r="BMC142" s="387"/>
      <c r="BMD142" s="387"/>
      <c r="BME142" s="387"/>
      <c r="BMF142" s="387"/>
      <c r="BMG142" s="387"/>
      <c r="BMH142" s="387"/>
      <c r="BMI142" s="387"/>
      <c r="BMJ142" s="387"/>
      <c r="BMK142" s="387"/>
      <c r="BML142" s="387"/>
      <c r="BMM142" s="387"/>
      <c r="BMN142" s="387"/>
      <c r="BMO142" s="387"/>
      <c r="BMP142" s="387"/>
      <c r="BMQ142" s="387"/>
      <c r="BMR142" s="387"/>
      <c r="BMS142" s="387"/>
      <c r="BMT142" s="387"/>
      <c r="BMU142" s="387"/>
      <c r="BMV142" s="387"/>
      <c r="BMW142" s="387"/>
      <c r="BMX142" s="387"/>
      <c r="BMY142" s="387"/>
      <c r="BMZ142" s="387"/>
      <c r="BNA142" s="387"/>
      <c r="BNB142" s="387"/>
      <c r="BNC142" s="387"/>
      <c r="BND142" s="387"/>
      <c r="BNE142" s="387"/>
      <c r="BNF142" s="387"/>
      <c r="BNG142" s="387"/>
      <c r="BNH142" s="387"/>
      <c r="BNI142" s="387"/>
      <c r="BNJ142" s="387"/>
      <c r="BNK142" s="387"/>
      <c r="BNL142" s="387"/>
      <c r="BNM142" s="387"/>
      <c r="BNN142" s="387"/>
      <c r="BNO142" s="387"/>
      <c r="BNP142" s="387"/>
      <c r="BNQ142" s="387"/>
      <c r="BNR142" s="387"/>
      <c r="BNS142" s="387"/>
      <c r="BNT142" s="387"/>
      <c r="BNU142" s="387"/>
      <c r="BNV142" s="387"/>
      <c r="BNW142" s="387"/>
      <c r="BNX142" s="387"/>
      <c r="BNY142" s="387"/>
      <c r="BNZ142" s="387"/>
      <c r="BOA142" s="387"/>
      <c r="BOB142" s="387"/>
      <c r="BOC142" s="387"/>
      <c r="BOD142" s="387"/>
      <c r="BOE142" s="387"/>
      <c r="BOF142" s="387"/>
      <c r="BOG142" s="387"/>
      <c r="BOH142" s="387"/>
      <c r="BOI142" s="387"/>
      <c r="BOJ142" s="387"/>
      <c r="BOK142" s="387"/>
      <c r="BOL142" s="387"/>
      <c r="BOM142" s="387"/>
      <c r="BON142" s="387"/>
      <c r="BOO142" s="387"/>
      <c r="BOP142" s="387"/>
      <c r="BOQ142" s="387"/>
      <c r="BOR142" s="387"/>
      <c r="BOS142" s="387"/>
      <c r="BOT142" s="387"/>
      <c r="BOU142" s="387"/>
      <c r="BOV142" s="387"/>
      <c r="BOW142" s="387"/>
      <c r="BOX142" s="387"/>
      <c r="BOY142" s="387"/>
      <c r="BOZ142" s="387"/>
      <c r="BPA142" s="387"/>
      <c r="BPB142" s="387"/>
      <c r="BPC142" s="387"/>
      <c r="BPD142" s="387"/>
      <c r="BPE142" s="387"/>
      <c r="BPF142" s="387"/>
      <c r="BPG142" s="387"/>
      <c r="BPH142" s="387"/>
      <c r="BPI142" s="387"/>
      <c r="BPJ142" s="387"/>
      <c r="BPK142" s="387"/>
      <c r="BPL142" s="387"/>
      <c r="BPM142" s="387"/>
      <c r="BPN142" s="387"/>
      <c r="BPO142" s="387"/>
      <c r="BPP142" s="387"/>
      <c r="BPQ142" s="387"/>
      <c r="BPR142" s="387"/>
      <c r="BPS142" s="387"/>
      <c r="BPT142" s="387"/>
      <c r="BPU142" s="387"/>
      <c r="BPV142" s="387"/>
      <c r="BPW142" s="387"/>
      <c r="BPX142" s="387"/>
      <c r="BPY142" s="387"/>
      <c r="BPZ142" s="387"/>
      <c r="BQA142" s="387"/>
      <c r="BQB142" s="387"/>
      <c r="BQC142" s="387"/>
      <c r="BQD142" s="387"/>
      <c r="BQE142" s="387"/>
      <c r="BQF142" s="387"/>
      <c r="BQG142" s="387"/>
      <c r="BQH142" s="387"/>
      <c r="BQI142" s="387"/>
      <c r="BQJ142" s="387"/>
      <c r="BQK142" s="387"/>
      <c r="BQL142" s="387"/>
      <c r="BQM142" s="387"/>
      <c r="BQN142" s="387"/>
      <c r="BQO142" s="387"/>
      <c r="BQP142" s="387"/>
      <c r="BQQ142" s="387"/>
      <c r="BQR142" s="387"/>
      <c r="BQS142" s="387"/>
      <c r="BQT142" s="387"/>
      <c r="BQU142" s="387"/>
      <c r="BQV142" s="387"/>
      <c r="BQW142" s="387"/>
      <c r="BQX142" s="387"/>
      <c r="BQY142" s="387"/>
      <c r="BQZ142" s="387"/>
      <c r="BRA142" s="387"/>
      <c r="BRB142" s="387"/>
      <c r="BRC142" s="387"/>
      <c r="BRD142" s="387"/>
      <c r="BRE142" s="387"/>
      <c r="BRF142" s="387"/>
      <c r="BRG142" s="387"/>
      <c r="BRH142" s="387"/>
      <c r="BRI142" s="387"/>
      <c r="BRJ142" s="387"/>
      <c r="BRK142" s="387"/>
      <c r="BRL142" s="387"/>
      <c r="BRM142" s="387"/>
      <c r="BRN142" s="387"/>
      <c r="BRO142" s="387"/>
      <c r="BRP142" s="387"/>
      <c r="BRQ142" s="387"/>
      <c r="BRR142" s="387"/>
      <c r="BRS142" s="387"/>
      <c r="BRT142" s="387"/>
      <c r="BRU142" s="387"/>
      <c r="BRV142" s="387"/>
      <c r="BRW142" s="387"/>
      <c r="BRX142" s="387"/>
      <c r="BRY142" s="387"/>
      <c r="BRZ142" s="387"/>
      <c r="BSA142" s="387"/>
      <c r="BSB142" s="387"/>
      <c r="BSC142" s="387"/>
      <c r="BSD142" s="387"/>
      <c r="BSE142" s="387"/>
      <c r="BSF142" s="387"/>
      <c r="BSG142" s="387"/>
      <c r="BSH142" s="387"/>
      <c r="BSI142" s="387"/>
      <c r="BSJ142" s="387"/>
      <c r="BSK142" s="387"/>
      <c r="BSL142" s="387"/>
      <c r="BSM142" s="387"/>
      <c r="BSN142" s="387"/>
      <c r="BSO142" s="387"/>
      <c r="BSP142" s="387"/>
      <c r="BSQ142" s="387"/>
      <c r="BSR142" s="387"/>
      <c r="BSS142" s="387"/>
      <c r="BST142" s="387"/>
      <c r="BSU142" s="387"/>
      <c r="BSV142" s="387"/>
      <c r="BSW142" s="387"/>
      <c r="BSX142" s="387"/>
      <c r="BSY142" s="387"/>
      <c r="BSZ142" s="387"/>
      <c r="BTA142" s="387"/>
      <c r="BTB142" s="387"/>
      <c r="BTC142" s="387"/>
      <c r="BTD142" s="387"/>
      <c r="BTE142" s="387"/>
      <c r="BTF142" s="387"/>
      <c r="BTG142" s="387"/>
      <c r="BTH142" s="387"/>
      <c r="BTI142" s="387"/>
    </row>
    <row r="143" spans="1:1881" s="4" customFormat="1" ht="96" customHeight="1" x14ac:dyDescent="0.25">
      <c r="A143" s="186">
        <v>378</v>
      </c>
      <c r="B143" s="64" t="s">
        <v>79</v>
      </c>
      <c r="C143" s="157" t="s">
        <v>212</v>
      </c>
      <c r="D143" s="140" t="s">
        <v>219</v>
      </c>
      <c r="E143" s="683" t="e">
        <f>HLOOKUP('Unit Data from Audit Worksheet'!$D$2,'2019 Data(H)'!$D$1:$BB$202,95,FALSE)</f>
        <v>#N/A</v>
      </c>
      <c r="F143" s="672"/>
      <c r="G143" s="388" t="e">
        <f>IF(F113-F142-F143=E113,,"Error: Beginning Balance does not agree with our records.  Cell F113-F142-F143= E113  The amount of the formula is in the cell to the right")</f>
        <v>#N/A</v>
      </c>
      <c r="H143" s="189" t="e">
        <f>+F113-F142-F143-E113</f>
        <v>#N/A</v>
      </c>
      <c r="I143" s="31"/>
      <c r="J143" s="387"/>
      <c r="K143" s="387"/>
      <c r="L143" s="387"/>
      <c r="M143" s="387"/>
      <c r="N143"/>
      <c r="O143" s="387"/>
      <c r="P143" s="387"/>
      <c r="Q143" s="387"/>
      <c r="R143"/>
      <c r="S143" s="682"/>
      <c r="T143" s="387"/>
      <c r="U143" s="387"/>
      <c r="V143" s="387"/>
      <c r="W143" s="387"/>
      <c r="X143" s="682"/>
      <c r="Y143" s="387"/>
      <c r="Z143" s="387"/>
      <c r="AA143" s="387"/>
      <c r="AB143" s="387"/>
      <c r="AC143" s="387"/>
      <c r="AD143" s="387"/>
      <c r="AE143" s="387"/>
      <c r="AF143" s="387"/>
      <c r="AG143" s="387"/>
      <c r="AH143" s="387"/>
      <c r="AI143" s="387"/>
      <c r="AJ143" s="387"/>
      <c r="AK143" s="387"/>
      <c r="AL143" s="387"/>
      <c r="AM143" s="387"/>
      <c r="AN143" s="387"/>
      <c r="AO143" s="387"/>
      <c r="AP143" s="387"/>
      <c r="AQ143" s="387"/>
      <c r="AR143" s="387"/>
      <c r="AS143" s="387"/>
      <c r="AT143" s="387"/>
      <c r="AU143" s="387"/>
      <c r="AV143" s="387"/>
      <c r="AW143" s="387"/>
      <c r="AX143" s="387"/>
      <c r="AY143" s="387"/>
      <c r="AZ143" s="387"/>
      <c r="BA143" s="387"/>
      <c r="BB143" s="387"/>
      <c r="BC143" s="387"/>
      <c r="BD143" s="387"/>
      <c r="BE143" s="387"/>
      <c r="BF143" s="387"/>
      <c r="BG143" s="387"/>
      <c r="BH143" s="387"/>
      <c r="BI143" s="387"/>
      <c r="BJ143" s="387"/>
      <c r="BK143" s="387"/>
      <c r="BL143" s="387"/>
      <c r="BM143" s="387"/>
      <c r="BN143" s="387"/>
      <c r="BO143" s="387"/>
      <c r="BP143" s="387"/>
      <c r="BQ143" s="387"/>
      <c r="BR143" s="387"/>
      <c r="BS143" s="387"/>
      <c r="BT143" s="387"/>
      <c r="BU143" s="387"/>
      <c r="BV143" s="387"/>
      <c r="BW143" s="387"/>
      <c r="BX143" s="387"/>
      <c r="BY143" s="387"/>
      <c r="BZ143" s="387"/>
      <c r="CA143" s="387"/>
      <c r="CB143" s="387"/>
      <c r="CC143" s="387"/>
      <c r="CD143" s="387"/>
      <c r="CE143" s="387"/>
      <c r="CF143" s="387"/>
      <c r="CG143" s="387"/>
      <c r="CH143" s="387"/>
      <c r="CI143" s="387"/>
      <c r="CJ143" s="387"/>
      <c r="CK143" s="387"/>
      <c r="CL143" s="387"/>
      <c r="CM143" s="387"/>
      <c r="CN143" s="387"/>
      <c r="CO143" s="387"/>
      <c r="CP143" s="387"/>
      <c r="CQ143" s="387"/>
      <c r="CR143" s="387"/>
      <c r="CS143" s="387"/>
      <c r="CT143" s="387"/>
      <c r="CU143" s="387"/>
      <c r="CV143" s="387"/>
      <c r="CW143" s="387"/>
      <c r="CX143" s="387"/>
      <c r="CY143" s="387"/>
      <c r="CZ143" s="387"/>
      <c r="DA143" s="387"/>
      <c r="DB143" s="387"/>
      <c r="DC143" s="387"/>
      <c r="DD143" s="387"/>
      <c r="DE143" s="387"/>
      <c r="DF143" s="387"/>
      <c r="DG143" s="387"/>
      <c r="DH143" s="387"/>
      <c r="DI143" s="387"/>
      <c r="DJ143" s="387"/>
      <c r="DK143" s="387"/>
      <c r="DL143" s="387"/>
      <c r="DM143" s="387"/>
      <c r="DN143" s="387"/>
      <c r="DO143" s="387"/>
      <c r="DP143" s="387"/>
      <c r="DQ143" s="387"/>
      <c r="DR143" s="387"/>
      <c r="DS143" s="387"/>
      <c r="DT143" s="387"/>
      <c r="DU143" s="387"/>
      <c r="DV143" s="387"/>
      <c r="DW143" s="387"/>
      <c r="DX143" s="387"/>
      <c r="DY143" s="387"/>
      <c r="DZ143" s="387"/>
      <c r="EA143" s="387"/>
      <c r="EB143" s="387"/>
      <c r="EC143" s="387"/>
      <c r="ED143" s="387"/>
      <c r="EE143" s="387"/>
      <c r="EF143" s="387"/>
      <c r="EG143" s="387"/>
      <c r="EH143" s="387"/>
      <c r="EI143" s="387"/>
      <c r="EJ143" s="387"/>
      <c r="EK143" s="387"/>
      <c r="EL143" s="387"/>
      <c r="EM143" s="387"/>
      <c r="EN143" s="387"/>
      <c r="EO143" s="387"/>
      <c r="EP143" s="387"/>
      <c r="EQ143" s="387"/>
      <c r="ER143" s="387"/>
      <c r="ES143" s="387"/>
      <c r="ET143" s="387"/>
      <c r="EU143" s="387"/>
      <c r="EV143" s="387"/>
      <c r="EW143" s="387"/>
      <c r="EX143" s="387"/>
      <c r="EY143" s="387"/>
      <c r="EZ143" s="387"/>
      <c r="FA143" s="387"/>
      <c r="FB143" s="387"/>
      <c r="FC143" s="387"/>
      <c r="FD143" s="387"/>
      <c r="FE143" s="387"/>
      <c r="FF143" s="387"/>
      <c r="FG143" s="387"/>
      <c r="FH143" s="387"/>
      <c r="FI143" s="387"/>
      <c r="FJ143" s="387"/>
      <c r="FK143" s="387"/>
      <c r="FL143" s="387"/>
      <c r="FM143" s="387"/>
      <c r="FN143" s="387"/>
      <c r="FO143" s="387"/>
      <c r="FP143" s="387"/>
      <c r="FQ143" s="387"/>
      <c r="FR143" s="387"/>
      <c r="FS143" s="387"/>
      <c r="FT143" s="387"/>
      <c r="FU143" s="387"/>
      <c r="FV143" s="387"/>
      <c r="FW143" s="387"/>
      <c r="FX143" s="387"/>
      <c r="FY143" s="387"/>
      <c r="FZ143" s="387"/>
      <c r="GA143" s="387"/>
      <c r="GB143" s="387"/>
      <c r="GC143" s="387"/>
      <c r="GD143" s="387"/>
      <c r="GE143" s="387"/>
      <c r="GF143" s="387"/>
      <c r="GG143" s="387"/>
      <c r="GH143" s="387"/>
      <c r="GI143" s="387"/>
      <c r="GJ143" s="387"/>
      <c r="GK143" s="387"/>
      <c r="GL143" s="387"/>
      <c r="GM143" s="387"/>
      <c r="GN143" s="387"/>
      <c r="GO143" s="387"/>
      <c r="GP143" s="387"/>
      <c r="GQ143" s="387"/>
      <c r="GR143" s="387"/>
      <c r="GS143" s="387"/>
      <c r="GT143" s="387"/>
      <c r="GU143" s="387"/>
      <c r="GV143" s="387"/>
      <c r="GW143" s="387"/>
      <c r="GX143" s="387"/>
      <c r="GY143" s="387"/>
      <c r="GZ143" s="387"/>
      <c r="HA143" s="387"/>
      <c r="HB143" s="387"/>
      <c r="HC143" s="387"/>
      <c r="HD143" s="387"/>
      <c r="HE143" s="387"/>
      <c r="HF143" s="387"/>
      <c r="HG143" s="387"/>
      <c r="HH143" s="387"/>
      <c r="HI143" s="387"/>
      <c r="HJ143" s="387"/>
      <c r="HK143" s="387"/>
      <c r="HL143" s="387"/>
      <c r="HM143" s="387"/>
      <c r="HN143" s="387"/>
      <c r="HO143" s="387"/>
      <c r="HP143" s="387"/>
      <c r="HQ143" s="387"/>
      <c r="HR143" s="387"/>
      <c r="HS143" s="387"/>
      <c r="HT143" s="387"/>
      <c r="HU143" s="387"/>
      <c r="HV143" s="387"/>
      <c r="HW143" s="387"/>
      <c r="HX143" s="387"/>
      <c r="HY143" s="387"/>
      <c r="HZ143" s="387"/>
      <c r="IA143" s="387"/>
      <c r="IB143" s="387"/>
      <c r="IC143" s="387"/>
      <c r="ID143" s="387"/>
      <c r="IE143" s="387"/>
      <c r="IF143" s="387"/>
      <c r="IG143" s="387"/>
      <c r="IH143" s="387"/>
      <c r="II143" s="387"/>
      <c r="IJ143" s="387"/>
      <c r="IK143" s="387"/>
      <c r="IL143" s="387"/>
      <c r="IM143" s="387"/>
      <c r="IN143" s="387"/>
      <c r="IO143" s="387"/>
      <c r="IP143" s="387"/>
      <c r="IQ143" s="387"/>
      <c r="IR143" s="387"/>
      <c r="IS143" s="387"/>
      <c r="IT143" s="387"/>
      <c r="IU143" s="387"/>
      <c r="IV143" s="387"/>
      <c r="IW143" s="387"/>
      <c r="IX143" s="387"/>
      <c r="IY143" s="387"/>
      <c r="IZ143" s="387"/>
      <c r="JA143" s="387"/>
      <c r="JB143" s="387"/>
      <c r="JC143" s="387"/>
      <c r="JD143" s="387"/>
      <c r="JE143" s="387"/>
      <c r="JF143" s="387"/>
      <c r="JG143" s="387"/>
      <c r="JH143" s="387"/>
      <c r="JI143" s="387"/>
      <c r="JJ143" s="387"/>
      <c r="JK143" s="387"/>
      <c r="JL143" s="387"/>
      <c r="JM143" s="387"/>
      <c r="JN143" s="387"/>
      <c r="JO143" s="387"/>
      <c r="JP143" s="387"/>
      <c r="JQ143" s="387"/>
      <c r="JR143" s="387"/>
      <c r="JS143" s="387"/>
      <c r="JT143" s="387"/>
      <c r="JU143" s="387"/>
      <c r="JV143" s="387"/>
      <c r="JW143" s="387"/>
      <c r="JX143" s="387"/>
      <c r="JY143" s="387"/>
      <c r="JZ143" s="387"/>
      <c r="KA143" s="387"/>
      <c r="KB143" s="387"/>
      <c r="KC143" s="387"/>
      <c r="KD143" s="387"/>
      <c r="KE143" s="387"/>
      <c r="KF143" s="387"/>
      <c r="KG143" s="387"/>
      <c r="KH143" s="387"/>
      <c r="KI143" s="387"/>
      <c r="KJ143" s="387"/>
      <c r="KK143" s="387"/>
      <c r="KL143" s="387"/>
      <c r="KM143" s="387"/>
      <c r="KN143" s="387"/>
      <c r="KO143" s="387"/>
      <c r="KP143" s="387"/>
      <c r="KQ143" s="387"/>
      <c r="KR143" s="387"/>
      <c r="KS143" s="387"/>
      <c r="KT143" s="387"/>
      <c r="KU143" s="387"/>
      <c r="KV143" s="387"/>
      <c r="KW143" s="387"/>
      <c r="KX143" s="387"/>
      <c r="KY143" s="387"/>
      <c r="KZ143" s="387"/>
      <c r="LA143" s="387"/>
      <c r="LB143" s="387"/>
      <c r="LC143" s="387"/>
      <c r="LD143" s="387"/>
      <c r="LE143" s="387"/>
      <c r="LF143" s="387"/>
      <c r="LG143" s="387"/>
      <c r="LH143" s="387"/>
      <c r="LI143" s="387"/>
      <c r="LJ143" s="387"/>
      <c r="LK143" s="387"/>
      <c r="LL143" s="387"/>
      <c r="LM143" s="387"/>
      <c r="LN143" s="387"/>
      <c r="LO143" s="387"/>
      <c r="LP143" s="387"/>
      <c r="LQ143" s="387"/>
      <c r="LR143" s="387"/>
      <c r="LS143" s="387"/>
      <c r="LT143" s="387"/>
      <c r="LU143" s="387"/>
      <c r="LV143" s="387"/>
      <c r="LW143" s="387"/>
      <c r="LX143" s="387"/>
      <c r="LY143" s="387"/>
      <c r="LZ143" s="387"/>
      <c r="MA143" s="387"/>
      <c r="MB143" s="387"/>
      <c r="MC143" s="387"/>
      <c r="MD143" s="387"/>
      <c r="ME143" s="387"/>
      <c r="MF143" s="387"/>
      <c r="MG143" s="387"/>
      <c r="MH143" s="387"/>
      <c r="MI143" s="387"/>
      <c r="MJ143" s="387"/>
      <c r="MK143" s="387"/>
      <c r="ML143" s="387"/>
      <c r="MM143" s="387"/>
      <c r="MN143" s="387"/>
      <c r="MO143" s="387"/>
      <c r="MP143" s="387"/>
      <c r="MQ143" s="387"/>
      <c r="MR143" s="387"/>
      <c r="MS143" s="387"/>
      <c r="MT143" s="387"/>
      <c r="MU143" s="387"/>
      <c r="MV143" s="387"/>
      <c r="MW143" s="387"/>
      <c r="MX143" s="387"/>
      <c r="MY143" s="387"/>
      <c r="MZ143" s="387"/>
      <c r="NA143" s="387"/>
      <c r="NB143" s="387"/>
      <c r="NC143" s="387"/>
      <c r="ND143" s="387"/>
      <c r="NE143" s="387"/>
      <c r="NF143" s="387"/>
      <c r="NG143" s="387"/>
      <c r="NH143" s="387"/>
      <c r="NI143" s="387"/>
      <c r="NJ143" s="387"/>
      <c r="NK143" s="387"/>
      <c r="NL143" s="387"/>
      <c r="NM143" s="387"/>
      <c r="NN143" s="387"/>
      <c r="NO143" s="387"/>
      <c r="NP143" s="387"/>
      <c r="NQ143" s="387"/>
      <c r="NR143" s="387"/>
      <c r="NS143" s="387"/>
      <c r="NT143" s="387"/>
      <c r="NU143" s="387"/>
      <c r="NV143" s="387"/>
      <c r="NW143" s="387"/>
      <c r="NX143" s="387"/>
      <c r="NY143" s="387"/>
      <c r="NZ143" s="387"/>
      <c r="OA143" s="387"/>
      <c r="OB143" s="387"/>
      <c r="OC143" s="387"/>
      <c r="OD143" s="387"/>
      <c r="OE143" s="387"/>
      <c r="OF143" s="387"/>
      <c r="OG143" s="387"/>
      <c r="OH143" s="387"/>
      <c r="OI143" s="387"/>
      <c r="OJ143" s="387"/>
      <c r="OK143" s="387"/>
      <c r="OL143" s="387"/>
      <c r="OM143" s="387"/>
      <c r="ON143" s="387"/>
      <c r="OO143" s="387"/>
      <c r="OP143" s="387"/>
      <c r="OQ143" s="387"/>
      <c r="OR143" s="387"/>
      <c r="OS143" s="387"/>
      <c r="OT143" s="387"/>
      <c r="OU143" s="387"/>
      <c r="OV143" s="387"/>
      <c r="OW143" s="387"/>
      <c r="OX143" s="387"/>
      <c r="OY143" s="387"/>
      <c r="OZ143" s="387"/>
      <c r="PA143" s="387"/>
      <c r="PB143" s="387"/>
      <c r="PC143" s="387"/>
      <c r="PD143" s="387"/>
      <c r="PE143" s="387"/>
      <c r="PF143" s="387"/>
      <c r="PG143" s="387"/>
      <c r="PH143" s="387"/>
      <c r="PI143" s="387"/>
      <c r="PJ143" s="387"/>
      <c r="PK143" s="387"/>
      <c r="PL143" s="387"/>
      <c r="PM143" s="387"/>
      <c r="PN143" s="387"/>
      <c r="PO143" s="387"/>
      <c r="PP143" s="387"/>
      <c r="PQ143" s="387"/>
      <c r="PR143" s="387"/>
      <c r="PS143" s="387"/>
      <c r="PT143" s="387"/>
      <c r="PU143" s="387"/>
      <c r="PV143" s="387"/>
      <c r="PW143" s="387"/>
      <c r="PX143" s="387"/>
      <c r="PY143" s="387"/>
      <c r="PZ143" s="387"/>
      <c r="QA143" s="387"/>
      <c r="QB143" s="387"/>
      <c r="QC143" s="387"/>
      <c r="QD143" s="387"/>
      <c r="QE143" s="387"/>
      <c r="QF143" s="387"/>
      <c r="QG143" s="387"/>
      <c r="QH143" s="387"/>
      <c r="QI143" s="387"/>
      <c r="QJ143" s="387"/>
      <c r="QK143" s="387"/>
      <c r="QL143" s="387"/>
      <c r="QM143" s="387"/>
      <c r="QN143" s="387"/>
      <c r="QO143" s="387"/>
      <c r="QP143" s="387"/>
      <c r="QQ143" s="387"/>
      <c r="QR143" s="387"/>
      <c r="QS143" s="387"/>
      <c r="QT143" s="387"/>
      <c r="QU143" s="387"/>
      <c r="QV143" s="387"/>
      <c r="QW143" s="387"/>
      <c r="QX143" s="387"/>
      <c r="QY143" s="387"/>
      <c r="QZ143" s="387"/>
      <c r="RA143" s="387"/>
      <c r="RB143" s="387"/>
      <c r="RC143" s="387"/>
      <c r="RD143" s="387"/>
      <c r="RE143" s="387"/>
      <c r="RF143" s="387"/>
      <c r="RG143" s="387"/>
      <c r="RH143" s="387"/>
      <c r="RI143" s="387"/>
      <c r="RJ143" s="387"/>
      <c r="RK143" s="387"/>
      <c r="RL143" s="387"/>
      <c r="RM143" s="387"/>
      <c r="RN143" s="387"/>
      <c r="RO143" s="387"/>
      <c r="RP143" s="387"/>
      <c r="RQ143" s="387"/>
      <c r="RR143" s="387"/>
      <c r="RS143" s="387"/>
      <c r="RT143" s="387"/>
      <c r="RU143" s="387"/>
      <c r="RV143" s="387"/>
      <c r="RW143" s="387"/>
      <c r="RX143" s="387"/>
      <c r="RY143" s="387"/>
      <c r="RZ143" s="387"/>
      <c r="SA143" s="387"/>
      <c r="SB143" s="387"/>
      <c r="SC143" s="387"/>
      <c r="SD143" s="387"/>
      <c r="SE143" s="387"/>
      <c r="SF143" s="387"/>
      <c r="SG143" s="387"/>
      <c r="SH143" s="387"/>
      <c r="SI143" s="387"/>
      <c r="SJ143" s="387"/>
      <c r="SK143" s="387"/>
      <c r="SL143" s="387"/>
      <c r="SM143" s="387"/>
      <c r="SN143" s="387"/>
      <c r="SO143" s="387"/>
      <c r="SP143" s="387"/>
      <c r="SQ143" s="387"/>
      <c r="SR143" s="387"/>
      <c r="SS143" s="387"/>
      <c r="ST143" s="387"/>
      <c r="SU143" s="387"/>
      <c r="SV143" s="387"/>
      <c r="SW143" s="387"/>
      <c r="SX143" s="387"/>
      <c r="SY143" s="387"/>
      <c r="SZ143" s="387"/>
      <c r="TA143" s="387"/>
      <c r="TB143" s="387"/>
      <c r="TC143" s="387"/>
      <c r="TD143" s="387"/>
      <c r="TE143" s="387"/>
      <c r="TF143" s="387"/>
      <c r="TG143" s="387"/>
      <c r="TH143" s="387"/>
      <c r="TI143" s="387"/>
      <c r="TJ143" s="387"/>
      <c r="TK143" s="387"/>
      <c r="TL143" s="387"/>
      <c r="TM143" s="387"/>
      <c r="TN143" s="387"/>
      <c r="TO143" s="387"/>
      <c r="TP143" s="387"/>
      <c r="TQ143" s="387"/>
      <c r="TR143" s="387"/>
      <c r="TS143" s="387"/>
      <c r="TT143" s="387"/>
      <c r="TU143" s="387"/>
      <c r="TV143" s="387"/>
      <c r="TW143" s="387"/>
      <c r="TX143" s="387"/>
      <c r="TY143" s="387"/>
      <c r="TZ143" s="387"/>
      <c r="UA143" s="387"/>
      <c r="UB143" s="387"/>
      <c r="UC143" s="387"/>
      <c r="UD143" s="387"/>
      <c r="UE143" s="387"/>
      <c r="UF143" s="387"/>
      <c r="UG143" s="387"/>
      <c r="UH143" s="387"/>
      <c r="UI143" s="387"/>
      <c r="UJ143" s="387"/>
      <c r="UK143" s="387"/>
      <c r="UL143" s="387"/>
      <c r="UM143" s="387"/>
      <c r="UN143" s="387"/>
      <c r="UO143" s="387"/>
      <c r="UP143" s="387"/>
      <c r="UQ143" s="387"/>
      <c r="UR143" s="387"/>
      <c r="US143" s="387"/>
      <c r="UT143" s="387"/>
      <c r="UU143" s="387"/>
      <c r="UV143" s="387"/>
      <c r="UW143" s="387"/>
      <c r="UX143" s="387"/>
      <c r="UY143" s="387"/>
      <c r="UZ143" s="387"/>
      <c r="VA143" s="387"/>
      <c r="VB143" s="387"/>
      <c r="VC143" s="387"/>
      <c r="VD143" s="387"/>
      <c r="VE143" s="387"/>
      <c r="VF143" s="387"/>
      <c r="VG143" s="387"/>
      <c r="VH143" s="387"/>
      <c r="VI143" s="387"/>
      <c r="VJ143" s="387"/>
      <c r="VK143" s="387"/>
      <c r="VL143" s="387"/>
      <c r="VM143" s="387"/>
      <c r="VN143" s="387"/>
      <c r="VO143" s="387"/>
      <c r="VP143" s="387"/>
      <c r="VQ143" s="387"/>
      <c r="VR143" s="387"/>
      <c r="VS143" s="387"/>
      <c r="VT143" s="387"/>
      <c r="VU143" s="387"/>
      <c r="VV143" s="387"/>
      <c r="VW143" s="387"/>
      <c r="VX143" s="387"/>
      <c r="VY143" s="387"/>
      <c r="VZ143" s="387"/>
      <c r="WA143" s="387"/>
      <c r="WB143" s="387"/>
      <c r="WC143" s="387"/>
      <c r="WD143" s="387"/>
      <c r="WE143" s="387"/>
      <c r="WF143" s="387"/>
      <c r="WG143" s="387"/>
      <c r="WH143" s="387"/>
      <c r="WI143" s="387"/>
      <c r="WJ143" s="387"/>
      <c r="WK143" s="387"/>
      <c r="WL143" s="387"/>
      <c r="WM143" s="387"/>
      <c r="WN143" s="387"/>
      <c r="WO143" s="387"/>
      <c r="WP143" s="387"/>
      <c r="WQ143" s="387"/>
      <c r="WR143" s="387"/>
      <c r="WS143" s="387"/>
      <c r="WT143" s="387"/>
      <c r="WU143" s="387"/>
      <c r="WV143" s="387"/>
      <c r="WW143" s="387"/>
      <c r="WX143" s="387"/>
      <c r="WY143" s="387"/>
      <c r="WZ143" s="387"/>
      <c r="XA143" s="387"/>
      <c r="XB143" s="387"/>
      <c r="XC143" s="387"/>
      <c r="XD143" s="387"/>
      <c r="XE143" s="387"/>
      <c r="XF143" s="387"/>
      <c r="XG143" s="387"/>
      <c r="XH143" s="387"/>
      <c r="XI143" s="387"/>
      <c r="XJ143" s="387"/>
      <c r="XK143" s="387"/>
      <c r="XL143" s="387"/>
      <c r="XM143" s="387"/>
      <c r="XN143" s="387"/>
      <c r="XO143" s="387"/>
      <c r="XP143" s="387"/>
      <c r="XQ143" s="387"/>
      <c r="XR143" s="387"/>
      <c r="XS143" s="387"/>
      <c r="XT143" s="387"/>
      <c r="XU143" s="387"/>
      <c r="XV143" s="387"/>
      <c r="XW143" s="387"/>
      <c r="XX143" s="387"/>
      <c r="XY143" s="387"/>
      <c r="XZ143" s="387"/>
      <c r="YA143" s="387"/>
      <c r="YB143" s="387"/>
      <c r="YC143" s="387"/>
      <c r="YD143" s="387"/>
      <c r="YE143" s="387"/>
      <c r="YF143" s="387"/>
      <c r="YG143" s="387"/>
      <c r="YH143" s="387"/>
      <c r="YI143" s="387"/>
      <c r="YJ143" s="387"/>
      <c r="YK143" s="387"/>
      <c r="YL143" s="387"/>
      <c r="YM143" s="387"/>
      <c r="YN143" s="387"/>
      <c r="YO143" s="387"/>
      <c r="YP143" s="387"/>
      <c r="YQ143" s="387"/>
      <c r="YR143" s="387"/>
      <c r="YS143" s="387"/>
      <c r="YT143" s="387"/>
      <c r="YU143" s="387"/>
      <c r="YV143" s="387"/>
      <c r="YW143" s="387"/>
      <c r="YX143" s="387"/>
      <c r="YY143" s="387"/>
      <c r="YZ143" s="387"/>
      <c r="ZA143" s="387"/>
      <c r="ZB143" s="387"/>
      <c r="ZC143" s="387"/>
      <c r="ZD143" s="387"/>
      <c r="ZE143" s="387"/>
      <c r="ZF143" s="387"/>
      <c r="ZG143" s="387"/>
      <c r="ZH143" s="387"/>
      <c r="ZI143" s="387"/>
      <c r="ZJ143" s="387"/>
      <c r="ZK143" s="387"/>
      <c r="ZL143" s="387"/>
      <c r="ZM143" s="387"/>
      <c r="ZN143" s="387"/>
      <c r="ZO143" s="387"/>
      <c r="ZP143" s="387"/>
      <c r="ZQ143" s="387"/>
      <c r="ZR143" s="387"/>
      <c r="ZS143" s="387"/>
      <c r="ZT143" s="387"/>
      <c r="ZU143" s="387"/>
      <c r="ZV143" s="387"/>
      <c r="ZW143" s="387"/>
      <c r="ZX143" s="387"/>
      <c r="ZY143" s="387"/>
      <c r="ZZ143" s="387"/>
      <c r="AAA143" s="387"/>
      <c r="AAB143" s="387"/>
      <c r="AAC143" s="387"/>
      <c r="AAD143" s="387"/>
      <c r="AAE143" s="387"/>
      <c r="AAF143" s="387"/>
      <c r="AAG143" s="387"/>
      <c r="AAH143" s="387"/>
      <c r="AAI143" s="387"/>
      <c r="AAJ143" s="387"/>
      <c r="AAK143" s="387"/>
      <c r="AAL143" s="387"/>
      <c r="AAM143" s="387"/>
      <c r="AAN143" s="387"/>
      <c r="AAO143" s="387"/>
      <c r="AAP143" s="387"/>
      <c r="AAQ143" s="387"/>
      <c r="AAR143" s="387"/>
      <c r="AAS143" s="387"/>
      <c r="AAT143" s="387"/>
      <c r="AAU143" s="387"/>
      <c r="AAV143" s="387"/>
      <c r="AAW143" s="387"/>
      <c r="AAX143" s="387"/>
      <c r="AAY143" s="387"/>
      <c r="AAZ143" s="387"/>
      <c r="ABA143" s="387"/>
      <c r="ABB143" s="387"/>
      <c r="ABC143" s="387"/>
      <c r="ABD143" s="387"/>
      <c r="ABE143" s="387"/>
      <c r="ABF143" s="387"/>
      <c r="ABG143" s="387"/>
      <c r="ABH143" s="387"/>
      <c r="ABI143" s="387"/>
      <c r="ABJ143" s="387"/>
      <c r="ABK143" s="387"/>
      <c r="ABL143" s="387"/>
      <c r="ABM143" s="387"/>
      <c r="ABN143" s="387"/>
      <c r="ABO143" s="387"/>
      <c r="ABP143" s="387"/>
      <c r="ABQ143" s="387"/>
      <c r="ABR143" s="387"/>
      <c r="ABS143" s="387"/>
      <c r="ABT143" s="387"/>
      <c r="ABU143" s="387"/>
      <c r="ABV143" s="387"/>
      <c r="ABW143" s="387"/>
      <c r="ABX143" s="387"/>
      <c r="ABY143" s="387"/>
      <c r="ABZ143" s="387"/>
      <c r="ACA143" s="387"/>
      <c r="ACB143" s="387"/>
      <c r="ACC143" s="387"/>
      <c r="ACD143" s="387"/>
      <c r="ACE143" s="387"/>
      <c r="ACF143" s="387"/>
      <c r="ACG143" s="387"/>
      <c r="ACH143" s="387"/>
      <c r="ACI143" s="387"/>
      <c r="ACJ143" s="387"/>
      <c r="ACK143" s="387"/>
      <c r="ACL143" s="387"/>
      <c r="ACM143" s="387"/>
      <c r="ACN143" s="387"/>
      <c r="ACO143" s="387"/>
      <c r="ACP143" s="387"/>
      <c r="ACQ143" s="387"/>
      <c r="ACR143" s="387"/>
      <c r="ACS143" s="387"/>
      <c r="ACT143" s="387"/>
      <c r="ACU143" s="387"/>
      <c r="ACV143" s="387"/>
      <c r="ACW143" s="387"/>
      <c r="ACX143" s="387"/>
      <c r="ACY143" s="387"/>
      <c r="ACZ143" s="387"/>
      <c r="ADA143" s="387"/>
      <c r="ADB143" s="387"/>
      <c r="ADC143" s="387"/>
      <c r="ADD143" s="387"/>
      <c r="ADE143" s="387"/>
      <c r="ADF143" s="387"/>
      <c r="ADG143" s="387"/>
      <c r="ADH143" s="387"/>
      <c r="ADI143" s="387"/>
      <c r="ADJ143" s="387"/>
      <c r="ADK143" s="387"/>
      <c r="ADL143" s="387"/>
      <c r="ADM143" s="387"/>
      <c r="ADN143" s="387"/>
      <c r="ADO143" s="387"/>
      <c r="ADP143" s="387"/>
      <c r="ADQ143" s="387"/>
      <c r="ADR143" s="387"/>
      <c r="ADS143" s="387"/>
      <c r="ADT143" s="387"/>
      <c r="ADU143" s="387"/>
      <c r="ADV143" s="387"/>
      <c r="ADW143" s="387"/>
      <c r="ADX143" s="387"/>
      <c r="ADY143" s="387"/>
      <c r="ADZ143" s="387"/>
      <c r="AEA143" s="387"/>
      <c r="AEB143" s="387"/>
      <c r="AEC143" s="387"/>
      <c r="AED143" s="387"/>
      <c r="AEE143" s="387"/>
      <c r="AEF143" s="387"/>
      <c r="AEG143" s="387"/>
      <c r="AEH143" s="387"/>
      <c r="AEI143" s="387"/>
      <c r="AEJ143" s="387"/>
      <c r="AEK143" s="387"/>
      <c r="AEL143" s="387"/>
      <c r="AEM143" s="387"/>
      <c r="AEN143" s="387"/>
      <c r="AEO143" s="387"/>
      <c r="AEP143" s="387"/>
      <c r="AEQ143" s="387"/>
      <c r="AER143" s="387"/>
      <c r="AES143" s="387"/>
      <c r="AET143" s="387"/>
      <c r="AEU143" s="387"/>
      <c r="AEV143" s="387"/>
      <c r="AEW143" s="387"/>
      <c r="AEX143" s="387"/>
      <c r="AEY143" s="387"/>
      <c r="AEZ143" s="387"/>
      <c r="AFA143" s="387"/>
      <c r="AFB143" s="387"/>
      <c r="AFC143" s="387"/>
      <c r="AFD143" s="387"/>
      <c r="AFE143" s="387"/>
      <c r="AFF143" s="387"/>
      <c r="AFG143" s="387"/>
      <c r="AFH143" s="387"/>
      <c r="AFI143" s="387"/>
      <c r="AFJ143" s="387"/>
      <c r="AFK143" s="387"/>
      <c r="AFL143" s="387"/>
      <c r="AFM143" s="387"/>
      <c r="AFN143" s="387"/>
      <c r="AFO143" s="387"/>
      <c r="AFP143" s="387"/>
      <c r="AFQ143" s="387"/>
      <c r="AFR143" s="387"/>
      <c r="AFS143" s="387"/>
      <c r="AFT143" s="387"/>
      <c r="AFU143" s="387"/>
      <c r="AFV143" s="387"/>
      <c r="AFW143" s="387"/>
      <c r="AFX143" s="387"/>
      <c r="AFY143" s="387"/>
      <c r="AFZ143" s="387"/>
      <c r="AGA143" s="387"/>
      <c r="AGB143" s="387"/>
      <c r="AGC143" s="387"/>
      <c r="AGD143" s="387"/>
      <c r="AGE143" s="387"/>
      <c r="AGF143" s="387"/>
      <c r="AGG143" s="387"/>
      <c r="AGH143" s="387"/>
      <c r="AGI143" s="387"/>
      <c r="AGJ143" s="387"/>
      <c r="AGK143" s="387"/>
      <c r="AGL143" s="387"/>
      <c r="AGM143" s="387"/>
      <c r="AGN143" s="387"/>
      <c r="AGO143" s="387"/>
      <c r="AGP143" s="387"/>
      <c r="AGQ143" s="387"/>
      <c r="AGR143" s="387"/>
      <c r="AGS143" s="387"/>
      <c r="AGT143" s="387"/>
      <c r="AGU143" s="387"/>
      <c r="AGV143" s="387"/>
      <c r="AGW143" s="387"/>
      <c r="AGX143" s="387"/>
      <c r="AGY143" s="387"/>
      <c r="AGZ143" s="387"/>
      <c r="AHA143" s="387"/>
      <c r="AHB143" s="387"/>
      <c r="AHC143" s="387"/>
      <c r="AHD143" s="387"/>
      <c r="AHE143" s="387"/>
      <c r="AHF143" s="387"/>
      <c r="AHG143" s="387"/>
      <c r="AHH143" s="387"/>
      <c r="AHI143" s="387"/>
      <c r="AHJ143" s="387"/>
      <c r="AHK143" s="387"/>
      <c r="AHL143" s="387"/>
      <c r="AHM143" s="387"/>
      <c r="AHN143" s="387"/>
      <c r="AHO143" s="387"/>
      <c r="AHP143" s="387"/>
      <c r="AHQ143" s="387"/>
      <c r="AHR143" s="387"/>
      <c r="AHS143" s="387"/>
      <c r="AHT143" s="387"/>
      <c r="AHU143" s="387"/>
      <c r="AHV143" s="387"/>
      <c r="AHW143" s="387"/>
      <c r="AHX143" s="387"/>
      <c r="AHY143" s="387"/>
      <c r="AHZ143" s="387"/>
      <c r="AIA143" s="387"/>
      <c r="AIB143" s="387"/>
      <c r="AIC143" s="387"/>
      <c r="AID143" s="387"/>
      <c r="AIE143" s="387"/>
      <c r="AIF143" s="387"/>
      <c r="AIG143" s="387"/>
      <c r="AIH143" s="387"/>
      <c r="AII143" s="387"/>
      <c r="AIJ143" s="387"/>
      <c r="AIK143" s="387"/>
      <c r="AIL143" s="387"/>
      <c r="AIM143" s="387"/>
      <c r="AIN143" s="387"/>
      <c r="AIO143" s="387"/>
      <c r="AIP143" s="387"/>
      <c r="AIQ143" s="387"/>
      <c r="AIR143" s="387"/>
      <c r="AIS143" s="387"/>
      <c r="AIT143" s="387"/>
      <c r="AIU143" s="387"/>
      <c r="AIV143" s="387"/>
      <c r="AIW143" s="387"/>
      <c r="AIX143" s="387"/>
      <c r="AIY143" s="387"/>
      <c r="AIZ143" s="387"/>
      <c r="AJA143" s="387"/>
      <c r="AJB143" s="387"/>
      <c r="AJC143" s="387"/>
      <c r="AJD143" s="387"/>
      <c r="AJE143" s="387"/>
      <c r="AJF143" s="387"/>
      <c r="AJG143" s="387"/>
      <c r="AJH143" s="387"/>
      <c r="AJI143" s="387"/>
      <c r="AJJ143" s="387"/>
      <c r="AJK143" s="387"/>
      <c r="AJL143" s="387"/>
      <c r="AJM143" s="387"/>
      <c r="AJN143" s="387"/>
      <c r="AJO143" s="387"/>
      <c r="AJP143" s="387"/>
      <c r="AJQ143" s="387"/>
      <c r="AJR143" s="387"/>
      <c r="AJS143" s="387"/>
      <c r="AJT143" s="387"/>
      <c r="AJU143" s="387"/>
      <c r="AJV143" s="387"/>
      <c r="AJW143" s="387"/>
      <c r="AJX143" s="387"/>
      <c r="AJY143" s="387"/>
      <c r="AJZ143" s="387"/>
      <c r="AKA143" s="387"/>
      <c r="AKB143" s="387"/>
      <c r="AKC143" s="387"/>
      <c r="AKD143" s="387"/>
      <c r="AKE143" s="387"/>
      <c r="AKF143" s="387"/>
      <c r="AKG143" s="387"/>
      <c r="AKH143" s="387"/>
      <c r="AKI143" s="387"/>
      <c r="AKJ143" s="387"/>
      <c r="AKK143" s="387"/>
      <c r="AKL143" s="387"/>
      <c r="AKM143" s="387"/>
      <c r="AKN143" s="387"/>
      <c r="AKO143" s="387"/>
      <c r="AKP143" s="387"/>
      <c r="AKQ143" s="387"/>
      <c r="AKR143" s="387"/>
      <c r="AKS143" s="387"/>
      <c r="AKT143" s="387"/>
      <c r="AKU143" s="387"/>
      <c r="AKV143" s="387"/>
      <c r="AKW143" s="387"/>
      <c r="AKX143" s="387"/>
      <c r="AKY143" s="387"/>
      <c r="AKZ143" s="387"/>
      <c r="ALA143" s="387"/>
      <c r="ALB143" s="387"/>
      <c r="ALC143" s="387"/>
      <c r="ALD143" s="387"/>
      <c r="ALE143" s="387"/>
      <c r="ALF143" s="387"/>
      <c r="ALG143" s="387"/>
      <c r="ALH143" s="387"/>
      <c r="ALI143" s="387"/>
      <c r="ALJ143" s="387"/>
      <c r="ALK143" s="387"/>
      <c r="ALL143" s="387"/>
      <c r="ALM143" s="387"/>
      <c r="ALN143" s="387"/>
      <c r="ALO143" s="387"/>
      <c r="ALP143" s="387"/>
      <c r="ALQ143" s="387"/>
      <c r="ALR143" s="387"/>
      <c r="ALS143" s="387"/>
      <c r="ALT143" s="387"/>
      <c r="ALU143" s="387"/>
      <c r="ALV143" s="387"/>
      <c r="ALW143" s="387"/>
      <c r="ALX143" s="387"/>
      <c r="ALY143" s="387"/>
      <c r="ALZ143" s="387"/>
      <c r="AMA143" s="387"/>
      <c r="AMB143" s="387"/>
      <c r="AMC143" s="387"/>
      <c r="AMD143" s="387"/>
      <c r="AME143" s="387"/>
      <c r="AMF143" s="387"/>
      <c r="AMG143" s="387"/>
      <c r="AMH143" s="387"/>
      <c r="AMI143" s="387"/>
      <c r="AMJ143" s="387"/>
      <c r="AMK143" s="387"/>
      <c r="AML143" s="387"/>
      <c r="AMM143" s="387"/>
      <c r="AMN143" s="387"/>
      <c r="AMO143" s="387"/>
      <c r="AMP143" s="387"/>
      <c r="AMQ143" s="387"/>
      <c r="AMR143" s="387"/>
      <c r="AMS143" s="387"/>
      <c r="AMT143" s="387"/>
      <c r="AMU143" s="387"/>
      <c r="AMV143" s="387"/>
      <c r="AMW143" s="387"/>
      <c r="AMX143" s="387"/>
      <c r="AMY143" s="387"/>
      <c r="AMZ143" s="387"/>
      <c r="ANA143" s="387"/>
      <c r="ANB143" s="387"/>
      <c r="ANC143" s="387"/>
      <c r="AND143" s="387"/>
      <c r="ANE143" s="387"/>
      <c r="ANF143" s="387"/>
      <c r="ANG143" s="387"/>
      <c r="ANH143" s="387"/>
      <c r="ANI143" s="387"/>
      <c r="ANJ143" s="387"/>
      <c r="ANK143" s="387"/>
      <c r="ANL143" s="387"/>
      <c r="ANM143" s="387"/>
      <c r="ANN143" s="387"/>
      <c r="ANO143" s="387"/>
      <c r="ANP143" s="387"/>
      <c r="ANQ143" s="387"/>
      <c r="ANR143" s="387"/>
      <c r="ANS143" s="387"/>
      <c r="ANT143" s="387"/>
      <c r="ANU143" s="387"/>
      <c r="ANV143" s="387"/>
      <c r="ANW143" s="387"/>
      <c r="ANX143" s="387"/>
      <c r="ANY143" s="387"/>
      <c r="ANZ143" s="387"/>
      <c r="AOA143" s="387"/>
      <c r="AOB143" s="387"/>
      <c r="AOC143" s="387"/>
      <c r="AOD143" s="387"/>
      <c r="AOE143" s="387"/>
      <c r="AOF143" s="387"/>
      <c r="AOG143" s="387"/>
      <c r="AOH143" s="387"/>
      <c r="AOI143" s="387"/>
      <c r="AOJ143" s="387"/>
      <c r="AOK143" s="387"/>
      <c r="AOL143" s="387"/>
      <c r="AOM143" s="387"/>
      <c r="AON143" s="387"/>
      <c r="AOO143" s="387"/>
      <c r="AOP143" s="387"/>
      <c r="AOQ143" s="387"/>
      <c r="AOR143" s="387"/>
      <c r="AOS143" s="387"/>
      <c r="AOT143" s="387"/>
      <c r="AOU143" s="387"/>
      <c r="AOV143" s="387"/>
      <c r="AOW143" s="387"/>
      <c r="AOX143" s="387"/>
      <c r="AOY143" s="387"/>
      <c r="AOZ143" s="387"/>
      <c r="APA143" s="387"/>
      <c r="APB143" s="387"/>
      <c r="APC143" s="387"/>
      <c r="APD143" s="387"/>
      <c r="APE143" s="387"/>
      <c r="APF143" s="387"/>
      <c r="APG143" s="387"/>
      <c r="APH143" s="387"/>
      <c r="API143" s="387"/>
      <c r="APJ143" s="387"/>
      <c r="APK143" s="387"/>
      <c r="APL143" s="387"/>
      <c r="APM143" s="387"/>
      <c r="APN143" s="387"/>
      <c r="APO143" s="387"/>
      <c r="APP143" s="387"/>
      <c r="APQ143" s="387"/>
      <c r="APR143" s="387"/>
      <c r="APS143" s="387"/>
      <c r="APT143" s="387"/>
      <c r="APU143" s="387"/>
      <c r="APV143" s="387"/>
      <c r="APW143" s="387"/>
      <c r="APX143" s="387"/>
      <c r="APY143" s="387"/>
      <c r="APZ143" s="387"/>
      <c r="AQA143" s="387"/>
      <c r="AQB143" s="387"/>
      <c r="AQC143" s="387"/>
      <c r="AQD143" s="387"/>
      <c r="AQE143" s="387"/>
      <c r="AQF143" s="387"/>
      <c r="AQG143" s="387"/>
      <c r="AQH143" s="387"/>
      <c r="AQI143" s="387"/>
      <c r="AQJ143" s="387"/>
      <c r="AQK143" s="387"/>
      <c r="AQL143" s="387"/>
      <c r="AQM143" s="387"/>
      <c r="AQN143" s="387"/>
      <c r="AQO143" s="387"/>
      <c r="AQP143" s="387"/>
      <c r="AQQ143" s="387"/>
      <c r="AQR143" s="387"/>
      <c r="AQS143" s="387"/>
      <c r="AQT143" s="387"/>
      <c r="AQU143" s="387"/>
      <c r="AQV143" s="387"/>
      <c r="AQW143" s="387"/>
      <c r="AQX143" s="387"/>
      <c r="AQY143" s="387"/>
      <c r="AQZ143" s="387"/>
      <c r="ARA143" s="387"/>
      <c r="ARB143" s="387"/>
      <c r="ARC143" s="387"/>
      <c r="ARD143" s="387"/>
      <c r="ARE143" s="387"/>
      <c r="ARF143" s="387"/>
      <c r="ARG143" s="387"/>
      <c r="ARH143" s="387"/>
      <c r="ARI143" s="387"/>
      <c r="ARJ143" s="387"/>
      <c r="ARK143" s="387"/>
      <c r="ARL143" s="387"/>
      <c r="ARM143" s="387"/>
      <c r="ARN143" s="387"/>
      <c r="ARO143" s="387"/>
      <c r="ARP143" s="387"/>
      <c r="ARQ143" s="387"/>
      <c r="ARR143" s="387"/>
      <c r="ARS143" s="387"/>
      <c r="ART143" s="387"/>
      <c r="ARU143" s="387"/>
      <c r="ARV143" s="387"/>
      <c r="ARW143" s="387"/>
      <c r="ARX143" s="387"/>
      <c r="ARY143" s="387"/>
      <c r="ARZ143" s="387"/>
      <c r="ASA143" s="387"/>
      <c r="ASB143" s="387"/>
      <c r="ASC143" s="387"/>
      <c r="ASD143" s="387"/>
      <c r="ASE143" s="387"/>
      <c r="ASF143" s="387"/>
      <c r="ASG143" s="387"/>
      <c r="ASH143" s="387"/>
      <c r="ASI143" s="387"/>
      <c r="ASJ143" s="387"/>
      <c r="ASK143" s="387"/>
      <c r="ASL143" s="387"/>
      <c r="ASM143" s="387"/>
      <c r="ASN143" s="387"/>
      <c r="ASO143" s="387"/>
      <c r="ASP143" s="387"/>
      <c r="ASQ143" s="387"/>
      <c r="ASR143" s="387"/>
      <c r="ASS143" s="387"/>
      <c r="AST143" s="387"/>
      <c r="ASU143" s="387"/>
      <c r="ASV143" s="387"/>
      <c r="ASW143" s="387"/>
      <c r="ASX143" s="387"/>
      <c r="ASY143" s="387"/>
      <c r="ASZ143" s="387"/>
      <c r="ATA143" s="387"/>
      <c r="ATB143" s="387"/>
      <c r="ATC143" s="387"/>
      <c r="ATD143" s="387"/>
      <c r="ATE143" s="387"/>
      <c r="ATF143" s="387"/>
      <c r="ATG143" s="387"/>
      <c r="ATH143" s="387"/>
      <c r="ATI143" s="387"/>
      <c r="ATJ143" s="387"/>
      <c r="ATK143" s="387"/>
      <c r="ATL143" s="387"/>
      <c r="ATM143" s="387"/>
      <c r="ATN143" s="387"/>
      <c r="ATO143" s="387"/>
      <c r="ATP143" s="387"/>
      <c r="ATQ143" s="387"/>
      <c r="ATR143" s="387"/>
      <c r="ATS143" s="387"/>
      <c r="ATT143" s="387"/>
      <c r="ATU143" s="387"/>
      <c r="ATV143" s="387"/>
      <c r="ATW143" s="387"/>
      <c r="ATX143" s="387"/>
      <c r="ATY143" s="387"/>
      <c r="ATZ143" s="387"/>
      <c r="AUA143" s="387"/>
      <c r="AUB143" s="387"/>
      <c r="AUC143" s="387"/>
      <c r="AUD143" s="387"/>
      <c r="AUE143" s="387"/>
      <c r="AUF143" s="387"/>
      <c r="AUG143" s="387"/>
      <c r="AUH143" s="387"/>
      <c r="AUI143" s="387"/>
      <c r="AUJ143" s="387"/>
      <c r="AUK143" s="387"/>
      <c r="AUL143" s="387"/>
      <c r="AUM143" s="387"/>
      <c r="AUN143" s="387"/>
      <c r="AUO143" s="387"/>
      <c r="AUP143" s="387"/>
      <c r="AUQ143" s="387"/>
      <c r="AUR143" s="387"/>
      <c r="AUS143" s="387"/>
      <c r="AUT143" s="387"/>
      <c r="AUU143" s="387"/>
      <c r="AUV143" s="387"/>
      <c r="AUW143" s="387"/>
      <c r="AUX143" s="387"/>
      <c r="AUY143" s="387"/>
      <c r="AUZ143" s="387"/>
      <c r="AVA143" s="387"/>
      <c r="AVB143" s="387"/>
      <c r="AVC143" s="387"/>
      <c r="AVD143" s="387"/>
      <c r="AVE143" s="387"/>
      <c r="AVF143" s="387"/>
      <c r="AVG143" s="387"/>
      <c r="AVH143" s="387"/>
      <c r="AVI143" s="387"/>
      <c r="AVJ143" s="387"/>
      <c r="AVK143" s="387"/>
      <c r="AVL143" s="387"/>
      <c r="AVM143" s="387"/>
      <c r="AVN143" s="387"/>
      <c r="AVO143" s="387"/>
      <c r="AVP143" s="387"/>
      <c r="AVQ143" s="387"/>
      <c r="AVR143" s="387"/>
      <c r="AVS143" s="387"/>
      <c r="AVT143" s="387"/>
      <c r="AVU143" s="387"/>
      <c r="AVV143" s="387"/>
      <c r="AVW143" s="387"/>
      <c r="AVX143" s="387"/>
      <c r="AVY143" s="387"/>
      <c r="AVZ143" s="387"/>
      <c r="AWA143" s="387"/>
      <c r="AWB143" s="387"/>
      <c r="AWC143" s="387"/>
      <c r="AWD143" s="387"/>
      <c r="AWE143" s="387"/>
      <c r="AWF143" s="387"/>
      <c r="AWG143" s="387"/>
      <c r="AWH143" s="387"/>
      <c r="AWI143" s="387"/>
      <c r="AWJ143" s="387"/>
      <c r="AWK143" s="387"/>
      <c r="AWL143" s="387"/>
      <c r="AWM143" s="387"/>
      <c r="AWN143" s="387"/>
      <c r="AWO143" s="387"/>
      <c r="AWP143" s="387"/>
      <c r="AWQ143" s="387"/>
      <c r="AWR143" s="387"/>
      <c r="AWS143" s="387"/>
      <c r="AWT143" s="387"/>
      <c r="AWU143" s="387"/>
      <c r="AWV143" s="387"/>
      <c r="AWW143" s="387"/>
      <c r="AWX143" s="387"/>
      <c r="AWY143" s="387"/>
      <c r="AWZ143" s="387"/>
      <c r="AXA143" s="387"/>
      <c r="AXB143" s="387"/>
      <c r="AXC143" s="387"/>
      <c r="AXD143" s="387"/>
      <c r="AXE143" s="387"/>
      <c r="AXF143" s="387"/>
      <c r="AXG143" s="387"/>
      <c r="AXH143" s="387"/>
      <c r="AXI143" s="387"/>
      <c r="AXJ143" s="387"/>
      <c r="AXK143" s="387"/>
      <c r="AXL143" s="387"/>
      <c r="AXM143" s="387"/>
      <c r="AXN143" s="387"/>
      <c r="AXO143" s="387"/>
      <c r="AXP143" s="387"/>
      <c r="AXQ143" s="387"/>
      <c r="AXR143" s="387"/>
      <c r="AXS143" s="387"/>
      <c r="AXT143" s="387"/>
      <c r="AXU143" s="387"/>
      <c r="AXV143" s="387"/>
      <c r="AXW143" s="387"/>
      <c r="AXX143" s="387"/>
      <c r="AXY143" s="387"/>
      <c r="AXZ143" s="387"/>
      <c r="AYA143" s="387"/>
      <c r="AYB143" s="387"/>
      <c r="AYC143" s="387"/>
      <c r="AYD143" s="387"/>
      <c r="AYE143" s="387"/>
      <c r="AYF143" s="387"/>
      <c r="AYG143" s="387"/>
      <c r="AYH143" s="387"/>
      <c r="AYI143" s="387"/>
      <c r="AYJ143" s="387"/>
      <c r="AYK143" s="387"/>
      <c r="AYL143" s="387"/>
      <c r="AYM143" s="387"/>
      <c r="AYN143" s="387"/>
      <c r="AYO143" s="387"/>
      <c r="AYP143" s="387"/>
      <c r="AYQ143" s="387"/>
      <c r="AYR143" s="387"/>
      <c r="AYS143" s="387"/>
      <c r="AYT143" s="387"/>
      <c r="AYU143" s="387"/>
      <c r="AYV143" s="387"/>
      <c r="AYW143" s="387"/>
      <c r="AYX143" s="387"/>
      <c r="AYY143" s="387"/>
      <c r="AYZ143" s="387"/>
      <c r="AZA143" s="387"/>
      <c r="AZB143" s="387"/>
      <c r="AZC143" s="387"/>
      <c r="AZD143" s="387"/>
      <c r="AZE143" s="387"/>
      <c r="AZF143" s="387"/>
      <c r="AZG143" s="387"/>
      <c r="AZH143" s="387"/>
      <c r="AZI143" s="387"/>
      <c r="AZJ143" s="387"/>
      <c r="AZK143" s="387"/>
      <c r="AZL143" s="387"/>
      <c r="AZM143" s="387"/>
      <c r="AZN143" s="387"/>
      <c r="AZO143" s="387"/>
      <c r="AZP143" s="387"/>
      <c r="AZQ143" s="387"/>
      <c r="AZR143" s="387"/>
      <c r="AZS143" s="387"/>
      <c r="AZT143" s="387"/>
      <c r="AZU143" s="387"/>
      <c r="AZV143" s="387"/>
      <c r="AZW143" s="387"/>
      <c r="AZX143" s="387"/>
      <c r="AZY143" s="387"/>
      <c r="AZZ143" s="387"/>
      <c r="BAA143" s="387"/>
      <c r="BAB143" s="387"/>
      <c r="BAC143" s="387"/>
      <c r="BAD143" s="387"/>
      <c r="BAE143" s="387"/>
      <c r="BAF143" s="387"/>
      <c r="BAG143" s="387"/>
      <c r="BAH143" s="387"/>
      <c r="BAI143" s="387"/>
      <c r="BAJ143" s="387"/>
      <c r="BAK143" s="387"/>
      <c r="BAL143" s="387"/>
      <c r="BAM143" s="387"/>
      <c r="BAN143" s="387"/>
      <c r="BAO143" s="387"/>
      <c r="BAP143" s="387"/>
      <c r="BAQ143" s="387"/>
      <c r="BAR143" s="387"/>
      <c r="BAS143" s="387"/>
      <c r="BAT143" s="387"/>
      <c r="BAU143" s="387"/>
      <c r="BAV143" s="387"/>
      <c r="BAW143" s="387"/>
      <c r="BAX143" s="387"/>
      <c r="BAY143" s="387"/>
      <c r="BAZ143" s="387"/>
      <c r="BBA143" s="387"/>
      <c r="BBB143" s="387"/>
      <c r="BBC143" s="387"/>
      <c r="BBD143" s="387"/>
      <c r="BBE143" s="387"/>
      <c r="BBF143" s="387"/>
      <c r="BBG143" s="387"/>
      <c r="BBH143" s="387"/>
      <c r="BBI143" s="387"/>
      <c r="BBJ143" s="387"/>
      <c r="BBK143" s="387"/>
      <c r="BBL143" s="387"/>
      <c r="BBM143" s="387"/>
      <c r="BBN143" s="387"/>
      <c r="BBO143" s="387"/>
      <c r="BBP143" s="387"/>
      <c r="BBQ143" s="387"/>
      <c r="BBR143" s="387"/>
      <c r="BBS143" s="387"/>
      <c r="BBT143" s="387"/>
      <c r="BBU143" s="387"/>
      <c r="BBV143" s="387"/>
      <c r="BBW143" s="387"/>
      <c r="BBX143" s="387"/>
      <c r="BBY143" s="387"/>
      <c r="BBZ143" s="387"/>
      <c r="BCA143" s="387"/>
      <c r="BCB143" s="387"/>
      <c r="BCC143" s="387"/>
      <c r="BCD143" s="387"/>
      <c r="BCE143" s="387"/>
      <c r="BCF143" s="387"/>
      <c r="BCG143" s="387"/>
      <c r="BCH143" s="387"/>
      <c r="BCI143" s="387"/>
      <c r="BCJ143" s="387"/>
      <c r="BCK143" s="387"/>
      <c r="BCL143" s="387"/>
      <c r="BCM143" s="387"/>
      <c r="BCN143" s="387"/>
      <c r="BCO143" s="387"/>
      <c r="BCP143" s="387"/>
      <c r="BCQ143" s="387"/>
      <c r="BCR143" s="387"/>
      <c r="BCS143" s="387"/>
      <c r="BCT143" s="387"/>
      <c r="BCU143" s="387"/>
      <c r="BCV143" s="387"/>
      <c r="BCW143" s="387"/>
      <c r="BCX143" s="387"/>
      <c r="BCY143" s="387"/>
      <c r="BCZ143" s="387"/>
      <c r="BDA143" s="387"/>
      <c r="BDB143" s="387"/>
      <c r="BDC143" s="387"/>
      <c r="BDD143" s="387"/>
      <c r="BDE143" s="387"/>
      <c r="BDF143" s="387"/>
      <c r="BDG143" s="387"/>
      <c r="BDH143" s="387"/>
      <c r="BDI143" s="387"/>
      <c r="BDJ143" s="387"/>
      <c r="BDK143" s="387"/>
      <c r="BDL143" s="387"/>
      <c r="BDM143" s="387"/>
      <c r="BDN143" s="387"/>
      <c r="BDO143" s="387"/>
      <c r="BDP143" s="387"/>
      <c r="BDQ143" s="387"/>
      <c r="BDR143" s="387"/>
      <c r="BDS143" s="387"/>
      <c r="BDT143" s="387"/>
      <c r="BDU143" s="387"/>
      <c r="BDV143" s="387"/>
      <c r="BDW143" s="387"/>
      <c r="BDX143" s="387"/>
      <c r="BDY143" s="387"/>
      <c r="BDZ143" s="387"/>
      <c r="BEA143" s="387"/>
      <c r="BEB143" s="387"/>
      <c r="BEC143" s="387"/>
      <c r="BED143" s="387"/>
      <c r="BEE143" s="387"/>
      <c r="BEF143" s="387"/>
      <c r="BEG143" s="387"/>
      <c r="BEH143" s="387"/>
      <c r="BEI143" s="387"/>
      <c r="BEJ143" s="387"/>
      <c r="BEK143" s="387"/>
      <c r="BEL143" s="387"/>
      <c r="BEM143" s="387"/>
      <c r="BEN143" s="387"/>
      <c r="BEO143" s="387"/>
      <c r="BEP143" s="387"/>
      <c r="BEQ143" s="387"/>
      <c r="BER143" s="387"/>
      <c r="BES143" s="387"/>
      <c r="BET143" s="387"/>
      <c r="BEU143" s="387"/>
      <c r="BEV143" s="387"/>
      <c r="BEW143" s="387"/>
      <c r="BEX143" s="387"/>
      <c r="BEY143" s="387"/>
      <c r="BEZ143" s="387"/>
      <c r="BFA143" s="387"/>
      <c r="BFB143" s="387"/>
      <c r="BFC143" s="387"/>
      <c r="BFD143" s="387"/>
      <c r="BFE143" s="387"/>
      <c r="BFF143" s="387"/>
      <c r="BFG143" s="387"/>
      <c r="BFH143" s="387"/>
      <c r="BFI143" s="387"/>
      <c r="BFJ143" s="387"/>
      <c r="BFK143" s="387"/>
      <c r="BFL143" s="387"/>
      <c r="BFM143" s="387"/>
      <c r="BFN143" s="387"/>
      <c r="BFO143" s="387"/>
      <c r="BFP143" s="387"/>
      <c r="BFQ143" s="387"/>
      <c r="BFR143" s="387"/>
      <c r="BFS143" s="387"/>
      <c r="BFT143" s="387"/>
      <c r="BFU143" s="387"/>
      <c r="BFV143" s="387"/>
      <c r="BFW143" s="387"/>
      <c r="BFX143" s="387"/>
      <c r="BFY143" s="387"/>
      <c r="BFZ143" s="387"/>
      <c r="BGA143" s="387"/>
      <c r="BGB143" s="387"/>
      <c r="BGC143" s="387"/>
      <c r="BGD143" s="387"/>
      <c r="BGE143" s="387"/>
      <c r="BGF143" s="387"/>
      <c r="BGG143" s="387"/>
      <c r="BGH143" s="387"/>
      <c r="BGI143" s="387"/>
      <c r="BGJ143" s="387"/>
      <c r="BGK143" s="387"/>
      <c r="BGL143" s="387"/>
      <c r="BGM143" s="387"/>
      <c r="BGN143" s="387"/>
      <c r="BGO143" s="387"/>
      <c r="BGP143" s="387"/>
      <c r="BGQ143" s="387"/>
      <c r="BGR143" s="387"/>
      <c r="BGS143" s="387"/>
      <c r="BGT143" s="387"/>
      <c r="BGU143" s="387"/>
      <c r="BGV143" s="387"/>
      <c r="BGW143" s="387"/>
      <c r="BGX143" s="387"/>
      <c r="BGY143" s="387"/>
      <c r="BGZ143" s="387"/>
      <c r="BHA143" s="387"/>
      <c r="BHB143" s="387"/>
      <c r="BHC143" s="387"/>
      <c r="BHD143" s="387"/>
      <c r="BHE143" s="387"/>
      <c r="BHF143" s="387"/>
      <c r="BHG143" s="387"/>
      <c r="BHH143" s="387"/>
      <c r="BHI143" s="387"/>
      <c r="BHJ143" s="387"/>
      <c r="BHK143" s="387"/>
      <c r="BHL143" s="387"/>
      <c r="BHM143" s="387"/>
      <c r="BHN143" s="387"/>
      <c r="BHO143" s="387"/>
      <c r="BHP143" s="387"/>
      <c r="BHQ143" s="387"/>
      <c r="BHR143" s="387"/>
      <c r="BHS143" s="387"/>
      <c r="BHT143" s="387"/>
      <c r="BHU143" s="387"/>
      <c r="BHV143" s="387"/>
      <c r="BHW143" s="387"/>
      <c r="BHX143" s="387"/>
      <c r="BHY143" s="387"/>
      <c r="BHZ143" s="387"/>
      <c r="BIA143" s="387"/>
      <c r="BIB143" s="387"/>
      <c r="BIC143" s="387"/>
      <c r="BID143" s="387"/>
      <c r="BIE143" s="387"/>
      <c r="BIF143" s="387"/>
      <c r="BIG143" s="387"/>
      <c r="BIH143" s="387"/>
      <c r="BII143" s="387"/>
      <c r="BIJ143" s="387"/>
      <c r="BIK143" s="387"/>
      <c r="BIL143" s="387"/>
      <c r="BIM143" s="387"/>
      <c r="BIN143" s="387"/>
      <c r="BIO143" s="387"/>
      <c r="BIP143" s="387"/>
      <c r="BIQ143" s="387"/>
      <c r="BIR143" s="387"/>
      <c r="BIS143" s="387"/>
      <c r="BIT143" s="387"/>
      <c r="BIU143" s="387"/>
      <c r="BIV143" s="387"/>
      <c r="BIW143" s="387"/>
      <c r="BIX143" s="387"/>
      <c r="BIY143" s="387"/>
      <c r="BIZ143" s="387"/>
      <c r="BJA143" s="387"/>
      <c r="BJB143" s="387"/>
      <c r="BJC143" s="387"/>
      <c r="BJD143" s="387"/>
      <c r="BJE143" s="387"/>
      <c r="BJF143" s="387"/>
      <c r="BJG143" s="387"/>
      <c r="BJH143" s="387"/>
      <c r="BJI143" s="387"/>
      <c r="BJJ143" s="387"/>
      <c r="BJK143" s="387"/>
      <c r="BJL143" s="387"/>
      <c r="BJM143" s="387"/>
      <c r="BJN143" s="387"/>
      <c r="BJO143" s="387"/>
      <c r="BJP143" s="387"/>
      <c r="BJQ143" s="387"/>
      <c r="BJR143" s="387"/>
      <c r="BJS143" s="387"/>
      <c r="BJT143" s="387"/>
      <c r="BJU143" s="387"/>
      <c r="BJV143" s="387"/>
      <c r="BJW143" s="387"/>
      <c r="BJX143" s="387"/>
      <c r="BJY143" s="387"/>
      <c r="BJZ143" s="387"/>
      <c r="BKA143" s="387"/>
      <c r="BKB143" s="387"/>
      <c r="BKC143" s="387"/>
      <c r="BKD143" s="387"/>
      <c r="BKE143" s="387"/>
      <c r="BKF143" s="387"/>
      <c r="BKG143" s="387"/>
      <c r="BKH143" s="387"/>
      <c r="BKI143" s="387"/>
      <c r="BKJ143" s="387"/>
      <c r="BKK143" s="387"/>
      <c r="BKL143" s="387"/>
      <c r="BKM143" s="387"/>
      <c r="BKN143" s="387"/>
      <c r="BKO143" s="387"/>
      <c r="BKP143" s="387"/>
      <c r="BKQ143" s="387"/>
      <c r="BKR143" s="387"/>
      <c r="BKS143" s="387"/>
      <c r="BKT143" s="387"/>
      <c r="BKU143" s="387"/>
      <c r="BKV143" s="387"/>
      <c r="BKW143" s="387"/>
      <c r="BKX143" s="387"/>
      <c r="BKY143" s="387"/>
      <c r="BKZ143" s="387"/>
      <c r="BLA143" s="387"/>
      <c r="BLB143" s="387"/>
      <c r="BLC143" s="387"/>
      <c r="BLD143" s="387"/>
      <c r="BLE143" s="387"/>
      <c r="BLF143" s="387"/>
      <c r="BLG143" s="387"/>
      <c r="BLH143" s="387"/>
      <c r="BLI143" s="387"/>
      <c r="BLJ143" s="387"/>
      <c r="BLK143" s="387"/>
      <c r="BLL143" s="387"/>
      <c r="BLM143" s="387"/>
      <c r="BLN143" s="387"/>
      <c r="BLO143" s="387"/>
      <c r="BLP143" s="387"/>
      <c r="BLQ143" s="387"/>
      <c r="BLR143" s="387"/>
      <c r="BLS143" s="387"/>
      <c r="BLT143" s="387"/>
      <c r="BLU143" s="387"/>
      <c r="BLV143" s="387"/>
      <c r="BLW143" s="387"/>
      <c r="BLX143" s="387"/>
      <c r="BLY143" s="387"/>
      <c r="BLZ143" s="387"/>
      <c r="BMA143" s="387"/>
      <c r="BMB143" s="387"/>
      <c r="BMC143" s="387"/>
      <c r="BMD143" s="387"/>
      <c r="BME143" s="387"/>
      <c r="BMF143" s="387"/>
      <c r="BMG143" s="387"/>
      <c r="BMH143" s="387"/>
      <c r="BMI143" s="387"/>
      <c r="BMJ143" s="387"/>
      <c r="BMK143" s="387"/>
      <c r="BML143" s="387"/>
      <c r="BMM143" s="387"/>
      <c r="BMN143" s="387"/>
      <c r="BMO143" s="387"/>
      <c r="BMP143" s="387"/>
      <c r="BMQ143" s="387"/>
      <c r="BMR143" s="387"/>
      <c r="BMS143" s="387"/>
      <c r="BMT143" s="387"/>
      <c r="BMU143" s="387"/>
      <c r="BMV143" s="387"/>
      <c r="BMW143" s="387"/>
      <c r="BMX143" s="387"/>
      <c r="BMY143" s="387"/>
      <c r="BMZ143" s="387"/>
      <c r="BNA143" s="387"/>
      <c r="BNB143" s="387"/>
      <c r="BNC143" s="387"/>
      <c r="BND143" s="387"/>
      <c r="BNE143" s="387"/>
      <c r="BNF143" s="387"/>
      <c r="BNG143" s="387"/>
      <c r="BNH143" s="387"/>
      <c r="BNI143" s="387"/>
      <c r="BNJ143" s="387"/>
      <c r="BNK143" s="387"/>
      <c r="BNL143" s="387"/>
      <c r="BNM143" s="387"/>
      <c r="BNN143" s="387"/>
      <c r="BNO143" s="387"/>
      <c r="BNP143" s="387"/>
      <c r="BNQ143" s="387"/>
      <c r="BNR143" s="387"/>
      <c r="BNS143" s="387"/>
      <c r="BNT143" s="387"/>
      <c r="BNU143" s="387"/>
      <c r="BNV143" s="387"/>
      <c r="BNW143" s="387"/>
      <c r="BNX143" s="387"/>
      <c r="BNY143" s="387"/>
      <c r="BNZ143" s="387"/>
      <c r="BOA143" s="387"/>
      <c r="BOB143" s="387"/>
      <c r="BOC143" s="387"/>
      <c r="BOD143" s="387"/>
      <c r="BOE143" s="387"/>
      <c r="BOF143" s="387"/>
      <c r="BOG143" s="387"/>
      <c r="BOH143" s="387"/>
      <c r="BOI143" s="387"/>
      <c r="BOJ143" s="387"/>
      <c r="BOK143" s="387"/>
      <c r="BOL143" s="387"/>
      <c r="BOM143" s="387"/>
      <c r="BON143" s="387"/>
      <c r="BOO143" s="387"/>
      <c r="BOP143" s="387"/>
      <c r="BOQ143" s="387"/>
      <c r="BOR143" s="387"/>
      <c r="BOS143" s="387"/>
      <c r="BOT143" s="387"/>
      <c r="BOU143" s="387"/>
      <c r="BOV143" s="387"/>
      <c r="BOW143" s="387"/>
      <c r="BOX143" s="387"/>
      <c r="BOY143" s="387"/>
      <c r="BOZ143" s="387"/>
      <c r="BPA143" s="387"/>
      <c r="BPB143" s="387"/>
      <c r="BPC143" s="387"/>
      <c r="BPD143" s="387"/>
      <c r="BPE143" s="387"/>
      <c r="BPF143" s="387"/>
      <c r="BPG143" s="387"/>
      <c r="BPH143" s="387"/>
      <c r="BPI143" s="387"/>
      <c r="BPJ143" s="387"/>
      <c r="BPK143" s="387"/>
      <c r="BPL143" s="387"/>
      <c r="BPM143" s="387"/>
      <c r="BPN143" s="387"/>
      <c r="BPO143" s="387"/>
      <c r="BPP143" s="387"/>
      <c r="BPQ143" s="387"/>
      <c r="BPR143" s="387"/>
      <c r="BPS143" s="387"/>
      <c r="BPT143" s="387"/>
      <c r="BPU143" s="387"/>
      <c r="BPV143" s="387"/>
      <c r="BPW143" s="387"/>
      <c r="BPX143" s="387"/>
      <c r="BPY143" s="387"/>
      <c r="BPZ143" s="387"/>
      <c r="BQA143" s="387"/>
      <c r="BQB143" s="387"/>
      <c r="BQC143" s="387"/>
      <c r="BQD143" s="387"/>
      <c r="BQE143" s="387"/>
      <c r="BQF143" s="387"/>
      <c r="BQG143" s="387"/>
      <c r="BQH143" s="387"/>
      <c r="BQI143" s="387"/>
      <c r="BQJ143" s="387"/>
      <c r="BQK143" s="387"/>
      <c r="BQL143" s="387"/>
      <c r="BQM143" s="387"/>
      <c r="BQN143" s="387"/>
      <c r="BQO143" s="387"/>
      <c r="BQP143" s="387"/>
      <c r="BQQ143" s="387"/>
      <c r="BQR143" s="387"/>
      <c r="BQS143" s="387"/>
      <c r="BQT143" s="387"/>
      <c r="BQU143" s="387"/>
      <c r="BQV143" s="387"/>
      <c r="BQW143" s="387"/>
      <c r="BQX143" s="387"/>
      <c r="BQY143" s="387"/>
      <c r="BQZ143" s="387"/>
      <c r="BRA143" s="387"/>
      <c r="BRB143" s="387"/>
      <c r="BRC143" s="387"/>
      <c r="BRD143" s="387"/>
      <c r="BRE143" s="387"/>
      <c r="BRF143" s="387"/>
      <c r="BRG143" s="387"/>
      <c r="BRH143" s="387"/>
      <c r="BRI143" s="387"/>
      <c r="BRJ143" s="387"/>
      <c r="BRK143" s="387"/>
      <c r="BRL143" s="387"/>
      <c r="BRM143" s="387"/>
      <c r="BRN143" s="387"/>
      <c r="BRO143" s="387"/>
      <c r="BRP143" s="387"/>
      <c r="BRQ143" s="387"/>
      <c r="BRR143" s="387"/>
      <c r="BRS143" s="387"/>
      <c r="BRT143" s="387"/>
      <c r="BRU143" s="387"/>
      <c r="BRV143" s="387"/>
      <c r="BRW143" s="387"/>
      <c r="BRX143" s="387"/>
      <c r="BRY143" s="387"/>
      <c r="BRZ143" s="387"/>
      <c r="BSA143" s="387"/>
      <c r="BSB143" s="387"/>
      <c r="BSC143" s="387"/>
      <c r="BSD143" s="387"/>
      <c r="BSE143" s="387"/>
      <c r="BSF143" s="387"/>
      <c r="BSG143" s="387"/>
      <c r="BSH143" s="387"/>
      <c r="BSI143" s="387"/>
      <c r="BSJ143" s="387"/>
      <c r="BSK143" s="387"/>
      <c r="BSL143" s="387"/>
      <c r="BSM143" s="387"/>
      <c r="BSN143" s="387"/>
      <c r="BSO143" s="387"/>
      <c r="BSP143" s="387"/>
      <c r="BSQ143" s="387"/>
      <c r="BSR143" s="387"/>
      <c r="BSS143" s="387"/>
      <c r="BST143" s="387"/>
      <c r="BSU143" s="387"/>
      <c r="BSV143" s="387"/>
      <c r="BSW143" s="387"/>
      <c r="BSX143" s="387"/>
      <c r="BSY143" s="387"/>
      <c r="BSZ143" s="387"/>
      <c r="BTA143" s="387"/>
      <c r="BTB143" s="387"/>
      <c r="BTC143" s="387"/>
      <c r="BTD143" s="387"/>
      <c r="BTE143" s="387"/>
      <c r="BTF143" s="387"/>
      <c r="BTG143" s="387"/>
      <c r="BTH143" s="387"/>
      <c r="BTI143" s="387"/>
    </row>
    <row r="144" spans="1:1881" ht="30.75" customHeight="1" x14ac:dyDescent="0.25">
      <c r="A144" s="187"/>
      <c r="B144" s="159" t="s">
        <v>905</v>
      </c>
      <c r="C144" s="159"/>
      <c r="D144" s="152"/>
      <c r="E144" s="141"/>
      <c r="F144" s="750"/>
      <c r="G144" s="525"/>
      <c r="H144" s="14"/>
      <c r="I144" s="31"/>
      <c r="S144" s="682"/>
      <c r="X144" s="682"/>
    </row>
    <row r="145" spans="1:24" ht="18.75" x14ac:dyDescent="0.3">
      <c r="A145" s="187"/>
      <c r="B145" s="660" t="s">
        <v>220</v>
      </c>
      <c r="C145" s="158"/>
      <c r="D145" s="153"/>
      <c r="E145" s="153"/>
      <c r="F145" s="751"/>
      <c r="G145" s="528"/>
      <c r="H145" s="14"/>
      <c r="I145" s="31"/>
      <c r="S145" s="682"/>
      <c r="X145" s="682"/>
    </row>
    <row r="146" spans="1:24" ht="18.75" x14ac:dyDescent="0.3">
      <c r="A146" s="187"/>
      <c r="B146" s="158" t="s">
        <v>221</v>
      </c>
      <c r="C146" s="158"/>
      <c r="D146" s="142"/>
      <c r="E146" s="143"/>
      <c r="F146" s="752"/>
      <c r="G146" s="529"/>
      <c r="H146" s="14"/>
      <c r="I146" s="31"/>
      <c r="S146" s="682"/>
      <c r="X146" s="682"/>
    </row>
    <row r="147" spans="1:24" ht="18.75" x14ac:dyDescent="0.3">
      <c r="A147" s="187"/>
      <c r="B147" s="158" t="s">
        <v>24</v>
      </c>
      <c r="C147" s="158"/>
      <c r="D147" s="142"/>
      <c r="E147" s="143"/>
      <c r="F147" s="752"/>
      <c r="G147" s="529"/>
      <c r="H147" s="14"/>
      <c r="I147" s="31"/>
      <c r="S147" s="682"/>
      <c r="X147" s="682"/>
    </row>
    <row r="148" spans="1:24" ht="51" x14ac:dyDescent="0.25">
      <c r="A148" s="186">
        <v>51</v>
      </c>
      <c r="B148" s="62" t="s">
        <v>526</v>
      </c>
      <c r="C148" s="145" t="s">
        <v>222</v>
      </c>
      <c r="D148" s="163" t="s">
        <v>547</v>
      </c>
      <c r="E148" s="683" t="e">
        <f>HLOOKUP('Unit Data from Audit Worksheet'!$D$2,'2019 Data(H)'!$D$1:$BB$202,20,FALSE)</f>
        <v>#N/A</v>
      </c>
      <c r="F148" s="560"/>
      <c r="G148" s="311"/>
      <c r="H148" s="14"/>
      <c r="I148" s="31"/>
      <c r="S148" s="682"/>
      <c r="X148" s="682"/>
    </row>
    <row r="149" spans="1:24" ht="51.75" customHeight="1" x14ac:dyDescent="0.25">
      <c r="A149" s="186">
        <v>332</v>
      </c>
      <c r="B149" s="62" t="s">
        <v>41</v>
      </c>
      <c r="C149" s="145" t="s">
        <v>222</v>
      </c>
      <c r="D149" s="163" t="s">
        <v>223</v>
      </c>
      <c r="E149" s="683" t="e">
        <f>HLOOKUP('Unit Data from Audit Worksheet'!$D$2,'2019 Data(H)'!$D$1:$BB$202,61,FALSE)</f>
        <v>#N/A</v>
      </c>
      <c r="F149" s="560"/>
      <c r="G149" s="552">
        <f>IF(F149&lt;0,"Error: Enter as positive.",)</f>
        <v>0</v>
      </c>
      <c r="H149" s="14"/>
      <c r="I149" s="31"/>
      <c r="S149" s="682"/>
      <c r="X149" s="682"/>
    </row>
    <row r="150" spans="1:24" ht="66.75" customHeight="1" x14ac:dyDescent="0.25">
      <c r="A150" s="186">
        <v>331</v>
      </c>
      <c r="B150" s="62" t="s">
        <v>526</v>
      </c>
      <c r="C150" s="145" t="s">
        <v>222</v>
      </c>
      <c r="D150" s="163" t="s">
        <v>224</v>
      </c>
      <c r="E150" s="683" t="e">
        <f>HLOOKUP('Unit Data from Audit Worksheet'!$D$2,'2019 Data(H)'!$D$1:$BB$202,60,FALSE)</f>
        <v>#N/A</v>
      </c>
      <c r="F150" s="560"/>
      <c r="G150" s="552">
        <f>IF(F150&lt;0,"Error: Enter as positive.",)</f>
        <v>0</v>
      </c>
      <c r="H150" s="14"/>
      <c r="I150" s="31"/>
      <c r="S150" s="682"/>
      <c r="X150" s="682"/>
    </row>
    <row r="151" spans="1:24" ht="18.75" x14ac:dyDescent="0.25">
      <c r="A151" s="187"/>
      <c r="B151" s="159" t="s">
        <v>6</v>
      </c>
      <c r="C151" s="158"/>
      <c r="D151" s="158"/>
      <c r="E151" s="153"/>
      <c r="F151" s="751"/>
      <c r="G151" s="531"/>
      <c r="H151" s="14"/>
      <c r="I151" s="31"/>
      <c r="S151" s="682"/>
      <c r="X151" s="682"/>
    </row>
    <row r="152" spans="1:24" ht="54.75" customHeight="1" x14ac:dyDescent="0.25">
      <c r="A152" s="186">
        <v>55</v>
      </c>
      <c r="B152" s="157" t="s">
        <v>82</v>
      </c>
      <c r="C152" s="145" t="s">
        <v>225</v>
      </c>
      <c r="D152" s="163" t="s">
        <v>548</v>
      </c>
      <c r="E152" s="683" t="e">
        <f>HLOOKUP('Unit Data from Audit Worksheet'!$D$2,'2019 Data(H)'!$D$1:$BB$202,23,FALSE)</f>
        <v>#N/A</v>
      </c>
      <c r="F152" s="560"/>
      <c r="G152" s="311"/>
      <c r="H152" s="14"/>
      <c r="I152" s="31"/>
      <c r="S152" s="682"/>
      <c r="X152" s="682"/>
    </row>
    <row r="153" spans="1:24" ht="54.75" customHeight="1" x14ac:dyDescent="0.25">
      <c r="A153" s="186">
        <v>101</v>
      </c>
      <c r="B153" s="157" t="s">
        <v>88</v>
      </c>
      <c r="C153" s="145" t="s">
        <v>225</v>
      </c>
      <c r="D153" s="163" t="s">
        <v>226</v>
      </c>
      <c r="E153" s="683" t="e">
        <f>HLOOKUP('Unit Data from Audit Worksheet'!$D$2,'2019 Data(H)'!$D$1:$BB$202,41,FALSE)</f>
        <v>#N/A</v>
      </c>
      <c r="F153" s="560"/>
      <c r="G153" s="552">
        <f>IF(F153&lt;0,"Error: Enter as positive.",)</f>
        <v>0</v>
      </c>
      <c r="H153" s="14"/>
      <c r="I153" s="31"/>
      <c r="S153" s="682"/>
      <c r="X153" s="682"/>
    </row>
    <row r="154" spans="1:24" ht="54.75" customHeight="1" x14ac:dyDescent="0.25">
      <c r="A154" s="186">
        <v>100</v>
      </c>
      <c r="B154" s="157" t="s">
        <v>89</v>
      </c>
      <c r="C154" s="145" t="s">
        <v>225</v>
      </c>
      <c r="D154" s="163" t="s">
        <v>224</v>
      </c>
      <c r="E154" s="683" t="e">
        <f>HLOOKUP('Unit Data from Audit Worksheet'!$D$2,'2019 Data(H)'!$D$1:$BB$202,40,FALSE)</f>
        <v>#N/A</v>
      </c>
      <c r="F154" s="560"/>
      <c r="G154" s="552">
        <f>IF(F154&lt;0,"Error: Enter as positive.",)</f>
        <v>0</v>
      </c>
      <c r="H154" s="14"/>
      <c r="I154" s="31"/>
      <c r="S154" s="682"/>
      <c r="X154" s="682"/>
    </row>
    <row r="155" spans="1:24" ht="18.75" x14ac:dyDescent="0.25">
      <c r="A155" s="187"/>
      <c r="B155" s="135" t="s">
        <v>94</v>
      </c>
      <c r="C155" s="137"/>
      <c r="D155" s="153"/>
      <c r="E155" s="153"/>
      <c r="F155" s="753"/>
      <c r="G155" s="151"/>
      <c r="H155" s="65"/>
      <c r="I155" s="31"/>
      <c r="J155" s="362"/>
      <c r="S155" s="682"/>
      <c r="X155" s="682"/>
    </row>
    <row r="156" spans="1:24" ht="60" x14ac:dyDescent="0.25">
      <c r="A156" s="186">
        <v>512</v>
      </c>
      <c r="B156" s="177"/>
      <c r="C156" s="145" t="s">
        <v>228</v>
      </c>
      <c r="D156" s="163" t="s">
        <v>227</v>
      </c>
      <c r="E156" s="683" t="e">
        <f>HLOOKUP('Unit Data from Audit Worksheet'!$D$2,'2019 Data(H)'!$D$1:$BB$202,119,FALSE)</f>
        <v>#N/A</v>
      </c>
      <c r="F156" s="560"/>
      <c r="G156" s="552">
        <f>IF(F156&lt;0,"Error: Enter as positive.",)</f>
        <v>0</v>
      </c>
      <c r="H156" s="65"/>
      <c r="I156" s="31"/>
      <c r="J156" s="362"/>
      <c r="S156" s="682"/>
      <c r="X156" s="682"/>
    </row>
    <row r="157" spans="1:24" x14ac:dyDescent="0.25">
      <c r="A157" s="186"/>
      <c r="B157" s="159" t="s">
        <v>538</v>
      </c>
      <c r="C157" s="158"/>
      <c r="D157" s="152"/>
      <c r="E157" s="144"/>
      <c r="F157" s="753"/>
      <c r="G157" s="151"/>
      <c r="H157" s="18"/>
      <c r="I157" s="292"/>
      <c r="S157" s="682"/>
      <c r="X157" s="682"/>
    </row>
    <row r="158" spans="1:24" ht="75" x14ac:dyDescent="0.25">
      <c r="A158" s="186">
        <v>535</v>
      </c>
      <c r="B158" s="180" t="s">
        <v>78</v>
      </c>
      <c r="C158" s="180" t="s">
        <v>229</v>
      </c>
      <c r="D158" s="136" t="s">
        <v>579</v>
      </c>
      <c r="E158" s="683" t="e">
        <f>HLOOKUP('Unit Data from Audit Worksheet'!$D$2,'2019 Data(H)'!$D$1:$BB$202,141,FALSE)</f>
        <v>#N/A</v>
      </c>
      <c r="F158" s="560"/>
      <c r="G158" s="552" t="str">
        <f>IF(F158&lt;1,"Reminder: Please make sure you have entered all cash and investments from bond/Debt proceeds, if applicable.",)</f>
        <v>Reminder: Please make sure you have entered all cash and investments from bond/Debt proceeds, if applicable.</v>
      </c>
      <c r="H158" s="18"/>
      <c r="I158" s="292"/>
      <c r="S158" s="682"/>
      <c r="X158" s="682"/>
    </row>
    <row r="159" spans="1:24" ht="18.75" x14ac:dyDescent="0.3">
      <c r="A159" s="187"/>
      <c r="B159" s="159" t="s">
        <v>30</v>
      </c>
      <c r="C159" s="158"/>
      <c r="D159" s="160"/>
      <c r="E159" s="160"/>
      <c r="F159" s="751"/>
      <c r="G159" s="528"/>
      <c r="H159" s="14"/>
      <c r="I159" s="31"/>
      <c r="S159" s="682"/>
      <c r="X159" s="682"/>
    </row>
    <row r="160" spans="1:24" ht="37.5" x14ac:dyDescent="0.3">
      <c r="A160" s="187"/>
      <c r="B160" s="177"/>
      <c r="C160" s="177"/>
      <c r="D160" s="164" t="s">
        <v>2</v>
      </c>
      <c r="E160" s="7"/>
      <c r="F160" s="788"/>
      <c r="G160" s="311"/>
      <c r="H160" s="14"/>
      <c r="I160" s="31"/>
      <c r="S160" s="682"/>
      <c r="X160" s="682"/>
    </row>
    <row r="161" spans="1:24" ht="36" customHeight="1" x14ac:dyDescent="0.25">
      <c r="A161" s="187"/>
      <c r="B161" s="177"/>
      <c r="C161" s="177"/>
      <c r="D161" s="161" t="s">
        <v>7</v>
      </c>
      <c r="E161" s="7"/>
      <c r="F161" s="788"/>
      <c r="G161" s="311"/>
      <c r="H161" s="14"/>
      <c r="I161" s="31"/>
      <c r="S161" s="682"/>
      <c r="X161" s="682"/>
    </row>
    <row r="162" spans="1:24" ht="35.25" customHeight="1" x14ac:dyDescent="0.25">
      <c r="A162" s="186">
        <v>334</v>
      </c>
      <c r="B162" s="62" t="s">
        <v>79</v>
      </c>
      <c r="C162" s="162" t="s">
        <v>243</v>
      </c>
      <c r="D162" s="163" t="s">
        <v>241</v>
      </c>
      <c r="E162" s="683" t="e">
        <f>HLOOKUP('Unit Data from Audit Worksheet'!$D$2,'2019 Data(H)'!$D$1:$BB$202,63,FALSE)</f>
        <v>#N/A</v>
      </c>
      <c r="F162" s="560"/>
      <c r="G162" s="311"/>
      <c r="H162" s="14"/>
      <c r="I162" s="31"/>
      <c r="S162" s="682"/>
      <c r="X162" s="682"/>
    </row>
    <row r="163" spans="1:24" ht="35.25" customHeight="1" x14ac:dyDescent="0.25">
      <c r="A163" s="186">
        <v>373</v>
      </c>
      <c r="B163" s="62" t="s">
        <v>79</v>
      </c>
      <c r="C163" s="162" t="s">
        <v>243</v>
      </c>
      <c r="D163" s="173" t="s">
        <v>242</v>
      </c>
      <c r="E163" s="683" t="e">
        <f>HLOOKUP('Unit Data from Audit Worksheet'!$D$2,'2019 Data(H)'!$D$1:$BB$202,91,FALSE)</f>
        <v>#N/A</v>
      </c>
      <c r="F163" s="560"/>
      <c r="G163" s="552">
        <f>IF(F163&lt;0,"Error: Enter as positive.",)</f>
        <v>0</v>
      </c>
      <c r="H163" s="14"/>
      <c r="I163" s="31"/>
      <c r="S163" s="682"/>
      <c r="X163" s="682"/>
    </row>
    <row r="164" spans="1:24" ht="18.75" x14ac:dyDescent="0.3">
      <c r="A164" s="187"/>
      <c r="B164" s="178"/>
      <c r="C164" s="178"/>
      <c r="D164" s="165"/>
      <c r="E164" s="10"/>
      <c r="F164" s="557"/>
      <c r="G164" s="311"/>
      <c r="H164" s="14"/>
      <c r="I164" s="31"/>
      <c r="S164" s="682"/>
      <c r="X164" s="682"/>
    </row>
    <row r="165" spans="1:24" ht="85.5" customHeight="1" x14ac:dyDescent="0.25">
      <c r="A165" s="187"/>
      <c r="B165" s="177"/>
      <c r="C165" s="183"/>
      <c r="D165" s="171" t="s">
        <v>259</v>
      </c>
      <c r="E165" s="7"/>
      <c r="F165" s="558"/>
      <c r="G165" s="311"/>
      <c r="H165" s="14"/>
      <c r="I165" s="31"/>
      <c r="S165" s="682"/>
      <c r="X165" s="682"/>
    </row>
    <row r="166" spans="1:24" ht="30" x14ac:dyDescent="0.25">
      <c r="A166" s="187"/>
      <c r="B166" s="177"/>
      <c r="C166" s="183"/>
      <c r="D166" s="163" t="s">
        <v>31</v>
      </c>
      <c r="E166" s="7"/>
      <c r="F166" s="558"/>
      <c r="G166" s="311"/>
      <c r="H166" s="14"/>
      <c r="I166" s="31"/>
      <c r="S166" s="682"/>
      <c r="X166" s="682"/>
    </row>
    <row r="167" spans="1:24" ht="50.25" customHeight="1" x14ac:dyDescent="0.25">
      <c r="A167" s="186">
        <v>327</v>
      </c>
      <c r="B167" s="148" t="s">
        <v>41</v>
      </c>
      <c r="C167" s="182" t="s">
        <v>247</v>
      </c>
      <c r="D167" s="166" t="s">
        <v>244</v>
      </c>
      <c r="E167" s="683" t="e">
        <f>HLOOKUP('Unit Data from Audit Worksheet'!$D$2,'2019 Data(H)'!$D$1:$BB$202,57,FALSE)</f>
        <v>#N/A</v>
      </c>
      <c r="F167" s="694"/>
      <c r="G167" s="311"/>
      <c r="H167" s="14"/>
      <c r="I167" s="292"/>
      <c r="S167" s="682"/>
      <c r="X167" s="682"/>
    </row>
    <row r="168" spans="1:24" ht="49.5" customHeight="1" x14ac:dyDescent="0.25">
      <c r="A168" s="186">
        <v>328</v>
      </c>
      <c r="B168" s="148" t="s">
        <v>41</v>
      </c>
      <c r="C168" s="182" t="s">
        <v>247</v>
      </c>
      <c r="D168" s="174" t="s">
        <v>8</v>
      </c>
      <c r="E168" s="683" t="e">
        <f>HLOOKUP('Unit Data from Audit Worksheet'!$D$2,'2019 Data(H)'!$D$1:$BB$202,58,FALSE)</f>
        <v>#N/A</v>
      </c>
      <c r="F168" s="694"/>
      <c r="G168" s="311"/>
      <c r="H168" s="14"/>
      <c r="I168" s="292"/>
      <c r="S168" s="682"/>
      <c r="X168" s="682"/>
    </row>
    <row r="169" spans="1:24" ht="30" x14ac:dyDescent="0.25">
      <c r="A169" s="187"/>
      <c r="B169" s="177"/>
      <c r="C169" s="183"/>
      <c r="D169" s="175" t="s">
        <v>245</v>
      </c>
      <c r="E169" s="366" t="e">
        <f>SUM(E167:E168)</f>
        <v>#N/A</v>
      </c>
      <c r="F169" s="611">
        <f>SUM(F167:F168)</f>
        <v>0</v>
      </c>
      <c r="G169" s="311"/>
      <c r="H169" s="14"/>
      <c r="I169" s="31"/>
      <c r="S169" s="682"/>
      <c r="X169" s="682"/>
    </row>
    <row r="170" spans="1:24" ht="30" x14ac:dyDescent="0.25">
      <c r="A170" s="187"/>
      <c r="B170" s="177"/>
      <c r="C170" s="183"/>
      <c r="D170" s="163" t="s">
        <v>32</v>
      </c>
      <c r="E170" s="7"/>
      <c r="F170" s="558"/>
      <c r="G170" s="311"/>
      <c r="H170" s="14"/>
      <c r="I170" s="31"/>
      <c r="S170" s="682"/>
      <c r="X170" s="682"/>
    </row>
    <row r="171" spans="1:24" x14ac:dyDescent="0.25">
      <c r="A171" s="187"/>
      <c r="B171" s="177"/>
      <c r="C171" s="183"/>
      <c r="D171" s="170" t="s">
        <v>10</v>
      </c>
      <c r="E171" s="67"/>
      <c r="F171" s="556"/>
      <c r="G171" s="311"/>
      <c r="H171" s="14"/>
      <c r="I171" s="31"/>
      <c r="S171" s="682"/>
      <c r="X171" s="682"/>
    </row>
    <row r="172" spans="1:24" ht="49.5" customHeight="1" x14ac:dyDescent="0.25">
      <c r="A172" s="186">
        <v>515</v>
      </c>
      <c r="B172" s="148" t="s">
        <v>525</v>
      </c>
      <c r="C172" s="182" t="s">
        <v>248</v>
      </c>
      <c r="D172" s="176" t="s">
        <v>3</v>
      </c>
      <c r="E172" s="683" t="e">
        <f>HLOOKUP('Unit Data from Audit Worksheet'!$D$2,'2019 Data(H)'!$D$1:$BB$202,122,FALSE)</f>
        <v>#N/A</v>
      </c>
      <c r="F172" s="560"/>
      <c r="G172" s="388"/>
      <c r="H172" s="14"/>
      <c r="I172" s="31"/>
      <c r="S172" s="682"/>
      <c r="X172" s="682"/>
    </row>
    <row r="173" spans="1:24" ht="49.5" customHeight="1" x14ac:dyDescent="0.25">
      <c r="A173" s="186">
        <v>516</v>
      </c>
      <c r="B173" s="148" t="s">
        <v>525</v>
      </c>
      <c r="C173" s="182" t="s">
        <v>248</v>
      </c>
      <c r="D173" s="176" t="s">
        <v>4</v>
      </c>
      <c r="E173" s="683" t="e">
        <f>HLOOKUP('Unit Data from Audit Worksheet'!$D$2,'2019 Data(H)'!$D$1:$BB$202,123,FALSE)</f>
        <v>#N/A</v>
      </c>
      <c r="F173" s="560"/>
      <c r="G173" s="388"/>
      <c r="H173" s="14"/>
      <c r="I173" s="31"/>
      <c r="S173" s="682"/>
      <c r="X173" s="682"/>
    </row>
    <row r="174" spans="1:24" ht="49.5" customHeight="1" x14ac:dyDescent="0.25">
      <c r="A174" s="186">
        <v>517</v>
      </c>
      <c r="B174" s="148" t="s">
        <v>525</v>
      </c>
      <c r="C174" s="182" t="s">
        <v>248</v>
      </c>
      <c r="D174" s="176" t="s">
        <v>5</v>
      </c>
      <c r="E174" s="683" t="e">
        <f>HLOOKUP('Unit Data from Audit Worksheet'!$D$2,'2019 Data(H)'!$D$1:$BB$202,124,FALSE)</f>
        <v>#N/A</v>
      </c>
      <c r="F174" s="560"/>
      <c r="G174" s="388"/>
      <c r="H174" s="14"/>
      <c r="I174" s="31"/>
      <c r="S174" s="682"/>
      <c r="X174" s="682"/>
    </row>
    <row r="175" spans="1:24" ht="49.5" customHeight="1" x14ac:dyDescent="0.25">
      <c r="A175" s="186">
        <v>518</v>
      </c>
      <c r="B175" s="148" t="s">
        <v>525</v>
      </c>
      <c r="C175" s="182" t="s">
        <v>248</v>
      </c>
      <c r="D175" s="176" t="s">
        <v>43</v>
      </c>
      <c r="E175" s="683" t="e">
        <f>HLOOKUP('Unit Data from Audit Worksheet'!$D$2,'2019 Data(H)'!$D$1:$BB$202,125,FALSE)</f>
        <v>#N/A</v>
      </c>
      <c r="F175" s="560"/>
      <c r="G175" s="388"/>
      <c r="H175" s="14"/>
      <c r="I175" s="31"/>
      <c r="S175" s="682"/>
      <c r="X175" s="682"/>
    </row>
    <row r="176" spans="1:24" ht="30" x14ac:dyDescent="0.25">
      <c r="A176"/>
      <c r="B176" s="177"/>
      <c r="C176" s="181"/>
      <c r="D176" s="169" t="s">
        <v>33</v>
      </c>
      <c r="E176" s="366" t="e">
        <f>SUM(E172:E175)</f>
        <v>#N/A</v>
      </c>
      <c r="F176" s="611">
        <f>SUM(F172:F175)</f>
        <v>0</v>
      </c>
      <c r="G176" s="311"/>
      <c r="H176" s="14"/>
      <c r="I176" s="31"/>
      <c r="S176" s="682"/>
      <c r="X176" s="682"/>
    </row>
    <row r="177" spans="1:1881" ht="39.75" customHeight="1" x14ac:dyDescent="0.25">
      <c r="A177" s="187"/>
      <c r="B177" s="177"/>
      <c r="C177" s="181"/>
      <c r="D177" s="170" t="s">
        <v>54</v>
      </c>
      <c r="E177" s="7"/>
      <c r="F177" s="558"/>
      <c r="G177" s="311"/>
      <c r="H177" s="14"/>
      <c r="I177" s="31"/>
      <c r="S177" s="682"/>
      <c r="X177" s="682"/>
    </row>
    <row r="178" spans="1:1881" ht="39.75" customHeight="1" x14ac:dyDescent="0.25">
      <c r="A178" s="186">
        <v>519</v>
      </c>
      <c r="B178" s="148" t="s">
        <v>41</v>
      </c>
      <c r="C178" s="182" t="s">
        <v>249</v>
      </c>
      <c r="D178" s="176" t="s">
        <v>15</v>
      </c>
      <c r="E178" s="683" t="e">
        <f>HLOOKUP('Unit Data from Audit Worksheet'!$D$2,'2019 Data(H)'!$D$1:$BB$202,126,FALSE)</f>
        <v>#N/A</v>
      </c>
      <c r="F178" s="560"/>
      <c r="G178" s="552">
        <f>IF(F178&lt;0,"Error: Enter as positive.",)</f>
        <v>0</v>
      </c>
      <c r="H178" s="14"/>
      <c r="I178" s="31"/>
      <c r="S178" s="682"/>
      <c r="X178" s="682"/>
    </row>
    <row r="179" spans="1:1881" ht="38.25" x14ac:dyDescent="0.25">
      <c r="A179" s="186">
        <v>520</v>
      </c>
      <c r="B179" s="148" t="s">
        <v>41</v>
      </c>
      <c r="C179" s="182" t="s">
        <v>249</v>
      </c>
      <c r="D179" s="176" t="s">
        <v>17</v>
      </c>
      <c r="E179" s="683" t="e">
        <f>HLOOKUP('Unit Data from Audit Worksheet'!$D$2,'2019 Data(H)'!$D$1:$BB$202,127,FALSE)</f>
        <v>#N/A</v>
      </c>
      <c r="F179" s="560"/>
      <c r="G179" s="552">
        <f>IF(F179&lt;0,"Error: Enter as positive.",)</f>
        <v>0</v>
      </c>
      <c r="H179" s="14"/>
      <c r="I179" s="31"/>
      <c r="S179" s="682"/>
      <c r="X179" s="682"/>
    </row>
    <row r="180" spans="1:1881" ht="38.25" x14ac:dyDescent="0.25">
      <c r="A180" s="186">
        <v>521</v>
      </c>
      <c r="B180" s="148" t="s">
        <v>41</v>
      </c>
      <c r="C180" s="182" t="s">
        <v>249</v>
      </c>
      <c r="D180" s="176" t="s">
        <v>19</v>
      </c>
      <c r="E180" s="683" t="e">
        <f>HLOOKUP('Unit Data from Audit Worksheet'!$D$2,'2019 Data(H)'!$D$1:$BB$202,128,FALSE)</f>
        <v>#N/A</v>
      </c>
      <c r="F180" s="560"/>
      <c r="G180" s="552">
        <f>IF(F180&lt;0,"Error: Enter as positive.",)</f>
        <v>0</v>
      </c>
      <c r="H180" s="14"/>
      <c r="I180" s="31"/>
      <c r="S180" s="682"/>
      <c r="X180" s="682"/>
    </row>
    <row r="181" spans="1:1881" ht="123" customHeight="1" x14ac:dyDescent="0.25">
      <c r="A181" s="186">
        <v>522</v>
      </c>
      <c r="B181" s="148" t="s">
        <v>41</v>
      </c>
      <c r="C181" s="182" t="s">
        <v>249</v>
      </c>
      <c r="D181" s="176" t="s">
        <v>44</v>
      </c>
      <c r="E181" s="683" t="e">
        <f>HLOOKUP('Unit Data from Audit Worksheet'!$D$2,'2019 Data(H)'!$D$1:$BB$202,129,FALSE)</f>
        <v>#N/A</v>
      </c>
      <c r="F181" s="560"/>
      <c r="G181" s="552">
        <f>IF(F181&lt;0,"Error: Enter as positive.",)</f>
        <v>0</v>
      </c>
      <c r="H181" s="14"/>
      <c r="I181" s="31"/>
      <c r="S181" s="682"/>
      <c r="X181" s="682"/>
    </row>
    <row r="182" spans="1:1881" ht="21.75" customHeight="1" x14ac:dyDescent="0.25">
      <c r="A182" s="26"/>
      <c r="B182" s="177"/>
      <c r="C182" s="181"/>
      <c r="D182" s="167" t="s">
        <v>38</v>
      </c>
      <c r="E182" s="366" t="e">
        <f>SUM(E178:E181)</f>
        <v>#N/A</v>
      </c>
      <c r="F182" s="611">
        <f>SUM(F178:F181)</f>
        <v>0</v>
      </c>
      <c r="G182" s="532"/>
      <c r="H182" s="14"/>
      <c r="I182" s="31"/>
      <c r="S182" s="682"/>
      <c r="X182" s="682"/>
    </row>
    <row r="183" spans="1:1881" x14ac:dyDescent="0.25">
      <c r="A183" s="26"/>
      <c r="B183" s="177"/>
      <c r="C183" s="181"/>
      <c r="D183" s="170" t="s">
        <v>36</v>
      </c>
      <c r="E183" s="22"/>
      <c r="F183" s="555"/>
      <c r="G183" s="532"/>
      <c r="H183" s="14"/>
      <c r="I183" s="31"/>
      <c r="S183" s="682"/>
      <c r="X183" s="682"/>
    </row>
    <row r="184" spans="1:1881" ht="51" x14ac:dyDescent="0.25">
      <c r="A184" s="186">
        <v>523</v>
      </c>
      <c r="B184" s="148" t="s">
        <v>525</v>
      </c>
      <c r="C184" s="182" t="s">
        <v>250</v>
      </c>
      <c r="D184" s="176" t="s">
        <v>16</v>
      </c>
      <c r="E184" s="683" t="e">
        <f>HLOOKUP('Unit Data from Audit Worksheet'!$D$2,'2019 Data(H)'!$D$1:$BB$202,130,FALSE)</f>
        <v>#N/A</v>
      </c>
      <c r="F184" s="560"/>
      <c r="G184" s="552">
        <f>IF(F184&lt;0,"Error: Enter as positive.",)</f>
        <v>0</v>
      </c>
      <c r="H184" s="14"/>
      <c r="I184" s="31"/>
      <c r="S184" s="682"/>
      <c r="X184" s="682"/>
    </row>
    <row r="185" spans="1:1881" s="312" customFormat="1" ht="51" x14ac:dyDescent="0.25">
      <c r="A185" s="186">
        <v>524</v>
      </c>
      <c r="B185" s="148" t="s">
        <v>525</v>
      </c>
      <c r="C185" s="182" t="s">
        <v>250</v>
      </c>
      <c r="D185" s="176" t="s">
        <v>18</v>
      </c>
      <c r="E185" s="683" t="e">
        <f>HLOOKUP('Unit Data from Audit Worksheet'!$D$2,'2019 Data(H)'!$D$1:$BB$202,131,FALSE)</f>
        <v>#N/A</v>
      </c>
      <c r="F185" s="560"/>
      <c r="G185" s="552">
        <f>IF(F185&lt;0,"Error: Enter as positive.",)</f>
        <v>0</v>
      </c>
      <c r="H185" s="14"/>
      <c r="I185" s="31"/>
      <c r="J185" s="387"/>
      <c r="K185" s="387"/>
      <c r="L185" s="387"/>
      <c r="M185" s="387"/>
      <c r="N185"/>
      <c r="O185" s="387"/>
      <c r="P185" s="387"/>
      <c r="Q185" s="387"/>
      <c r="R185"/>
      <c r="S185" s="682"/>
      <c r="T185" s="387"/>
      <c r="U185" s="387"/>
      <c r="V185" s="387"/>
      <c r="W185" s="387"/>
      <c r="X185" s="682"/>
      <c r="Y185" s="387"/>
      <c r="Z185" s="387"/>
      <c r="AA185" s="387"/>
      <c r="AB185" s="387"/>
      <c r="AC185" s="387"/>
      <c r="AD185" s="387"/>
      <c r="AE185" s="387"/>
      <c r="AF185" s="387"/>
      <c r="AG185" s="387"/>
      <c r="AH185" s="387"/>
      <c r="AI185" s="387"/>
      <c r="AJ185" s="387"/>
      <c r="AK185" s="387"/>
      <c r="AL185" s="387"/>
      <c r="AM185" s="387"/>
      <c r="AN185" s="387"/>
      <c r="AO185" s="387"/>
      <c r="AP185" s="387"/>
      <c r="AQ185" s="387"/>
      <c r="AR185" s="387"/>
      <c r="AS185" s="387"/>
      <c r="AT185" s="387"/>
      <c r="AU185" s="387"/>
      <c r="AV185" s="387"/>
      <c r="AW185" s="387"/>
      <c r="AX185" s="387"/>
      <c r="AY185" s="387"/>
      <c r="AZ185" s="387"/>
      <c r="BA185" s="387"/>
      <c r="BB185" s="387"/>
      <c r="BC185" s="387"/>
      <c r="BD185" s="387"/>
      <c r="BE185" s="387"/>
      <c r="BF185" s="387"/>
      <c r="BG185" s="387"/>
      <c r="BH185" s="387"/>
      <c r="BI185" s="387"/>
      <c r="BJ185" s="387"/>
      <c r="BK185" s="387"/>
      <c r="BL185" s="387"/>
      <c r="BM185" s="387"/>
      <c r="BN185" s="387"/>
      <c r="BO185" s="387"/>
      <c r="BP185" s="387"/>
      <c r="BQ185" s="387"/>
      <c r="BR185" s="387"/>
      <c r="BS185" s="387"/>
      <c r="BT185" s="387"/>
      <c r="BU185" s="387"/>
      <c r="BV185" s="387"/>
      <c r="BW185" s="387"/>
      <c r="BX185" s="387"/>
      <c r="BY185" s="387"/>
      <c r="BZ185" s="387"/>
      <c r="CA185" s="387"/>
      <c r="CB185" s="387"/>
      <c r="CC185" s="387"/>
      <c r="CD185" s="387"/>
      <c r="CE185" s="387"/>
      <c r="CF185" s="387"/>
      <c r="CG185" s="387"/>
      <c r="CH185" s="387"/>
      <c r="CI185" s="387"/>
      <c r="CJ185" s="387"/>
      <c r="CK185" s="387"/>
      <c r="CL185" s="387"/>
      <c r="CM185" s="387"/>
      <c r="CN185" s="387"/>
      <c r="CO185" s="387"/>
      <c r="CP185" s="387"/>
      <c r="CQ185" s="387"/>
      <c r="CR185" s="387"/>
      <c r="CS185" s="387"/>
      <c r="CT185" s="387"/>
      <c r="CU185" s="387"/>
      <c r="CV185" s="387"/>
      <c r="CW185" s="387"/>
      <c r="CX185" s="387"/>
      <c r="CY185" s="387"/>
      <c r="CZ185" s="387"/>
      <c r="DA185" s="387"/>
      <c r="DB185" s="387"/>
      <c r="DC185" s="387"/>
      <c r="DD185" s="387"/>
      <c r="DE185" s="387"/>
      <c r="DF185" s="387"/>
      <c r="DG185" s="387"/>
      <c r="DH185" s="387"/>
      <c r="DI185" s="387"/>
      <c r="DJ185" s="387"/>
      <c r="DK185" s="387"/>
      <c r="DL185" s="387"/>
      <c r="DM185" s="387"/>
      <c r="DN185" s="387"/>
      <c r="DO185" s="387"/>
      <c r="DP185" s="387"/>
      <c r="DQ185" s="387"/>
      <c r="DR185" s="387"/>
      <c r="DS185" s="387"/>
      <c r="DT185" s="387"/>
      <c r="DU185" s="387"/>
      <c r="DV185" s="387"/>
      <c r="DW185" s="387"/>
      <c r="DX185" s="387"/>
      <c r="DY185" s="387"/>
      <c r="DZ185" s="387"/>
      <c r="EA185" s="387"/>
      <c r="EB185" s="387"/>
      <c r="EC185" s="387"/>
      <c r="ED185" s="387"/>
      <c r="EE185" s="387"/>
      <c r="EF185" s="387"/>
      <c r="EG185" s="387"/>
      <c r="EH185" s="387"/>
      <c r="EI185" s="387"/>
      <c r="EJ185" s="387"/>
      <c r="EK185" s="387"/>
      <c r="EL185" s="387"/>
      <c r="EM185" s="387"/>
      <c r="EN185" s="387"/>
      <c r="EO185" s="387"/>
      <c r="EP185" s="387"/>
      <c r="EQ185" s="387"/>
      <c r="ER185" s="387"/>
      <c r="ES185" s="387"/>
      <c r="ET185" s="387"/>
      <c r="EU185" s="387"/>
      <c r="EV185" s="387"/>
      <c r="EW185" s="387"/>
      <c r="EX185" s="387"/>
      <c r="EY185" s="387"/>
      <c r="EZ185" s="387"/>
      <c r="FA185" s="387"/>
      <c r="FB185" s="387"/>
      <c r="FC185" s="387"/>
      <c r="FD185" s="387"/>
      <c r="FE185" s="387"/>
      <c r="FF185" s="387"/>
      <c r="FG185" s="387"/>
      <c r="FH185" s="387"/>
      <c r="FI185" s="387"/>
      <c r="FJ185" s="387"/>
      <c r="FK185" s="387"/>
      <c r="FL185" s="387"/>
      <c r="FM185" s="387"/>
      <c r="FN185" s="387"/>
      <c r="FO185" s="387"/>
      <c r="FP185" s="387"/>
      <c r="FQ185" s="387"/>
      <c r="FR185" s="387"/>
      <c r="FS185" s="387"/>
      <c r="FT185" s="387"/>
      <c r="FU185" s="387"/>
      <c r="FV185" s="387"/>
      <c r="FW185" s="387"/>
      <c r="FX185" s="387"/>
      <c r="FY185" s="387"/>
      <c r="FZ185" s="387"/>
      <c r="GA185" s="387"/>
      <c r="GB185" s="387"/>
      <c r="GC185" s="387"/>
      <c r="GD185" s="387"/>
      <c r="GE185" s="387"/>
      <c r="GF185" s="387"/>
      <c r="GG185" s="387"/>
      <c r="GH185" s="387"/>
      <c r="GI185" s="387"/>
      <c r="GJ185" s="387"/>
      <c r="GK185" s="387"/>
      <c r="GL185" s="387"/>
      <c r="GM185" s="387"/>
      <c r="GN185" s="387"/>
      <c r="GO185" s="387"/>
      <c r="GP185" s="387"/>
      <c r="GQ185" s="387"/>
      <c r="GR185" s="387"/>
      <c r="GS185" s="387"/>
      <c r="GT185" s="387"/>
      <c r="GU185" s="387"/>
      <c r="GV185" s="387"/>
      <c r="GW185" s="387"/>
      <c r="GX185" s="387"/>
      <c r="GY185" s="387"/>
      <c r="GZ185" s="387"/>
      <c r="HA185" s="387"/>
      <c r="HB185" s="387"/>
      <c r="HC185" s="387"/>
      <c r="HD185" s="387"/>
      <c r="HE185" s="387"/>
      <c r="HF185" s="387"/>
      <c r="HG185" s="387"/>
      <c r="HH185" s="387"/>
      <c r="HI185" s="387"/>
      <c r="HJ185" s="387"/>
      <c r="HK185" s="387"/>
      <c r="HL185" s="387"/>
      <c r="HM185" s="387"/>
      <c r="HN185" s="387"/>
      <c r="HO185" s="387"/>
      <c r="HP185" s="387"/>
      <c r="HQ185" s="387"/>
      <c r="HR185" s="387"/>
      <c r="HS185" s="387"/>
      <c r="HT185" s="387"/>
      <c r="HU185" s="387"/>
      <c r="HV185" s="387"/>
      <c r="HW185" s="387"/>
      <c r="HX185" s="387"/>
      <c r="HY185" s="387"/>
      <c r="HZ185" s="387"/>
      <c r="IA185" s="387"/>
      <c r="IB185" s="387"/>
      <c r="IC185" s="387"/>
      <c r="ID185" s="387"/>
      <c r="IE185" s="387"/>
      <c r="IF185" s="387"/>
      <c r="IG185" s="387"/>
      <c r="IH185" s="387"/>
      <c r="II185" s="387"/>
      <c r="IJ185" s="387"/>
      <c r="IK185" s="387"/>
      <c r="IL185" s="387"/>
      <c r="IM185" s="387"/>
      <c r="IN185" s="387"/>
      <c r="IO185" s="387"/>
      <c r="IP185" s="387"/>
      <c r="IQ185" s="387"/>
      <c r="IR185" s="387"/>
      <c r="IS185" s="387"/>
      <c r="IT185" s="387"/>
      <c r="IU185" s="387"/>
      <c r="IV185" s="387"/>
      <c r="IW185" s="387"/>
      <c r="IX185" s="387"/>
      <c r="IY185" s="387"/>
      <c r="IZ185" s="387"/>
      <c r="JA185" s="387"/>
      <c r="JB185" s="387"/>
      <c r="JC185" s="387"/>
      <c r="JD185" s="387"/>
      <c r="JE185" s="387"/>
      <c r="JF185" s="387"/>
      <c r="JG185" s="387"/>
      <c r="JH185" s="387"/>
      <c r="JI185" s="387"/>
      <c r="JJ185" s="387"/>
      <c r="JK185" s="387"/>
      <c r="JL185" s="387"/>
      <c r="JM185" s="387"/>
      <c r="JN185" s="387"/>
      <c r="JO185" s="387"/>
      <c r="JP185" s="387"/>
      <c r="JQ185" s="387"/>
      <c r="JR185" s="387"/>
      <c r="JS185" s="387"/>
      <c r="JT185" s="387"/>
      <c r="JU185" s="387"/>
      <c r="JV185" s="387"/>
      <c r="JW185" s="387"/>
      <c r="JX185" s="387"/>
      <c r="JY185" s="387"/>
      <c r="JZ185" s="387"/>
      <c r="KA185" s="387"/>
      <c r="KB185" s="387"/>
      <c r="KC185" s="387"/>
      <c r="KD185" s="387"/>
      <c r="KE185" s="387"/>
      <c r="KF185" s="387"/>
      <c r="KG185" s="387"/>
      <c r="KH185" s="387"/>
      <c r="KI185" s="387"/>
      <c r="KJ185" s="387"/>
      <c r="KK185" s="387"/>
      <c r="KL185" s="387"/>
      <c r="KM185" s="387"/>
      <c r="KN185" s="387"/>
      <c r="KO185" s="387"/>
      <c r="KP185" s="387"/>
      <c r="KQ185" s="387"/>
      <c r="KR185" s="387"/>
      <c r="KS185" s="387"/>
      <c r="KT185" s="387"/>
      <c r="KU185" s="387"/>
      <c r="KV185" s="387"/>
      <c r="KW185" s="387"/>
      <c r="KX185" s="387"/>
      <c r="KY185" s="387"/>
      <c r="KZ185" s="387"/>
      <c r="LA185" s="387"/>
      <c r="LB185" s="387"/>
      <c r="LC185" s="387"/>
      <c r="LD185" s="387"/>
      <c r="LE185" s="387"/>
      <c r="LF185" s="387"/>
      <c r="LG185" s="387"/>
      <c r="LH185" s="387"/>
      <c r="LI185" s="387"/>
      <c r="LJ185" s="387"/>
      <c r="LK185" s="387"/>
      <c r="LL185" s="387"/>
      <c r="LM185" s="387"/>
      <c r="LN185" s="387"/>
      <c r="LO185" s="387"/>
      <c r="LP185" s="387"/>
      <c r="LQ185" s="387"/>
      <c r="LR185" s="387"/>
      <c r="LS185" s="387"/>
      <c r="LT185" s="387"/>
      <c r="LU185" s="387"/>
      <c r="LV185" s="387"/>
      <c r="LW185" s="387"/>
      <c r="LX185" s="387"/>
      <c r="LY185" s="387"/>
      <c r="LZ185" s="387"/>
      <c r="MA185" s="387"/>
      <c r="MB185" s="387"/>
      <c r="MC185" s="387"/>
      <c r="MD185" s="387"/>
      <c r="ME185" s="387"/>
      <c r="MF185" s="387"/>
      <c r="MG185" s="387"/>
      <c r="MH185" s="387"/>
      <c r="MI185" s="387"/>
      <c r="MJ185" s="387"/>
      <c r="MK185" s="387"/>
      <c r="ML185" s="387"/>
      <c r="MM185" s="387"/>
      <c r="MN185" s="387"/>
      <c r="MO185" s="387"/>
      <c r="MP185" s="387"/>
      <c r="MQ185" s="387"/>
      <c r="MR185" s="387"/>
      <c r="MS185" s="387"/>
      <c r="MT185" s="387"/>
      <c r="MU185" s="387"/>
      <c r="MV185" s="387"/>
      <c r="MW185" s="387"/>
      <c r="MX185" s="387"/>
      <c r="MY185" s="387"/>
      <c r="MZ185" s="387"/>
      <c r="NA185" s="387"/>
      <c r="NB185" s="387"/>
      <c r="NC185" s="387"/>
      <c r="ND185" s="387"/>
      <c r="NE185" s="387"/>
      <c r="NF185" s="387"/>
      <c r="NG185" s="387"/>
      <c r="NH185" s="387"/>
      <c r="NI185" s="387"/>
      <c r="NJ185" s="387"/>
      <c r="NK185" s="387"/>
      <c r="NL185" s="387"/>
      <c r="NM185" s="387"/>
      <c r="NN185" s="387"/>
      <c r="NO185" s="387"/>
      <c r="NP185" s="387"/>
      <c r="NQ185" s="387"/>
      <c r="NR185" s="387"/>
      <c r="NS185" s="387"/>
      <c r="NT185" s="387"/>
      <c r="NU185" s="387"/>
      <c r="NV185" s="387"/>
      <c r="NW185" s="387"/>
      <c r="NX185" s="387"/>
      <c r="NY185" s="387"/>
      <c r="NZ185" s="387"/>
      <c r="OA185" s="387"/>
      <c r="OB185" s="387"/>
      <c r="OC185" s="387"/>
      <c r="OD185" s="387"/>
      <c r="OE185" s="387"/>
      <c r="OF185" s="387"/>
      <c r="OG185" s="387"/>
      <c r="OH185" s="387"/>
      <c r="OI185" s="387"/>
      <c r="OJ185" s="387"/>
      <c r="OK185" s="387"/>
      <c r="OL185" s="387"/>
      <c r="OM185" s="387"/>
      <c r="ON185" s="387"/>
      <c r="OO185" s="387"/>
      <c r="OP185" s="387"/>
      <c r="OQ185" s="387"/>
      <c r="OR185" s="387"/>
      <c r="OS185" s="387"/>
      <c r="OT185" s="387"/>
      <c r="OU185" s="387"/>
      <c r="OV185" s="387"/>
      <c r="OW185" s="387"/>
      <c r="OX185" s="387"/>
      <c r="OY185" s="387"/>
      <c r="OZ185" s="387"/>
      <c r="PA185" s="387"/>
      <c r="PB185" s="387"/>
      <c r="PC185" s="387"/>
      <c r="PD185" s="387"/>
      <c r="PE185" s="387"/>
      <c r="PF185" s="387"/>
      <c r="PG185" s="387"/>
      <c r="PH185" s="387"/>
      <c r="PI185" s="387"/>
      <c r="PJ185" s="387"/>
      <c r="PK185" s="387"/>
      <c r="PL185" s="387"/>
      <c r="PM185" s="387"/>
      <c r="PN185" s="387"/>
      <c r="PO185" s="387"/>
      <c r="PP185" s="387"/>
      <c r="PQ185" s="387"/>
      <c r="PR185" s="387"/>
      <c r="PS185" s="387"/>
      <c r="PT185" s="387"/>
      <c r="PU185" s="387"/>
      <c r="PV185" s="387"/>
      <c r="PW185" s="387"/>
      <c r="PX185" s="387"/>
      <c r="PY185" s="387"/>
      <c r="PZ185" s="387"/>
      <c r="QA185" s="387"/>
      <c r="QB185" s="387"/>
      <c r="QC185" s="387"/>
      <c r="QD185" s="387"/>
      <c r="QE185" s="387"/>
      <c r="QF185" s="387"/>
      <c r="QG185" s="387"/>
      <c r="QH185" s="387"/>
      <c r="QI185" s="387"/>
      <c r="QJ185" s="387"/>
      <c r="QK185" s="387"/>
      <c r="QL185" s="387"/>
      <c r="QM185" s="387"/>
      <c r="QN185" s="387"/>
      <c r="QO185" s="387"/>
      <c r="QP185" s="387"/>
      <c r="QQ185" s="387"/>
      <c r="QR185" s="387"/>
      <c r="QS185" s="387"/>
      <c r="QT185" s="387"/>
      <c r="QU185" s="387"/>
      <c r="QV185" s="387"/>
      <c r="QW185" s="387"/>
      <c r="QX185" s="387"/>
      <c r="QY185" s="387"/>
      <c r="QZ185" s="387"/>
      <c r="RA185" s="387"/>
      <c r="RB185" s="387"/>
      <c r="RC185" s="387"/>
      <c r="RD185" s="387"/>
      <c r="RE185" s="387"/>
      <c r="RF185" s="387"/>
      <c r="RG185" s="387"/>
      <c r="RH185" s="387"/>
      <c r="RI185" s="387"/>
      <c r="RJ185" s="387"/>
      <c r="RK185" s="387"/>
      <c r="RL185" s="387"/>
      <c r="RM185" s="387"/>
      <c r="RN185" s="387"/>
      <c r="RO185" s="387"/>
      <c r="RP185" s="387"/>
      <c r="RQ185" s="387"/>
      <c r="RR185" s="387"/>
      <c r="RS185" s="387"/>
      <c r="RT185" s="387"/>
      <c r="RU185" s="387"/>
      <c r="RV185" s="387"/>
      <c r="RW185" s="387"/>
      <c r="RX185" s="387"/>
      <c r="RY185" s="387"/>
      <c r="RZ185" s="387"/>
      <c r="SA185" s="387"/>
      <c r="SB185" s="387"/>
      <c r="SC185" s="387"/>
      <c r="SD185" s="387"/>
      <c r="SE185" s="387"/>
      <c r="SF185" s="387"/>
      <c r="SG185" s="387"/>
      <c r="SH185" s="387"/>
      <c r="SI185" s="387"/>
      <c r="SJ185" s="387"/>
      <c r="SK185" s="387"/>
      <c r="SL185" s="387"/>
      <c r="SM185" s="387"/>
      <c r="SN185" s="387"/>
      <c r="SO185" s="387"/>
      <c r="SP185" s="387"/>
      <c r="SQ185" s="387"/>
      <c r="SR185" s="387"/>
      <c r="SS185" s="387"/>
      <c r="ST185" s="387"/>
      <c r="SU185" s="387"/>
      <c r="SV185" s="387"/>
      <c r="SW185" s="387"/>
      <c r="SX185" s="387"/>
      <c r="SY185" s="387"/>
      <c r="SZ185" s="387"/>
      <c r="TA185" s="387"/>
      <c r="TB185" s="387"/>
      <c r="TC185" s="387"/>
      <c r="TD185" s="387"/>
      <c r="TE185" s="387"/>
      <c r="TF185" s="387"/>
      <c r="TG185" s="387"/>
      <c r="TH185" s="387"/>
      <c r="TI185" s="387"/>
      <c r="TJ185" s="387"/>
      <c r="TK185" s="387"/>
      <c r="TL185" s="387"/>
      <c r="TM185" s="387"/>
      <c r="TN185" s="387"/>
      <c r="TO185" s="387"/>
      <c r="TP185" s="387"/>
      <c r="TQ185" s="387"/>
      <c r="TR185" s="387"/>
      <c r="TS185" s="387"/>
      <c r="TT185" s="387"/>
      <c r="TU185" s="387"/>
      <c r="TV185" s="387"/>
      <c r="TW185" s="387"/>
      <c r="TX185" s="387"/>
      <c r="TY185" s="387"/>
      <c r="TZ185" s="387"/>
      <c r="UA185" s="387"/>
      <c r="UB185" s="387"/>
      <c r="UC185" s="387"/>
      <c r="UD185" s="387"/>
      <c r="UE185" s="387"/>
      <c r="UF185" s="387"/>
      <c r="UG185" s="387"/>
      <c r="UH185" s="387"/>
      <c r="UI185" s="387"/>
      <c r="UJ185" s="387"/>
      <c r="UK185" s="387"/>
      <c r="UL185" s="387"/>
      <c r="UM185" s="387"/>
      <c r="UN185" s="387"/>
      <c r="UO185" s="387"/>
      <c r="UP185" s="387"/>
      <c r="UQ185" s="387"/>
      <c r="UR185" s="387"/>
      <c r="US185" s="387"/>
      <c r="UT185" s="387"/>
      <c r="UU185" s="387"/>
      <c r="UV185" s="387"/>
      <c r="UW185" s="387"/>
      <c r="UX185" s="387"/>
      <c r="UY185" s="387"/>
      <c r="UZ185" s="387"/>
      <c r="VA185" s="387"/>
      <c r="VB185" s="387"/>
      <c r="VC185" s="387"/>
      <c r="VD185" s="387"/>
      <c r="VE185" s="387"/>
      <c r="VF185" s="387"/>
      <c r="VG185" s="387"/>
      <c r="VH185" s="387"/>
      <c r="VI185" s="387"/>
      <c r="VJ185" s="387"/>
      <c r="VK185" s="387"/>
      <c r="VL185" s="387"/>
      <c r="VM185" s="387"/>
      <c r="VN185" s="387"/>
      <c r="VO185" s="387"/>
      <c r="VP185" s="387"/>
      <c r="VQ185" s="387"/>
      <c r="VR185" s="387"/>
      <c r="VS185" s="387"/>
      <c r="VT185" s="387"/>
      <c r="VU185" s="387"/>
      <c r="VV185" s="387"/>
      <c r="VW185" s="387"/>
      <c r="VX185" s="387"/>
      <c r="VY185" s="387"/>
      <c r="VZ185" s="387"/>
      <c r="WA185" s="387"/>
      <c r="WB185" s="387"/>
      <c r="WC185" s="387"/>
      <c r="WD185" s="387"/>
      <c r="WE185" s="387"/>
      <c r="WF185" s="387"/>
      <c r="WG185" s="387"/>
      <c r="WH185" s="387"/>
      <c r="WI185" s="387"/>
      <c r="WJ185" s="387"/>
      <c r="WK185" s="387"/>
      <c r="WL185" s="387"/>
      <c r="WM185" s="387"/>
      <c r="WN185" s="387"/>
      <c r="WO185" s="387"/>
      <c r="WP185" s="387"/>
      <c r="WQ185" s="387"/>
      <c r="WR185" s="387"/>
      <c r="WS185" s="387"/>
      <c r="WT185" s="387"/>
      <c r="WU185" s="387"/>
      <c r="WV185" s="387"/>
      <c r="WW185" s="387"/>
      <c r="WX185" s="387"/>
      <c r="WY185" s="387"/>
      <c r="WZ185" s="387"/>
      <c r="XA185" s="387"/>
      <c r="XB185" s="387"/>
      <c r="XC185" s="387"/>
      <c r="XD185" s="387"/>
      <c r="XE185" s="387"/>
      <c r="XF185" s="387"/>
      <c r="XG185" s="387"/>
      <c r="XH185" s="387"/>
      <c r="XI185" s="387"/>
      <c r="XJ185" s="387"/>
      <c r="XK185" s="387"/>
      <c r="XL185" s="387"/>
      <c r="XM185" s="387"/>
      <c r="XN185" s="387"/>
      <c r="XO185" s="387"/>
      <c r="XP185" s="387"/>
      <c r="XQ185" s="387"/>
      <c r="XR185" s="387"/>
      <c r="XS185" s="387"/>
      <c r="XT185" s="387"/>
      <c r="XU185" s="387"/>
      <c r="XV185" s="387"/>
      <c r="XW185" s="387"/>
      <c r="XX185" s="387"/>
      <c r="XY185" s="387"/>
      <c r="XZ185" s="387"/>
      <c r="YA185" s="387"/>
      <c r="YB185" s="387"/>
      <c r="YC185" s="387"/>
      <c r="YD185" s="387"/>
      <c r="YE185" s="387"/>
      <c r="YF185" s="387"/>
      <c r="YG185" s="387"/>
      <c r="YH185" s="387"/>
      <c r="YI185" s="387"/>
      <c r="YJ185" s="387"/>
      <c r="YK185" s="387"/>
      <c r="YL185" s="387"/>
      <c r="YM185" s="387"/>
      <c r="YN185" s="387"/>
      <c r="YO185" s="387"/>
      <c r="YP185" s="387"/>
      <c r="YQ185" s="387"/>
      <c r="YR185" s="387"/>
      <c r="YS185" s="387"/>
      <c r="YT185" s="387"/>
      <c r="YU185" s="387"/>
      <c r="YV185" s="387"/>
      <c r="YW185" s="387"/>
      <c r="YX185" s="387"/>
      <c r="YY185" s="387"/>
      <c r="YZ185" s="387"/>
      <c r="ZA185" s="387"/>
      <c r="ZB185" s="387"/>
      <c r="ZC185" s="387"/>
      <c r="ZD185" s="387"/>
      <c r="ZE185" s="387"/>
      <c r="ZF185" s="387"/>
      <c r="ZG185" s="387"/>
      <c r="ZH185" s="387"/>
      <c r="ZI185" s="387"/>
      <c r="ZJ185" s="387"/>
      <c r="ZK185" s="387"/>
      <c r="ZL185" s="387"/>
      <c r="ZM185" s="387"/>
      <c r="ZN185" s="387"/>
      <c r="ZO185" s="387"/>
      <c r="ZP185" s="387"/>
      <c r="ZQ185" s="387"/>
      <c r="ZR185" s="387"/>
      <c r="ZS185" s="387"/>
      <c r="ZT185" s="387"/>
      <c r="ZU185" s="387"/>
      <c r="ZV185" s="387"/>
      <c r="ZW185" s="387"/>
      <c r="ZX185" s="387"/>
      <c r="ZY185" s="387"/>
      <c r="ZZ185" s="387"/>
      <c r="AAA185" s="387"/>
      <c r="AAB185" s="387"/>
      <c r="AAC185" s="387"/>
      <c r="AAD185" s="387"/>
      <c r="AAE185" s="387"/>
      <c r="AAF185" s="387"/>
      <c r="AAG185" s="387"/>
      <c r="AAH185" s="387"/>
      <c r="AAI185" s="387"/>
      <c r="AAJ185" s="387"/>
      <c r="AAK185" s="387"/>
      <c r="AAL185" s="387"/>
      <c r="AAM185" s="387"/>
      <c r="AAN185" s="387"/>
      <c r="AAO185" s="387"/>
      <c r="AAP185" s="387"/>
      <c r="AAQ185" s="387"/>
      <c r="AAR185" s="387"/>
      <c r="AAS185" s="387"/>
      <c r="AAT185" s="387"/>
      <c r="AAU185" s="387"/>
      <c r="AAV185" s="387"/>
      <c r="AAW185" s="387"/>
      <c r="AAX185" s="387"/>
      <c r="AAY185" s="387"/>
      <c r="AAZ185" s="387"/>
      <c r="ABA185" s="387"/>
      <c r="ABB185" s="387"/>
      <c r="ABC185" s="387"/>
      <c r="ABD185" s="387"/>
      <c r="ABE185" s="387"/>
      <c r="ABF185" s="387"/>
      <c r="ABG185" s="387"/>
      <c r="ABH185" s="387"/>
      <c r="ABI185" s="387"/>
      <c r="ABJ185" s="387"/>
      <c r="ABK185" s="387"/>
      <c r="ABL185" s="387"/>
      <c r="ABM185" s="387"/>
      <c r="ABN185" s="387"/>
      <c r="ABO185" s="387"/>
      <c r="ABP185" s="387"/>
      <c r="ABQ185" s="387"/>
      <c r="ABR185" s="387"/>
      <c r="ABS185" s="387"/>
      <c r="ABT185" s="387"/>
      <c r="ABU185" s="387"/>
      <c r="ABV185" s="387"/>
      <c r="ABW185" s="387"/>
      <c r="ABX185" s="387"/>
      <c r="ABY185" s="387"/>
      <c r="ABZ185" s="387"/>
      <c r="ACA185" s="387"/>
      <c r="ACB185" s="387"/>
      <c r="ACC185" s="387"/>
      <c r="ACD185" s="387"/>
      <c r="ACE185" s="387"/>
      <c r="ACF185" s="387"/>
      <c r="ACG185" s="387"/>
      <c r="ACH185" s="387"/>
      <c r="ACI185" s="387"/>
      <c r="ACJ185" s="387"/>
      <c r="ACK185" s="387"/>
      <c r="ACL185" s="387"/>
      <c r="ACM185" s="387"/>
      <c r="ACN185" s="387"/>
      <c r="ACO185" s="387"/>
      <c r="ACP185" s="387"/>
      <c r="ACQ185" s="387"/>
      <c r="ACR185" s="387"/>
      <c r="ACS185" s="387"/>
      <c r="ACT185" s="387"/>
      <c r="ACU185" s="387"/>
      <c r="ACV185" s="387"/>
      <c r="ACW185" s="387"/>
      <c r="ACX185" s="387"/>
      <c r="ACY185" s="387"/>
      <c r="ACZ185" s="387"/>
      <c r="ADA185" s="387"/>
      <c r="ADB185" s="387"/>
      <c r="ADC185" s="387"/>
      <c r="ADD185" s="387"/>
      <c r="ADE185" s="387"/>
      <c r="ADF185" s="387"/>
      <c r="ADG185" s="387"/>
      <c r="ADH185" s="387"/>
      <c r="ADI185" s="387"/>
      <c r="ADJ185" s="387"/>
      <c r="ADK185" s="387"/>
      <c r="ADL185" s="387"/>
      <c r="ADM185" s="387"/>
      <c r="ADN185" s="387"/>
      <c r="ADO185" s="387"/>
      <c r="ADP185" s="387"/>
      <c r="ADQ185" s="387"/>
      <c r="ADR185" s="387"/>
      <c r="ADS185" s="387"/>
      <c r="ADT185" s="387"/>
      <c r="ADU185" s="387"/>
      <c r="ADV185" s="387"/>
      <c r="ADW185" s="387"/>
      <c r="ADX185" s="387"/>
      <c r="ADY185" s="387"/>
      <c r="ADZ185" s="387"/>
      <c r="AEA185" s="387"/>
      <c r="AEB185" s="387"/>
      <c r="AEC185" s="387"/>
      <c r="AED185" s="387"/>
      <c r="AEE185" s="387"/>
      <c r="AEF185" s="387"/>
      <c r="AEG185" s="387"/>
      <c r="AEH185" s="387"/>
      <c r="AEI185" s="387"/>
      <c r="AEJ185" s="387"/>
      <c r="AEK185" s="387"/>
      <c r="AEL185" s="387"/>
      <c r="AEM185" s="387"/>
      <c r="AEN185" s="387"/>
      <c r="AEO185" s="387"/>
      <c r="AEP185" s="387"/>
      <c r="AEQ185" s="387"/>
      <c r="AER185" s="387"/>
      <c r="AES185" s="387"/>
      <c r="AET185" s="387"/>
      <c r="AEU185" s="387"/>
      <c r="AEV185" s="387"/>
      <c r="AEW185" s="387"/>
      <c r="AEX185" s="387"/>
      <c r="AEY185" s="387"/>
      <c r="AEZ185" s="387"/>
      <c r="AFA185" s="387"/>
      <c r="AFB185" s="387"/>
      <c r="AFC185" s="387"/>
      <c r="AFD185" s="387"/>
      <c r="AFE185" s="387"/>
      <c r="AFF185" s="387"/>
      <c r="AFG185" s="387"/>
      <c r="AFH185" s="387"/>
      <c r="AFI185" s="387"/>
      <c r="AFJ185" s="387"/>
      <c r="AFK185" s="387"/>
      <c r="AFL185" s="387"/>
      <c r="AFM185" s="387"/>
      <c r="AFN185" s="387"/>
      <c r="AFO185" s="387"/>
      <c r="AFP185" s="387"/>
      <c r="AFQ185" s="387"/>
      <c r="AFR185" s="387"/>
      <c r="AFS185" s="387"/>
      <c r="AFT185" s="387"/>
      <c r="AFU185" s="387"/>
      <c r="AFV185" s="387"/>
      <c r="AFW185" s="387"/>
      <c r="AFX185" s="387"/>
      <c r="AFY185" s="387"/>
      <c r="AFZ185" s="387"/>
      <c r="AGA185" s="387"/>
      <c r="AGB185" s="387"/>
      <c r="AGC185" s="387"/>
      <c r="AGD185" s="387"/>
      <c r="AGE185" s="387"/>
      <c r="AGF185" s="387"/>
      <c r="AGG185" s="387"/>
      <c r="AGH185" s="387"/>
      <c r="AGI185" s="387"/>
      <c r="AGJ185" s="387"/>
      <c r="AGK185" s="387"/>
      <c r="AGL185" s="387"/>
      <c r="AGM185" s="387"/>
      <c r="AGN185" s="387"/>
      <c r="AGO185" s="387"/>
      <c r="AGP185" s="387"/>
      <c r="AGQ185" s="387"/>
      <c r="AGR185" s="387"/>
      <c r="AGS185" s="387"/>
      <c r="AGT185" s="387"/>
      <c r="AGU185" s="387"/>
      <c r="AGV185" s="387"/>
      <c r="AGW185" s="387"/>
      <c r="AGX185" s="387"/>
      <c r="AGY185" s="387"/>
      <c r="AGZ185" s="387"/>
      <c r="AHA185" s="387"/>
      <c r="AHB185" s="387"/>
      <c r="AHC185" s="387"/>
      <c r="AHD185" s="387"/>
      <c r="AHE185" s="387"/>
      <c r="AHF185" s="387"/>
      <c r="AHG185" s="387"/>
      <c r="AHH185" s="387"/>
      <c r="AHI185" s="387"/>
      <c r="AHJ185" s="387"/>
      <c r="AHK185" s="387"/>
      <c r="AHL185" s="387"/>
      <c r="AHM185" s="387"/>
      <c r="AHN185" s="387"/>
      <c r="AHO185" s="387"/>
      <c r="AHP185" s="387"/>
      <c r="AHQ185" s="387"/>
      <c r="AHR185" s="387"/>
      <c r="AHS185" s="387"/>
      <c r="AHT185" s="387"/>
      <c r="AHU185" s="387"/>
      <c r="AHV185" s="387"/>
      <c r="AHW185" s="387"/>
      <c r="AHX185" s="387"/>
      <c r="AHY185" s="387"/>
      <c r="AHZ185" s="387"/>
      <c r="AIA185" s="387"/>
      <c r="AIB185" s="387"/>
      <c r="AIC185" s="387"/>
      <c r="AID185" s="387"/>
      <c r="AIE185" s="387"/>
      <c r="AIF185" s="387"/>
      <c r="AIG185" s="387"/>
      <c r="AIH185" s="387"/>
      <c r="AII185" s="387"/>
      <c r="AIJ185" s="387"/>
      <c r="AIK185" s="387"/>
      <c r="AIL185" s="387"/>
      <c r="AIM185" s="387"/>
      <c r="AIN185" s="387"/>
      <c r="AIO185" s="387"/>
      <c r="AIP185" s="387"/>
      <c r="AIQ185" s="387"/>
      <c r="AIR185" s="387"/>
      <c r="AIS185" s="387"/>
      <c r="AIT185" s="387"/>
      <c r="AIU185" s="387"/>
      <c r="AIV185" s="387"/>
      <c r="AIW185" s="387"/>
      <c r="AIX185" s="387"/>
      <c r="AIY185" s="387"/>
      <c r="AIZ185" s="387"/>
      <c r="AJA185" s="387"/>
      <c r="AJB185" s="387"/>
      <c r="AJC185" s="387"/>
      <c r="AJD185" s="387"/>
      <c r="AJE185" s="387"/>
      <c r="AJF185" s="387"/>
      <c r="AJG185" s="387"/>
      <c r="AJH185" s="387"/>
      <c r="AJI185" s="387"/>
      <c r="AJJ185" s="387"/>
      <c r="AJK185" s="387"/>
      <c r="AJL185" s="387"/>
      <c r="AJM185" s="387"/>
      <c r="AJN185" s="387"/>
      <c r="AJO185" s="387"/>
      <c r="AJP185" s="387"/>
      <c r="AJQ185" s="387"/>
      <c r="AJR185" s="387"/>
      <c r="AJS185" s="387"/>
      <c r="AJT185" s="387"/>
      <c r="AJU185" s="387"/>
      <c r="AJV185" s="387"/>
      <c r="AJW185" s="387"/>
      <c r="AJX185" s="387"/>
      <c r="AJY185" s="387"/>
      <c r="AJZ185" s="387"/>
      <c r="AKA185" s="387"/>
      <c r="AKB185" s="387"/>
      <c r="AKC185" s="387"/>
      <c r="AKD185" s="387"/>
      <c r="AKE185" s="387"/>
      <c r="AKF185" s="387"/>
      <c r="AKG185" s="387"/>
      <c r="AKH185" s="387"/>
      <c r="AKI185" s="387"/>
      <c r="AKJ185" s="387"/>
      <c r="AKK185" s="387"/>
      <c r="AKL185" s="387"/>
      <c r="AKM185" s="387"/>
      <c r="AKN185" s="387"/>
      <c r="AKO185" s="387"/>
      <c r="AKP185" s="387"/>
      <c r="AKQ185" s="387"/>
      <c r="AKR185" s="387"/>
      <c r="AKS185" s="387"/>
      <c r="AKT185" s="387"/>
      <c r="AKU185" s="387"/>
      <c r="AKV185" s="387"/>
      <c r="AKW185" s="387"/>
      <c r="AKX185" s="387"/>
      <c r="AKY185" s="387"/>
      <c r="AKZ185" s="387"/>
      <c r="ALA185" s="387"/>
      <c r="ALB185" s="387"/>
      <c r="ALC185" s="387"/>
      <c r="ALD185" s="387"/>
      <c r="ALE185" s="387"/>
      <c r="ALF185" s="387"/>
      <c r="ALG185" s="387"/>
      <c r="ALH185" s="387"/>
      <c r="ALI185" s="387"/>
      <c r="ALJ185" s="387"/>
      <c r="ALK185" s="387"/>
      <c r="ALL185" s="387"/>
      <c r="ALM185" s="387"/>
      <c r="ALN185" s="387"/>
      <c r="ALO185" s="387"/>
      <c r="ALP185" s="387"/>
      <c r="ALQ185" s="387"/>
      <c r="ALR185" s="387"/>
      <c r="ALS185" s="387"/>
      <c r="ALT185" s="387"/>
      <c r="ALU185" s="387"/>
      <c r="ALV185" s="387"/>
      <c r="ALW185" s="387"/>
      <c r="ALX185" s="387"/>
      <c r="ALY185" s="387"/>
      <c r="ALZ185" s="387"/>
      <c r="AMA185" s="387"/>
      <c r="AMB185" s="387"/>
      <c r="AMC185" s="387"/>
      <c r="AMD185" s="387"/>
      <c r="AME185" s="387"/>
      <c r="AMF185" s="387"/>
      <c r="AMG185" s="387"/>
      <c r="AMH185" s="387"/>
      <c r="AMI185" s="387"/>
      <c r="AMJ185" s="387"/>
      <c r="AMK185" s="387"/>
      <c r="AML185" s="387"/>
      <c r="AMM185" s="387"/>
      <c r="AMN185" s="387"/>
      <c r="AMO185" s="387"/>
      <c r="AMP185" s="387"/>
      <c r="AMQ185" s="387"/>
      <c r="AMR185" s="387"/>
      <c r="AMS185" s="387"/>
      <c r="AMT185" s="387"/>
      <c r="AMU185" s="387"/>
      <c r="AMV185" s="387"/>
      <c r="AMW185" s="387"/>
      <c r="AMX185" s="387"/>
      <c r="AMY185" s="387"/>
      <c r="AMZ185" s="387"/>
      <c r="ANA185" s="387"/>
      <c r="ANB185" s="387"/>
      <c r="ANC185" s="387"/>
      <c r="AND185" s="387"/>
      <c r="ANE185" s="387"/>
      <c r="ANF185" s="387"/>
      <c r="ANG185" s="387"/>
      <c r="ANH185" s="387"/>
      <c r="ANI185" s="387"/>
      <c r="ANJ185" s="387"/>
      <c r="ANK185" s="387"/>
      <c r="ANL185" s="387"/>
      <c r="ANM185" s="387"/>
      <c r="ANN185" s="387"/>
      <c r="ANO185" s="387"/>
      <c r="ANP185" s="387"/>
      <c r="ANQ185" s="387"/>
      <c r="ANR185" s="387"/>
      <c r="ANS185" s="387"/>
      <c r="ANT185" s="387"/>
      <c r="ANU185" s="387"/>
      <c r="ANV185" s="387"/>
      <c r="ANW185" s="387"/>
      <c r="ANX185" s="387"/>
      <c r="ANY185" s="387"/>
      <c r="ANZ185" s="387"/>
      <c r="AOA185" s="387"/>
      <c r="AOB185" s="387"/>
      <c r="AOC185" s="387"/>
      <c r="AOD185" s="387"/>
      <c r="AOE185" s="387"/>
      <c r="AOF185" s="387"/>
      <c r="AOG185" s="387"/>
      <c r="AOH185" s="387"/>
      <c r="AOI185" s="387"/>
      <c r="AOJ185" s="387"/>
      <c r="AOK185" s="387"/>
      <c r="AOL185" s="387"/>
      <c r="AOM185" s="387"/>
      <c r="AON185" s="387"/>
      <c r="AOO185" s="387"/>
      <c r="AOP185" s="387"/>
      <c r="AOQ185" s="387"/>
      <c r="AOR185" s="387"/>
      <c r="AOS185" s="387"/>
      <c r="AOT185" s="387"/>
      <c r="AOU185" s="387"/>
      <c r="AOV185" s="387"/>
      <c r="AOW185" s="387"/>
      <c r="AOX185" s="387"/>
      <c r="AOY185" s="387"/>
      <c r="AOZ185" s="387"/>
      <c r="APA185" s="387"/>
      <c r="APB185" s="387"/>
      <c r="APC185" s="387"/>
      <c r="APD185" s="387"/>
      <c r="APE185" s="387"/>
      <c r="APF185" s="387"/>
      <c r="APG185" s="387"/>
      <c r="APH185" s="387"/>
      <c r="API185" s="387"/>
      <c r="APJ185" s="387"/>
      <c r="APK185" s="387"/>
      <c r="APL185" s="387"/>
      <c r="APM185" s="387"/>
      <c r="APN185" s="387"/>
      <c r="APO185" s="387"/>
      <c r="APP185" s="387"/>
      <c r="APQ185" s="387"/>
      <c r="APR185" s="387"/>
      <c r="APS185" s="387"/>
      <c r="APT185" s="387"/>
      <c r="APU185" s="387"/>
      <c r="APV185" s="387"/>
      <c r="APW185" s="387"/>
      <c r="APX185" s="387"/>
      <c r="APY185" s="387"/>
      <c r="APZ185" s="387"/>
      <c r="AQA185" s="387"/>
      <c r="AQB185" s="387"/>
      <c r="AQC185" s="387"/>
      <c r="AQD185" s="387"/>
      <c r="AQE185" s="387"/>
      <c r="AQF185" s="387"/>
      <c r="AQG185" s="387"/>
      <c r="AQH185" s="387"/>
      <c r="AQI185" s="387"/>
      <c r="AQJ185" s="387"/>
      <c r="AQK185" s="387"/>
      <c r="AQL185" s="387"/>
      <c r="AQM185" s="387"/>
      <c r="AQN185" s="387"/>
      <c r="AQO185" s="387"/>
      <c r="AQP185" s="387"/>
      <c r="AQQ185" s="387"/>
      <c r="AQR185" s="387"/>
      <c r="AQS185" s="387"/>
      <c r="AQT185" s="387"/>
      <c r="AQU185" s="387"/>
      <c r="AQV185" s="387"/>
      <c r="AQW185" s="387"/>
      <c r="AQX185" s="387"/>
      <c r="AQY185" s="387"/>
      <c r="AQZ185" s="387"/>
      <c r="ARA185" s="387"/>
      <c r="ARB185" s="387"/>
      <c r="ARC185" s="387"/>
      <c r="ARD185" s="387"/>
      <c r="ARE185" s="387"/>
      <c r="ARF185" s="387"/>
      <c r="ARG185" s="387"/>
      <c r="ARH185" s="387"/>
      <c r="ARI185" s="387"/>
      <c r="ARJ185" s="387"/>
      <c r="ARK185" s="387"/>
      <c r="ARL185" s="387"/>
      <c r="ARM185" s="387"/>
      <c r="ARN185" s="387"/>
      <c r="ARO185" s="387"/>
      <c r="ARP185" s="387"/>
      <c r="ARQ185" s="387"/>
      <c r="ARR185" s="387"/>
      <c r="ARS185" s="387"/>
      <c r="ART185" s="387"/>
      <c r="ARU185" s="387"/>
      <c r="ARV185" s="387"/>
      <c r="ARW185" s="387"/>
      <c r="ARX185" s="387"/>
      <c r="ARY185" s="387"/>
      <c r="ARZ185" s="387"/>
      <c r="ASA185" s="387"/>
      <c r="ASB185" s="387"/>
      <c r="ASC185" s="387"/>
      <c r="ASD185" s="387"/>
      <c r="ASE185" s="387"/>
      <c r="ASF185" s="387"/>
      <c r="ASG185" s="387"/>
      <c r="ASH185" s="387"/>
      <c r="ASI185" s="387"/>
      <c r="ASJ185" s="387"/>
      <c r="ASK185" s="387"/>
      <c r="ASL185" s="387"/>
      <c r="ASM185" s="387"/>
      <c r="ASN185" s="387"/>
      <c r="ASO185" s="387"/>
      <c r="ASP185" s="387"/>
      <c r="ASQ185" s="387"/>
      <c r="ASR185" s="387"/>
      <c r="ASS185" s="387"/>
      <c r="AST185" s="387"/>
      <c r="ASU185" s="387"/>
      <c r="ASV185" s="387"/>
      <c r="ASW185" s="387"/>
      <c r="ASX185" s="387"/>
      <c r="ASY185" s="387"/>
      <c r="ASZ185" s="387"/>
      <c r="ATA185" s="387"/>
      <c r="ATB185" s="387"/>
      <c r="ATC185" s="387"/>
      <c r="ATD185" s="387"/>
      <c r="ATE185" s="387"/>
      <c r="ATF185" s="387"/>
      <c r="ATG185" s="387"/>
      <c r="ATH185" s="387"/>
      <c r="ATI185" s="387"/>
      <c r="ATJ185" s="387"/>
      <c r="ATK185" s="387"/>
      <c r="ATL185" s="387"/>
      <c r="ATM185" s="387"/>
      <c r="ATN185" s="387"/>
      <c r="ATO185" s="387"/>
      <c r="ATP185" s="387"/>
      <c r="ATQ185" s="387"/>
      <c r="ATR185" s="387"/>
      <c r="ATS185" s="387"/>
      <c r="ATT185" s="387"/>
      <c r="ATU185" s="387"/>
      <c r="ATV185" s="387"/>
      <c r="ATW185" s="387"/>
      <c r="ATX185" s="387"/>
      <c r="ATY185" s="387"/>
      <c r="ATZ185" s="387"/>
      <c r="AUA185" s="387"/>
      <c r="AUB185" s="387"/>
      <c r="AUC185" s="387"/>
      <c r="AUD185" s="387"/>
      <c r="AUE185" s="387"/>
      <c r="AUF185" s="387"/>
      <c r="AUG185" s="387"/>
      <c r="AUH185" s="387"/>
      <c r="AUI185" s="387"/>
      <c r="AUJ185" s="387"/>
      <c r="AUK185" s="387"/>
      <c r="AUL185" s="387"/>
      <c r="AUM185" s="387"/>
      <c r="AUN185" s="387"/>
      <c r="AUO185" s="387"/>
      <c r="AUP185" s="387"/>
      <c r="AUQ185" s="387"/>
      <c r="AUR185" s="387"/>
      <c r="AUS185" s="387"/>
      <c r="AUT185" s="387"/>
      <c r="AUU185" s="387"/>
      <c r="AUV185" s="387"/>
      <c r="AUW185" s="387"/>
      <c r="AUX185" s="387"/>
      <c r="AUY185" s="387"/>
      <c r="AUZ185" s="387"/>
      <c r="AVA185" s="387"/>
      <c r="AVB185" s="387"/>
      <c r="AVC185" s="387"/>
      <c r="AVD185" s="387"/>
      <c r="AVE185" s="387"/>
      <c r="AVF185" s="387"/>
      <c r="AVG185" s="387"/>
      <c r="AVH185" s="387"/>
      <c r="AVI185" s="387"/>
      <c r="AVJ185" s="387"/>
      <c r="AVK185" s="387"/>
      <c r="AVL185" s="387"/>
      <c r="AVM185" s="387"/>
      <c r="AVN185" s="387"/>
      <c r="AVO185" s="387"/>
      <c r="AVP185" s="387"/>
      <c r="AVQ185" s="387"/>
      <c r="AVR185" s="387"/>
      <c r="AVS185" s="387"/>
      <c r="AVT185" s="387"/>
      <c r="AVU185" s="387"/>
      <c r="AVV185" s="387"/>
      <c r="AVW185" s="387"/>
      <c r="AVX185" s="387"/>
      <c r="AVY185" s="387"/>
      <c r="AVZ185" s="387"/>
      <c r="AWA185" s="387"/>
      <c r="AWB185" s="387"/>
      <c r="AWC185" s="387"/>
      <c r="AWD185" s="387"/>
      <c r="AWE185" s="387"/>
      <c r="AWF185" s="387"/>
      <c r="AWG185" s="387"/>
      <c r="AWH185" s="387"/>
      <c r="AWI185" s="387"/>
      <c r="AWJ185" s="387"/>
      <c r="AWK185" s="387"/>
      <c r="AWL185" s="387"/>
      <c r="AWM185" s="387"/>
      <c r="AWN185" s="387"/>
      <c r="AWO185" s="387"/>
      <c r="AWP185" s="387"/>
      <c r="AWQ185" s="387"/>
      <c r="AWR185" s="387"/>
      <c r="AWS185" s="387"/>
      <c r="AWT185" s="387"/>
      <c r="AWU185" s="387"/>
      <c r="AWV185" s="387"/>
      <c r="AWW185" s="387"/>
      <c r="AWX185" s="387"/>
      <c r="AWY185" s="387"/>
      <c r="AWZ185" s="387"/>
      <c r="AXA185" s="387"/>
      <c r="AXB185" s="387"/>
      <c r="AXC185" s="387"/>
      <c r="AXD185" s="387"/>
      <c r="AXE185" s="387"/>
      <c r="AXF185" s="387"/>
      <c r="AXG185" s="387"/>
      <c r="AXH185" s="387"/>
      <c r="AXI185" s="387"/>
      <c r="AXJ185" s="387"/>
      <c r="AXK185" s="387"/>
      <c r="AXL185" s="387"/>
      <c r="AXM185" s="387"/>
      <c r="AXN185" s="387"/>
      <c r="AXO185" s="387"/>
      <c r="AXP185" s="387"/>
      <c r="AXQ185" s="387"/>
      <c r="AXR185" s="387"/>
      <c r="AXS185" s="387"/>
      <c r="AXT185" s="387"/>
      <c r="AXU185" s="387"/>
      <c r="AXV185" s="387"/>
      <c r="AXW185" s="387"/>
      <c r="AXX185" s="387"/>
      <c r="AXY185" s="387"/>
      <c r="AXZ185" s="387"/>
      <c r="AYA185" s="387"/>
      <c r="AYB185" s="387"/>
      <c r="AYC185" s="387"/>
      <c r="AYD185" s="387"/>
      <c r="AYE185" s="387"/>
      <c r="AYF185" s="387"/>
      <c r="AYG185" s="387"/>
      <c r="AYH185" s="387"/>
      <c r="AYI185" s="387"/>
      <c r="AYJ185" s="387"/>
      <c r="AYK185" s="387"/>
      <c r="AYL185" s="387"/>
      <c r="AYM185" s="387"/>
      <c r="AYN185" s="387"/>
      <c r="AYO185" s="387"/>
      <c r="AYP185" s="387"/>
      <c r="AYQ185" s="387"/>
      <c r="AYR185" s="387"/>
      <c r="AYS185" s="387"/>
      <c r="AYT185" s="387"/>
      <c r="AYU185" s="387"/>
      <c r="AYV185" s="387"/>
      <c r="AYW185" s="387"/>
      <c r="AYX185" s="387"/>
      <c r="AYY185" s="387"/>
      <c r="AYZ185" s="387"/>
      <c r="AZA185" s="387"/>
      <c r="AZB185" s="387"/>
      <c r="AZC185" s="387"/>
      <c r="AZD185" s="387"/>
      <c r="AZE185" s="387"/>
      <c r="AZF185" s="387"/>
      <c r="AZG185" s="387"/>
      <c r="AZH185" s="387"/>
      <c r="AZI185" s="387"/>
      <c r="AZJ185" s="387"/>
      <c r="AZK185" s="387"/>
      <c r="AZL185" s="387"/>
      <c r="AZM185" s="387"/>
      <c r="AZN185" s="387"/>
      <c r="AZO185" s="387"/>
      <c r="AZP185" s="387"/>
      <c r="AZQ185" s="387"/>
      <c r="AZR185" s="387"/>
      <c r="AZS185" s="387"/>
      <c r="AZT185" s="387"/>
      <c r="AZU185" s="387"/>
      <c r="AZV185" s="387"/>
      <c r="AZW185" s="387"/>
      <c r="AZX185" s="387"/>
      <c r="AZY185" s="387"/>
      <c r="AZZ185" s="387"/>
      <c r="BAA185" s="387"/>
      <c r="BAB185" s="387"/>
      <c r="BAC185" s="387"/>
      <c r="BAD185" s="387"/>
      <c r="BAE185" s="387"/>
      <c r="BAF185" s="387"/>
      <c r="BAG185" s="387"/>
      <c r="BAH185" s="387"/>
      <c r="BAI185" s="387"/>
      <c r="BAJ185" s="387"/>
      <c r="BAK185" s="387"/>
      <c r="BAL185" s="387"/>
      <c r="BAM185" s="387"/>
      <c r="BAN185" s="387"/>
      <c r="BAO185" s="387"/>
      <c r="BAP185" s="387"/>
      <c r="BAQ185" s="387"/>
      <c r="BAR185" s="387"/>
      <c r="BAS185" s="387"/>
      <c r="BAT185" s="387"/>
      <c r="BAU185" s="387"/>
      <c r="BAV185" s="387"/>
      <c r="BAW185" s="387"/>
      <c r="BAX185" s="387"/>
      <c r="BAY185" s="387"/>
      <c r="BAZ185" s="387"/>
      <c r="BBA185" s="387"/>
      <c r="BBB185" s="387"/>
      <c r="BBC185" s="387"/>
      <c r="BBD185" s="387"/>
      <c r="BBE185" s="387"/>
      <c r="BBF185" s="387"/>
      <c r="BBG185" s="387"/>
      <c r="BBH185" s="387"/>
      <c r="BBI185" s="387"/>
      <c r="BBJ185" s="387"/>
      <c r="BBK185" s="387"/>
      <c r="BBL185" s="387"/>
      <c r="BBM185" s="387"/>
      <c r="BBN185" s="387"/>
      <c r="BBO185" s="387"/>
      <c r="BBP185" s="387"/>
      <c r="BBQ185" s="387"/>
      <c r="BBR185" s="387"/>
      <c r="BBS185" s="387"/>
      <c r="BBT185" s="387"/>
      <c r="BBU185" s="387"/>
      <c r="BBV185" s="387"/>
      <c r="BBW185" s="387"/>
      <c r="BBX185" s="387"/>
      <c r="BBY185" s="387"/>
      <c r="BBZ185" s="387"/>
      <c r="BCA185" s="387"/>
      <c r="BCB185" s="387"/>
      <c r="BCC185" s="387"/>
      <c r="BCD185" s="387"/>
      <c r="BCE185" s="387"/>
      <c r="BCF185" s="387"/>
      <c r="BCG185" s="387"/>
      <c r="BCH185" s="387"/>
      <c r="BCI185" s="387"/>
      <c r="BCJ185" s="387"/>
      <c r="BCK185" s="387"/>
      <c r="BCL185" s="387"/>
      <c r="BCM185" s="387"/>
      <c r="BCN185" s="387"/>
      <c r="BCO185" s="387"/>
      <c r="BCP185" s="387"/>
      <c r="BCQ185" s="387"/>
      <c r="BCR185" s="387"/>
      <c r="BCS185" s="387"/>
      <c r="BCT185" s="387"/>
      <c r="BCU185" s="387"/>
      <c r="BCV185" s="387"/>
      <c r="BCW185" s="387"/>
      <c r="BCX185" s="387"/>
      <c r="BCY185" s="387"/>
      <c r="BCZ185" s="387"/>
      <c r="BDA185" s="387"/>
      <c r="BDB185" s="387"/>
      <c r="BDC185" s="387"/>
      <c r="BDD185" s="387"/>
      <c r="BDE185" s="387"/>
      <c r="BDF185" s="387"/>
      <c r="BDG185" s="387"/>
      <c r="BDH185" s="387"/>
      <c r="BDI185" s="387"/>
      <c r="BDJ185" s="387"/>
      <c r="BDK185" s="387"/>
      <c r="BDL185" s="387"/>
      <c r="BDM185" s="387"/>
      <c r="BDN185" s="387"/>
      <c r="BDO185" s="387"/>
      <c r="BDP185" s="387"/>
      <c r="BDQ185" s="387"/>
      <c r="BDR185" s="387"/>
      <c r="BDS185" s="387"/>
      <c r="BDT185" s="387"/>
      <c r="BDU185" s="387"/>
      <c r="BDV185" s="387"/>
      <c r="BDW185" s="387"/>
      <c r="BDX185" s="387"/>
      <c r="BDY185" s="387"/>
      <c r="BDZ185" s="387"/>
      <c r="BEA185" s="387"/>
      <c r="BEB185" s="387"/>
      <c r="BEC185" s="387"/>
      <c r="BED185" s="387"/>
      <c r="BEE185" s="387"/>
      <c r="BEF185" s="387"/>
      <c r="BEG185" s="387"/>
      <c r="BEH185" s="387"/>
      <c r="BEI185" s="387"/>
      <c r="BEJ185" s="387"/>
      <c r="BEK185" s="387"/>
      <c r="BEL185" s="387"/>
      <c r="BEM185" s="387"/>
      <c r="BEN185" s="387"/>
      <c r="BEO185" s="387"/>
      <c r="BEP185" s="387"/>
      <c r="BEQ185" s="387"/>
      <c r="BER185" s="387"/>
      <c r="BES185" s="387"/>
      <c r="BET185" s="387"/>
      <c r="BEU185" s="387"/>
      <c r="BEV185" s="387"/>
      <c r="BEW185" s="387"/>
      <c r="BEX185" s="387"/>
      <c r="BEY185" s="387"/>
      <c r="BEZ185" s="387"/>
      <c r="BFA185" s="387"/>
      <c r="BFB185" s="387"/>
      <c r="BFC185" s="387"/>
      <c r="BFD185" s="387"/>
      <c r="BFE185" s="387"/>
      <c r="BFF185" s="387"/>
      <c r="BFG185" s="387"/>
      <c r="BFH185" s="387"/>
      <c r="BFI185" s="387"/>
      <c r="BFJ185" s="387"/>
      <c r="BFK185" s="387"/>
      <c r="BFL185" s="387"/>
      <c r="BFM185" s="387"/>
      <c r="BFN185" s="387"/>
      <c r="BFO185" s="387"/>
      <c r="BFP185" s="387"/>
      <c r="BFQ185" s="387"/>
      <c r="BFR185" s="387"/>
      <c r="BFS185" s="387"/>
      <c r="BFT185" s="387"/>
      <c r="BFU185" s="387"/>
      <c r="BFV185" s="387"/>
      <c r="BFW185" s="387"/>
      <c r="BFX185" s="387"/>
      <c r="BFY185" s="387"/>
      <c r="BFZ185" s="387"/>
      <c r="BGA185" s="387"/>
      <c r="BGB185" s="387"/>
      <c r="BGC185" s="387"/>
      <c r="BGD185" s="387"/>
      <c r="BGE185" s="387"/>
      <c r="BGF185" s="387"/>
      <c r="BGG185" s="387"/>
      <c r="BGH185" s="387"/>
      <c r="BGI185" s="387"/>
      <c r="BGJ185" s="387"/>
      <c r="BGK185" s="387"/>
      <c r="BGL185" s="387"/>
      <c r="BGM185" s="387"/>
      <c r="BGN185" s="387"/>
      <c r="BGO185" s="387"/>
      <c r="BGP185" s="387"/>
      <c r="BGQ185" s="387"/>
      <c r="BGR185" s="387"/>
      <c r="BGS185" s="387"/>
      <c r="BGT185" s="387"/>
      <c r="BGU185" s="387"/>
      <c r="BGV185" s="387"/>
      <c r="BGW185" s="387"/>
      <c r="BGX185" s="387"/>
      <c r="BGY185" s="387"/>
      <c r="BGZ185" s="387"/>
      <c r="BHA185" s="387"/>
      <c r="BHB185" s="387"/>
      <c r="BHC185" s="387"/>
      <c r="BHD185" s="387"/>
      <c r="BHE185" s="387"/>
      <c r="BHF185" s="387"/>
      <c r="BHG185" s="387"/>
      <c r="BHH185" s="387"/>
      <c r="BHI185" s="387"/>
      <c r="BHJ185" s="387"/>
      <c r="BHK185" s="387"/>
      <c r="BHL185" s="387"/>
      <c r="BHM185" s="387"/>
      <c r="BHN185" s="387"/>
      <c r="BHO185" s="387"/>
      <c r="BHP185" s="387"/>
      <c r="BHQ185" s="387"/>
      <c r="BHR185" s="387"/>
      <c r="BHS185" s="387"/>
      <c r="BHT185" s="387"/>
      <c r="BHU185" s="387"/>
      <c r="BHV185" s="387"/>
      <c r="BHW185" s="387"/>
      <c r="BHX185" s="387"/>
      <c r="BHY185" s="387"/>
      <c r="BHZ185" s="387"/>
      <c r="BIA185" s="387"/>
      <c r="BIB185" s="387"/>
      <c r="BIC185" s="387"/>
      <c r="BID185" s="387"/>
      <c r="BIE185" s="387"/>
      <c r="BIF185" s="387"/>
      <c r="BIG185" s="387"/>
      <c r="BIH185" s="387"/>
      <c r="BII185" s="387"/>
      <c r="BIJ185" s="387"/>
      <c r="BIK185" s="387"/>
      <c r="BIL185" s="387"/>
      <c r="BIM185" s="387"/>
      <c r="BIN185" s="387"/>
      <c r="BIO185" s="387"/>
      <c r="BIP185" s="387"/>
      <c r="BIQ185" s="387"/>
      <c r="BIR185" s="387"/>
      <c r="BIS185" s="387"/>
      <c r="BIT185" s="387"/>
      <c r="BIU185" s="387"/>
      <c r="BIV185" s="387"/>
      <c r="BIW185" s="387"/>
      <c r="BIX185" s="387"/>
      <c r="BIY185" s="387"/>
      <c r="BIZ185" s="387"/>
      <c r="BJA185" s="387"/>
      <c r="BJB185" s="387"/>
      <c r="BJC185" s="387"/>
      <c r="BJD185" s="387"/>
      <c r="BJE185" s="387"/>
      <c r="BJF185" s="387"/>
      <c r="BJG185" s="387"/>
      <c r="BJH185" s="387"/>
      <c r="BJI185" s="387"/>
      <c r="BJJ185" s="387"/>
      <c r="BJK185" s="387"/>
      <c r="BJL185" s="387"/>
      <c r="BJM185" s="387"/>
      <c r="BJN185" s="387"/>
      <c r="BJO185" s="387"/>
      <c r="BJP185" s="387"/>
      <c r="BJQ185" s="387"/>
      <c r="BJR185" s="387"/>
      <c r="BJS185" s="387"/>
      <c r="BJT185" s="387"/>
      <c r="BJU185" s="387"/>
      <c r="BJV185" s="387"/>
      <c r="BJW185" s="387"/>
      <c r="BJX185" s="387"/>
      <c r="BJY185" s="387"/>
      <c r="BJZ185" s="387"/>
      <c r="BKA185" s="387"/>
      <c r="BKB185" s="387"/>
      <c r="BKC185" s="387"/>
      <c r="BKD185" s="387"/>
      <c r="BKE185" s="387"/>
      <c r="BKF185" s="387"/>
      <c r="BKG185" s="387"/>
      <c r="BKH185" s="387"/>
      <c r="BKI185" s="387"/>
      <c r="BKJ185" s="387"/>
      <c r="BKK185" s="387"/>
      <c r="BKL185" s="387"/>
      <c r="BKM185" s="387"/>
      <c r="BKN185" s="387"/>
      <c r="BKO185" s="387"/>
      <c r="BKP185" s="387"/>
      <c r="BKQ185" s="387"/>
      <c r="BKR185" s="387"/>
      <c r="BKS185" s="387"/>
      <c r="BKT185" s="387"/>
      <c r="BKU185" s="387"/>
      <c r="BKV185" s="387"/>
      <c r="BKW185" s="387"/>
      <c r="BKX185" s="387"/>
      <c r="BKY185" s="387"/>
      <c r="BKZ185" s="387"/>
      <c r="BLA185" s="387"/>
      <c r="BLB185" s="387"/>
      <c r="BLC185" s="387"/>
      <c r="BLD185" s="387"/>
      <c r="BLE185" s="387"/>
      <c r="BLF185" s="387"/>
      <c r="BLG185" s="387"/>
      <c r="BLH185" s="387"/>
      <c r="BLI185" s="387"/>
      <c r="BLJ185" s="387"/>
      <c r="BLK185" s="387"/>
      <c r="BLL185" s="387"/>
      <c r="BLM185" s="387"/>
      <c r="BLN185" s="387"/>
      <c r="BLO185" s="387"/>
      <c r="BLP185" s="387"/>
      <c r="BLQ185" s="387"/>
      <c r="BLR185" s="387"/>
      <c r="BLS185" s="387"/>
      <c r="BLT185" s="387"/>
      <c r="BLU185" s="387"/>
      <c r="BLV185" s="387"/>
      <c r="BLW185" s="387"/>
      <c r="BLX185" s="387"/>
      <c r="BLY185" s="387"/>
      <c r="BLZ185" s="387"/>
      <c r="BMA185" s="387"/>
      <c r="BMB185" s="387"/>
      <c r="BMC185" s="387"/>
      <c r="BMD185" s="387"/>
      <c r="BME185" s="387"/>
      <c r="BMF185" s="387"/>
      <c r="BMG185" s="387"/>
      <c r="BMH185" s="387"/>
      <c r="BMI185" s="387"/>
      <c r="BMJ185" s="387"/>
      <c r="BMK185" s="387"/>
      <c r="BML185" s="387"/>
      <c r="BMM185" s="387"/>
      <c r="BMN185" s="387"/>
      <c r="BMO185" s="387"/>
      <c r="BMP185" s="387"/>
      <c r="BMQ185" s="387"/>
      <c r="BMR185" s="387"/>
      <c r="BMS185" s="387"/>
      <c r="BMT185" s="387"/>
      <c r="BMU185" s="387"/>
      <c r="BMV185" s="387"/>
      <c r="BMW185" s="387"/>
      <c r="BMX185" s="387"/>
      <c r="BMY185" s="387"/>
      <c r="BMZ185" s="387"/>
      <c r="BNA185" s="387"/>
      <c r="BNB185" s="387"/>
      <c r="BNC185" s="387"/>
      <c r="BND185" s="387"/>
      <c r="BNE185" s="387"/>
      <c r="BNF185" s="387"/>
      <c r="BNG185" s="387"/>
      <c r="BNH185" s="387"/>
      <c r="BNI185" s="387"/>
      <c r="BNJ185" s="387"/>
      <c r="BNK185" s="387"/>
      <c r="BNL185" s="387"/>
      <c r="BNM185" s="387"/>
      <c r="BNN185" s="387"/>
      <c r="BNO185" s="387"/>
      <c r="BNP185" s="387"/>
      <c r="BNQ185" s="387"/>
      <c r="BNR185" s="387"/>
      <c r="BNS185" s="387"/>
      <c r="BNT185" s="387"/>
      <c r="BNU185" s="387"/>
      <c r="BNV185" s="387"/>
      <c r="BNW185" s="387"/>
      <c r="BNX185" s="387"/>
      <c r="BNY185" s="387"/>
      <c r="BNZ185" s="387"/>
      <c r="BOA185" s="387"/>
      <c r="BOB185" s="387"/>
      <c r="BOC185" s="387"/>
      <c r="BOD185" s="387"/>
      <c r="BOE185" s="387"/>
      <c r="BOF185" s="387"/>
      <c r="BOG185" s="387"/>
      <c r="BOH185" s="387"/>
      <c r="BOI185" s="387"/>
      <c r="BOJ185" s="387"/>
      <c r="BOK185" s="387"/>
      <c r="BOL185" s="387"/>
      <c r="BOM185" s="387"/>
      <c r="BON185" s="387"/>
      <c r="BOO185" s="387"/>
      <c r="BOP185" s="387"/>
      <c r="BOQ185" s="387"/>
      <c r="BOR185" s="387"/>
      <c r="BOS185" s="387"/>
      <c r="BOT185" s="387"/>
      <c r="BOU185" s="387"/>
      <c r="BOV185" s="387"/>
      <c r="BOW185" s="387"/>
      <c r="BOX185" s="387"/>
      <c r="BOY185" s="387"/>
      <c r="BOZ185" s="387"/>
      <c r="BPA185" s="387"/>
      <c r="BPB185" s="387"/>
      <c r="BPC185" s="387"/>
      <c r="BPD185" s="387"/>
      <c r="BPE185" s="387"/>
      <c r="BPF185" s="387"/>
      <c r="BPG185" s="387"/>
      <c r="BPH185" s="387"/>
      <c r="BPI185" s="387"/>
      <c r="BPJ185" s="387"/>
      <c r="BPK185" s="387"/>
      <c r="BPL185" s="387"/>
      <c r="BPM185" s="387"/>
      <c r="BPN185" s="387"/>
      <c r="BPO185" s="387"/>
      <c r="BPP185" s="387"/>
      <c r="BPQ185" s="387"/>
      <c r="BPR185" s="387"/>
      <c r="BPS185" s="387"/>
      <c r="BPT185" s="387"/>
      <c r="BPU185" s="387"/>
      <c r="BPV185" s="387"/>
      <c r="BPW185" s="387"/>
      <c r="BPX185" s="387"/>
      <c r="BPY185" s="387"/>
      <c r="BPZ185" s="387"/>
      <c r="BQA185" s="387"/>
      <c r="BQB185" s="387"/>
      <c r="BQC185" s="387"/>
      <c r="BQD185" s="387"/>
      <c r="BQE185" s="387"/>
      <c r="BQF185" s="387"/>
      <c r="BQG185" s="387"/>
      <c r="BQH185" s="387"/>
      <c r="BQI185" s="387"/>
      <c r="BQJ185" s="387"/>
      <c r="BQK185" s="387"/>
      <c r="BQL185" s="387"/>
      <c r="BQM185" s="387"/>
      <c r="BQN185" s="387"/>
      <c r="BQO185" s="387"/>
      <c r="BQP185" s="387"/>
      <c r="BQQ185" s="387"/>
      <c r="BQR185" s="387"/>
      <c r="BQS185" s="387"/>
      <c r="BQT185" s="387"/>
      <c r="BQU185" s="387"/>
      <c r="BQV185" s="387"/>
      <c r="BQW185" s="387"/>
      <c r="BQX185" s="387"/>
      <c r="BQY185" s="387"/>
      <c r="BQZ185" s="387"/>
      <c r="BRA185" s="387"/>
      <c r="BRB185" s="387"/>
      <c r="BRC185" s="387"/>
      <c r="BRD185" s="387"/>
      <c r="BRE185" s="387"/>
      <c r="BRF185" s="387"/>
      <c r="BRG185" s="387"/>
      <c r="BRH185" s="387"/>
      <c r="BRI185" s="387"/>
      <c r="BRJ185" s="387"/>
      <c r="BRK185" s="387"/>
      <c r="BRL185" s="387"/>
      <c r="BRM185" s="387"/>
      <c r="BRN185" s="387"/>
      <c r="BRO185" s="387"/>
      <c r="BRP185" s="387"/>
      <c r="BRQ185" s="387"/>
      <c r="BRR185" s="387"/>
      <c r="BRS185" s="387"/>
      <c r="BRT185" s="387"/>
      <c r="BRU185" s="387"/>
      <c r="BRV185" s="387"/>
      <c r="BRW185" s="387"/>
      <c r="BRX185" s="387"/>
      <c r="BRY185" s="387"/>
      <c r="BRZ185" s="387"/>
      <c r="BSA185" s="387"/>
      <c r="BSB185" s="387"/>
      <c r="BSC185" s="387"/>
      <c r="BSD185" s="387"/>
      <c r="BSE185" s="387"/>
      <c r="BSF185" s="387"/>
      <c r="BSG185" s="387"/>
      <c r="BSH185" s="387"/>
      <c r="BSI185" s="387"/>
      <c r="BSJ185" s="387"/>
      <c r="BSK185" s="387"/>
      <c r="BSL185" s="387"/>
      <c r="BSM185" s="387"/>
      <c r="BSN185" s="387"/>
      <c r="BSO185" s="387"/>
      <c r="BSP185" s="387"/>
      <c r="BSQ185" s="387"/>
      <c r="BSR185" s="387"/>
      <c r="BSS185" s="387"/>
      <c r="BST185" s="387"/>
      <c r="BSU185" s="387"/>
      <c r="BSV185" s="387"/>
      <c r="BSW185" s="387"/>
      <c r="BSX185" s="387"/>
      <c r="BSY185" s="387"/>
      <c r="BSZ185" s="387"/>
      <c r="BTA185" s="387"/>
      <c r="BTB185" s="387"/>
      <c r="BTC185" s="387"/>
      <c r="BTD185" s="387"/>
      <c r="BTE185" s="387"/>
      <c r="BTF185" s="387"/>
      <c r="BTG185" s="387"/>
      <c r="BTH185" s="387"/>
      <c r="BTI185" s="387"/>
    </row>
    <row r="186" spans="1:1881" s="312" customFormat="1" ht="60.75" customHeight="1" x14ac:dyDescent="0.25">
      <c r="A186" s="186">
        <v>525</v>
      </c>
      <c r="B186" s="148" t="s">
        <v>525</v>
      </c>
      <c r="C186" s="182" t="s">
        <v>250</v>
      </c>
      <c r="D186" s="176" t="s">
        <v>20</v>
      </c>
      <c r="E186" s="683" t="e">
        <f>HLOOKUP('Unit Data from Audit Worksheet'!$D$2,'2019 Data(H)'!$D$1:$BB$202,132,FALSE)</f>
        <v>#N/A</v>
      </c>
      <c r="F186" s="560"/>
      <c r="G186" s="552">
        <f>IF(F186&lt;0,"Error: Enter as positive.",)</f>
        <v>0</v>
      </c>
      <c r="H186" s="14"/>
      <c r="I186" s="31"/>
      <c r="J186" s="387"/>
      <c r="K186" s="387"/>
      <c r="L186" s="387"/>
      <c r="M186" s="387"/>
      <c r="N186"/>
      <c r="O186" s="387"/>
      <c r="P186" s="387"/>
      <c r="Q186" s="387"/>
      <c r="R186"/>
      <c r="S186" s="682"/>
      <c r="T186" s="387"/>
      <c r="U186" s="387"/>
      <c r="V186" s="387"/>
      <c r="W186" s="387"/>
      <c r="X186" s="682"/>
      <c r="Y186" s="387"/>
      <c r="Z186" s="387"/>
      <c r="AA186" s="387"/>
      <c r="AB186" s="387"/>
      <c r="AC186" s="387"/>
      <c r="AD186" s="387"/>
      <c r="AE186" s="387"/>
      <c r="AF186" s="387"/>
      <c r="AG186" s="387"/>
      <c r="AH186" s="387"/>
      <c r="AI186" s="387"/>
      <c r="AJ186" s="387"/>
      <c r="AK186" s="387"/>
      <c r="AL186" s="387"/>
      <c r="AM186" s="387"/>
      <c r="AN186" s="387"/>
      <c r="AO186" s="387"/>
      <c r="AP186" s="387"/>
      <c r="AQ186" s="387"/>
      <c r="AR186" s="387"/>
      <c r="AS186" s="387"/>
      <c r="AT186" s="387"/>
      <c r="AU186" s="387"/>
      <c r="AV186" s="387"/>
      <c r="AW186" s="387"/>
      <c r="AX186" s="387"/>
      <c r="AY186" s="387"/>
      <c r="AZ186" s="387"/>
      <c r="BA186" s="387"/>
      <c r="BB186" s="387"/>
      <c r="BC186" s="387"/>
      <c r="BD186" s="387"/>
      <c r="BE186" s="387"/>
      <c r="BF186" s="387"/>
      <c r="BG186" s="387"/>
      <c r="BH186" s="387"/>
      <c r="BI186" s="387"/>
      <c r="BJ186" s="387"/>
      <c r="BK186" s="387"/>
      <c r="BL186" s="387"/>
      <c r="BM186" s="387"/>
      <c r="BN186" s="387"/>
      <c r="BO186" s="387"/>
      <c r="BP186" s="387"/>
      <c r="BQ186" s="387"/>
      <c r="BR186" s="387"/>
      <c r="BS186" s="387"/>
      <c r="BT186" s="387"/>
      <c r="BU186" s="387"/>
      <c r="BV186" s="387"/>
      <c r="BW186" s="387"/>
      <c r="BX186" s="387"/>
      <c r="BY186" s="387"/>
      <c r="BZ186" s="387"/>
      <c r="CA186" s="387"/>
      <c r="CB186" s="387"/>
      <c r="CC186" s="387"/>
      <c r="CD186" s="387"/>
      <c r="CE186" s="387"/>
      <c r="CF186" s="387"/>
      <c r="CG186" s="387"/>
      <c r="CH186" s="387"/>
      <c r="CI186" s="387"/>
      <c r="CJ186" s="387"/>
      <c r="CK186" s="387"/>
      <c r="CL186" s="387"/>
      <c r="CM186" s="387"/>
      <c r="CN186" s="387"/>
      <c r="CO186" s="387"/>
      <c r="CP186" s="387"/>
      <c r="CQ186" s="387"/>
      <c r="CR186" s="387"/>
      <c r="CS186" s="387"/>
      <c r="CT186" s="387"/>
      <c r="CU186" s="387"/>
      <c r="CV186" s="387"/>
      <c r="CW186" s="387"/>
      <c r="CX186" s="387"/>
      <c r="CY186" s="387"/>
      <c r="CZ186" s="387"/>
      <c r="DA186" s="387"/>
      <c r="DB186" s="387"/>
      <c r="DC186" s="387"/>
      <c r="DD186" s="387"/>
      <c r="DE186" s="387"/>
      <c r="DF186" s="387"/>
      <c r="DG186" s="387"/>
      <c r="DH186" s="387"/>
      <c r="DI186" s="387"/>
      <c r="DJ186" s="387"/>
      <c r="DK186" s="387"/>
      <c r="DL186" s="387"/>
      <c r="DM186" s="387"/>
      <c r="DN186" s="387"/>
      <c r="DO186" s="387"/>
      <c r="DP186" s="387"/>
      <c r="DQ186" s="387"/>
      <c r="DR186" s="387"/>
      <c r="DS186" s="387"/>
      <c r="DT186" s="387"/>
      <c r="DU186" s="387"/>
      <c r="DV186" s="387"/>
      <c r="DW186" s="387"/>
      <c r="DX186" s="387"/>
      <c r="DY186" s="387"/>
      <c r="DZ186" s="387"/>
      <c r="EA186" s="387"/>
      <c r="EB186" s="387"/>
      <c r="EC186" s="387"/>
      <c r="ED186" s="387"/>
      <c r="EE186" s="387"/>
      <c r="EF186" s="387"/>
      <c r="EG186" s="387"/>
      <c r="EH186" s="387"/>
      <c r="EI186" s="387"/>
      <c r="EJ186" s="387"/>
      <c r="EK186" s="387"/>
      <c r="EL186" s="387"/>
      <c r="EM186" s="387"/>
      <c r="EN186" s="387"/>
      <c r="EO186" s="387"/>
      <c r="EP186" s="387"/>
      <c r="EQ186" s="387"/>
      <c r="ER186" s="387"/>
      <c r="ES186" s="387"/>
      <c r="ET186" s="387"/>
      <c r="EU186" s="387"/>
      <c r="EV186" s="387"/>
      <c r="EW186" s="387"/>
      <c r="EX186" s="387"/>
      <c r="EY186" s="387"/>
      <c r="EZ186" s="387"/>
      <c r="FA186" s="387"/>
      <c r="FB186" s="387"/>
      <c r="FC186" s="387"/>
      <c r="FD186" s="387"/>
      <c r="FE186" s="387"/>
      <c r="FF186" s="387"/>
      <c r="FG186" s="387"/>
      <c r="FH186" s="387"/>
      <c r="FI186" s="387"/>
      <c r="FJ186" s="387"/>
      <c r="FK186" s="387"/>
      <c r="FL186" s="387"/>
      <c r="FM186" s="387"/>
      <c r="FN186" s="387"/>
      <c r="FO186" s="387"/>
      <c r="FP186" s="387"/>
      <c r="FQ186" s="387"/>
      <c r="FR186" s="387"/>
      <c r="FS186" s="387"/>
      <c r="FT186" s="387"/>
      <c r="FU186" s="387"/>
      <c r="FV186" s="387"/>
      <c r="FW186" s="387"/>
      <c r="FX186" s="387"/>
      <c r="FY186" s="387"/>
      <c r="FZ186" s="387"/>
      <c r="GA186" s="387"/>
      <c r="GB186" s="387"/>
      <c r="GC186" s="387"/>
      <c r="GD186" s="387"/>
      <c r="GE186" s="387"/>
      <c r="GF186" s="387"/>
      <c r="GG186" s="387"/>
      <c r="GH186" s="387"/>
      <c r="GI186" s="387"/>
      <c r="GJ186" s="387"/>
      <c r="GK186" s="387"/>
      <c r="GL186" s="387"/>
      <c r="GM186" s="387"/>
      <c r="GN186" s="387"/>
      <c r="GO186" s="387"/>
      <c r="GP186" s="387"/>
      <c r="GQ186" s="387"/>
      <c r="GR186" s="387"/>
      <c r="GS186" s="387"/>
      <c r="GT186" s="387"/>
      <c r="GU186" s="387"/>
      <c r="GV186" s="387"/>
      <c r="GW186" s="387"/>
      <c r="GX186" s="387"/>
      <c r="GY186" s="387"/>
      <c r="GZ186" s="387"/>
      <c r="HA186" s="387"/>
      <c r="HB186" s="387"/>
      <c r="HC186" s="387"/>
      <c r="HD186" s="387"/>
      <c r="HE186" s="387"/>
      <c r="HF186" s="387"/>
      <c r="HG186" s="387"/>
      <c r="HH186" s="387"/>
      <c r="HI186" s="387"/>
      <c r="HJ186" s="387"/>
      <c r="HK186" s="387"/>
      <c r="HL186" s="387"/>
      <c r="HM186" s="387"/>
      <c r="HN186" s="387"/>
      <c r="HO186" s="387"/>
      <c r="HP186" s="387"/>
      <c r="HQ186" s="387"/>
      <c r="HR186" s="387"/>
      <c r="HS186" s="387"/>
      <c r="HT186" s="387"/>
      <c r="HU186" s="387"/>
      <c r="HV186" s="387"/>
      <c r="HW186" s="387"/>
      <c r="HX186" s="387"/>
      <c r="HY186" s="387"/>
      <c r="HZ186" s="387"/>
      <c r="IA186" s="387"/>
      <c r="IB186" s="387"/>
      <c r="IC186" s="387"/>
      <c r="ID186" s="387"/>
      <c r="IE186" s="387"/>
      <c r="IF186" s="387"/>
      <c r="IG186" s="387"/>
      <c r="IH186" s="387"/>
      <c r="II186" s="387"/>
      <c r="IJ186" s="387"/>
      <c r="IK186" s="387"/>
      <c r="IL186" s="387"/>
      <c r="IM186" s="387"/>
      <c r="IN186" s="387"/>
      <c r="IO186" s="387"/>
      <c r="IP186" s="387"/>
      <c r="IQ186" s="387"/>
      <c r="IR186" s="387"/>
      <c r="IS186" s="387"/>
      <c r="IT186" s="387"/>
      <c r="IU186" s="387"/>
      <c r="IV186" s="387"/>
      <c r="IW186" s="387"/>
      <c r="IX186" s="387"/>
      <c r="IY186" s="387"/>
      <c r="IZ186" s="387"/>
      <c r="JA186" s="387"/>
      <c r="JB186" s="387"/>
      <c r="JC186" s="387"/>
      <c r="JD186" s="387"/>
      <c r="JE186" s="387"/>
      <c r="JF186" s="387"/>
      <c r="JG186" s="387"/>
      <c r="JH186" s="387"/>
      <c r="JI186" s="387"/>
      <c r="JJ186" s="387"/>
      <c r="JK186" s="387"/>
      <c r="JL186" s="387"/>
      <c r="JM186" s="387"/>
      <c r="JN186" s="387"/>
      <c r="JO186" s="387"/>
      <c r="JP186" s="387"/>
      <c r="JQ186" s="387"/>
      <c r="JR186" s="387"/>
      <c r="JS186" s="387"/>
      <c r="JT186" s="387"/>
      <c r="JU186" s="387"/>
      <c r="JV186" s="387"/>
      <c r="JW186" s="387"/>
      <c r="JX186" s="387"/>
      <c r="JY186" s="387"/>
      <c r="JZ186" s="387"/>
      <c r="KA186" s="387"/>
      <c r="KB186" s="387"/>
      <c r="KC186" s="387"/>
      <c r="KD186" s="387"/>
      <c r="KE186" s="387"/>
      <c r="KF186" s="387"/>
      <c r="KG186" s="387"/>
      <c r="KH186" s="387"/>
      <c r="KI186" s="387"/>
      <c r="KJ186" s="387"/>
      <c r="KK186" s="387"/>
      <c r="KL186" s="387"/>
      <c r="KM186" s="387"/>
      <c r="KN186" s="387"/>
      <c r="KO186" s="387"/>
      <c r="KP186" s="387"/>
      <c r="KQ186" s="387"/>
      <c r="KR186" s="387"/>
      <c r="KS186" s="387"/>
      <c r="KT186" s="387"/>
      <c r="KU186" s="387"/>
      <c r="KV186" s="387"/>
      <c r="KW186" s="387"/>
      <c r="KX186" s="387"/>
      <c r="KY186" s="387"/>
      <c r="KZ186" s="387"/>
      <c r="LA186" s="387"/>
      <c r="LB186" s="387"/>
      <c r="LC186" s="387"/>
      <c r="LD186" s="387"/>
      <c r="LE186" s="387"/>
      <c r="LF186" s="387"/>
      <c r="LG186" s="387"/>
      <c r="LH186" s="387"/>
      <c r="LI186" s="387"/>
      <c r="LJ186" s="387"/>
      <c r="LK186" s="387"/>
      <c r="LL186" s="387"/>
      <c r="LM186" s="387"/>
      <c r="LN186" s="387"/>
      <c r="LO186" s="387"/>
      <c r="LP186" s="387"/>
      <c r="LQ186" s="387"/>
      <c r="LR186" s="387"/>
      <c r="LS186" s="387"/>
      <c r="LT186" s="387"/>
      <c r="LU186" s="387"/>
      <c r="LV186" s="387"/>
      <c r="LW186" s="387"/>
      <c r="LX186" s="387"/>
      <c r="LY186" s="387"/>
      <c r="LZ186" s="387"/>
      <c r="MA186" s="387"/>
      <c r="MB186" s="387"/>
      <c r="MC186" s="387"/>
      <c r="MD186" s="387"/>
      <c r="ME186" s="387"/>
      <c r="MF186" s="387"/>
      <c r="MG186" s="387"/>
      <c r="MH186" s="387"/>
      <c r="MI186" s="387"/>
      <c r="MJ186" s="387"/>
      <c r="MK186" s="387"/>
      <c r="ML186" s="387"/>
      <c r="MM186" s="387"/>
      <c r="MN186" s="387"/>
      <c r="MO186" s="387"/>
      <c r="MP186" s="387"/>
      <c r="MQ186" s="387"/>
      <c r="MR186" s="387"/>
      <c r="MS186" s="387"/>
      <c r="MT186" s="387"/>
      <c r="MU186" s="387"/>
      <c r="MV186" s="387"/>
      <c r="MW186" s="387"/>
      <c r="MX186" s="387"/>
      <c r="MY186" s="387"/>
      <c r="MZ186" s="387"/>
      <c r="NA186" s="387"/>
      <c r="NB186" s="387"/>
      <c r="NC186" s="387"/>
      <c r="ND186" s="387"/>
      <c r="NE186" s="387"/>
      <c r="NF186" s="387"/>
      <c r="NG186" s="387"/>
      <c r="NH186" s="387"/>
      <c r="NI186" s="387"/>
      <c r="NJ186" s="387"/>
      <c r="NK186" s="387"/>
      <c r="NL186" s="387"/>
      <c r="NM186" s="387"/>
      <c r="NN186" s="387"/>
      <c r="NO186" s="387"/>
      <c r="NP186" s="387"/>
      <c r="NQ186" s="387"/>
      <c r="NR186" s="387"/>
      <c r="NS186" s="387"/>
      <c r="NT186" s="387"/>
      <c r="NU186" s="387"/>
      <c r="NV186" s="387"/>
      <c r="NW186" s="387"/>
      <c r="NX186" s="387"/>
      <c r="NY186" s="387"/>
      <c r="NZ186" s="387"/>
      <c r="OA186" s="387"/>
      <c r="OB186" s="387"/>
      <c r="OC186" s="387"/>
      <c r="OD186" s="387"/>
      <c r="OE186" s="387"/>
      <c r="OF186" s="387"/>
      <c r="OG186" s="387"/>
      <c r="OH186" s="387"/>
      <c r="OI186" s="387"/>
      <c r="OJ186" s="387"/>
      <c r="OK186" s="387"/>
      <c r="OL186" s="387"/>
      <c r="OM186" s="387"/>
      <c r="ON186" s="387"/>
      <c r="OO186" s="387"/>
      <c r="OP186" s="387"/>
      <c r="OQ186" s="387"/>
      <c r="OR186" s="387"/>
      <c r="OS186" s="387"/>
      <c r="OT186" s="387"/>
      <c r="OU186" s="387"/>
      <c r="OV186" s="387"/>
      <c r="OW186" s="387"/>
      <c r="OX186" s="387"/>
      <c r="OY186" s="387"/>
      <c r="OZ186" s="387"/>
      <c r="PA186" s="387"/>
      <c r="PB186" s="387"/>
      <c r="PC186" s="387"/>
      <c r="PD186" s="387"/>
      <c r="PE186" s="387"/>
      <c r="PF186" s="387"/>
      <c r="PG186" s="387"/>
      <c r="PH186" s="387"/>
      <c r="PI186" s="387"/>
      <c r="PJ186" s="387"/>
      <c r="PK186" s="387"/>
      <c r="PL186" s="387"/>
      <c r="PM186" s="387"/>
      <c r="PN186" s="387"/>
      <c r="PO186" s="387"/>
      <c r="PP186" s="387"/>
      <c r="PQ186" s="387"/>
      <c r="PR186" s="387"/>
      <c r="PS186" s="387"/>
      <c r="PT186" s="387"/>
      <c r="PU186" s="387"/>
      <c r="PV186" s="387"/>
      <c r="PW186" s="387"/>
      <c r="PX186" s="387"/>
      <c r="PY186" s="387"/>
      <c r="PZ186" s="387"/>
      <c r="QA186" s="387"/>
      <c r="QB186" s="387"/>
      <c r="QC186" s="387"/>
      <c r="QD186" s="387"/>
      <c r="QE186" s="387"/>
      <c r="QF186" s="387"/>
      <c r="QG186" s="387"/>
      <c r="QH186" s="387"/>
      <c r="QI186" s="387"/>
      <c r="QJ186" s="387"/>
      <c r="QK186" s="387"/>
      <c r="QL186" s="387"/>
      <c r="QM186" s="387"/>
      <c r="QN186" s="387"/>
      <c r="QO186" s="387"/>
      <c r="QP186" s="387"/>
      <c r="QQ186" s="387"/>
      <c r="QR186" s="387"/>
      <c r="QS186" s="387"/>
      <c r="QT186" s="387"/>
      <c r="QU186" s="387"/>
      <c r="QV186" s="387"/>
      <c r="QW186" s="387"/>
      <c r="QX186" s="387"/>
      <c r="QY186" s="387"/>
      <c r="QZ186" s="387"/>
      <c r="RA186" s="387"/>
      <c r="RB186" s="387"/>
      <c r="RC186" s="387"/>
      <c r="RD186" s="387"/>
      <c r="RE186" s="387"/>
      <c r="RF186" s="387"/>
      <c r="RG186" s="387"/>
      <c r="RH186" s="387"/>
      <c r="RI186" s="387"/>
      <c r="RJ186" s="387"/>
      <c r="RK186" s="387"/>
      <c r="RL186" s="387"/>
      <c r="RM186" s="387"/>
      <c r="RN186" s="387"/>
      <c r="RO186" s="387"/>
      <c r="RP186" s="387"/>
      <c r="RQ186" s="387"/>
      <c r="RR186" s="387"/>
      <c r="RS186" s="387"/>
      <c r="RT186" s="387"/>
      <c r="RU186" s="387"/>
      <c r="RV186" s="387"/>
      <c r="RW186" s="387"/>
      <c r="RX186" s="387"/>
      <c r="RY186" s="387"/>
      <c r="RZ186" s="387"/>
      <c r="SA186" s="387"/>
      <c r="SB186" s="387"/>
      <c r="SC186" s="387"/>
      <c r="SD186" s="387"/>
      <c r="SE186" s="387"/>
      <c r="SF186" s="387"/>
      <c r="SG186" s="387"/>
      <c r="SH186" s="387"/>
      <c r="SI186" s="387"/>
      <c r="SJ186" s="387"/>
      <c r="SK186" s="387"/>
      <c r="SL186" s="387"/>
      <c r="SM186" s="387"/>
      <c r="SN186" s="387"/>
      <c r="SO186" s="387"/>
      <c r="SP186" s="387"/>
      <c r="SQ186" s="387"/>
      <c r="SR186" s="387"/>
      <c r="SS186" s="387"/>
      <c r="ST186" s="387"/>
      <c r="SU186" s="387"/>
      <c r="SV186" s="387"/>
      <c r="SW186" s="387"/>
      <c r="SX186" s="387"/>
      <c r="SY186" s="387"/>
      <c r="SZ186" s="387"/>
      <c r="TA186" s="387"/>
      <c r="TB186" s="387"/>
      <c r="TC186" s="387"/>
      <c r="TD186" s="387"/>
      <c r="TE186" s="387"/>
      <c r="TF186" s="387"/>
      <c r="TG186" s="387"/>
      <c r="TH186" s="387"/>
      <c r="TI186" s="387"/>
      <c r="TJ186" s="387"/>
      <c r="TK186" s="387"/>
      <c r="TL186" s="387"/>
      <c r="TM186" s="387"/>
      <c r="TN186" s="387"/>
      <c r="TO186" s="387"/>
      <c r="TP186" s="387"/>
      <c r="TQ186" s="387"/>
      <c r="TR186" s="387"/>
      <c r="TS186" s="387"/>
      <c r="TT186" s="387"/>
      <c r="TU186" s="387"/>
      <c r="TV186" s="387"/>
      <c r="TW186" s="387"/>
      <c r="TX186" s="387"/>
      <c r="TY186" s="387"/>
      <c r="TZ186" s="387"/>
      <c r="UA186" s="387"/>
      <c r="UB186" s="387"/>
      <c r="UC186" s="387"/>
      <c r="UD186" s="387"/>
      <c r="UE186" s="387"/>
      <c r="UF186" s="387"/>
      <c r="UG186" s="387"/>
      <c r="UH186" s="387"/>
      <c r="UI186" s="387"/>
      <c r="UJ186" s="387"/>
      <c r="UK186" s="387"/>
      <c r="UL186" s="387"/>
      <c r="UM186" s="387"/>
      <c r="UN186" s="387"/>
      <c r="UO186" s="387"/>
      <c r="UP186" s="387"/>
      <c r="UQ186" s="387"/>
      <c r="UR186" s="387"/>
      <c r="US186" s="387"/>
      <c r="UT186" s="387"/>
      <c r="UU186" s="387"/>
      <c r="UV186" s="387"/>
      <c r="UW186" s="387"/>
      <c r="UX186" s="387"/>
      <c r="UY186" s="387"/>
      <c r="UZ186" s="387"/>
      <c r="VA186" s="387"/>
      <c r="VB186" s="387"/>
      <c r="VC186" s="387"/>
      <c r="VD186" s="387"/>
      <c r="VE186" s="387"/>
      <c r="VF186" s="387"/>
      <c r="VG186" s="387"/>
      <c r="VH186" s="387"/>
      <c r="VI186" s="387"/>
      <c r="VJ186" s="387"/>
      <c r="VK186" s="387"/>
      <c r="VL186" s="387"/>
      <c r="VM186" s="387"/>
      <c r="VN186" s="387"/>
      <c r="VO186" s="387"/>
      <c r="VP186" s="387"/>
      <c r="VQ186" s="387"/>
      <c r="VR186" s="387"/>
      <c r="VS186" s="387"/>
      <c r="VT186" s="387"/>
      <c r="VU186" s="387"/>
      <c r="VV186" s="387"/>
      <c r="VW186" s="387"/>
      <c r="VX186" s="387"/>
      <c r="VY186" s="387"/>
      <c r="VZ186" s="387"/>
      <c r="WA186" s="387"/>
      <c r="WB186" s="387"/>
      <c r="WC186" s="387"/>
      <c r="WD186" s="387"/>
      <c r="WE186" s="387"/>
      <c r="WF186" s="387"/>
      <c r="WG186" s="387"/>
      <c r="WH186" s="387"/>
      <c r="WI186" s="387"/>
      <c r="WJ186" s="387"/>
      <c r="WK186" s="387"/>
      <c r="WL186" s="387"/>
      <c r="WM186" s="387"/>
      <c r="WN186" s="387"/>
      <c r="WO186" s="387"/>
      <c r="WP186" s="387"/>
      <c r="WQ186" s="387"/>
      <c r="WR186" s="387"/>
      <c r="WS186" s="387"/>
      <c r="WT186" s="387"/>
      <c r="WU186" s="387"/>
      <c r="WV186" s="387"/>
      <c r="WW186" s="387"/>
      <c r="WX186" s="387"/>
      <c r="WY186" s="387"/>
      <c r="WZ186" s="387"/>
      <c r="XA186" s="387"/>
      <c r="XB186" s="387"/>
      <c r="XC186" s="387"/>
      <c r="XD186" s="387"/>
      <c r="XE186" s="387"/>
      <c r="XF186" s="387"/>
      <c r="XG186" s="387"/>
      <c r="XH186" s="387"/>
      <c r="XI186" s="387"/>
      <c r="XJ186" s="387"/>
      <c r="XK186" s="387"/>
      <c r="XL186" s="387"/>
      <c r="XM186" s="387"/>
      <c r="XN186" s="387"/>
      <c r="XO186" s="387"/>
      <c r="XP186" s="387"/>
      <c r="XQ186" s="387"/>
      <c r="XR186" s="387"/>
      <c r="XS186" s="387"/>
      <c r="XT186" s="387"/>
      <c r="XU186" s="387"/>
      <c r="XV186" s="387"/>
      <c r="XW186" s="387"/>
      <c r="XX186" s="387"/>
      <c r="XY186" s="387"/>
      <c r="XZ186" s="387"/>
      <c r="YA186" s="387"/>
      <c r="YB186" s="387"/>
      <c r="YC186" s="387"/>
      <c r="YD186" s="387"/>
      <c r="YE186" s="387"/>
      <c r="YF186" s="387"/>
      <c r="YG186" s="387"/>
      <c r="YH186" s="387"/>
      <c r="YI186" s="387"/>
      <c r="YJ186" s="387"/>
      <c r="YK186" s="387"/>
      <c r="YL186" s="387"/>
      <c r="YM186" s="387"/>
      <c r="YN186" s="387"/>
      <c r="YO186" s="387"/>
      <c r="YP186" s="387"/>
      <c r="YQ186" s="387"/>
      <c r="YR186" s="387"/>
      <c r="YS186" s="387"/>
      <c r="YT186" s="387"/>
      <c r="YU186" s="387"/>
      <c r="YV186" s="387"/>
      <c r="YW186" s="387"/>
      <c r="YX186" s="387"/>
      <c r="YY186" s="387"/>
      <c r="YZ186" s="387"/>
      <c r="ZA186" s="387"/>
      <c r="ZB186" s="387"/>
      <c r="ZC186" s="387"/>
      <c r="ZD186" s="387"/>
      <c r="ZE186" s="387"/>
      <c r="ZF186" s="387"/>
      <c r="ZG186" s="387"/>
      <c r="ZH186" s="387"/>
      <c r="ZI186" s="387"/>
      <c r="ZJ186" s="387"/>
      <c r="ZK186" s="387"/>
      <c r="ZL186" s="387"/>
      <c r="ZM186" s="387"/>
      <c r="ZN186" s="387"/>
      <c r="ZO186" s="387"/>
      <c r="ZP186" s="387"/>
      <c r="ZQ186" s="387"/>
      <c r="ZR186" s="387"/>
      <c r="ZS186" s="387"/>
      <c r="ZT186" s="387"/>
      <c r="ZU186" s="387"/>
      <c r="ZV186" s="387"/>
      <c r="ZW186" s="387"/>
      <c r="ZX186" s="387"/>
      <c r="ZY186" s="387"/>
      <c r="ZZ186" s="387"/>
      <c r="AAA186" s="387"/>
      <c r="AAB186" s="387"/>
      <c r="AAC186" s="387"/>
      <c r="AAD186" s="387"/>
      <c r="AAE186" s="387"/>
      <c r="AAF186" s="387"/>
      <c r="AAG186" s="387"/>
      <c r="AAH186" s="387"/>
      <c r="AAI186" s="387"/>
      <c r="AAJ186" s="387"/>
      <c r="AAK186" s="387"/>
      <c r="AAL186" s="387"/>
      <c r="AAM186" s="387"/>
      <c r="AAN186" s="387"/>
      <c r="AAO186" s="387"/>
      <c r="AAP186" s="387"/>
      <c r="AAQ186" s="387"/>
      <c r="AAR186" s="387"/>
      <c r="AAS186" s="387"/>
      <c r="AAT186" s="387"/>
      <c r="AAU186" s="387"/>
      <c r="AAV186" s="387"/>
      <c r="AAW186" s="387"/>
      <c r="AAX186" s="387"/>
      <c r="AAY186" s="387"/>
      <c r="AAZ186" s="387"/>
      <c r="ABA186" s="387"/>
      <c r="ABB186" s="387"/>
      <c r="ABC186" s="387"/>
      <c r="ABD186" s="387"/>
      <c r="ABE186" s="387"/>
      <c r="ABF186" s="387"/>
      <c r="ABG186" s="387"/>
      <c r="ABH186" s="387"/>
      <c r="ABI186" s="387"/>
      <c r="ABJ186" s="387"/>
      <c r="ABK186" s="387"/>
      <c r="ABL186" s="387"/>
      <c r="ABM186" s="387"/>
      <c r="ABN186" s="387"/>
      <c r="ABO186" s="387"/>
      <c r="ABP186" s="387"/>
      <c r="ABQ186" s="387"/>
      <c r="ABR186" s="387"/>
      <c r="ABS186" s="387"/>
      <c r="ABT186" s="387"/>
      <c r="ABU186" s="387"/>
      <c r="ABV186" s="387"/>
      <c r="ABW186" s="387"/>
      <c r="ABX186" s="387"/>
      <c r="ABY186" s="387"/>
      <c r="ABZ186" s="387"/>
      <c r="ACA186" s="387"/>
      <c r="ACB186" s="387"/>
      <c r="ACC186" s="387"/>
      <c r="ACD186" s="387"/>
      <c r="ACE186" s="387"/>
      <c r="ACF186" s="387"/>
      <c r="ACG186" s="387"/>
      <c r="ACH186" s="387"/>
      <c r="ACI186" s="387"/>
      <c r="ACJ186" s="387"/>
      <c r="ACK186" s="387"/>
      <c r="ACL186" s="387"/>
      <c r="ACM186" s="387"/>
      <c r="ACN186" s="387"/>
      <c r="ACO186" s="387"/>
      <c r="ACP186" s="387"/>
      <c r="ACQ186" s="387"/>
      <c r="ACR186" s="387"/>
      <c r="ACS186" s="387"/>
      <c r="ACT186" s="387"/>
      <c r="ACU186" s="387"/>
      <c r="ACV186" s="387"/>
      <c r="ACW186" s="387"/>
      <c r="ACX186" s="387"/>
      <c r="ACY186" s="387"/>
      <c r="ACZ186" s="387"/>
      <c r="ADA186" s="387"/>
      <c r="ADB186" s="387"/>
      <c r="ADC186" s="387"/>
      <c r="ADD186" s="387"/>
      <c r="ADE186" s="387"/>
      <c r="ADF186" s="387"/>
      <c r="ADG186" s="387"/>
      <c r="ADH186" s="387"/>
      <c r="ADI186" s="387"/>
      <c r="ADJ186" s="387"/>
      <c r="ADK186" s="387"/>
      <c r="ADL186" s="387"/>
      <c r="ADM186" s="387"/>
      <c r="ADN186" s="387"/>
      <c r="ADO186" s="387"/>
      <c r="ADP186" s="387"/>
      <c r="ADQ186" s="387"/>
      <c r="ADR186" s="387"/>
      <c r="ADS186" s="387"/>
      <c r="ADT186" s="387"/>
      <c r="ADU186" s="387"/>
      <c r="ADV186" s="387"/>
      <c r="ADW186" s="387"/>
      <c r="ADX186" s="387"/>
      <c r="ADY186" s="387"/>
      <c r="ADZ186" s="387"/>
      <c r="AEA186" s="387"/>
      <c r="AEB186" s="387"/>
      <c r="AEC186" s="387"/>
      <c r="AED186" s="387"/>
      <c r="AEE186" s="387"/>
      <c r="AEF186" s="387"/>
      <c r="AEG186" s="387"/>
      <c r="AEH186" s="387"/>
      <c r="AEI186" s="387"/>
      <c r="AEJ186" s="387"/>
      <c r="AEK186" s="387"/>
      <c r="AEL186" s="387"/>
      <c r="AEM186" s="387"/>
      <c r="AEN186" s="387"/>
      <c r="AEO186" s="387"/>
      <c r="AEP186" s="387"/>
      <c r="AEQ186" s="387"/>
      <c r="AER186" s="387"/>
      <c r="AES186" s="387"/>
      <c r="AET186" s="387"/>
      <c r="AEU186" s="387"/>
      <c r="AEV186" s="387"/>
      <c r="AEW186" s="387"/>
      <c r="AEX186" s="387"/>
      <c r="AEY186" s="387"/>
      <c r="AEZ186" s="387"/>
      <c r="AFA186" s="387"/>
      <c r="AFB186" s="387"/>
      <c r="AFC186" s="387"/>
      <c r="AFD186" s="387"/>
      <c r="AFE186" s="387"/>
      <c r="AFF186" s="387"/>
      <c r="AFG186" s="387"/>
      <c r="AFH186" s="387"/>
      <c r="AFI186" s="387"/>
      <c r="AFJ186" s="387"/>
      <c r="AFK186" s="387"/>
      <c r="AFL186" s="387"/>
      <c r="AFM186" s="387"/>
      <c r="AFN186" s="387"/>
      <c r="AFO186" s="387"/>
      <c r="AFP186" s="387"/>
      <c r="AFQ186" s="387"/>
      <c r="AFR186" s="387"/>
      <c r="AFS186" s="387"/>
      <c r="AFT186" s="387"/>
      <c r="AFU186" s="387"/>
      <c r="AFV186" s="387"/>
      <c r="AFW186" s="387"/>
      <c r="AFX186" s="387"/>
      <c r="AFY186" s="387"/>
      <c r="AFZ186" s="387"/>
      <c r="AGA186" s="387"/>
      <c r="AGB186" s="387"/>
      <c r="AGC186" s="387"/>
      <c r="AGD186" s="387"/>
      <c r="AGE186" s="387"/>
      <c r="AGF186" s="387"/>
      <c r="AGG186" s="387"/>
      <c r="AGH186" s="387"/>
      <c r="AGI186" s="387"/>
      <c r="AGJ186" s="387"/>
      <c r="AGK186" s="387"/>
      <c r="AGL186" s="387"/>
      <c r="AGM186" s="387"/>
      <c r="AGN186" s="387"/>
      <c r="AGO186" s="387"/>
      <c r="AGP186" s="387"/>
      <c r="AGQ186" s="387"/>
      <c r="AGR186" s="387"/>
      <c r="AGS186" s="387"/>
      <c r="AGT186" s="387"/>
      <c r="AGU186" s="387"/>
      <c r="AGV186" s="387"/>
      <c r="AGW186" s="387"/>
      <c r="AGX186" s="387"/>
      <c r="AGY186" s="387"/>
      <c r="AGZ186" s="387"/>
      <c r="AHA186" s="387"/>
      <c r="AHB186" s="387"/>
      <c r="AHC186" s="387"/>
      <c r="AHD186" s="387"/>
      <c r="AHE186" s="387"/>
      <c r="AHF186" s="387"/>
      <c r="AHG186" s="387"/>
      <c r="AHH186" s="387"/>
      <c r="AHI186" s="387"/>
      <c r="AHJ186" s="387"/>
      <c r="AHK186" s="387"/>
      <c r="AHL186" s="387"/>
      <c r="AHM186" s="387"/>
      <c r="AHN186" s="387"/>
      <c r="AHO186" s="387"/>
      <c r="AHP186" s="387"/>
      <c r="AHQ186" s="387"/>
      <c r="AHR186" s="387"/>
      <c r="AHS186" s="387"/>
      <c r="AHT186" s="387"/>
      <c r="AHU186" s="387"/>
      <c r="AHV186" s="387"/>
      <c r="AHW186" s="387"/>
      <c r="AHX186" s="387"/>
      <c r="AHY186" s="387"/>
      <c r="AHZ186" s="387"/>
      <c r="AIA186" s="387"/>
      <c r="AIB186" s="387"/>
      <c r="AIC186" s="387"/>
      <c r="AID186" s="387"/>
      <c r="AIE186" s="387"/>
      <c r="AIF186" s="387"/>
      <c r="AIG186" s="387"/>
      <c r="AIH186" s="387"/>
      <c r="AII186" s="387"/>
      <c r="AIJ186" s="387"/>
      <c r="AIK186" s="387"/>
      <c r="AIL186" s="387"/>
      <c r="AIM186" s="387"/>
      <c r="AIN186" s="387"/>
      <c r="AIO186" s="387"/>
      <c r="AIP186" s="387"/>
      <c r="AIQ186" s="387"/>
      <c r="AIR186" s="387"/>
      <c r="AIS186" s="387"/>
      <c r="AIT186" s="387"/>
      <c r="AIU186" s="387"/>
      <c r="AIV186" s="387"/>
      <c r="AIW186" s="387"/>
      <c r="AIX186" s="387"/>
      <c r="AIY186" s="387"/>
      <c r="AIZ186" s="387"/>
      <c r="AJA186" s="387"/>
      <c r="AJB186" s="387"/>
      <c r="AJC186" s="387"/>
      <c r="AJD186" s="387"/>
      <c r="AJE186" s="387"/>
      <c r="AJF186" s="387"/>
      <c r="AJG186" s="387"/>
      <c r="AJH186" s="387"/>
      <c r="AJI186" s="387"/>
      <c r="AJJ186" s="387"/>
      <c r="AJK186" s="387"/>
      <c r="AJL186" s="387"/>
      <c r="AJM186" s="387"/>
      <c r="AJN186" s="387"/>
      <c r="AJO186" s="387"/>
      <c r="AJP186" s="387"/>
      <c r="AJQ186" s="387"/>
      <c r="AJR186" s="387"/>
      <c r="AJS186" s="387"/>
      <c r="AJT186" s="387"/>
      <c r="AJU186" s="387"/>
      <c r="AJV186" s="387"/>
      <c r="AJW186" s="387"/>
      <c r="AJX186" s="387"/>
      <c r="AJY186" s="387"/>
      <c r="AJZ186" s="387"/>
      <c r="AKA186" s="387"/>
      <c r="AKB186" s="387"/>
      <c r="AKC186" s="387"/>
      <c r="AKD186" s="387"/>
      <c r="AKE186" s="387"/>
      <c r="AKF186" s="387"/>
      <c r="AKG186" s="387"/>
      <c r="AKH186" s="387"/>
      <c r="AKI186" s="387"/>
      <c r="AKJ186" s="387"/>
      <c r="AKK186" s="387"/>
      <c r="AKL186" s="387"/>
      <c r="AKM186" s="387"/>
      <c r="AKN186" s="387"/>
      <c r="AKO186" s="387"/>
      <c r="AKP186" s="387"/>
      <c r="AKQ186" s="387"/>
      <c r="AKR186" s="387"/>
      <c r="AKS186" s="387"/>
      <c r="AKT186" s="387"/>
      <c r="AKU186" s="387"/>
      <c r="AKV186" s="387"/>
      <c r="AKW186" s="387"/>
      <c r="AKX186" s="387"/>
      <c r="AKY186" s="387"/>
      <c r="AKZ186" s="387"/>
      <c r="ALA186" s="387"/>
      <c r="ALB186" s="387"/>
      <c r="ALC186" s="387"/>
      <c r="ALD186" s="387"/>
      <c r="ALE186" s="387"/>
      <c r="ALF186" s="387"/>
      <c r="ALG186" s="387"/>
      <c r="ALH186" s="387"/>
      <c r="ALI186" s="387"/>
      <c r="ALJ186" s="387"/>
      <c r="ALK186" s="387"/>
      <c r="ALL186" s="387"/>
      <c r="ALM186" s="387"/>
      <c r="ALN186" s="387"/>
      <c r="ALO186" s="387"/>
      <c r="ALP186" s="387"/>
      <c r="ALQ186" s="387"/>
      <c r="ALR186" s="387"/>
      <c r="ALS186" s="387"/>
      <c r="ALT186" s="387"/>
      <c r="ALU186" s="387"/>
      <c r="ALV186" s="387"/>
      <c r="ALW186" s="387"/>
      <c r="ALX186" s="387"/>
      <c r="ALY186" s="387"/>
      <c r="ALZ186" s="387"/>
      <c r="AMA186" s="387"/>
      <c r="AMB186" s="387"/>
      <c r="AMC186" s="387"/>
      <c r="AMD186" s="387"/>
      <c r="AME186" s="387"/>
      <c r="AMF186" s="387"/>
      <c r="AMG186" s="387"/>
      <c r="AMH186" s="387"/>
      <c r="AMI186" s="387"/>
      <c r="AMJ186" s="387"/>
      <c r="AMK186" s="387"/>
      <c r="AML186" s="387"/>
      <c r="AMM186" s="387"/>
      <c r="AMN186" s="387"/>
      <c r="AMO186" s="387"/>
      <c r="AMP186" s="387"/>
      <c r="AMQ186" s="387"/>
      <c r="AMR186" s="387"/>
      <c r="AMS186" s="387"/>
      <c r="AMT186" s="387"/>
      <c r="AMU186" s="387"/>
      <c r="AMV186" s="387"/>
      <c r="AMW186" s="387"/>
      <c r="AMX186" s="387"/>
      <c r="AMY186" s="387"/>
      <c r="AMZ186" s="387"/>
      <c r="ANA186" s="387"/>
      <c r="ANB186" s="387"/>
      <c r="ANC186" s="387"/>
      <c r="AND186" s="387"/>
      <c r="ANE186" s="387"/>
      <c r="ANF186" s="387"/>
      <c r="ANG186" s="387"/>
      <c r="ANH186" s="387"/>
      <c r="ANI186" s="387"/>
      <c r="ANJ186" s="387"/>
      <c r="ANK186" s="387"/>
      <c r="ANL186" s="387"/>
      <c r="ANM186" s="387"/>
      <c r="ANN186" s="387"/>
      <c r="ANO186" s="387"/>
      <c r="ANP186" s="387"/>
      <c r="ANQ186" s="387"/>
      <c r="ANR186" s="387"/>
      <c r="ANS186" s="387"/>
      <c r="ANT186" s="387"/>
      <c r="ANU186" s="387"/>
      <c r="ANV186" s="387"/>
      <c r="ANW186" s="387"/>
      <c r="ANX186" s="387"/>
      <c r="ANY186" s="387"/>
      <c r="ANZ186" s="387"/>
      <c r="AOA186" s="387"/>
      <c r="AOB186" s="387"/>
      <c r="AOC186" s="387"/>
      <c r="AOD186" s="387"/>
      <c r="AOE186" s="387"/>
      <c r="AOF186" s="387"/>
      <c r="AOG186" s="387"/>
      <c r="AOH186" s="387"/>
      <c r="AOI186" s="387"/>
      <c r="AOJ186" s="387"/>
      <c r="AOK186" s="387"/>
      <c r="AOL186" s="387"/>
      <c r="AOM186" s="387"/>
      <c r="AON186" s="387"/>
      <c r="AOO186" s="387"/>
      <c r="AOP186" s="387"/>
      <c r="AOQ186" s="387"/>
      <c r="AOR186" s="387"/>
      <c r="AOS186" s="387"/>
      <c r="AOT186" s="387"/>
      <c r="AOU186" s="387"/>
      <c r="AOV186" s="387"/>
      <c r="AOW186" s="387"/>
      <c r="AOX186" s="387"/>
      <c r="AOY186" s="387"/>
      <c r="AOZ186" s="387"/>
      <c r="APA186" s="387"/>
      <c r="APB186" s="387"/>
      <c r="APC186" s="387"/>
      <c r="APD186" s="387"/>
      <c r="APE186" s="387"/>
      <c r="APF186" s="387"/>
      <c r="APG186" s="387"/>
      <c r="APH186" s="387"/>
      <c r="API186" s="387"/>
      <c r="APJ186" s="387"/>
      <c r="APK186" s="387"/>
      <c r="APL186" s="387"/>
      <c r="APM186" s="387"/>
      <c r="APN186" s="387"/>
      <c r="APO186" s="387"/>
      <c r="APP186" s="387"/>
      <c r="APQ186" s="387"/>
      <c r="APR186" s="387"/>
      <c r="APS186" s="387"/>
      <c r="APT186" s="387"/>
      <c r="APU186" s="387"/>
      <c r="APV186" s="387"/>
      <c r="APW186" s="387"/>
      <c r="APX186" s="387"/>
      <c r="APY186" s="387"/>
      <c r="APZ186" s="387"/>
      <c r="AQA186" s="387"/>
      <c r="AQB186" s="387"/>
      <c r="AQC186" s="387"/>
      <c r="AQD186" s="387"/>
      <c r="AQE186" s="387"/>
      <c r="AQF186" s="387"/>
      <c r="AQG186" s="387"/>
      <c r="AQH186" s="387"/>
      <c r="AQI186" s="387"/>
      <c r="AQJ186" s="387"/>
      <c r="AQK186" s="387"/>
      <c r="AQL186" s="387"/>
      <c r="AQM186" s="387"/>
      <c r="AQN186" s="387"/>
      <c r="AQO186" s="387"/>
      <c r="AQP186" s="387"/>
      <c r="AQQ186" s="387"/>
      <c r="AQR186" s="387"/>
      <c r="AQS186" s="387"/>
      <c r="AQT186" s="387"/>
      <c r="AQU186" s="387"/>
      <c r="AQV186" s="387"/>
      <c r="AQW186" s="387"/>
      <c r="AQX186" s="387"/>
      <c r="AQY186" s="387"/>
      <c r="AQZ186" s="387"/>
      <c r="ARA186" s="387"/>
      <c r="ARB186" s="387"/>
      <c r="ARC186" s="387"/>
      <c r="ARD186" s="387"/>
      <c r="ARE186" s="387"/>
      <c r="ARF186" s="387"/>
      <c r="ARG186" s="387"/>
      <c r="ARH186" s="387"/>
      <c r="ARI186" s="387"/>
      <c r="ARJ186" s="387"/>
      <c r="ARK186" s="387"/>
      <c r="ARL186" s="387"/>
      <c r="ARM186" s="387"/>
      <c r="ARN186" s="387"/>
      <c r="ARO186" s="387"/>
      <c r="ARP186" s="387"/>
      <c r="ARQ186" s="387"/>
      <c r="ARR186" s="387"/>
      <c r="ARS186" s="387"/>
      <c r="ART186" s="387"/>
      <c r="ARU186" s="387"/>
      <c r="ARV186" s="387"/>
      <c r="ARW186" s="387"/>
      <c r="ARX186" s="387"/>
      <c r="ARY186" s="387"/>
      <c r="ARZ186" s="387"/>
      <c r="ASA186" s="387"/>
      <c r="ASB186" s="387"/>
      <c r="ASC186" s="387"/>
      <c r="ASD186" s="387"/>
      <c r="ASE186" s="387"/>
      <c r="ASF186" s="387"/>
      <c r="ASG186" s="387"/>
      <c r="ASH186" s="387"/>
      <c r="ASI186" s="387"/>
      <c r="ASJ186" s="387"/>
      <c r="ASK186" s="387"/>
      <c r="ASL186" s="387"/>
      <c r="ASM186" s="387"/>
      <c r="ASN186" s="387"/>
      <c r="ASO186" s="387"/>
      <c r="ASP186" s="387"/>
      <c r="ASQ186" s="387"/>
      <c r="ASR186" s="387"/>
      <c r="ASS186" s="387"/>
      <c r="AST186" s="387"/>
      <c r="ASU186" s="387"/>
      <c r="ASV186" s="387"/>
      <c r="ASW186" s="387"/>
      <c r="ASX186" s="387"/>
      <c r="ASY186" s="387"/>
      <c r="ASZ186" s="387"/>
      <c r="ATA186" s="387"/>
      <c r="ATB186" s="387"/>
      <c r="ATC186" s="387"/>
      <c r="ATD186" s="387"/>
      <c r="ATE186" s="387"/>
      <c r="ATF186" s="387"/>
      <c r="ATG186" s="387"/>
      <c r="ATH186" s="387"/>
      <c r="ATI186" s="387"/>
      <c r="ATJ186" s="387"/>
      <c r="ATK186" s="387"/>
      <c r="ATL186" s="387"/>
      <c r="ATM186" s="387"/>
      <c r="ATN186" s="387"/>
      <c r="ATO186" s="387"/>
      <c r="ATP186" s="387"/>
      <c r="ATQ186" s="387"/>
      <c r="ATR186" s="387"/>
      <c r="ATS186" s="387"/>
      <c r="ATT186" s="387"/>
      <c r="ATU186" s="387"/>
      <c r="ATV186" s="387"/>
      <c r="ATW186" s="387"/>
      <c r="ATX186" s="387"/>
      <c r="ATY186" s="387"/>
      <c r="ATZ186" s="387"/>
      <c r="AUA186" s="387"/>
      <c r="AUB186" s="387"/>
      <c r="AUC186" s="387"/>
      <c r="AUD186" s="387"/>
      <c r="AUE186" s="387"/>
      <c r="AUF186" s="387"/>
      <c r="AUG186" s="387"/>
      <c r="AUH186" s="387"/>
      <c r="AUI186" s="387"/>
      <c r="AUJ186" s="387"/>
      <c r="AUK186" s="387"/>
      <c r="AUL186" s="387"/>
      <c r="AUM186" s="387"/>
      <c r="AUN186" s="387"/>
      <c r="AUO186" s="387"/>
      <c r="AUP186" s="387"/>
      <c r="AUQ186" s="387"/>
      <c r="AUR186" s="387"/>
      <c r="AUS186" s="387"/>
      <c r="AUT186" s="387"/>
      <c r="AUU186" s="387"/>
      <c r="AUV186" s="387"/>
      <c r="AUW186" s="387"/>
      <c r="AUX186" s="387"/>
      <c r="AUY186" s="387"/>
      <c r="AUZ186" s="387"/>
      <c r="AVA186" s="387"/>
      <c r="AVB186" s="387"/>
      <c r="AVC186" s="387"/>
      <c r="AVD186" s="387"/>
      <c r="AVE186" s="387"/>
      <c r="AVF186" s="387"/>
      <c r="AVG186" s="387"/>
      <c r="AVH186" s="387"/>
      <c r="AVI186" s="387"/>
      <c r="AVJ186" s="387"/>
      <c r="AVK186" s="387"/>
      <c r="AVL186" s="387"/>
      <c r="AVM186" s="387"/>
      <c r="AVN186" s="387"/>
      <c r="AVO186" s="387"/>
      <c r="AVP186" s="387"/>
      <c r="AVQ186" s="387"/>
      <c r="AVR186" s="387"/>
      <c r="AVS186" s="387"/>
      <c r="AVT186" s="387"/>
      <c r="AVU186" s="387"/>
      <c r="AVV186" s="387"/>
      <c r="AVW186" s="387"/>
      <c r="AVX186" s="387"/>
      <c r="AVY186" s="387"/>
      <c r="AVZ186" s="387"/>
      <c r="AWA186" s="387"/>
      <c r="AWB186" s="387"/>
      <c r="AWC186" s="387"/>
      <c r="AWD186" s="387"/>
      <c r="AWE186" s="387"/>
      <c r="AWF186" s="387"/>
      <c r="AWG186" s="387"/>
      <c r="AWH186" s="387"/>
      <c r="AWI186" s="387"/>
      <c r="AWJ186" s="387"/>
      <c r="AWK186" s="387"/>
      <c r="AWL186" s="387"/>
      <c r="AWM186" s="387"/>
      <c r="AWN186" s="387"/>
      <c r="AWO186" s="387"/>
      <c r="AWP186" s="387"/>
      <c r="AWQ186" s="387"/>
      <c r="AWR186" s="387"/>
      <c r="AWS186" s="387"/>
      <c r="AWT186" s="387"/>
      <c r="AWU186" s="387"/>
      <c r="AWV186" s="387"/>
      <c r="AWW186" s="387"/>
      <c r="AWX186" s="387"/>
      <c r="AWY186" s="387"/>
      <c r="AWZ186" s="387"/>
      <c r="AXA186" s="387"/>
      <c r="AXB186" s="387"/>
      <c r="AXC186" s="387"/>
      <c r="AXD186" s="387"/>
      <c r="AXE186" s="387"/>
      <c r="AXF186" s="387"/>
      <c r="AXG186" s="387"/>
      <c r="AXH186" s="387"/>
      <c r="AXI186" s="387"/>
      <c r="AXJ186" s="387"/>
      <c r="AXK186" s="387"/>
      <c r="AXL186" s="387"/>
      <c r="AXM186" s="387"/>
      <c r="AXN186" s="387"/>
      <c r="AXO186" s="387"/>
      <c r="AXP186" s="387"/>
      <c r="AXQ186" s="387"/>
      <c r="AXR186" s="387"/>
      <c r="AXS186" s="387"/>
      <c r="AXT186" s="387"/>
      <c r="AXU186" s="387"/>
      <c r="AXV186" s="387"/>
      <c r="AXW186" s="387"/>
      <c r="AXX186" s="387"/>
      <c r="AXY186" s="387"/>
      <c r="AXZ186" s="387"/>
      <c r="AYA186" s="387"/>
      <c r="AYB186" s="387"/>
      <c r="AYC186" s="387"/>
      <c r="AYD186" s="387"/>
      <c r="AYE186" s="387"/>
      <c r="AYF186" s="387"/>
      <c r="AYG186" s="387"/>
      <c r="AYH186" s="387"/>
      <c r="AYI186" s="387"/>
      <c r="AYJ186" s="387"/>
      <c r="AYK186" s="387"/>
      <c r="AYL186" s="387"/>
      <c r="AYM186" s="387"/>
      <c r="AYN186" s="387"/>
      <c r="AYO186" s="387"/>
      <c r="AYP186" s="387"/>
      <c r="AYQ186" s="387"/>
      <c r="AYR186" s="387"/>
      <c r="AYS186" s="387"/>
      <c r="AYT186" s="387"/>
      <c r="AYU186" s="387"/>
      <c r="AYV186" s="387"/>
      <c r="AYW186" s="387"/>
      <c r="AYX186" s="387"/>
      <c r="AYY186" s="387"/>
      <c r="AYZ186" s="387"/>
      <c r="AZA186" s="387"/>
      <c r="AZB186" s="387"/>
      <c r="AZC186" s="387"/>
      <c r="AZD186" s="387"/>
      <c r="AZE186" s="387"/>
      <c r="AZF186" s="387"/>
      <c r="AZG186" s="387"/>
      <c r="AZH186" s="387"/>
      <c r="AZI186" s="387"/>
      <c r="AZJ186" s="387"/>
      <c r="AZK186" s="387"/>
      <c r="AZL186" s="387"/>
      <c r="AZM186" s="387"/>
      <c r="AZN186" s="387"/>
      <c r="AZO186" s="387"/>
      <c r="AZP186" s="387"/>
      <c r="AZQ186" s="387"/>
      <c r="AZR186" s="387"/>
      <c r="AZS186" s="387"/>
      <c r="AZT186" s="387"/>
      <c r="AZU186" s="387"/>
      <c r="AZV186" s="387"/>
      <c r="AZW186" s="387"/>
      <c r="AZX186" s="387"/>
      <c r="AZY186" s="387"/>
      <c r="AZZ186" s="387"/>
      <c r="BAA186" s="387"/>
      <c r="BAB186" s="387"/>
      <c r="BAC186" s="387"/>
      <c r="BAD186" s="387"/>
      <c r="BAE186" s="387"/>
      <c r="BAF186" s="387"/>
      <c r="BAG186" s="387"/>
      <c r="BAH186" s="387"/>
      <c r="BAI186" s="387"/>
      <c r="BAJ186" s="387"/>
      <c r="BAK186" s="387"/>
      <c r="BAL186" s="387"/>
      <c r="BAM186" s="387"/>
      <c r="BAN186" s="387"/>
      <c r="BAO186" s="387"/>
      <c r="BAP186" s="387"/>
      <c r="BAQ186" s="387"/>
      <c r="BAR186" s="387"/>
      <c r="BAS186" s="387"/>
      <c r="BAT186" s="387"/>
      <c r="BAU186" s="387"/>
      <c r="BAV186" s="387"/>
      <c r="BAW186" s="387"/>
      <c r="BAX186" s="387"/>
      <c r="BAY186" s="387"/>
      <c r="BAZ186" s="387"/>
      <c r="BBA186" s="387"/>
      <c r="BBB186" s="387"/>
      <c r="BBC186" s="387"/>
      <c r="BBD186" s="387"/>
      <c r="BBE186" s="387"/>
      <c r="BBF186" s="387"/>
      <c r="BBG186" s="387"/>
      <c r="BBH186" s="387"/>
      <c r="BBI186" s="387"/>
      <c r="BBJ186" s="387"/>
      <c r="BBK186" s="387"/>
      <c r="BBL186" s="387"/>
      <c r="BBM186" s="387"/>
      <c r="BBN186" s="387"/>
      <c r="BBO186" s="387"/>
      <c r="BBP186" s="387"/>
      <c r="BBQ186" s="387"/>
      <c r="BBR186" s="387"/>
      <c r="BBS186" s="387"/>
      <c r="BBT186" s="387"/>
      <c r="BBU186" s="387"/>
      <c r="BBV186" s="387"/>
      <c r="BBW186" s="387"/>
      <c r="BBX186" s="387"/>
      <c r="BBY186" s="387"/>
      <c r="BBZ186" s="387"/>
      <c r="BCA186" s="387"/>
      <c r="BCB186" s="387"/>
      <c r="BCC186" s="387"/>
      <c r="BCD186" s="387"/>
      <c r="BCE186" s="387"/>
      <c r="BCF186" s="387"/>
      <c r="BCG186" s="387"/>
      <c r="BCH186" s="387"/>
      <c r="BCI186" s="387"/>
      <c r="BCJ186" s="387"/>
      <c r="BCK186" s="387"/>
      <c r="BCL186" s="387"/>
      <c r="BCM186" s="387"/>
      <c r="BCN186" s="387"/>
      <c r="BCO186" s="387"/>
      <c r="BCP186" s="387"/>
      <c r="BCQ186" s="387"/>
      <c r="BCR186" s="387"/>
      <c r="BCS186" s="387"/>
      <c r="BCT186" s="387"/>
      <c r="BCU186" s="387"/>
      <c r="BCV186" s="387"/>
      <c r="BCW186" s="387"/>
      <c r="BCX186" s="387"/>
      <c r="BCY186" s="387"/>
      <c r="BCZ186" s="387"/>
      <c r="BDA186" s="387"/>
      <c r="BDB186" s="387"/>
      <c r="BDC186" s="387"/>
      <c r="BDD186" s="387"/>
      <c r="BDE186" s="387"/>
      <c r="BDF186" s="387"/>
      <c r="BDG186" s="387"/>
      <c r="BDH186" s="387"/>
      <c r="BDI186" s="387"/>
      <c r="BDJ186" s="387"/>
      <c r="BDK186" s="387"/>
      <c r="BDL186" s="387"/>
      <c r="BDM186" s="387"/>
      <c r="BDN186" s="387"/>
      <c r="BDO186" s="387"/>
      <c r="BDP186" s="387"/>
      <c r="BDQ186" s="387"/>
      <c r="BDR186" s="387"/>
      <c r="BDS186" s="387"/>
      <c r="BDT186" s="387"/>
      <c r="BDU186" s="387"/>
      <c r="BDV186" s="387"/>
      <c r="BDW186" s="387"/>
      <c r="BDX186" s="387"/>
      <c r="BDY186" s="387"/>
      <c r="BDZ186" s="387"/>
      <c r="BEA186" s="387"/>
      <c r="BEB186" s="387"/>
      <c r="BEC186" s="387"/>
      <c r="BED186" s="387"/>
      <c r="BEE186" s="387"/>
      <c r="BEF186" s="387"/>
      <c r="BEG186" s="387"/>
      <c r="BEH186" s="387"/>
      <c r="BEI186" s="387"/>
      <c r="BEJ186" s="387"/>
      <c r="BEK186" s="387"/>
      <c r="BEL186" s="387"/>
      <c r="BEM186" s="387"/>
      <c r="BEN186" s="387"/>
      <c r="BEO186" s="387"/>
      <c r="BEP186" s="387"/>
      <c r="BEQ186" s="387"/>
      <c r="BER186" s="387"/>
      <c r="BES186" s="387"/>
      <c r="BET186" s="387"/>
      <c r="BEU186" s="387"/>
      <c r="BEV186" s="387"/>
      <c r="BEW186" s="387"/>
      <c r="BEX186" s="387"/>
      <c r="BEY186" s="387"/>
      <c r="BEZ186" s="387"/>
      <c r="BFA186" s="387"/>
      <c r="BFB186" s="387"/>
      <c r="BFC186" s="387"/>
      <c r="BFD186" s="387"/>
      <c r="BFE186" s="387"/>
      <c r="BFF186" s="387"/>
      <c r="BFG186" s="387"/>
      <c r="BFH186" s="387"/>
      <c r="BFI186" s="387"/>
      <c r="BFJ186" s="387"/>
      <c r="BFK186" s="387"/>
      <c r="BFL186" s="387"/>
      <c r="BFM186" s="387"/>
      <c r="BFN186" s="387"/>
      <c r="BFO186" s="387"/>
      <c r="BFP186" s="387"/>
      <c r="BFQ186" s="387"/>
      <c r="BFR186" s="387"/>
      <c r="BFS186" s="387"/>
      <c r="BFT186" s="387"/>
      <c r="BFU186" s="387"/>
      <c r="BFV186" s="387"/>
      <c r="BFW186" s="387"/>
      <c r="BFX186" s="387"/>
      <c r="BFY186" s="387"/>
      <c r="BFZ186" s="387"/>
      <c r="BGA186" s="387"/>
      <c r="BGB186" s="387"/>
      <c r="BGC186" s="387"/>
      <c r="BGD186" s="387"/>
      <c r="BGE186" s="387"/>
      <c r="BGF186" s="387"/>
      <c r="BGG186" s="387"/>
      <c r="BGH186" s="387"/>
      <c r="BGI186" s="387"/>
      <c r="BGJ186" s="387"/>
      <c r="BGK186" s="387"/>
      <c r="BGL186" s="387"/>
      <c r="BGM186" s="387"/>
      <c r="BGN186" s="387"/>
      <c r="BGO186" s="387"/>
      <c r="BGP186" s="387"/>
      <c r="BGQ186" s="387"/>
      <c r="BGR186" s="387"/>
      <c r="BGS186" s="387"/>
      <c r="BGT186" s="387"/>
      <c r="BGU186" s="387"/>
      <c r="BGV186" s="387"/>
      <c r="BGW186" s="387"/>
      <c r="BGX186" s="387"/>
      <c r="BGY186" s="387"/>
      <c r="BGZ186" s="387"/>
      <c r="BHA186" s="387"/>
      <c r="BHB186" s="387"/>
      <c r="BHC186" s="387"/>
      <c r="BHD186" s="387"/>
      <c r="BHE186" s="387"/>
      <c r="BHF186" s="387"/>
      <c r="BHG186" s="387"/>
      <c r="BHH186" s="387"/>
      <c r="BHI186" s="387"/>
      <c r="BHJ186" s="387"/>
      <c r="BHK186" s="387"/>
      <c r="BHL186" s="387"/>
      <c r="BHM186" s="387"/>
      <c r="BHN186" s="387"/>
      <c r="BHO186" s="387"/>
      <c r="BHP186" s="387"/>
      <c r="BHQ186" s="387"/>
      <c r="BHR186" s="387"/>
      <c r="BHS186" s="387"/>
      <c r="BHT186" s="387"/>
      <c r="BHU186" s="387"/>
      <c r="BHV186" s="387"/>
      <c r="BHW186" s="387"/>
      <c r="BHX186" s="387"/>
      <c r="BHY186" s="387"/>
      <c r="BHZ186" s="387"/>
      <c r="BIA186" s="387"/>
      <c r="BIB186" s="387"/>
      <c r="BIC186" s="387"/>
      <c r="BID186" s="387"/>
      <c r="BIE186" s="387"/>
      <c r="BIF186" s="387"/>
      <c r="BIG186" s="387"/>
      <c r="BIH186" s="387"/>
      <c r="BII186" s="387"/>
      <c r="BIJ186" s="387"/>
      <c r="BIK186" s="387"/>
      <c r="BIL186" s="387"/>
      <c r="BIM186" s="387"/>
      <c r="BIN186" s="387"/>
      <c r="BIO186" s="387"/>
      <c r="BIP186" s="387"/>
      <c r="BIQ186" s="387"/>
      <c r="BIR186" s="387"/>
      <c r="BIS186" s="387"/>
      <c r="BIT186" s="387"/>
      <c r="BIU186" s="387"/>
      <c r="BIV186" s="387"/>
      <c r="BIW186" s="387"/>
      <c r="BIX186" s="387"/>
      <c r="BIY186" s="387"/>
      <c r="BIZ186" s="387"/>
      <c r="BJA186" s="387"/>
      <c r="BJB186" s="387"/>
      <c r="BJC186" s="387"/>
      <c r="BJD186" s="387"/>
      <c r="BJE186" s="387"/>
      <c r="BJF186" s="387"/>
      <c r="BJG186" s="387"/>
      <c r="BJH186" s="387"/>
      <c r="BJI186" s="387"/>
      <c r="BJJ186" s="387"/>
      <c r="BJK186" s="387"/>
      <c r="BJL186" s="387"/>
      <c r="BJM186" s="387"/>
      <c r="BJN186" s="387"/>
      <c r="BJO186" s="387"/>
      <c r="BJP186" s="387"/>
      <c r="BJQ186" s="387"/>
      <c r="BJR186" s="387"/>
      <c r="BJS186" s="387"/>
      <c r="BJT186" s="387"/>
      <c r="BJU186" s="387"/>
      <c r="BJV186" s="387"/>
      <c r="BJW186" s="387"/>
      <c r="BJX186" s="387"/>
      <c r="BJY186" s="387"/>
      <c r="BJZ186" s="387"/>
      <c r="BKA186" s="387"/>
      <c r="BKB186" s="387"/>
      <c r="BKC186" s="387"/>
      <c r="BKD186" s="387"/>
      <c r="BKE186" s="387"/>
      <c r="BKF186" s="387"/>
      <c r="BKG186" s="387"/>
      <c r="BKH186" s="387"/>
      <c r="BKI186" s="387"/>
      <c r="BKJ186" s="387"/>
      <c r="BKK186" s="387"/>
      <c r="BKL186" s="387"/>
      <c r="BKM186" s="387"/>
      <c r="BKN186" s="387"/>
      <c r="BKO186" s="387"/>
      <c r="BKP186" s="387"/>
      <c r="BKQ186" s="387"/>
      <c r="BKR186" s="387"/>
      <c r="BKS186" s="387"/>
      <c r="BKT186" s="387"/>
      <c r="BKU186" s="387"/>
      <c r="BKV186" s="387"/>
      <c r="BKW186" s="387"/>
      <c r="BKX186" s="387"/>
      <c r="BKY186" s="387"/>
      <c r="BKZ186" s="387"/>
      <c r="BLA186" s="387"/>
      <c r="BLB186" s="387"/>
      <c r="BLC186" s="387"/>
      <c r="BLD186" s="387"/>
      <c r="BLE186" s="387"/>
      <c r="BLF186" s="387"/>
      <c r="BLG186" s="387"/>
      <c r="BLH186" s="387"/>
      <c r="BLI186" s="387"/>
      <c r="BLJ186" s="387"/>
      <c r="BLK186" s="387"/>
      <c r="BLL186" s="387"/>
      <c r="BLM186" s="387"/>
      <c r="BLN186" s="387"/>
      <c r="BLO186" s="387"/>
      <c r="BLP186" s="387"/>
      <c r="BLQ186" s="387"/>
      <c r="BLR186" s="387"/>
      <c r="BLS186" s="387"/>
      <c r="BLT186" s="387"/>
      <c r="BLU186" s="387"/>
      <c r="BLV186" s="387"/>
      <c r="BLW186" s="387"/>
      <c r="BLX186" s="387"/>
      <c r="BLY186" s="387"/>
      <c r="BLZ186" s="387"/>
      <c r="BMA186" s="387"/>
      <c r="BMB186" s="387"/>
      <c r="BMC186" s="387"/>
      <c r="BMD186" s="387"/>
      <c r="BME186" s="387"/>
      <c r="BMF186" s="387"/>
      <c r="BMG186" s="387"/>
      <c r="BMH186" s="387"/>
      <c r="BMI186" s="387"/>
      <c r="BMJ186" s="387"/>
      <c r="BMK186" s="387"/>
      <c r="BML186" s="387"/>
      <c r="BMM186" s="387"/>
      <c r="BMN186" s="387"/>
      <c r="BMO186" s="387"/>
      <c r="BMP186" s="387"/>
      <c r="BMQ186" s="387"/>
      <c r="BMR186" s="387"/>
      <c r="BMS186" s="387"/>
      <c r="BMT186" s="387"/>
      <c r="BMU186" s="387"/>
      <c r="BMV186" s="387"/>
      <c r="BMW186" s="387"/>
      <c r="BMX186" s="387"/>
      <c r="BMY186" s="387"/>
      <c r="BMZ186" s="387"/>
      <c r="BNA186" s="387"/>
      <c r="BNB186" s="387"/>
      <c r="BNC186" s="387"/>
      <c r="BND186" s="387"/>
      <c r="BNE186" s="387"/>
      <c r="BNF186" s="387"/>
      <c r="BNG186" s="387"/>
      <c r="BNH186" s="387"/>
      <c r="BNI186" s="387"/>
      <c r="BNJ186" s="387"/>
      <c r="BNK186" s="387"/>
      <c r="BNL186" s="387"/>
      <c r="BNM186" s="387"/>
      <c r="BNN186" s="387"/>
      <c r="BNO186" s="387"/>
      <c r="BNP186" s="387"/>
      <c r="BNQ186" s="387"/>
      <c r="BNR186" s="387"/>
      <c r="BNS186" s="387"/>
      <c r="BNT186" s="387"/>
      <c r="BNU186" s="387"/>
      <c r="BNV186" s="387"/>
      <c r="BNW186" s="387"/>
      <c r="BNX186" s="387"/>
      <c r="BNY186" s="387"/>
      <c r="BNZ186" s="387"/>
      <c r="BOA186" s="387"/>
      <c r="BOB186" s="387"/>
      <c r="BOC186" s="387"/>
      <c r="BOD186" s="387"/>
      <c r="BOE186" s="387"/>
      <c r="BOF186" s="387"/>
      <c r="BOG186" s="387"/>
      <c r="BOH186" s="387"/>
      <c r="BOI186" s="387"/>
      <c r="BOJ186" s="387"/>
      <c r="BOK186" s="387"/>
      <c r="BOL186" s="387"/>
      <c r="BOM186" s="387"/>
      <c r="BON186" s="387"/>
      <c r="BOO186" s="387"/>
      <c r="BOP186" s="387"/>
      <c r="BOQ186" s="387"/>
      <c r="BOR186" s="387"/>
      <c r="BOS186" s="387"/>
      <c r="BOT186" s="387"/>
      <c r="BOU186" s="387"/>
      <c r="BOV186" s="387"/>
      <c r="BOW186" s="387"/>
      <c r="BOX186" s="387"/>
      <c r="BOY186" s="387"/>
      <c r="BOZ186" s="387"/>
      <c r="BPA186" s="387"/>
      <c r="BPB186" s="387"/>
      <c r="BPC186" s="387"/>
      <c r="BPD186" s="387"/>
      <c r="BPE186" s="387"/>
      <c r="BPF186" s="387"/>
      <c r="BPG186" s="387"/>
      <c r="BPH186" s="387"/>
      <c r="BPI186" s="387"/>
      <c r="BPJ186" s="387"/>
      <c r="BPK186" s="387"/>
      <c r="BPL186" s="387"/>
      <c r="BPM186" s="387"/>
      <c r="BPN186" s="387"/>
      <c r="BPO186" s="387"/>
      <c r="BPP186" s="387"/>
      <c r="BPQ186" s="387"/>
      <c r="BPR186" s="387"/>
      <c r="BPS186" s="387"/>
      <c r="BPT186" s="387"/>
      <c r="BPU186" s="387"/>
      <c r="BPV186" s="387"/>
      <c r="BPW186" s="387"/>
      <c r="BPX186" s="387"/>
      <c r="BPY186" s="387"/>
      <c r="BPZ186" s="387"/>
      <c r="BQA186" s="387"/>
      <c r="BQB186" s="387"/>
      <c r="BQC186" s="387"/>
      <c r="BQD186" s="387"/>
      <c r="BQE186" s="387"/>
      <c r="BQF186" s="387"/>
      <c r="BQG186" s="387"/>
      <c r="BQH186" s="387"/>
      <c r="BQI186" s="387"/>
      <c r="BQJ186" s="387"/>
      <c r="BQK186" s="387"/>
      <c r="BQL186" s="387"/>
      <c r="BQM186" s="387"/>
      <c r="BQN186" s="387"/>
      <c r="BQO186" s="387"/>
      <c r="BQP186" s="387"/>
      <c r="BQQ186" s="387"/>
      <c r="BQR186" s="387"/>
      <c r="BQS186" s="387"/>
      <c r="BQT186" s="387"/>
      <c r="BQU186" s="387"/>
      <c r="BQV186" s="387"/>
      <c r="BQW186" s="387"/>
      <c r="BQX186" s="387"/>
      <c r="BQY186" s="387"/>
      <c r="BQZ186" s="387"/>
      <c r="BRA186" s="387"/>
      <c r="BRB186" s="387"/>
      <c r="BRC186" s="387"/>
      <c r="BRD186" s="387"/>
      <c r="BRE186" s="387"/>
      <c r="BRF186" s="387"/>
      <c r="BRG186" s="387"/>
      <c r="BRH186" s="387"/>
      <c r="BRI186" s="387"/>
      <c r="BRJ186" s="387"/>
      <c r="BRK186" s="387"/>
      <c r="BRL186" s="387"/>
      <c r="BRM186" s="387"/>
      <c r="BRN186" s="387"/>
      <c r="BRO186" s="387"/>
      <c r="BRP186" s="387"/>
      <c r="BRQ186" s="387"/>
      <c r="BRR186" s="387"/>
      <c r="BRS186" s="387"/>
      <c r="BRT186" s="387"/>
      <c r="BRU186" s="387"/>
      <c r="BRV186" s="387"/>
      <c r="BRW186" s="387"/>
      <c r="BRX186" s="387"/>
      <c r="BRY186" s="387"/>
      <c r="BRZ186" s="387"/>
      <c r="BSA186" s="387"/>
      <c r="BSB186" s="387"/>
      <c r="BSC186" s="387"/>
      <c r="BSD186" s="387"/>
      <c r="BSE186" s="387"/>
      <c r="BSF186" s="387"/>
      <c r="BSG186" s="387"/>
      <c r="BSH186" s="387"/>
      <c r="BSI186" s="387"/>
      <c r="BSJ186" s="387"/>
      <c r="BSK186" s="387"/>
      <c r="BSL186" s="387"/>
      <c r="BSM186" s="387"/>
      <c r="BSN186" s="387"/>
      <c r="BSO186" s="387"/>
      <c r="BSP186" s="387"/>
      <c r="BSQ186" s="387"/>
      <c r="BSR186" s="387"/>
      <c r="BSS186" s="387"/>
      <c r="BST186" s="387"/>
      <c r="BSU186" s="387"/>
      <c r="BSV186" s="387"/>
      <c r="BSW186" s="387"/>
      <c r="BSX186" s="387"/>
      <c r="BSY186" s="387"/>
      <c r="BSZ186" s="387"/>
      <c r="BTA186" s="387"/>
      <c r="BTB186" s="387"/>
      <c r="BTC186" s="387"/>
      <c r="BTD186" s="387"/>
      <c r="BTE186" s="387"/>
      <c r="BTF186" s="387"/>
      <c r="BTG186" s="387"/>
      <c r="BTH186" s="387"/>
      <c r="BTI186" s="387"/>
    </row>
    <row r="187" spans="1:1881" s="312" customFormat="1" ht="69" customHeight="1" x14ac:dyDescent="0.25">
      <c r="A187" s="186">
        <v>526</v>
      </c>
      <c r="B187" s="148" t="s">
        <v>525</v>
      </c>
      <c r="C187" s="182" t="s">
        <v>250</v>
      </c>
      <c r="D187" s="176" t="s">
        <v>45</v>
      </c>
      <c r="E187" s="683" t="e">
        <f>HLOOKUP('Unit Data from Audit Worksheet'!$D$2,'2019 Data(H)'!$D$1:$BB$202,133,FALSE)</f>
        <v>#N/A</v>
      </c>
      <c r="F187" s="560"/>
      <c r="G187" s="552">
        <f>IF(F187&lt;0,"Error: Enter as positive.",)</f>
        <v>0</v>
      </c>
      <c r="H187" s="14"/>
      <c r="I187" s="31"/>
      <c r="J187" s="387"/>
      <c r="K187" s="387"/>
      <c r="L187" s="387"/>
      <c r="M187" s="387"/>
      <c r="N187"/>
      <c r="O187" s="387"/>
      <c r="P187" s="387"/>
      <c r="Q187" s="387"/>
      <c r="R187"/>
      <c r="S187" s="682"/>
      <c r="T187" s="387"/>
      <c r="U187" s="387"/>
      <c r="V187" s="387"/>
      <c r="W187" s="387"/>
      <c r="X187" s="682"/>
      <c r="Y187" s="387"/>
      <c r="Z187" s="387"/>
      <c r="AA187" s="387"/>
      <c r="AB187" s="387"/>
      <c r="AC187" s="387"/>
      <c r="AD187" s="387"/>
      <c r="AE187" s="387"/>
      <c r="AF187" s="387"/>
      <c r="AG187" s="387"/>
      <c r="AH187" s="387"/>
      <c r="AI187" s="387"/>
      <c r="AJ187" s="387"/>
      <c r="AK187" s="387"/>
      <c r="AL187" s="387"/>
      <c r="AM187" s="387"/>
      <c r="AN187" s="387"/>
      <c r="AO187" s="387"/>
      <c r="AP187" s="387"/>
      <c r="AQ187" s="387"/>
      <c r="AR187" s="387"/>
      <c r="AS187" s="387"/>
      <c r="AT187" s="387"/>
      <c r="AU187" s="387"/>
      <c r="AV187" s="387"/>
      <c r="AW187" s="387"/>
      <c r="AX187" s="387"/>
      <c r="AY187" s="387"/>
      <c r="AZ187" s="387"/>
      <c r="BA187" s="387"/>
      <c r="BB187" s="387"/>
      <c r="BC187" s="387"/>
      <c r="BD187" s="387"/>
      <c r="BE187" s="387"/>
      <c r="BF187" s="387"/>
      <c r="BG187" s="387"/>
      <c r="BH187" s="387"/>
      <c r="BI187" s="387"/>
      <c r="BJ187" s="387"/>
      <c r="BK187" s="387"/>
      <c r="BL187" s="387"/>
      <c r="BM187" s="387"/>
      <c r="BN187" s="387"/>
      <c r="BO187" s="387"/>
      <c r="BP187" s="387"/>
      <c r="BQ187" s="387"/>
      <c r="BR187" s="387"/>
      <c r="BS187" s="387"/>
      <c r="BT187" s="387"/>
      <c r="BU187" s="387"/>
      <c r="BV187" s="387"/>
      <c r="BW187" s="387"/>
      <c r="BX187" s="387"/>
      <c r="BY187" s="387"/>
      <c r="BZ187" s="387"/>
      <c r="CA187" s="387"/>
      <c r="CB187" s="387"/>
      <c r="CC187" s="387"/>
      <c r="CD187" s="387"/>
      <c r="CE187" s="387"/>
      <c r="CF187" s="387"/>
      <c r="CG187" s="387"/>
      <c r="CH187" s="387"/>
      <c r="CI187" s="387"/>
      <c r="CJ187" s="387"/>
      <c r="CK187" s="387"/>
      <c r="CL187" s="387"/>
      <c r="CM187" s="387"/>
      <c r="CN187" s="387"/>
      <c r="CO187" s="387"/>
      <c r="CP187" s="387"/>
      <c r="CQ187" s="387"/>
      <c r="CR187" s="387"/>
      <c r="CS187" s="387"/>
      <c r="CT187" s="387"/>
      <c r="CU187" s="387"/>
      <c r="CV187" s="387"/>
      <c r="CW187" s="387"/>
      <c r="CX187" s="387"/>
      <c r="CY187" s="387"/>
      <c r="CZ187" s="387"/>
      <c r="DA187" s="387"/>
      <c r="DB187" s="387"/>
      <c r="DC187" s="387"/>
      <c r="DD187" s="387"/>
      <c r="DE187" s="387"/>
      <c r="DF187" s="387"/>
      <c r="DG187" s="387"/>
      <c r="DH187" s="387"/>
      <c r="DI187" s="387"/>
      <c r="DJ187" s="387"/>
      <c r="DK187" s="387"/>
      <c r="DL187" s="387"/>
      <c r="DM187" s="387"/>
      <c r="DN187" s="387"/>
      <c r="DO187" s="387"/>
      <c r="DP187" s="387"/>
      <c r="DQ187" s="387"/>
      <c r="DR187" s="387"/>
      <c r="DS187" s="387"/>
      <c r="DT187" s="387"/>
      <c r="DU187" s="387"/>
      <c r="DV187" s="387"/>
      <c r="DW187" s="387"/>
      <c r="DX187" s="387"/>
      <c r="DY187" s="387"/>
      <c r="DZ187" s="387"/>
      <c r="EA187" s="387"/>
      <c r="EB187" s="387"/>
      <c r="EC187" s="387"/>
      <c r="ED187" s="387"/>
      <c r="EE187" s="387"/>
      <c r="EF187" s="387"/>
      <c r="EG187" s="387"/>
      <c r="EH187" s="387"/>
      <c r="EI187" s="387"/>
      <c r="EJ187" s="387"/>
      <c r="EK187" s="387"/>
      <c r="EL187" s="387"/>
      <c r="EM187" s="387"/>
      <c r="EN187" s="387"/>
      <c r="EO187" s="387"/>
      <c r="EP187" s="387"/>
      <c r="EQ187" s="387"/>
      <c r="ER187" s="387"/>
      <c r="ES187" s="387"/>
      <c r="ET187" s="387"/>
      <c r="EU187" s="387"/>
      <c r="EV187" s="387"/>
      <c r="EW187" s="387"/>
      <c r="EX187" s="387"/>
      <c r="EY187" s="387"/>
      <c r="EZ187" s="387"/>
      <c r="FA187" s="387"/>
      <c r="FB187" s="387"/>
      <c r="FC187" s="387"/>
      <c r="FD187" s="387"/>
      <c r="FE187" s="387"/>
      <c r="FF187" s="387"/>
      <c r="FG187" s="387"/>
      <c r="FH187" s="387"/>
      <c r="FI187" s="387"/>
      <c r="FJ187" s="387"/>
      <c r="FK187" s="387"/>
      <c r="FL187" s="387"/>
      <c r="FM187" s="387"/>
      <c r="FN187" s="387"/>
      <c r="FO187" s="387"/>
      <c r="FP187" s="387"/>
      <c r="FQ187" s="387"/>
      <c r="FR187" s="387"/>
      <c r="FS187" s="387"/>
      <c r="FT187" s="387"/>
      <c r="FU187" s="387"/>
      <c r="FV187" s="387"/>
      <c r="FW187" s="387"/>
      <c r="FX187" s="387"/>
      <c r="FY187" s="387"/>
      <c r="FZ187" s="387"/>
      <c r="GA187" s="387"/>
      <c r="GB187" s="387"/>
      <c r="GC187" s="387"/>
      <c r="GD187" s="387"/>
      <c r="GE187" s="387"/>
      <c r="GF187" s="387"/>
      <c r="GG187" s="387"/>
      <c r="GH187" s="387"/>
      <c r="GI187" s="387"/>
      <c r="GJ187" s="387"/>
      <c r="GK187" s="387"/>
      <c r="GL187" s="387"/>
      <c r="GM187" s="387"/>
      <c r="GN187" s="387"/>
      <c r="GO187" s="387"/>
      <c r="GP187" s="387"/>
      <c r="GQ187" s="387"/>
      <c r="GR187" s="387"/>
      <c r="GS187" s="387"/>
      <c r="GT187" s="387"/>
      <c r="GU187" s="387"/>
      <c r="GV187" s="387"/>
      <c r="GW187" s="387"/>
      <c r="GX187" s="387"/>
      <c r="GY187" s="387"/>
      <c r="GZ187" s="387"/>
      <c r="HA187" s="387"/>
      <c r="HB187" s="387"/>
      <c r="HC187" s="387"/>
      <c r="HD187" s="387"/>
      <c r="HE187" s="387"/>
      <c r="HF187" s="387"/>
      <c r="HG187" s="387"/>
      <c r="HH187" s="387"/>
      <c r="HI187" s="387"/>
      <c r="HJ187" s="387"/>
      <c r="HK187" s="387"/>
      <c r="HL187" s="387"/>
      <c r="HM187" s="387"/>
      <c r="HN187" s="387"/>
      <c r="HO187" s="387"/>
      <c r="HP187" s="387"/>
      <c r="HQ187" s="387"/>
      <c r="HR187" s="387"/>
      <c r="HS187" s="387"/>
      <c r="HT187" s="387"/>
      <c r="HU187" s="387"/>
      <c r="HV187" s="387"/>
      <c r="HW187" s="387"/>
      <c r="HX187" s="387"/>
      <c r="HY187" s="387"/>
      <c r="HZ187" s="387"/>
      <c r="IA187" s="387"/>
      <c r="IB187" s="387"/>
      <c r="IC187" s="387"/>
      <c r="ID187" s="387"/>
      <c r="IE187" s="387"/>
      <c r="IF187" s="387"/>
      <c r="IG187" s="387"/>
      <c r="IH187" s="387"/>
      <c r="II187" s="387"/>
      <c r="IJ187" s="387"/>
      <c r="IK187" s="387"/>
      <c r="IL187" s="387"/>
      <c r="IM187" s="387"/>
      <c r="IN187" s="387"/>
      <c r="IO187" s="387"/>
      <c r="IP187" s="387"/>
      <c r="IQ187" s="387"/>
      <c r="IR187" s="387"/>
      <c r="IS187" s="387"/>
      <c r="IT187" s="387"/>
      <c r="IU187" s="387"/>
      <c r="IV187" s="387"/>
      <c r="IW187" s="387"/>
      <c r="IX187" s="387"/>
      <c r="IY187" s="387"/>
      <c r="IZ187" s="387"/>
      <c r="JA187" s="387"/>
      <c r="JB187" s="387"/>
      <c r="JC187" s="387"/>
      <c r="JD187" s="387"/>
      <c r="JE187" s="387"/>
      <c r="JF187" s="387"/>
      <c r="JG187" s="387"/>
      <c r="JH187" s="387"/>
      <c r="JI187" s="387"/>
      <c r="JJ187" s="387"/>
      <c r="JK187" s="387"/>
      <c r="JL187" s="387"/>
      <c r="JM187" s="387"/>
      <c r="JN187" s="387"/>
      <c r="JO187" s="387"/>
      <c r="JP187" s="387"/>
      <c r="JQ187" s="387"/>
      <c r="JR187" s="387"/>
      <c r="JS187" s="387"/>
      <c r="JT187" s="387"/>
      <c r="JU187" s="387"/>
      <c r="JV187" s="387"/>
      <c r="JW187" s="387"/>
      <c r="JX187" s="387"/>
      <c r="JY187" s="387"/>
      <c r="JZ187" s="387"/>
      <c r="KA187" s="387"/>
      <c r="KB187" s="387"/>
      <c r="KC187" s="387"/>
      <c r="KD187" s="387"/>
      <c r="KE187" s="387"/>
      <c r="KF187" s="387"/>
      <c r="KG187" s="387"/>
      <c r="KH187" s="387"/>
      <c r="KI187" s="387"/>
      <c r="KJ187" s="387"/>
      <c r="KK187" s="387"/>
      <c r="KL187" s="387"/>
      <c r="KM187" s="387"/>
      <c r="KN187" s="387"/>
      <c r="KO187" s="387"/>
      <c r="KP187" s="387"/>
      <c r="KQ187" s="387"/>
      <c r="KR187" s="387"/>
      <c r="KS187" s="387"/>
      <c r="KT187" s="387"/>
      <c r="KU187" s="387"/>
      <c r="KV187" s="387"/>
      <c r="KW187" s="387"/>
      <c r="KX187" s="387"/>
      <c r="KY187" s="387"/>
      <c r="KZ187" s="387"/>
      <c r="LA187" s="387"/>
      <c r="LB187" s="387"/>
      <c r="LC187" s="387"/>
      <c r="LD187" s="387"/>
      <c r="LE187" s="387"/>
      <c r="LF187" s="387"/>
      <c r="LG187" s="387"/>
      <c r="LH187" s="387"/>
      <c r="LI187" s="387"/>
      <c r="LJ187" s="387"/>
      <c r="LK187" s="387"/>
      <c r="LL187" s="387"/>
      <c r="LM187" s="387"/>
      <c r="LN187" s="387"/>
      <c r="LO187" s="387"/>
      <c r="LP187" s="387"/>
      <c r="LQ187" s="387"/>
      <c r="LR187" s="387"/>
      <c r="LS187" s="387"/>
      <c r="LT187" s="387"/>
      <c r="LU187" s="387"/>
      <c r="LV187" s="387"/>
      <c r="LW187" s="387"/>
      <c r="LX187" s="387"/>
      <c r="LY187" s="387"/>
      <c r="LZ187" s="387"/>
      <c r="MA187" s="387"/>
      <c r="MB187" s="387"/>
      <c r="MC187" s="387"/>
      <c r="MD187" s="387"/>
      <c r="ME187" s="387"/>
      <c r="MF187" s="387"/>
      <c r="MG187" s="387"/>
      <c r="MH187" s="387"/>
      <c r="MI187" s="387"/>
      <c r="MJ187" s="387"/>
      <c r="MK187" s="387"/>
      <c r="ML187" s="387"/>
      <c r="MM187" s="387"/>
      <c r="MN187" s="387"/>
      <c r="MO187" s="387"/>
      <c r="MP187" s="387"/>
      <c r="MQ187" s="387"/>
      <c r="MR187" s="387"/>
      <c r="MS187" s="387"/>
      <c r="MT187" s="387"/>
      <c r="MU187" s="387"/>
      <c r="MV187" s="387"/>
      <c r="MW187" s="387"/>
      <c r="MX187" s="387"/>
      <c r="MY187" s="387"/>
      <c r="MZ187" s="387"/>
      <c r="NA187" s="387"/>
      <c r="NB187" s="387"/>
      <c r="NC187" s="387"/>
      <c r="ND187" s="387"/>
      <c r="NE187" s="387"/>
      <c r="NF187" s="387"/>
      <c r="NG187" s="387"/>
      <c r="NH187" s="387"/>
      <c r="NI187" s="387"/>
      <c r="NJ187" s="387"/>
      <c r="NK187" s="387"/>
      <c r="NL187" s="387"/>
      <c r="NM187" s="387"/>
      <c r="NN187" s="387"/>
      <c r="NO187" s="387"/>
      <c r="NP187" s="387"/>
      <c r="NQ187" s="387"/>
      <c r="NR187" s="387"/>
      <c r="NS187" s="387"/>
      <c r="NT187" s="387"/>
      <c r="NU187" s="387"/>
      <c r="NV187" s="387"/>
      <c r="NW187" s="387"/>
      <c r="NX187" s="387"/>
      <c r="NY187" s="387"/>
      <c r="NZ187" s="387"/>
      <c r="OA187" s="387"/>
      <c r="OB187" s="387"/>
      <c r="OC187" s="387"/>
      <c r="OD187" s="387"/>
      <c r="OE187" s="387"/>
      <c r="OF187" s="387"/>
      <c r="OG187" s="387"/>
      <c r="OH187" s="387"/>
      <c r="OI187" s="387"/>
      <c r="OJ187" s="387"/>
      <c r="OK187" s="387"/>
      <c r="OL187" s="387"/>
      <c r="OM187" s="387"/>
      <c r="ON187" s="387"/>
      <c r="OO187" s="387"/>
      <c r="OP187" s="387"/>
      <c r="OQ187" s="387"/>
      <c r="OR187" s="387"/>
      <c r="OS187" s="387"/>
      <c r="OT187" s="387"/>
      <c r="OU187" s="387"/>
      <c r="OV187" s="387"/>
      <c r="OW187" s="387"/>
      <c r="OX187" s="387"/>
      <c r="OY187" s="387"/>
      <c r="OZ187" s="387"/>
      <c r="PA187" s="387"/>
      <c r="PB187" s="387"/>
      <c r="PC187" s="387"/>
      <c r="PD187" s="387"/>
      <c r="PE187" s="387"/>
      <c r="PF187" s="387"/>
      <c r="PG187" s="387"/>
      <c r="PH187" s="387"/>
      <c r="PI187" s="387"/>
      <c r="PJ187" s="387"/>
      <c r="PK187" s="387"/>
      <c r="PL187" s="387"/>
      <c r="PM187" s="387"/>
      <c r="PN187" s="387"/>
      <c r="PO187" s="387"/>
      <c r="PP187" s="387"/>
      <c r="PQ187" s="387"/>
      <c r="PR187" s="387"/>
      <c r="PS187" s="387"/>
      <c r="PT187" s="387"/>
      <c r="PU187" s="387"/>
      <c r="PV187" s="387"/>
      <c r="PW187" s="387"/>
      <c r="PX187" s="387"/>
      <c r="PY187" s="387"/>
      <c r="PZ187" s="387"/>
      <c r="QA187" s="387"/>
      <c r="QB187" s="387"/>
      <c r="QC187" s="387"/>
      <c r="QD187" s="387"/>
      <c r="QE187" s="387"/>
      <c r="QF187" s="387"/>
      <c r="QG187" s="387"/>
      <c r="QH187" s="387"/>
      <c r="QI187" s="387"/>
      <c r="QJ187" s="387"/>
      <c r="QK187" s="387"/>
      <c r="QL187" s="387"/>
      <c r="QM187" s="387"/>
      <c r="QN187" s="387"/>
      <c r="QO187" s="387"/>
      <c r="QP187" s="387"/>
      <c r="QQ187" s="387"/>
      <c r="QR187" s="387"/>
      <c r="QS187" s="387"/>
      <c r="QT187" s="387"/>
      <c r="QU187" s="387"/>
      <c r="QV187" s="387"/>
      <c r="QW187" s="387"/>
      <c r="QX187" s="387"/>
      <c r="QY187" s="387"/>
      <c r="QZ187" s="387"/>
      <c r="RA187" s="387"/>
      <c r="RB187" s="387"/>
      <c r="RC187" s="387"/>
      <c r="RD187" s="387"/>
      <c r="RE187" s="387"/>
      <c r="RF187" s="387"/>
      <c r="RG187" s="387"/>
      <c r="RH187" s="387"/>
      <c r="RI187" s="387"/>
      <c r="RJ187" s="387"/>
      <c r="RK187" s="387"/>
      <c r="RL187" s="387"/>
      <c r="RM187" s="387"/>
      <c r="RN187" s="387"/>
      <c r="RO187" s="387"/>
      <c r="RP187" s="387"/>
      <c r="RQ187" s="387"/>
      <c r="RR187" s="387"/>
      <c r="RS187" s="387"/>
      <c r="RT187" s="387"/>
      <c r="RU187" s="387"/>
      <c r="RV187" s="387"/>
      <c r="RW187" s="387"/>
      <c r="RX187" s="387"/>
      <c r="RY187" s="387"/>
      <c r="RZ187" s="387"/>
      <c r="SA187" s="387"/>
      <c r="SB187" s="387"/>
      <c r="SC187" s="387"/>
      <c r="SD187" s="387"/>
      <c r="SE187" s="387"/>
      <c r="SF187" s="387"/>
      <c r="SG187" s="387"/>
      <c r="SH187" s="387"/>
      <c r="SI187" s="387"/>
      <c r="SJ187" s="387"/>
      <c r="SK187" s="387"/>
      <c r="SL187" s="387"/>
      <c r="SM187" s="387"/>
      <c r="SN187" s="387"/>
      <c r="SO187" s="387"/>
      <c r="SP187" s="387"/>
      <c r="SQ187" s="387"/>
      <c r="SR187" s="387"/>
      <c r="SS187" s="387"/>
      <c r="ST187" s="387"/>
      <c r="SU187" s="387"/>
      <c r="SV187" s="387"/>
      <c r="SW187" s="387"/>
      <c r="SX187" s="387"/>
      <c r="SY187" s="387"/>
      <c r="SZ187" s="387"/>
      <c r="TA187" s="387"/>
      <c r="TB187" s="387"/>
      <c r="TC187" s="387"/>
      <c r="TD187" s="387"/>
      <c r="TE187" s="387"/>
      <c r="TF187" s="387"/>
      <c r="TG187" s="387"/>
      <c r="TH187" s="387"/>
      <c r="TI187" s="387"/>
      <c r="TJ187" s="387"/>
      <c r="TK187" s="387"/>
      <c r="TL187" s="387"/>
      <c r="TM187" s="387"/>
      <c r="TN187" s="387"/>
      <c r="TO187" s="387"/>
      <c r="TP187" s="387"/>
      <c r="TQ187" s="387"/>
      <c r="TR187" s="387"/>
      <c r="TS187" s="387"/>
      <c r="TT187" s="387"/>
      <c r="TU187" s="387"/>
      <c r="TV187" s="387"/>
      <c r="TW187" s="387"/>
      <c r="TX187" s="387"/>
      <c r="TY187" s="387"/>
      <c r="TZ187" s="387"/>
      <c r="UA187" s="387"/>
      <c r="UB187" s="387"/>
      <c r="UC187" s="387"/>
      <c r="UD187" s="387"/>
      <c r="UE187" s="387"/>
      <c r="UF187" s="387"/>
      <c r="UG187" s="387"/>
      <c r="UH187" s="387"/>
      <c r="UI187" s="387"/>
      <c r="UJ187" s="387"/>
      <c r="UK187" s="387"/>
      <c r="UL187" s="387"/>
      <c r="UM187" s="387"/>
      <c r="UN187" s="387"/>
      <c r="UO187" s="387"/>
      <c r="UP187" s="387"/>
      <c r="UQ187" s="387"/>
      <c r="UR187" s="387"/>
      <c r="US187" s="387"/>
      <c r="UT187" s="387"/>
      <c r="UU187" s="387"/>
      <c r="UV187" s="387"/>
      <c r="UW187" s="387"/>
      <c r="UX187" s="387"/>
      <c r="UY187" s="387"/>
      <c r="UZ187" s="387"/>
      <c r="VA187" s="387"/>
      <c r="VB187" s="387"/>
      <c r="VC187" s="387"/>
      <c r="VD187" s="387"/>
      <c r="VE187" s="387"/>
      <c r="VF187" s="387"/>
      <c r="VG187" s="387"/>
      <c r="VH187" s="387"/>
      <c r="VI187" s="387"/>
      <c r="VJ187" s="387"/>
      <c r="VK187" s="387"/>
      <c r="VL187" s="387"/>
      <c r="VM187" s="387"/>
      <c r="VN187" s="387"/>
      <c r="VO187" s="387"/>
      <c r="VP187" s="387"/>
      <c r="VQ187" s="387"/>
      <c r="VR187" s="387"/>
      <c r="VS187" s="387"/>
      <c r="VT187" s="387"/>
      <c r="VU187" s="387"/>
      <c r="VV187" s="387"/>
      <c r="VW187" s="387"/>
      <c r="VX187" s="387"/>
      <c r="VY187" s="387"/>
      <c r="VZ187" s="387"/>
      <c r="WA187" s="387"/>
      <c r="WB187" s="387"/>
      <c r="WC187" s="387"/>
      <c r="WD187" s="387"/>
      <c r="WE187" s="387"/>
      <c r="WF187" s="387"/>
      <c r="WG187" s="387"/>
      <c r="WH187" s="387"/>
      <c r="WI187" s="387"/>
      <c r="WJ187" s="387"/>
      <c r="WK187" s="387"/>
      <c r="WL187" s="387"/>
      <c r="WM187" s="387"/>
      <c r="WN187" s="387"/>
      <c r="WO187" s="387"/>
      <c r="WP187" s="387"/>
      <c r="WQ187" s="387"/>
      <c r="WR187" s="387"/>
      <c r="WS187" s="387"/>
      <c r="WT187" s="387"/>
      <c r="WU187" s="387"/>
      <c r="WV187" s="387"/>
      <c r="WW187" s="387"/>
      <c r="WX187" s="387"/>
      <c r="WY187" s="387"/>
      <c r="WZ187" s="387"/>
      <c r="XA187" s="387"/>
      <c r="XB187" s="387"/>
      <c r="XC187" s="387"/>
      <c r="XD187" s="387"/>
      <c r="XE187" s="387"/>
      <c r="XF187" s="387"/>
      <c r="XG187" s="387"/>
      <c r="XH187" s="387"/>
      <c r="XI187" s="387"/>
      <c r="XJ187" s="387"/>
      <c r="XK187" s="387"/>
      <c r="XL187" s="387"/>
      <c r="XM187" s="387"/>
      <c r="XN187" s="387"/>
      <c r="XO187" s="387"/>
      <c r="XP187" s="387"/>
      <c r="XQ187" s="387"/>
      <c r="XR187" s="387"/>
      <c r="XS187" s="387"/>
      <c r="XT187" s="387"/>
      <c r="XU187" s="387"/>
      <c r="XV187" s="387"/>
      <c r="XW187" s="387"/>
      <c r="XX187" s="387"/>
      <c r="XY187" s="387"/>
      <c r="XZ187" s="387"/>
      <c r="YA187" s="387"/>
      <c r="YB187" s="387"/>
      <c r="YC187" s="387"/>
      <c r="YD187" s="387"/>
      <c r="YE187" s="387"/>
      <c r="YF187" s="387"/>
      <c r="YG187" s="387"/>
      <c r="YH187" s="387"/>
      <c r="YI187" s="387"/>
      <c r="YJ187" s="387"/>
      <c r="YK187" s="387"/>
      <c r="YL187" s="387"/>
      <c r="YM187" s="387"/>
      <c r="YN187" s="387"/>
      <c r="YO187" s="387"/>
      <c r="YP187" s="387"/>
      <c r="YQ187" s="387"/>
      <c r="YR187" s="387"/>
      <c r="YS187" s="387"/>
      <c r="YT187" s="387"/>
      <c r="YU187" s="387"/>
      <c r="YV187" s="387"/>
      <c r="YW187" s="387"/>
      <c r="YX187" s="387"/>
      <c r="YY187" s="387"/>
      <c r="YZ187" s="387"/>
      <c r="ZA187" s="387"/>
      <c r="ZB187" s="387"/>
      <c r="ZC187" s="387"/>
      <c r="ZD187" s="387"/>
      <c r="ZE187" s="387"/>
      <c r="ZF187" s="387"/>
      <c r="ZG187" s="387"/>
      <c r="ZH187" s="387"/>
      <c r="ZI187" s="387"/>
      <c r="ZJ187" s="387"/>
      <c r="ZK187" s="387"/>
      <c r="ZL187" s="387"/>
      <c r="ZM187" s="387"/>
      <c r="ZN187" s="387"/>
      <c r="ZO187" s="387"/>
      <c r="ZP187" s="387"/>
      <c r="ZQ187" s="387"/>
      <c r="ZR187" s="387"/>
      <c r="ZS187" s="387"/>
      <c r="ZT187" s="387"/>
      <c r="ZU187" s="387"/>
      <c r="ZV187" s="387"/>
      <c r="ZW187" s="387"/>
      <c r="ZX187" s="387"/>
      <c r="ZY187" s="387"/>
      <c r="ZZ187" s="387"/>
      <c r="AAA187" s="387"/>
      <c r="AAB187" s="387"/>
      <c r="AAC187" s="387"/>
      <c r="AAD187" s="387"/>
      <c r="AAE187" s="387"/>
      <c r="AAF187" s="387"/>
      <c r="AAG187" s="387"/>
      <c r="AAH187" s="387"/>
      <c r="AAI187" s="387"/>
      <c r="AAJ187" s="387"/>
      <c r="AAK187" s="387"/>
      <c r="AAL187" s="387"/>
      <c r="AAM187" s="387"/>
      <c r="AAN187" s="387"/>
      <c r="AAO187" s="387"/>
      <c r="AAP187" s="387"/>
      <c r="AAQ187" s="387"/>
      <c r="AAR187" s="387"/>
      <c r="AAS187" s="387"/>
      <c r="AAT187" s="387"/>
      <c r="AAU187" s="387"/>
      <c r="AAV187" s="387"/>
      <c r="AAW187" s="387"/>
      <c r="AAX187" s="387"/>
      <c r="AAY187" s="387"/>
      <c r="AAZ187" s="387"/>
      <c r="ABA187" s="387"/>
      <c r="ABB187" s="387"/>
      <c r="ABC187" s="387"/>
      <c r="ABD187" s="387"/>
      <c r="ABE187" s="387"/>
      <c r="ABF187" s="387"/>
      <c r="ABG187" s="387"/>
      <c r="ABH187" s="387"/>
      <c r="ABI187" s="387"/>
      <c r="ABJ187" s="387"/>
      <c r="ABK187" s="387"/>
      <c r="ABL187" s="387"/>
      <c r="ABM187" s="387"/>
      <c r="ABN187" s="387"/>
      <c r="ABO187" s="387"/>
      <c r="ABP187" s="387"/>
      <c r="ABQ187" s="387"/>
      <c r="ABR187" s="387"/>
      <c r="ABS187" s="387"/>
      <c r="ABT187" s="387"/>
      <c r="ABU187" s="387"/>
      <c r="ABV187" s="387"/>
      <c r="ABW187" s="387"/>
      <c r="ABX187" s="387"/>
      <c r="ABY187" s="387"/>
      <c r="ABZ187" s="387"/>
      <c r="ACA187" s="387"/>
      <c r="ACB187" s="387"/>
      <c r="ACC187" s="387"/>
      <c r="ACD187" s="387"/>
      <c r="ACE187" s="387"/>
      <c r="ACF187" s="387"/>
      <c r="ACG187" s="387"/>
      <c r="ACH187" s="387"/>
      <c r="ACI187" s="387"/>
      <c r="ACJ187" s="387"/>
      <c r="ACK187" s="387"/>
      <c r="ACL187" s="387"/>
      <c r="ACM187" s="387"/>
      <c r="ACN187" s="387"/>
      <c r="ACO187" s="387"/>
      <c r="ACP187" s="387"/>
      <c r="ACQ187" s="387"/>
      <c r="ACR187" s="387"/>
      <c r="ACS187" s="387"/>
      <c r="ACT187" s="387"/>
      <c r="ACU187" s="387"/>
      <c r="ACV187" s="387"/>
      <c r="ACW187" s="387"/>
      <c r="ACX187" s="387"/>
      <c r="ACY187" s="387"/>
      <c r="ACZ187" s="387"/>
      <c r="ADA187" s="387"/>
      <c r="ADB187" s="387"/>
      <c r="ADC187" s="387"/>
      <c r="ADD187" s="387"/>
      <c r="ADE187" s="387"/>
      <c r="ADF187" s="387"/>
      <c r="ADG187" s="387"/>
      <c r="ADH187" s="387"/>
      <c r="ADI187" s="387"/>
      <c r="ADJ187" s="387"/>
      <c r="ADK187" s="387"/>
      <c r="ADL187" s="387"/>
      <c r="ADM187" s="387"/>
      <c r="ADN187" s="387"/>
      <c r="ADO187" s="387"/>
      <c r="ADP187" s="387"/>
      <c r="ADQ187" s="387"/>
      <c r="ADR187" s="387"/>
      <c r="ADS187" s="387"/>
      <c r="ADT187" s="387"/>
      <c r="ADU187" s="387"/>
      <c r="ADV187" s="387"/>
      <c r="ADW187" s="387"/>
      <c r="ADX187" s="387"/>
      <c r="ADY187" s="387"/>
      <c r="ADZ187" s="387"/>
      <c r="AEA187" s="387"/>
      <c r="AEB187" s="387"/>
      <c r="AEC187" s="387"/>
      <c r="AED187" s="387"/>
      <c r="AEE187" s="387"/>
      <c r="AEF187" s="387"/>
      <c r="AEG187" s="387"/>
      <c r="AEH187" s="387"/>
      <c r="AEI187" s="387"/>
      <c r="AEJ187" s="387"/>
      <c r="AEK187" s="387"/>
      <c r="AEL187" s="387"/>
      <c r="AEM187" s="387"/>
      <c r="AEN187" s="387"/>
      <c r="AEO187" s="387"/>
      <c r="AEP187" s="387"/>
      <c r="AEQ187" s="387"/>
      <c r="AER187" s="387"/>
      <c r="AES187" s="387"/>
      <c r="AET187" s="387"/>
      <c r="AEU187" s="387"/>
      <c r="AEV187" s="387"/>
      <c r="AEW187" s="387"/>
      <c r="AEX187" s="387"/>
      <c r="AEY187" s="387"/>
      <c r="AEZ187" s="387"/>
      <c r="AFA187" s="387"/>
      <c r="AFB187" s="387"/>
      <c r="AFC187" s="387"/>
      <c r="AFD187" s="387"/>
      <c r="AFE187" s="387"/>
      <c r="AFF187" s="387"/>
      <c r="AFG187" s="387"/>
      <c r="AFH187" s="387"/>
      <c r="AFI187" s="387"/>
      <c r="AFJ187" s="387"/>
      <c r="AFK187" s="387"/>
      <c r="AFL187" s="387"/>
      <c r="AFM187" s="387"/>
      <c r="AFN187" s="387"/>
      <c r="AFO187" s="387"/>
      <c r="AFP187" s="387"/>
      <c r="AFQ187" s="387"/>
      <c r="AFR187" s="387"/>
      <c r="AFS187" s="387"/>
      <c r="AFT187" s="387"/>
      <c r="AFU187" s="387"/>
      <c r="AFV187" s="387"/>
      <c r="AFW187" s="387"/>
      <c r="AFX187" s="387"/>
      <c r="AFY187" s="387"/>
      <c r="AFZ187" s="387"/>
      <c r="AGA187" s="387"/>
      <c r="AGB187" s="387"/>
      <c r="AGC187" s="387"/>
      <c r="AGD187" s="387"/>
      <c r="AGE187" s="387"/>
      <c r="AGF187" s="387"/>
      <c r="AGG187" s="387"/>
      <c r="AGH187" s="387"/>
      <c r="AGI187" s="387"/>
      <c r="AGJ187" s="387"/>
      <c r="AGK187" s="387"/>
      <c r="AGL187" s="387"/>
      <c r="AGM187" s="387"/>
      <c r="AGN187" s="387"/>
      <c r="AGO187" s="387"/>
      <c r="AGP187" s="387"/>
      <c r="AGQ187" s="387"/>
      <c r="AGR187" s="387"/>
      <c r="AGS187" s="387"/>
      <c r="AGT187" s="387"/>
      <c r="AGU187" s="387"/>
      <c r="AGV187" s="387"/>
      <c r="AGW187" s="387"/>
      <c r="AGX187" s="387"/>
      <c r="AGY187" s="387"/>
      <c r="AGZ187" s="387"/>
      <c r="AHA187" s="387"/>
      <c r="AHB187" s="387"/>
      <c r="AHC187" s="387"/>
      <c r="AHD187" s="387"/>
      <c r="AHE187" s="387"/>
      <c r="AHF187" s="387"/>
      <c r="AHG187" s="387"/>
      <c r="AHH187" s="387"/>
      <c r="AHI187" s="387"/>
      <c r="AHJ187" s="387"/>
      <c r="AHK187" s="387"/>
      <c r="AHL187" s="387"/>
      <c r="AHM187" s="387"/>
      <c r="AHN187" s="387"/>
      <c r="AHO187" s="387"/>
      <c r="AHP187" s="387"/>
      <c r="AHQ187" s="387"/>
      <c r="AHR187" s="387"/>
      <c r="AHS187" s="387"/>
      <c r="AHT187" s="387"/>
      <c r="AHU187" s="387"/>
      <c r="AHV187" s="387"/>
      <c r="AHW187" s="387"/>
      <c r="AHX187" s="387"/>
      <c r="AHY187" s="387"/>
      <c r="AHZ187" s="387"/>
      <c r="AIA187" s="387"/>
      <c r="AIB187" s="387"/>
      <c r="AIC187" s="387"/>
      <c r="AID187" s="387"/>
      <c r="AIE187" s="387"/>
      <c r="AIF187" s="387"/>
      <c r="AIG187" s="387"/>
      <c r="AIH187" s="387"/>
      <c r="AII187" s="387"/>
      <c r="AIJ187" s="387"/>
      <c r="AIK187" s="387"/>
      <c r="AIL187" s="387"/>
      <c r="AIM187" s="387"/>
      <c r="AIN187" s="387"/>
      <c r="AIO187" s="387"/>
      <c r="AIP187" s="387"/>
      <c r="AIQ187" s="387"/>
      <c r="AIR187" s="387"/>
      <c r="AIS187" s="387"/>
      <c r="AIT187" s="387"/>
      <c r="AIU187" s="387"/>
      <c r="AIV187" s="387"/>
      <c r="AIW187" s="387"/>
      <c r="AIX187" s="387"/>
      <c r="AIY187" s="387"/>
      <c r="AIZ187" s="387"/>
      <c r="AJA187" s="387"/>
      <c r="AJB187" s="387"/>
      <c r="AJC187" s="387"/>
      <c r="AJD187" s="387"/>
      <c r="AJE187" s="387"/>
      <c r="AJF187" s="387"/>
      <c r="AJG187" s="387"/>
      <c r="AJH187" s="387"/>
      <c r="AJI187" s="387"/>
      <c r="AJJ187" s="387"/>
      <c r="AJK187" s="387"/>
      <c r="AJL187" s="387"/>
      <c r="AJM187" s="387"/>
      <c r="AJN187" s="387"/>
      <c r="AJO187" s="387"/>
      <c r="AJP187" s="387"/>
      <c r="AJQ187" s="387"/>
      <c r="AJR187" s="387"/>
      <c r="AJS187" s="387"/>
      <c r="AJT187" s="387"/>
      <c r="AJU187" s="387"/>
      <c r="AJV187" s="387"/>
      <c r="AJW187" s="387"/>
      <c r="AJX187" s="387"/>
      <c r="AJY187" s="387"/>
      <c r="AJZ187" s="387"/>
      <c r="AKA187" s="387"/>
      <c r="AKB187" s="387"/>
      <c r="AKC187" s="387"/>
      <c r="AKD187" s="387"/>
      <c r="AKE187" s="387"/>
      <c r="AKF187" s="387"/>
      <c r="AKG187" s="387"/>
      <c r="AKH187" s="387"/>
      <c r="AKI187" s="387"/>
      <c r="AKJ187" s="387"/>
      <c r="AKK187" s="387"/>
      <c r="AKL187" s="387"/>
      <c r="AKM187" s="387"/>
      <c r="AKN187" s="387"/>
      <c r="AKO187" s="387"/>
      <c r="AKP187" s="387"/>
      <c r="AKQ187" s="387"/>
      <c r="AKR187" s="387"/>
      <c r="AKS187" s="387"/>
      <c r="AKT187" s="387"/>
      <c r="AKU187" s="387"/>
      <c r="AKV187" s="387"/>
      <c r="AKW187" s="387"/>
      <c r="AKX187" s="387"/>
      <c r="AKY187" s="387"/>
      <c r="AKZ187" s="387"/>
      <c r="ALA187" s="387"/>
      <c r="ALB187" s="387"/>
      <c r="ALC187" s="387"/>
      <c r="ALD187" s="387"/>
      <c r="ALE187" s="387"/>
      <c r="ALF187" s="387"/>
      <c r="ALG187" s="387"/>
      <c r="ALH187" s="387"/>
      <c r="ALI187" s="387"/>
      <c r="ALJ187" s="387"/>
      <c r="ALK187" s="387"/>
      <c r="ALL187" s="387"/>
      <c r="ALM187" s="387"/>
      <c r="ALN187" s="387"/>
      <c r="ALO187" s="387"/>
      <c r="ALP187" s="387"/>
      <c r="ALQ187" s="387"/>
      <c r="ALR187" s="387"/>
      <c r="ALS187" s="387"/>
      <c r="ALT187" s="387"/>
      <c r="ALU187" s="387"/>
      <c r="ALV187" s="387"/>
      <c r="ALW187" s="387"/>
      <c r="ALX187" s="387"/>
      <c r="ALY187" s="387"/>
      <c r="ALZ187" s="387"/>
      <c r="AMA187" s="387"/>
      <c r="AMB187" s="387"/>
      <c r="AMC187" s="387"/>
      <c r="AMD187" s="387"/>
      <c r="AME187" s="387"/>
      <c r="AMF187" s="387"/>
      <c r="AMG187" s="387"/>
      <c r="AMH187" s="387"/>
      <c r="AMI187" s="387"/>
      <c r="AMJ187" s="387"/>
      <c r="AMK187" s="387"/>
      <c r="AML187" s="387"/>
      <c r="AMM187" s="387"/>
      <c r="AMN187" s="387"/>
      <c r="AMO187" s="387"/>
      <c r="AMP187" s="387"/>
      <c r="AMQ187" s="387"/>
      <c r="AMR187" s="387"/>
      <c r="AMS187" s="387"/>
      <c r="AMT187" s="387"/>
      <c r="AMU187" s="387"/>
      <c r="AMV187" s="387"/>
      <c r="AMW187" s="387"/>
      <c r="AMX187" s="387"/>
      <c r="AMY187" s="387"/>
      <c r="AMZ187" s="387"/>
      <c r="ANA187" s="387"/>
      <c r="ANB187" s="387"/>
      <c r="ANC187" s="387"/>
      <c r="AND187" s="387"/>
      <c r="ANE187" s="387"/>
      <c r="ANF187" s="387"/>
      <c r="ANG187" s="387"/>
      <c r="ANH187" s="387"/>
      <c r="ANI187" s="387"/>
      <c r="ANJ187" s="387"/>
      <c r="ANK187" s="387"/>
      <c r="ANL187" s="387"/>
      <c r="ANM187" s="387"/>
      <c r="ANN187" s="387"/>
      <c r="ANO187" s="387"/>
      <c r="ANP187" s="387"/>
      <c r="ANQ187" s="387"/>
      <c r="ANR187" s="387"/>
      <c r="ANS187" s="387"/>
      <c r="ANT187" s="387"/>
      <c r="ANU187" s="387"/>
      <c r="ANV187" s="387"/>
      <c r="ANW187" s="387"/>
      <c r="ANX187" s="387"/>
      <c r="ANY187" s="387"/>
      <c r="ANZ187" s="387"/>
      <c r="AOA187" s="387"/>
      <c r="AOB187" s="387"/>
      <c r="AOC187" s="387"/>
      <c r="AOD187" s="387"/>
      <c r="AOE187" s="387"/>
      <c r="AOF187" s="387"/>
      <c r="AOG187" s="387"/>
      <c r="AOH187" s="387"/>
      <c r="AOI187" s="387"/>
      <c r="AOJ187" s="387"/>
      <c r="AOK187" s="387"/>
      <c r="AOL187" s="387"/>
      <c r="AOM187" s="387"/>
      <c r="AON187" s="387"/>
      <c r="AOO187" s="387"/>
      <c r="AOP187" s="387"/>
      <c r="AOQ187" s="387"/>
      <c r="AOR187" s="387"/>
      <c r="AOS187" s="387"/>
      <c r="AOT187" s="387"/>
      <c r="AOU187" s="387"/>
      <c r="AOV187" s="387"/>
      <c r="AOW187" s="387"/>
      <c r="AOX187" s="387"/>
      <c r="AOY187" s="387"/>
      <c r="AOZ187" s="387"/>
      <c r="APA187" s="387"/>
      <c r="APB187" s="387"/>
      <c r="APC187" s="387"/>
      <c r="APD187" s="387"/>
      <c r="APE187" s="387"/>
      <c r="APF187" s="387"/>
      <c r="APG187" s="387"/>
      <c r="APH187" s="387"/>
      <c r="API187" s="387"/>
      <c r="APJ187" s="387"/>
      <c r="APK187" s="387"/>
      <c r="APL187" s="387"/>
      <c r="APM187" s="387"/>
      <c r="APN187" s="387"/>
      <c r="APO187" s="387"/>
      <c r="APP187" s="387"/>
      <c r="APQ187" s="387"/>
      <c r="APR187" s="387"/>
      <c r="APS187" s="387"/>
      <c r="APT187" s="387"/>
      <c r="APU187" s="387"/>
      <c r="APV187" s="387"/>
      <c r="APW187" s="387"/>
      <c r="APX187" s="387"/>
      <c r="APY187" s="387"/>
      <c r="APZ187" s="387"/>
      <c r="AQA187" s="387"/>
      <c r="AQB187" s="387"/>
      <c r="AQC187" s="387"/>
      <c r="AQD187" s="387"/>
      <c r="AQE187" s="387"/>
      <c r="AQF187" s="387"/>
      <c r="AQG187" s="387"/>
      <c r="AQH187" s="387"/>
      <c r="AQI187" s="387"/>
      <c r="AQJ187" s="387"/>
      <c r="AQK187" s="387"/>
      <c r="AQL187" s="387"/>
      <c r="AQM187" s="387"/>
      <c r="AQN187" s="387"/>
      <c r="AQO187" s="387"/>
      <c r="AQP187" s="387"/>
      <c r="AQQ187" s="387"/>
      <c r="AQR187" s="387"/>
      <c r="AQS187" s="387"/>
      <c r="AQT187" s="387"/>
      <c r="AQU187" s="387"/>
      <c r="AQV187" s="387"/>
      <c r="AQW187" s="387"/>
      <c r="AQX187" s="387"/>
      <c r="AQY187" s="387"/>
      <c r="AQZ187" s="387"/>
      <c r="ARA187" s="387"/>
      <c r="ARB187" s="387"/>
      <c r="ARC187" s="387"/>
      <c r="ARD187" s="387"/>
      <c r="ARE187" s="387"/>
      <c r="ARF187" s="387"/>
      <c r="ARG187" s="387"/>
      <c r="ARH187" s="387"/>
      <c r="ARI187" s="387"/>
      <c r="ARJ187" s="387"/>
      <c r="ARK187" s="387"/>
      <c r="ARL187" s="387"/>
      <c r="ARM187" s="387"/>
      <c r="ARN187" s="387"/>
      <c r="ARO187" s="387"/>
      <c r="ARP187" s="387"/>
      <c r="ARQ187" s="387"/>
      <c r="ARR187" s="387"/>
      <c r="ARS187" s="387"/>
      <c r="ART187" s="387"/>
      <c r="ARU187" s="387"/>
      <c r="ARV187" s="387"/>
      <c r="ARW187" s="387"/>
      <c r="ARX187" s="387"/>
      <c r="ARY187" s="387"/>
      <c r="ARZ187" s="387"/>
      <c r="ASA187" s="387"/>
      <c r="ASB187" s="387"/>
      <c r="ASC187" s="387"/>
      <c r="ASD187" s="387"/>
      <c r="ASE187" s="387"/>
      <c r="ASF187" s="387"/>
      <c r="ASG187" s="387"/>
      <c r="ASH187" s="387"/>
      <c r="ASI187" s="387"/>
      <c r="ASJ187" s="387"/>
      <c r="ASK187" s="387"/>
      <c r="ASL187" s="387"/>
      <c r="ASM187" s="387"/>
      <c r="ASN187" s="387"/>
      <c r="ASO187" s="387"/>
      <c r="ASP187" s="387"/>
      <c r="ASQ187" s="387"/>
      <c r="ASR187" s="387"/>
      <c r="ASS187" s="387"/>
      <c r="AST187" s="387"/>
      <c r="ASU187" s="387"/>
      <c r="ASV187" s="387"/>
      <c r="ASW187" s="387"/>
      <c r="ASX187" s="387"/>
      <c r="ASY187" s="387"/>
      <c r="ASZ187" s="387"/>
      <c r="ATA187" s="387"/>
      <c r="ATB187" s="387"/>
      <c r="ATC187" s="387"/>
      <c r="ATD187" s="387"/>
      <c r="ATE187" s="387"/>
      <c r="ATF187" s="387"/>
      <c r="ATG187" s="387"/>
      <c r="ATH187" s="387"/>
      <c r="ATI187" s="387"/>
      <c r="ATJ187" s="387"/>
      <c r="ATK187" s="387"/>
      <c r="ATL187" s="387"/>
      <c r="ATM187" s="387"/>
      <c r="ATN187" s="387"/>
      <c r="ATO187" s="387"/>
      <c r="ATP187" s="387"/>
      <c r="ATQ187" s="387"/>
      <c r="ATR187" s="387"/>
      <c r="ATS187" s="387"/>
      <c r="ATT187" s="387"/>
      <c r="ATU187" s="387"/>
      <c r="ATV187" s="387"/>
      <c r="ATW187" s="387"/>
      <c r="ATX187" s="387"/>
      <c r="ATY187" s="387"/>
      <c r="ATZ187" s="387"/>
      <c r="AUA187" s="387"/>
      <c r="AUB187" s="387"/>
      <c r="AUC187" s="387"/>
      <c r="AUD187" s="387"/>
      <c r="AUE187" s="387"/>
      <c r="AUF187" s="387"/>
      <c r="AUG187" s="387"/>
      <c r="AUH187" s="387"/>
      <c r="AUI187" s="387"/>
      <c r="AUJ187" s="387"/>
      <c r="AUK187" s="387"/>
      <c r="AUL187" s="387"/>
      <c r="AUM187" s="387"/>
      <c r="AUN187" s="387"/>
      <c r="AUO187" s="387"/>
      <c r="AUP187" s="387"/>
      <c r="AUQ187" s="387"/>
      <c r="AUR187" s="387"/>
      <c r="AUS187" s="387"/>
      <c r="AUT187" s="387"/>
      <c r="AUU187" s="387"/>
      <c r="AUV187" s="387"/>
      <c r="AUW187" s="387"/>
      <c r="AUX187" s="387"/>
      <c r="AUY187" s="387"/>
      <c r="AUZ187" s="387"/>
      <c r="AVA187" s="387"/>
      <c r="AVB187" s="387"/>
      <c r="AVC187" s="387"/>
      <c r="AVD187" s="387"/>
      <c r="AVE187" s="387"/>
      <c r="AVF187" s="387"/>
      <c r="AVG187" s="387"/>
      <c r="AVH187" s="387"/>
      <c r="AVI187" s="387"/>
      <c r="AVJ187" s="387"/>
      <c r="AVK187" s="387"/>
      <c r="AVL187" s="387"/>
      <c r="AVM187" s="387"/>
      <c r="AVN187" s="387"/>
      <c r="AVO187" s="387"/>
      <c r="AVP187" s="387"/>
      <c r="AVQ187" s="387"/>
      <c r="AVR187" s="387"/>
      <c r="AVS187" s="387"/>
      <c r="AVT187" s="387"/>
      <c r="AVU187" s="387"/>
      <c r="AVV187" s="387"/>
      <c r="AVW187" s="387"/>
      <c r="AVX187" s="387"/>
      <c r="AVY187" s="387"/>
      <c r="AVZ187" s="387"/>
      <c r="AWA187" s="387"/>
      <c r="AWB187" s="387"/>
      <c r="AWC187" s="387"/>
      <c r="AWD187" s="387"/>
      <c r="AWE187" s="387"/>
      <c r="AWF187" s="387"/>
      <c r="AWG187" s="387"/>
      <c r="AWH187" s="387"/>
      <c r="AWI187" s="387"/>
      <c r="AWJ187" s="387"/>
      <c r="AWK187" s="387"/>
      <c r="AWL187" s="387"/>
      <c r="AWM187" s="387"/>
      <c r="AWN187" s="387"/>
      <c r="AWO187" s="387"/>
      <c r="AWP187" s="387"/>
      <c r="AWQ187" s="387"/>
      <c r="AWR187" s="387"/>
      <c r="AWS187" s="387"/>
      <c r="AWT187" s="387"/>
      <c r="AWU187" s="387"/>
      <c r="AWV187" s="387"/>
      <c r="AWW187" s="387"/>
      <c r="AWX187" s="387"/>
      <c r="AWY187" s="387"/>
      <c r="AWZ187" s="387"/>
      <c r="AXA187" s="387"/>
      <c r="AXB187" s="387"/>
      <c r="AXC187" s="387"/>
      <c r="AXD187" s="387"/>
      <c r="AXE187" s="387"/>
      <c r="AXF187" s="387"/>
      <c r="AXG187" s="387"/>
      <c r="AXH187" s="387"/>
      <c r="AXI187" s="387"/>
      <c r="AXJ187" s="387"/>
      <c r="AXK187" s="387"/>
      <c r="AXL187" s="387"/>
      <c r="AXM187" s="387"/>
      <c r="AXN187" s="387"/>
      <c r="AXO187" s="387"/>
      <c r="AXP187" s="387"/>
      <c r="AXQ187" s="387"/>
      <c r="AXR187" s="387"/>
      <c r="AXS187" s="387"/>
      <c r="AXT187" s="387"/>
      <c r="AXU187" s="387"/>
      <c r="AXV187" s="387"/>
      <c r="AXW187" s="387"/>
      <c r="AXX187" s="387"/>
      <c r="AXY187" s="387"/>
      <c r="AXZ187" s="387"/>
      <c r="AYA187" s="387"/>
      <c r="AYB187" s="387"/>
      <c r="AYC187" s="387"/>
      <c r="AYD187" s="387"/>
      <c r="AYE187" s="387"/>
      <c r="AYF187" s="387"/>
      <c r="AYG187" s="387"/>
      <c r="AYH187" s="387"/>
      <c r="AYI187" s="387"/>
      <c r="AYJ187" s="387"/>
      <c r="AYK187" s="387"/>
      <c r="AYL187" s="387"/>
      <c r="AYM187" s="387"/>
      <c r="AYN187" s="387"/>
      <c r="AYO187" s="387"/>
      <c r="AYP187" s="387"/>
      <c r="AYQ187" s="387"/>
      <c r="AYR187" s="387"/>
      <c r="AYS187" s="387"/>
      <c r="AYT187" s="387"/>
      <c r="AYU187" s="387"/>
      <c r="AYV187" s="387"/>
      <c r="AYW187" s="387"/>
      <c r="AYX187" s="387"/>
      <c r="AYY187" s="387"/>
      <c r="AYZ187" s="387"/>
      <c r="AZA187" s="387"/>
      <c r="AZB187" s="387"/>
      <c r="AZC187" s="387"/>
      <c r="AZD187" s="387"/>
      <c r="AZE187" s="387"/>
      <c r="AZF187" s="387"/>
      <c r="AZG187" s="387"/>
      <c r="AZH187" s="387"/>
      <c r="AZI187" s="387"/>
      <c r="AZJ187" s="387"/>
      <c r="AZK187" s="387"/>
      <c r="AZL187" s="387"/>
      <c r="AZM187" s="387"/>
      <c r="AZN187" s="387"/>
      <c r="AZO187" s="387"/>
      <c r="AZP187" s="387"/>
      <c r="AZQ187" s="387"/>
      <c r="AZR187" s="387"/>
      <c r="AZS187" s="387"/>
      <c r="AZT187" s="387"/>
      <c r="AZU187" s="387"/>
      <c r="AZV187" s="387"/>
      <c r="AZW187" s="387"/>
      <c r="AZX187" s="387"/>
      <c r="AZY187" s="387"/>
      <c r="AZZ187" s="387"/>
      <c r="BAA187" s="387"/>
      <c r="BAB187" s="387"/>
      <c r="BAC187" s="387"/>
      <c r="BAD187" s="387"/>
      <c r="BAE187" s="387"/>
      <c r="BAF187" s="387"/>
      <c r="BAG187" s="387"/>
      <c r="BAH187" s="387"/>
      <c r="BAI187" s="387"/>
      <c r="BAJ187" s="387"/>
      <c r="BAK187" s="387"/>
      <c r="BAL187" s="387"/>
      <c r="BAM187" s="387"/>
      <c r="BAN187" s="387"/>
      <c r="BAO187" s="387"/>
      <c r="BAP187" s="387"/>
      <c r="BAQ187" s="387"/>
      <c r="BAR187" s="387"/>
      <c r="BAS187" s="387"/>
      <c r="BAT187" s="387"/>
      <c r="BAU187" s="387"/>
      <c r="BAV187" s="387"/>
      <c r="BAW187" s="387"/>
      <c r="BAX187" s="387"/>
      <c r="BAY187" s="387"/>
      <c r="BAZ187" s="387"/>
      <c r="BBA187" s="387"/>
      <c r="BBB187" s="387"/>
      <c r="BBC187" s="387"/>
      <c r="BBD187" s="387"/>
      <c r="BBE187" s="387"/>
      <c r="BBF187" s="387"/>
      <c r="BBG187" s="387"/>
      <c r="BBH187" s="387"/>
      <c r="BBI187" s="387"/>
      <c r="BBJ187" s="387"/>
      <c r="BBK187" s="387"/>
      <c r="BBL187" s="387"/>
      <c r="BBM187" s="387"/>
      <c r="BBN187" s="387"/>
      <c r="BBO187" s="387"/>
      <c r="BBP187" s="387"/>
      <c r="BBQ187" s="387"/>
      <c r="BBR187" s="387"/>
      <c r="BBS187" s="387"/>
      <c r="BBT187" s="387"/>
      <c r="BBU187" s="387"/>
      <c r="BBV187" s="387"/>
      <c r="BBW187" s="387"/>
      <c r="BBX187" s="387"/>
      <c r="BBY187" s="387"/>
      <c r="BBZ187" s="387"/>
      <c r="BCA187" s="387"/>
      <c r="BCB187" s="387"/>
      <c r="BCC187" s="387"/>
      <c r="BCD187" s="387"/>
      <c r="BCE187" s="387"/>
      <c r="BCF187" s="387"/>
      <c r="BCG187" s="387"/>
      <c r="BCH187" s="387"/>
      <c r="BCI187" s="387"/>
      <c r="BCJ187" s="387"/>
      <c r="BCK187" s="387"/>
      <c r="BCL187" s="387"/>
      <c r="BCM187" s="387"/>
      <c r="BCN187" s="387"/>
      <c r="BCO187" s="387"/>
      <c r="BCP187" s="387"/>
      <c r="BCQ187" s="387"/>
      <c r="BCR187" s="387"/>
      <c r="BCS187" s="387"/>
      <c r="BCT187" s="387"/>
      <c r="BCU187" s="387"/>
      <c r="BCV187" s="387"/>
      <c r="BCW187" s="387"/>
      <c r="BCX187" s="387"/>
      <c r="BCY187" s="387"/>
      <c r="BCZ187" s="387"/>
      <c r="BDA187" s="387"/>
      <c r="BDB187" s="387"/>
      <c r="BDC187" s="387"/>
      <c r="BDD187" s="387"/>
      <c r="BDE187" s="387"/>
      <c r="BDF187" s="387"/>
      <c r="BDG187" s="387"/>
      <c r="BDH187" s="387"/>
      <c r="BDI187" s="387"/>
      <c r="BDJ187" s="387"/>
      <c r="BDK187" s="387"/>
      <c r="BDL187" s="387"/>
      <c r="BDM187" s="387"/>
      <c r="BDN187" s="387"/>
      <c r="BDO187" s="387"/>
      <c r="BDP187" s="387"/>
      <c r="BDQ187" s="387"/>
      <c r="BDR187" s="387"/>
      <c r="BDS187" s="387"/>
      <c r="BDT187" s="387"/>
      <c r="BDU187" s="387"/>
      <c r="BDV187" s="387"/>
      <c r="BDW187" s="387"/>
      <c r="BDX187" s="387"/>
      <c r="BDY187" s="387"/>
      <c r="BDZ187" s="387"/>
      <c r="BEA187" s="387"/>
      <c r="BEB187" s="387"/>
      <c r="BEC187" s="387"/>
      <c r="BED187" s="387"/>
      <c r="BEE187" s="387"/>
      <c r="BEF187" s="387"/>
      <c r="BEG187" s="387"/>
      <c r="BEH187" s="387"/>
      <c r="BEI187" s="387"/>
      <c r="BEJ187" s="387"/>
      <c r="BEK187" s="387"/>
      <c r="BEL187" s="387"/>
      <c r="BEM187" s="387"/>
      <c r="BEN187" s="387"/>
      <c r="BEO187" s="387"/>
      <c r="BEP187" s="387"/>
      <c r="BEQ187" s="387"/>
      <c r="BER187" s="387"/>
      <c r="BES187" s="387"/>
      <c r="BET187" s="387"/>
      <c r="BEU187" s="387"/>
      <c r="BEV187" s="387"/>
      <c r="BEW187" s="387"/>
      <c r="BEX187" s="387"/>
      <c r="BEY187" s="387"/>
      <c r="BEZ187" s="387"/>
      <c r="BFA187" s="387"/>
      <c r="BFB187" s="387"/>
      <c r="BFC187" s="387"/>
      <c r="BFD187" s="387"/>
      <c r="BFE187" s="387"/>
      <c r="BFF187" s="387"/>
      <c r="BFG187" s="387"/>
      <c r="BFH187" s="387"/>
      <c r="BFI187" s="387"/>
      <c r="BFJ187" s="387"/>
      <c r="BFK187" s="387"/>
      <c r="BFL187" s="387"/>
      <c r="BFM187" s="387"/>
      <c r="BFN187" s="387"/>
      <c r="BFO187" s="387"/>
      <c r="BFP187" s="387"/>
      <c r="BFQ187" s="387"/>
      <c r="BFR187" s="387"/>
      <c r="BFS187" s="387"/>
      <c r="BFT187" s="387"/>
      <c r="BFU187" s="387"/>
      <c r="BFV187" s="387"/>
      <c r="BFW187" s="387"/>
      <c r="BFX187" s="387"/>
      <c r="BFY187" s="387"/>
      <c r="BFZ187" s="387"/>
      <c r="BGA187" s="387"/>
      <c r="BGB187" s="387"/>
      <c r="BGC187" s="387"/>
      <c r="BGD187" s="387"/>
      <c r="BGE187" s="387"/>
      <c r="BGF187" s="387"/>
      <c r="BGG187" s="387"/>
      <c r="BGH187" s="387"/>
      <c r="BGI187" s="387"/>
      <c r="BGJ187" s="387"/>
      <c r="BGK187" s="387"/>
      <c r="BGL187" s="387"/>
      <c r="BGM187" s="387"/>
      <c r="BGN187" s="387"/>
      <c r="BGO187" s="387"/>
      <c r="BGP187" s="387"/>
      <c r="BGQ187" s="387"/>
      <c r="BGR187" s="387"/>
      <c r="BGS187" s="387"/>
      <c r="BGT187" s="387"/>
      <c r="BGU187" s="387"/>
      <c r="BGV187" s="387"/>
      <c r="BGW187" s="387"/>
      <c r="BGX187" s="387"/>
      <c r="BGY187" s="387"/>
      <c r="BGZ187" s="387"/>
      <c r="BHA187" s="387"/>
      <c r="BHB187" s="387"/>
      <c r="BHC187" s="387"/>
      <c r="BHD187" s="387"/>
      <c r="BHE187" s="387"/>
      <c r="BHF187" s="387"/>
      <c r="BHG187" s="387"/>
      <c r="BHH187" s="387"/>
      <c r="BHI187" s="387"/>
      <c r="BHJ187" s="387"/>
      <c r="BHK187" s="387"/>
      <c r="BHL187" s="387"/>
      <c r="BHM187" s="387"/>
      <c r="BHN187" s="387"/>
      <c r="BHO187" s="387"/>
      <c r="BHP187" s="387"/>
      <c r="BHQ187" s="387"/>
      <c r="BHR187" s="387"/>
      <c r="BHS187" s="387"/>
      <c r="BHT187" s="387"/>
      <c r="BHU187" s="387"/>
      <c r="BHV187" s="387"/>
      <c r="BHW187" s="387"/>
      <c r="BHX187" s="387"/>
      <c r="BHY187" s="387"/>
      <c r="BHZ187" s="387"/>
      <c r="BIA187" s="387"/>
      <c r="BIB187" s="387"/>
      <c r="BIC187" s="387"/>
      <c r="BID187" s="387"/>
      <c r="BIE187" s="387"/>
      <c r="BIF187" s="387"/>
      <c r="BIG187" s="387"/>
      <c r="BIH187" s="387"/>
      <c r="BII187" s="387"/>
      <c r="BIJ187" s="387"/>
      <c r="BIK187" s="387"/>
      <c r="BIL187" s="387"/>
      <c r="BIM187" s="387"/>
      <c r="BIN187" s="387"/>
      <c r="BIO187" s="387"/>
      <c r="BIP187" s="387"/>
      <c r="BIQ187" s="387"/>
      <c r="BIR187" s="387"/>
      <c r="BIS187" s="387"/>
      <c r="BIT187" s="387"/>
      <c r="BIU187" s="387"/>
      <c r="BIV187" s="387"/>
      <c r="BIW187" s="387"/>
      <c r="BIX187" s="387"/>
      <c r="BIY187" s="387"/>
      <c r="BIZ187" s="387"/>
      <c r="BJA187" s="387"/>
      <c r="BJB187" s="387"/>
      <c r="BJC187" s="387"/>
      <c r="BJD187" s="387"/>
      <c r="BJE187" s="387"/>
      <c r="BJF187" s="387"/>
      <c r="BJG187" s="387"/>
      <c r="BJH187" s="387"/>
      <c r="BJI187" s="387"/>
      <c r="BJJ187" s="387"/>
      <c r="BJK187" s="387"/>
      <c r="BJL187" s="387"/>
      <c r="BJM187" s="387"/>
      <c r="BJN187" s="387"/>
      <c r="BJO187" s="387"/>
      <c r="BJP187" s="387"/>
      <c r="BJQ187" s="387"/>
      <c r="BJR187" s="387"/>
      <c r="BJS187" s="387"/>
      <c r="BJT187" s="387"/>
      <c r="BJU187" s="387"/>
      <c r="BJV187" s="387"/>
      <c r="BJW187" s="387"/>
      <c r="BJX187" s="387"/>
      <c r="BJY187" s="387"/>
      <c r="BJZ187" s="387"/>
      <c r="BKA187" s="387"/>
      <c r="BKB187" s="387"/>
      <c r="BKC187" s="387"/>
      <c r="BKD187" s="387"/>
      <c r="BKE187" s="387"/>
      <c r="BKF187" s="387"/>
      <c r="BKG187" s="387"/>
      <c r="BKH187" s="387"/>
      <c r="BKI187" s="387"/>
      <c r="BKJ187" s="387"/>
      <c r="BKK187" s="387"/>
      <c r="BKL187" s="387"/>
      <c r="BKM187" s="387"/>
      <c r="BKN187" s="387"/>
      <c r="BKO187" s="387"/>
      <c r="BKP187" s="387"/>
      <c r="BKQ187" s="387"/>
      <c r="BKR187" s="387"/>
      <c r="BKS187" s="387"/>
      <c r="BKT187" s="387"/>
      <c r="BKU187" s="387"/>
      <c r="BKV187" s="387"/>
      <c r="BKW187" s="387"/>
      <c r="BKX187" s="387"/>
      <c r="BKY187" s="387"/>
      <c r="BKZ187" s="387"/>
      <c r="BLA187" s="387"/>
      <c r="BLB187" s="387"/>
      <c r="BLC187" s="387"/>
      <c r="BLD187" s="387"/>
      <c r="BLE187" s="387"/>
      <c r="BLF187" s="387"/>
      <c r="BLG187" s="387"/>
      <c r="BLH187" s="387"/>
      <c r="BLI187" s="387"/>
      <c r="BLJ187" s="387"/>
      <c r="BLK187" s="387"/>
      <c r="BLL187" s="387"/>
      <c r="BLM187" s="387"/>
      <c r="BLN187" s="387"/>
      <c r="BLO187" s="387"/>
      <c r="BLP187" s="387"/>
      <c r="BLQ187" s="387"/>
      <c r="BLR187" s="387"/>
      <c r="BLS187" s="387"/>
      <c r="BLT187" s="387"/>
      <c r="BLU187" s="387"/>
      <c r="BLV187" s="387"/>
      <c r="BLW187" s="387"/>
      <c r="BLX187" s="387"/>
      <c r="BLY187" s="387"/>
      <c r="BLZ187" s="387"/>
      <c r="BMA187" s="387"/>
      <c r="BMB187" s="387"/>
      <c r="BMC187" s="387"/>
      <c r="BMD187" s="387"/>
      <c r="BME187" s="387"/>
      <c r="BMF187" s="387"/>
      <c r="BMG187" s="387"/>
      <c r="BMH187" s="387"/>
      <c r="BMI187" s="387"/>
      <c r="BMJ187" s="387"/>
      <c r="BMK187" s="387"/>
      <c r="BML187" s="387"/>
      <c r="BMM187" s="387"/>
      <c r="BMN187" s="387"/>
      <c r="BMO187" s="387"/>
      <c r="BMP187" s="387"/>
      <c r="BMQ187" s="387"/>
      <c r="BMR187" s="387"/>
      <c r="BMS187" s="387"/>
      <c r="BMT187" s="387"/>
      <c r="BMU187" s="387"/>
      <c r="BMV187" s="387"/>
      <c r="BMW187" s="387"/>
      <c r="BMX187" s="387"/>
      <c r="BMY187" s="387"/>
      <c r="BMZ187" s="387"/>
      <c r="BNA187" s="387"/>
      <c r="BNB187" s="387"/>
      <c r="BNC187" s="387"/>
      <c r="BND187" s="387"/>
      <c r="BNE187" s="387"/>
      <c r="BNF187" s="387"/>
      <c r="BNG187" s="387"/>
      <c r="BNH187" s="387"/>
      <c r="BNI187" s="387"/>
      <c r="BNJ187" s="387"/>
      <c r="BNK187" s="387"/>
      <c r="BNL187" s="387"/>
      <c r="BNM187" s="387"/>
      <c r="BNN187" s="387"/>
      <c r="BNO187" s="387"/>
      <c r="BNP187" s="387"/>
      <c r="BNQ187" s="387"/>
      <c r="BNR187" s="387"/>
      <c r="BNS187" s="387"/>
      <c r="BNT187" s="387"/>
      <c r="BNU187" s="387"/>
      <c r="BNV187" s="387"/>
      <c r="BNW187" s="387"/>
      <c r="BNX187" s="387"/>
      <c r="BNY187" s="387"/>
      <c r="BNZ187" s="387"/>
      <c r="BOA187" s="387"/>
      <c r="BOB187" s="387"/>
      <c r="BOC187" s="387"/>
      <c r="BOD187" s="387"/>
      <c r="BOE187" s="387"/>
      <c r="BOF187" s="387"/>
      <c r="BOG187" s="387"/>
      <c r="BOH187" s="387"/>
      <c r="BOI187" s="387"/>
      <c r="BOJ187" s="387"/>
      <c r="BOK187" s="387"/>
      <c r="BOL187" s="387"/>
      <c r="BOM187" s="387"/>
      <c r="BON187" s="387"/>
      <c r="BOO187" s="387"/>
      <c r="BOP187" s="387"/>
      <c r="BOQ187" s="387"/>
      <c r="BOR187" s="387"/>
      <c r="BOS187" s="387"/>
      <c r="BOT187" s="387"/>
      <c r="BOU187" s="387"/>
      <c r="BOV187" s="387"/>
      <c r="BOW187" s="387"/>
      <c r="BOX187" s="387"/>
      <c r="BOY187" s="387"/>
      <c r="BOZ187" s="387"/>
      <c r="BPA187" s="387"/>
      <c r="BPB187" s="387"/>
      <c r="BPC187" s="387"/>
      <c r="BPD187" s="387"/>
      <c r="BPE187" s="387"/>
      <c r="BPF187" s="387"/>
      <c r="BPG187" s="387"/>
      <c r="BPH187" s="387"/>
      <c r="BPI187" s="387"/>
      <c r="BPJ187" s="387"/>
      <c r="BPK187" s="387"/>
      <c r="BPL187" s="387"/>
      <c r="BPM187" s="387"/>
      <c r="BPN187" s="387"/>
      <c r="BPO187" s="387"/>
      <c r="BPP187" s="387"/>
      <c r="BPQ187" s="387"/>
      <c r="BPR187" s="387"/>
      <c r="BPS187" s="387"/>
      <c r="BPT187" s="387"/>
      <c r="BPU187" s="387"/>
      <c r="BPV187" s="387"/>
      <c r="BPW187" s="387"/>
      <c r="BPX187" s="387"/>
      <c r="BPY187" s="387"/>
      <c r="BPZ187" s="387"/>
      <c r="BQA187" s="387"/>
      <c r="BQB187" s="387"/>
      <c r="BQC187" s="387"/>
      <c r="BQD187" s="387"/>
      <c r="BQE187" s="387"/>
      <c r="BQF187" s="387"/>
      <c r="BQG187" s="387"/>
      <c r="BQH187" s="387"/>
      <c r="BQI187" s="387"/>
      <c r="BQJ187" s="387"/>
      <c r="BQK187" s="387"/>
      <c r="BQL187" s="387"/>
      <c r="BQM187" s="387"/>
      <c r="BQN187" s="387"/>
      <c r="BQO187" s="387"/>
      <c r="BQP187" s="387"/>
      <c r="BQQ187" s="387"/>
      <c r="BQR187" s="387"/>
      <c r="BQS187" s="387"/>
      <c r="BQT187" s="387"/>
      <c r="BQU187" s="387"/>
      <c r="BQV187" s="387"/>
      <c r="BQW187" s="387"/>
      <c r="BQX187" s="387"/>
      <c r="BQY187" s="387"/>
      <c r="BQZ187" s="387"/>
      <c r="BRA187" s="387"/>
      <c r="BRB187" s="387"/>
      <c r="BRC187" s="387"/>
      <c r="BRD187" s="387"/>
      <c r="BRE187" s="387"/>
      <c r="BRF187" s="387"/>
      <c r="BRG187" s="387"/>
      <c r="BRH187" s="387"/>
      <c r="BRI187" s="387"/>
      <c r="BRJ187" s="387"/>
      <c r="BRK187" s="387"/>
      <c r="BRL187" s="387"/>
      <c r="BRM187" s="387"/>
      <c r="BRN187" s="387"/>
      <c r="BRO187" s="387"/>
      <c r="BRP187" s="387"/>
      <c r="BRQ187" s="387"/>
      <c r="BRR187" s="387"/>
      <c r="BRS187" s="387"/>
      <c r="BRT187" s="387"/>
      <c r="BRU187" s="387"/>
      <c r="BRV187" s="387"/>
      <c r="BRW187" s="387"/>
      <c r="BRX187" s="387"/>
      <c r="BRY187" s="387"/>
      <c r="BRZ187" s="387"/>
      <c r="BSA187" s="387"/>
      <c r="BSB187" s="387"/>
      <c r="BSC187" s="387"/>
      <c r="BSD187" s="387"/>
      <c r="BSE187" s="387"/>
      <c r="BSF187" s="387"/>
      <c r="BSG187" s="387"/>
      <c r="BSH187" s="387"/>
      <c r="BSI187" s="387"/>
      <c r="BSJ187" s="387"/>
      <c r="BSK187" s="387"/>
      <c r="BSL187" s="387"/>
      <c r="BSM187" s="387"/>
      <c r="BSN187" s="387"/>
      <c r="BSO187" s="387"/>
      <c r="BSP187" s="387"/>
      <c r="BSQ187" s="387"/>
      <c r="BSR187" s="387"/>
      <c r="BSS187" s="387"/>
      <c r="BST187" s="387"/>
      <c r="BSU187" s="387"/>
      <c r="BSV187" s="387"/>
      <c r="BSW187" s="387"/>
      <c r="BSX187" s="387"/>
      <c r="BSY187" s="387"/>
      <c r="BSZ187" s="387"/>
      <c r="BTA187" s="387"/>
      <c r="BTB187" s="387"/>
      <c r="BTC187" s="387"/>
      <c r="BTD187" s="387"/>
      <c r="BTE187" s="387"/>
      <c r="BTF187" s="387"/>
      <c r="BTG187" s="387"/>
      <c r="BTH187" s="387"/>
      <c r="BTI187" s="387"/>
    </row>
    <row r="188" spans="1:1881" s="312" customFormat="1" ht="21" customHeight="1" x14ac:dyDescent="0.25">
      <c r="A188" s="186"/>
      <c r="B188" s="179"/>
      <c r="C188" s="179"/>
      <c r="D188" s="167" t="s">
        <v>37</v>
      </c>
      <c r="E188" s="366" t="e">
        <f>SUM(E184:E187)</f>
        <v>#N/A</v>
      </c>
      <c r="F188" s="611">
        <f>SUM(F184:F187)</f>
        <v>0</v>
      </c>
      <c r="G188" s="311"/>
      <c r="H188" s="14"/>
      <c r="I188" s="31"/>
      <c r="J188" s="387"/>
      <c r="K188" s="387"/>
      <c r="L188" s="387"/>
      <c r="M188" s="387"/>
      <c r="N188"/>
      <c r="O188" s="387"/>
      <c r="P188" s="387"/>
      <c r="Q188" s="387"/>
      <c r="R188"/>
      <c r="S188" s="682"/>
      <c r="T188" s="387"/>
      <c r="U188" s="387"/>
      <c r="V188" s="387"/>
      <c r="W188" s="387"/>
      <c r="X188" s="682"/>
      <c r="Y188" s="387"/>
      <c r="Z188" s="387"/>
      <c r="AA188" s="387"/>
      <c r="AB188" s="387"/>
      <c r="AC188" s="387"/>
      <c r="AD188" s="387"/>
      <c r="AE188" s="387"/>
      <c r="AF188" s="387"/>
      <c r="AG188" s="387"/>
      <c r="AH188" s="387"/>
      <c r="AI188" s="387"/>
      <c r="AJ188" s="387"/>
      <c r="AK188" s="387"/>
      <c r="AL188" s="387"/>
      <c r="AM188" s="387"/>
      <c r="AN188" s="387"/>
      <c r="AO188" s="387"/>
      <c r="AP188" s="387"/>
      <c r="AQ188" s="387"/>
      <c r="AR188" s="387"/>
      <c r="AS188" s="387"/>
      <c r="AT188" s="387"/>
      <c r="AU188" s="387"/>
      <c r="AV188" s="387"/>
      <c r="AW188" s="387"/>
      <c r="AX188" s="387"/>
      <c r="AY188" s="387"/>
      <c r="AZ188" s="387"/>
      <c r="BA188" s="387"/>
      <c r="BB188" s="387"/>
      <c r="BC188" s="387"/>
      <c r="BD188" s="387"/>
      <c r="BE188" s="387"/>
      <c r="BF188" s="387"/>
      <c r="BG188" s="387"/>
      <c r="BH188" s="387"/>
      <c r="BI188" s="387"/>
      <c r="BJ188" s="387"/>
      <c r="BK188" s="387"/>
      <c r="BL188" s="387"/>
      <c r="BM188" s="387"/>
      <c r="BN188" s="387"/>
      <c r="BO188" s="387"/>
      <c r="BP188" s="387"/>
      <c r="BQ188" s="387"/>
      <c r="BR188" s="387"/>
      <c r="BS188" s="387"/>
      <c r="BT188" s="387"/>
      <c r="BU188" s="387"/>
      <c r="BV188" s="387"/>
      <c r="BW188" s="387"/>
      <c r="BX188" s="387"/>
      <c r="BY188" s="387"/>
      <c r="BZ188" s="387"/>
      <c r="CA188" s="387"/>
      <c r="CB188" s="387"/>
      <c r="CC188" s="387"/>
      <c r="CD188" s="387"/>
      <c r="CE188" s="387"/>
      <c r="CF188" s="387"/>
      <c r="CG188" s="387"/>
      <c r="CH188" s="387"/>
      <c r="CI188" s="387"/>
      <c r="CJ188" s="387"/>
      <c r="CK188" s="387"/>
      <c r="CL188" s="387"/>
      <c r="CM188" s="387"/>
      <c r="CN188" s="387"/>
      <c r="CO188" s="387"/>
      <c r="CP188" s="387"/>
      <c r="CQ188" s="387"/>
      <c r="CR188" s="387"/>
      <c r="CS188" s="387"/>
      <c r="CT188" s="387"/>
      <c r="CU188" s="387"/>
      <c r="CV188" s="387"/>
      <c r="CW188" s="387"/>
      <c r="CX188" s="387"/>
      <c r="CY188" s="387"/>
      <c r="CZ188" s="387"/>
      <c r="DA188" s="387"/>
      <c r="DB188" s="387"/>
      <c r="DC188" s="387"/>
      <c r="DD188" s="387"/>
      <c r="DE188" s="387"/>
      <c r="DF188" s="387"/>
      <c r="DG188" s="387"/>
      <c r="DH188" s="387"/>
      <c r="DI188" s="387"/>
      <c r="DJ188" s="387"/>
      <c r="DK188" s="387"/>
      <c r="DL188" s="387"/>
      <c r="DM188" s="387"/>
      <c r="DN188" s="387"/>
      <c r="DO188" s="387"/>
      <c r="DP188" s="387"/>
      <c r="DQ188" s="387"/>
      <c r="DR188" s="387"/>
      <c r="DS188" s="387"/>
      <c r="DT188" s="387"/>
      <c r="DU188" s="387"/>
      <c r="DV188" s="387"/>
      <c r="DW188" s="387"/>
      <c r="DX188" s="387"/>
      <c r="DY188" s="387"/>
      <c r="DZ188" s="387"/>
      <c r="EA188" s="387"/>
      <c r="EB188" s="387"/>
      <c r="EC188" s="387"/>
      <c r="ED188" s="387"/>
      <c r="EE188" s="387"/>
      <c r="EF188" s="387"/>
      <c r="EG188" s="387"/>
      <c r="EH188" s="387"/>
      <c r="EI188" s="387"/>
      <c r="EJ188" s="387"/>
      <c r="EK188" s="387"/>
      <c r="EL188" s="387"/>
      <c r="EM188" s="387"/>
      <c r="EN188" s="387"/>
      <c r="EO188" s="387"/>
      <c r="EP188" s="387"/>
      <c r="EQ188" s="387"/>
      <c r="ER188" s="387"/>
      <c r="ES188" s="387"/>
      <c r="ET188" s="387"/>
      <c r="EU188" s="387"/>
      <c r="EV188" s="387"/>
      <c r="EW188" s="387"/>
      <c r="EX188" s="387"/>
      <c r="EY188" s="387"/>
      <c r="EZ188" s="387"/>
      <c r="FA188" s="387"/>
      <c r="FB188" s="387"/>
      <c r="FC188" s="387"/>
      <c r="FD188" s="387"/>
      <c r="FE188" s="387"/>
      <c r="FF188" s="387"/>
      <c r="FG188" s="387"/>
      <c r="FH188" s="387"/>
      <c r="FI188" s="387"/>
      <c r="FJ188" s="387"/>
      <c r="FK188" s="387"/>
      <c r="FL188" s="387"/>
      <c r="FM188" s="387"/>
      <c r="FN188" s="387"/>
      <c r="FO188" s="387"/>
      <c r="FP188" s="387"/>
      <c r="FQ188" s="387"/>
      <c r="FR188" s="387"/>
      <c r="FS188" s="387"/>
      <c r="FT188" s="387"/>
      <c r="FU188" s="387"/>
      <c r="FV188" s="387"/>
      <c r="FW188" s="387"/>
      <c r="FX188" s="387"/>
      <c r="FY188" s="387"/>
      <c r="FZ188" s="387"/>
      <c r="GA188" s="387"/>
      <c r="GB188" s="387"/>
      <c r="GC188" s="387"/>
      <c r="GD188" s="387"/>
      <c r="GE188" s="387"/>
      <c r="GF188" s="387"/>
      <c r="GG188" s="387"/>
      <c r="GH188" s="387"/>
      <c r="GI188" s="387"/>
      <c r="GJ188" s="387"/>
      <c r="GK188" s="387"/>
      <c r="GL188" s="387"/>
      <c r="GM188" s="387"/>
      <c r="GN188" s="387"/>
      <c r="GO188" s="387"/>
      <c r="GP188" s="387"/>
      <c r="GQ188" s="387"/>
      <c r="GR188" s="387"/>
      <c r="GS188" s="387"/>
      <c r="GT188" s="387"/>
      <c r="GU188" s="387"/>
      <c r="GV188" s="387"/>
      <c r="GW188" s="387"/>
      <c r="GX188" s="387"/>
      <c r="GY188" s="387"/>
      <c r="GZ188" s="387"/>
      <c r="HA188" s="387"/>
      <c r="HB188" s="387"/>
      <c r="HC188" s="387"/>
      <c r="HD188" s="387"/>
      <c r="HE188" s="387"/>
      <c r="HF188" s="387"/>
      <c r="HG188" s="387"/>
      <c r="HH188" s="387"/>
      <c r="HI188" s="387"/>
      <c r="HJ188" s="387"/>
      <c r="HK188" s="387"/>
      <c r="HL188" s="387"/>
      <c r="HM188" s="387"/>
      <c r="HN188" s="387"/>
      <c r="HO188" s="387"/>
      <c r="HP188" s="387"/>
      <c r="HQ188" s="387"/>
      <c r="HR188" s="387"/>
      <c r="HS188" s="387"/>
      <c r="HT188" s="387"/>
      <c r="HU188" s="387"/>
      <c r="HV188" s="387"/>
      <c r="HW188" s="387"/>
      <c r="HX188" s="387"/>
      <c r="HY188" s="387"/>
      <c r="HZ188" s="387"/>
      <c r="IA188" s="387"/>
      <c r="IB188" s="387"/>
      <c r="IC188" s="387"/>
      <c r="ID188" s="387"/>
      <c r="IE188" s="387"/>
      <c r="IF188" s="387"/>
      <c r="IG188" s="387"/>
      <c r="IH188" s="387"/>
      <c r="II188" s="387"/>
      <c r="IJ188" s="387"/>
      <c r="IK188" s="387"/>
      <c r="IL188" s="387"/>
      <c r="IM188" s="387"/>
      <c r="IN188" s="387"/>
      <c r="IO188" s="387"/>
      <c r="IP188" s="387"/>
      <c r="IQ188" s="387"/>
      <c r="IR188" s="387"/>
      <c r="IS188" s="387"/>
      <c r="IT188" s="387"/>
      <c r="IU188" s="387"/>
      <c r="IV188" s="387"/>
      <c r="IW188" s="387"/>
      <c r="IX188" s="387"/>
      <c r="IY188" s="387"/>
      <c r="IZ188" s="387"/>
      <c r="JA188" s="387"/>
      <c r="JB188" s="387"/>
      <c r="JC188" s="387"/>
      <c r="JD188" s="387"/>
      <c r="JE188" s="387"/>
      <c r="JF188" s="387"/>
      <c r="JG188" s="387"/>
      <c r="JH188" s="387"/>
      <c r="JI188" s="387"/>
      <c r="JJ188" s="387"/>
      <c r="JK188" s="387"/>
      <c r="JL188" s="387"/>
      <c r="JM188" s="387"/>
      <c r="JN188" s="387"/>
      <c r="JO188" s="387"/>
      <c r="JP188" s="387"/>
      <c r="JQ188" s="387"/>
      <c r="JR188" s="387"/>
      <c r="JS188" s="387"/>
      <c r="JT188" s="387"/>
      <c r="JU188" s="387"/>
      <c r="JV188" s="387"/>
      <c r="JW188" s="387"/>
      <c r="JX188" s="387"/>
      <c r="JY188" s="387"/>
      <c r="JZ188" s="387"/>
      <c r="KA188" s="387"/>
      <c r="KB188" s="387"/>
      <c r="KC188" s="387"/>
      <c r="KD188" s="387"/>
      <c r="KE188" s="387"/>
      <c r="KF188" s="387"/>
      <c r="KG188" s="387"/>
      <c r="KH188" s="387"/>
      <c r="KI188" s="387"/>
      <c r="KJ188" s="387"/>
      <c r="KK188" s="387"/>
      <c r="KL188" s="387"/>
      <c r="KM188" s="387"/>
      <c r="KN188" s="387"/>
      <c r="KO188" s="387"/>
      <c r="KP188" s="387"/>
      <c r="KQ188" s="387"/>
      <c r="KR188" s="387"/>
      <c r="KS188" s="387"/>
      <c r="KT188" s="387"/>
      <c r="KU188" s="387"/>
      <c r="KV188" s="387"/>
      <c r="KW188" s="387"/>
      <c r="KX188" s="387"/>
      <c r="KY188" s="387"/>
      <c r="KZ188" s="387"/>
      <c r="LA188" s="387"/>
      <c r="LB188" s="387"/>
      <c r="LC188" s="387"/>
      <c r="LD188" s="387"/>
      <c r="LE188" s="387"/>
      <c r="LF188" s="387"/>
      <c r="LG188" s="387"/>
      <c r="LH188" s="387"/>
      <c r="LI188" s="387"/>
      <c r="LJ188" s="387"/>
      <c r="LK188" s="387"/>
      <c r="LL188" s="387"/>
      <c r="LM188" s="387"/>
      <c r="LN188" s="387"/>
      <c r="LO188" s="387"/>
      <c r="LP188" s="387"/>
      <c r="LQ188" s="387"/>
      <c r="LR188" s="387"/>
      <c r="LS188" s="387"/>
      <c r="LT188" s="387"/>
      <c r="LU188" s="387"/>
      <c r="LV188" s="387"/>
      <c r="LW188" s="387"/>
      <c r="LX188" s="387"/>
      <c r="LY188" s="387"/>
      <c r="LZ188" s="387"/>
      <c r="MA188" s="387"/>
      <c r="MB188" s="387"/>
      <c r="MC188" s="387"/>
      <c r="MD188" s="387"/>
      <c r="ME188" s="387"/>
      <c r="MF188" s="387"/>
      <c r="MG188" s="387"/>
      <c r="MH188" s="387"/>
      <c r="MI188" s="387"/>
      <c r="MJ188" s="387"/>
      <c r="MK188" s="387"/>
      <c r="ML188" s="387"/>
      <c r="MM188" s="387"/>
      <c r="MN188" s="387"/>
      <c r="MO188" s="387"/>
      <c r="MP188" s="387"/>
      <c r="MQ188" s="387"/>
      <c r="MR188" s="387"/>
      <c r="MS188" s="387"/>
      <c r="MT188" s="387"/>
      <c r="MU188" s="387"/>
      <c r="MV188" s="387"/>
      <c r="MW188" s="387"/>
      <c r="MX188" s="387"/>
      <c r="MY188" s="387"/>
      <c r="MZ188" s="387"/>
      <c r="NA188" s="387"/>
      <c r="NB188" s="387"/>
      <c r="NC188" s="387"/>
      <c r="ND188" s="387"/>
      <c r="NE188" s="387"/>
      <c r="NF188" s="387"/>
      <c r="NG188" s="387"/>
      <c r="NH188" s="387"/>
      <c r="NI188" s="387"/>
      <c r="NJ188" s="387"/>
      <c r="NK188" s="387"/>
      <c r="NL188" s="387"/>
      <c r="NM188" s="387"/>
      <c r="NN188" s="387"/>
      <c r="NO188" s="387"/>
      <c r="NP188" s="387"/>
      <c r="NQ188" s="387"/>
      <c r="NR188" s="387"/>
      <c r="NS188" s="387"/>
      <c r="NT188" s="387"/>
      <c r="NU188" s="387"/>
      <c r="NV188" s="387"/>
      <c r="NW188" s="387"/>
      <c r="NX188" s="387"/>
      <c r="NY188" s="387"/>
      <c r="NZ188" s="387"/>
      <c r="OA188" s="387"/>
      <c r="OB188" s="387"/>
      <c r="OC188" s="387"/>
      <c r="OD188" s="387"/>
      <c r="OE188" s="387"/>
      <c r="OF188" s="387"/>
      <c r="OG188" s="387"/>
      <c r="OH188" s="387"/>
      <c r="OI188" s="387"/>
      <c r="OJ188" s="387"/>
      <c r="OK188" s="387"/>
      <c r="OL188" s="387"/>
      <c r="OM188" s="387"/>
      <c r="ON188" s="387"/>
      <c r="OO188" s="387"/>
      <c r="OP188" s="387"/>
      <c r="OQ188" s="387"/>
      <c r="OR188" s="387"/>
      <c r="OS188" s="387"/>
      <c r="OT188" s="387"/>
      <c r="OU188" s="387"/>
      <c r="OV188" s="387"/>
      <c r="OW188" s="387"/>
      <c r="OX188" s="387"/>
      <c r="OY188" s="387"/>
      <c r="OZ188" s="387"/>
      <c r="PA188" s="387"/>
      <c r="PB188" s="387"/>
      <c r="PC188" s="387"/>
      <c r="PD188" s="387"/>
      <c r="PE188" s="387"/>
      <c r="PF188" s="387"/>
      <c r="PG188" s="387"/>
      <c r="PH188" s="387"/>
      <c r="PI188" s="387"/>
      <c r="PJ188" s="387"/>
      <c r="PK188" s="387"/>
      <c r="PL188" s="387"/>
      <c r="PM188" s="387"/>
      <c r="PN188" s="387"/>
      <c r="PO188" s="387"/>
      <c r="PP188" s="387"/>
      <c r="PQ188" s="387"/>
      <c r="PR188" s="387"/>
      <c r="PS188" s="387"/>
      <c r="PT188" s="387"/>
      <c r="PU188" s="387"/>
      <c r="PV188" s="387"/>
      <c r="PW188" s="387"/>
      <c r="PX188" s="387"/>
      <c r="PY188" s="387"/>
      <c r="PZ188" s="387"/>
      <c r="QA188" s="387"/>
      <c r="QB188" s="387"/>
      <c r="QC188" s="387"/>
      <c r="QD188" s="387"/>
      <c r="QE188" s="387"/>
      <c r="QF188" s="387"/>
      <c r="QG188" s="387"/>
      <c r="QH188" s="387"/>
      <c r="QI188" s="387"/>
      <c r="QJ188" s="387"/>
      <c r="QK188" s="387"/>
      <c r="QL188" s="387"/>
      <c r="QM188" s="387"/>
      <c r="QN188" s="387"/>
      <c r="QO188" s="387"/>
      <c r="QP188" s="387"/>
      <c r="QQ188" s="387"/>
      <c r="QR188" s="387"/>
      <c r="QS188" s="387"/>
      <c r="QT188" s="387"/>
      <c r="QU188" s="387"/>
      <c r="QV188" s="387"/>
      <c r="QW188" s="387"/>
      <c r="QX188" s="387"/>
      <c r="QY188" s="387"/>
      <c r="QZ188" s="387"/>
      <c r="RA188" s="387"/>
      <c r="RB188" s="387"/>
      <c r="RC188" s="387"/>
      <c r="RD188" s="387"/>
      <c r="RE188" s="387"/>
      <c r="RF188" s="387"/>
      <c r="RG188" s="387"/>
      <c r="RH188" s="387"/>
      <c r="RI188" s="387"/>
      <c r="RJ188" s="387"/>
      <c r="RK188" s="387"/>
      <c r="RL188" s="387"/>
      <c r="RM188" s="387"/>
      <c r="RN188" s="387"/>
      <c r="RO188" s="387"/>
      <c r="RP188" s="387"/>
      <c r="RQ188" s="387"/>
      <c r="RR188" s="387"/>
      <c r="RS188" s="387"/>
      <c r="RT188" s="387"/>
      <c r="RU188" s="387"/>
      <c r="RV188" s="387"/>
      <c r="RW188" s="387"/>
      <c r="RX188" s="387"/>
      <c r="RY188" s="387"/>
      <c r="RZ188" s="387"/>
      <c r="SA188" s="387"/>
      <c r="SB188" s="387"/>
      <c r="SC188" s="387"/>
      <c r="SD188" s="387"/>
      <c r="SE188" s="387"/>
      <c r="SF188" s="387"/>
      <c r="SG188" s="387"/>
      <c r="SH188" s="387"/>
      <c r="SI188" s="387"/>
      <c r="SJ188" s="387"/>
      <c r="SK188" s="387"/>
      <c r="SL188" s="387"/>
      <c r="SM188" s="387"/>
      <c r="SN188" s="387"/>
      <c r="SO188" s="387"/>
      <c r="SP188" s="387"/>
      <c r="SQ188" s="387"/>
      <c r="SR188" s="387"/>
      <c r="SS188" s="387"/>
      <c r="ST188" s="387"/>
      <c r="SU188" s="387"/>
      <c r="SV188" s="387"/>
      <c r="SW188" s="387"/>
      <c r="SX188" s="387"/>
      <c r="SY188" s="387"/>
      <c r="SZ188" s="387"/>
      <c r="TA188" s="387"/>
      <c r="TB188" s="387"/>
      <c r="TC188" s="387"/>
      <c r="TD188" s="387"/>
      <c r="TE188" s="387"/>
      <c r="TF188" s="387"/>
      <c r="TG188" s="387"/>
      <c r="TH188" s="387"/>
      <c r="TI188" s="387"/>
      <c r="TJ188" s="387"/>
      <c r="TK188" s="387"/>
      <c r="TL188" s="387"/>
      <c r="TM188" s="387"/>
      <c r="TN188" s="387"/>
      <c r="TO188" s="387"/>
      <c r="TP188" s="387"/>
      <c r="TQ188" s="387"/>
      <c r="TR188" s="387"/>
      <c r="TS188" s="387"/>
      <c r="TT188" s="387"/>
      <c r="TU188" s="387"/>
      <c r="TV188" s="387"/>
      <c r="TW188" s="387"/>
      <c r="TX188" s="387"/>
      <c r="TY188" s="387"/>
      <c r="TZ188" s="387"/>
      <c r="UA188" s="387"/>
      <c r="UB188" s="387"/>
      <c r="UC188" s="387"/>
      <c r="UD188" s="387"/>
      <c r="UE188" s="387"/>
      <c r="UF188" s="387"/>
      <c r="UG188" s="387"/>
      <c r="UH188" s="387"/>
      <c r="UI188" s="387"/>
      <c r="UJ188" s="387"/>
      <c r="UK188" s="387"/>
      <c r="UL188" s="387"/>
      <c r="UM188" s="387"/>
      <c r="UN188" s="387"/>
      <c r="UO188" s="387"/>
      <c r="UP188" s="387"/>
      <c r="UQ188" s="387"/>
      <c r="UR188" s="387"/>
      <c r="US188" s="387"/>
      <c r="UT188" s="387"/>
      <c r="UU188" s="387"/>
      <c r="UV188" s="387"/>
      <c r="UW188" s="387"/>
      <c r="UX188" s="387"/>
      <c r="UY188" s="387"/>
      <c r="UZ188" s="387"/>
      <c r="VA188" s="387"/>
      <c r="VB188" s="387"/>
      <c r="VC188" s="387"/>
      <c r="VD188" s="387"/>
      <c r="VE188" s="387"/>
      <c r="VF188" s="387"/>
      <c r="VG188" s="387"/>
      <c r="VH188" s="387"/>
      <c r="VI188" s="387"/>
      <c r="VJ188" s="387"/>
      <c r="VK188" s="387"/>
      <c r="VL188" s="387"/>
      <c r="VM188" s="387"/>
      <c r="VN188" s="387"/>
      <c r="VO188" s="387"/>
      <c r="VP188" s="387"/>
      <c r="VQ188" s="387"/>
      <c r="VR188" s="387"/>
      <c r="VS188" s="387"/>
      <c r="VT188" s="387"/>
      <c r="VU188" s="387"/>
      <c r="VV188" s="387"/>
      <c r="VW188" s="387"/>
      <c r="VX188" s="387"/>
      <c r="VY188" s="387"/>
      <c r="VZ188" s="387"/>
      <c r="WA188" s="387"/>
      <c r="WB188" s="387"/>
      <c r="WC188" s="387"/>
      <c r="WD188" s="387"/>
      <c r="WE188" s="387"/>
      <c r="WF188" s="387"/>
      <c r="WG188" s="387"/>
      <c r="WH188" s="387"/>
      <c r="WI188" s="387"/>
      <c r="WJ188" s="387"/>
      <c r="WK188" s="387"/>
      <c r="WL188" s="387"/>
      <c r="WM188" s="387"/>
      <c r="WN188" s="387"/>
      <c r="WO188" s="387"/>
      <c r="WP188" s="387"/>
      <c r="WQ188" s="387"/>
      <c r="WR188" s="387"/>
      <c r="WS188" s="387"/>
      <c r="WT188" s="387"/>
      <c r="WU188" s="387"/>
      <c r="WV188" s="387"/>
      <c r="WW188" s="387"/>
      <c r="WX188" s="387"/>
      <c r="WY188" s="387"/>
      <c r="WZ188" s="387"/>
      <c r="XA188" s="387"/>
      <c r="XB188" s="387"/>
      <c r="XC188" s="387"/>
      <c r="XD188" s="387"/>
      <c r="XE188" s="387"/>
      <c r="XF188" s="387"/>
      <c r="XG188" s="387"/>
      <c r="XH188" s="387"/>
      <c r="XI188" s="387"/>
      <c r="XJ188" s="387"/>
      <c r="XK188" s="387"/>
      <c r="XL188" s="387"/>
      <c r="XM188" s="387"/>
      <c r="XN188" s="387"/>
      <c r="XO188" s="387"/>
      <c r="XP188" s="387"/>
      <c r="XQ188" s="387"/>
      <c r="XR188" s="387"/>
      <c r="XS188" s="387"/>
      <c r="XT188" s="387"/>
      <c r="XU188" s="387"/>
      <c r="XV188" s="387"/>
      <c r="XW188" s="387"/>
      <c r="XX188" s="387"/>
      <c r="XY188" s="387"/>
      <c r="XZ188" s="387"/>
      <c r="YA188" s="387"/>
      <c r="YB188" s="387"/>
      <c r="YC188" s="387"/>
      <c r="YD188" s="387"/>
      <c r="YE188" s="387"/>
      <c r="YF188" s="387"/>
      <c r="YG188" s="387"/>
      <c r="YH188" s="387"/>
      <c r="YI188" s="387"/>
      <c r="YJ188" s="387"/>
      <c r="YK188" s="387"/>
      <c r="YL188" s="387"/>
      <c r="YM188" s="387"/>
      <c r="YN188" s="387"/>
      <c r="YO188" s="387"/>
      <c r="YP188" s="387"/>
      <c r="YQ188" s="387"/>
      <c r="YR188" s="387"/>
      <c r="YS188" s="387"/>
      <c r="YT188" s="387"/>
      <c r="YU188" s="387"/>
      <c r="YV188" s="387"/>
      <c r="YW188" s="387"/>
      <c r="YX188" s="387"/>
      <c r="YY188" s="387"/>
      <c r="YZ188" s="387"/>
      <c r="ZA188" s="387"/>
      <c r="ZB188" s="387"/>
      <c r="ZC188" s="387"/>
      <c r="ZD188" s="387"/>
      <c r="ZE188" s="387"/>
      <c r="ZF188" s="387"/>
      <c r="ZG188" s="387"/>
      <c r="ZH188" s="387"/>
      <c r="ZI188" s="387"/>
      <c r="ZJ188" s="387"/>
      <c r="ZK188" s="387"/>
      <c r="ZL188" s="387"/>
      <c r="ZM188" s="387"/>
      <c r="ZN188" s="387"/>
      <c r="ZO188" s="387"/>
      <c r="ZP188" s="387"/>
      <c r="ZQ188" s="387"/>
      <c r="ZR188" s="387"/>
      <c r="ZS188" s="387"/>
      <c r="ZT188" s="387"/>
      <c r="ZU188" s="387"/>
      <c r="ZV188" s="387"/>
      <c r="ZW188" s="387"/>
      <c r="ZX188" s="387"/>
      <c r="ZY188" s="387"/>
      <c r="ZZ188" s="387"/>
      <c r="AAA188" s="387"/>
      <c r="AAB188" s="387"/>
      <c r="AAC188" s="387"/>
      <c r="AAD188" s="387"/>
      <c r="AAE188" s="387"/>
      <c r="AAF188" s="387"/>
      <c r="AAG188" s="387"/>
      <c r="AAH188" s="387"/>
      <c r="AAI188" s="387"/>
      <c r="AAJ188" s="387"/>
      <c r="AAK188" s="387"/>
      <c r="AAL188" s="387"/>
      <c r="AAM188" s="387"/>
      <c r="AAN188" s="387"/>
      <c r="AAO188" s="387"/>
      <c r="AAP188" s="387"/>
      <c r="AAQ188" s="387"/>
      <c r="AAR188" s="387"/>
      <c r="AAS188" s="387"/>
      <c r="AAT188" s="387"/>
      <c r="AAU188" s="387"/>
      <c r="AAV188" s="387"/>
      <c r="AAW188" s="387"/>
      <c r="AAX188" s="387"/>
      <c r="AAY188" s="387"/>
      <c r="AAZ188" s="387"/>
      <c r="ABA188" s="387"/>
      <c r="ABB188" s="387"/>
      <c r="ABC188" s="387"/>
      <c r="ABD188" s="387"/>
      <c r="ABE188" s="387"/>
      <c r="ABF188" s="387"/>
      <c r="ABG188" s="387"/>
      <c r="ABH188" s="387"/>
      <c r="ABI188" s="387"/>
      <c r="ABJ188" s="387"/>
      <c r="ABK188" s="387"/>
      <c r="ABL188" s="387"/>
      <c r="ABM188" s="387"/>
      <c r="ABN188" s="387"/>
      <c r="ABO188" s="387"/>
      <c r="ABP188" s="387"/>
      <c r="ABQ188" s="387"/>
      <c r="ABR188" s="387"/>
      <c r="ABS188" s="387"/>
      <c r="ABT188" s="387"/>
      <c r="ABU188" s="387"/>
      <c r="ABV188" s="387"/>
      <c r="ABW188" s="387"/>
      <c r="ABX188" s="387"/>
      <c r="ABY188" s="387"/>
      <c r="ABZ188" s="387"/>
      <c r="ACA188" s="387"/>
      <c r="ACB188" s="387"/>
      <c r="ACC188" s="387"/>
      <c r="ACD188" s="387"/>
      <c r="ACE188" s="387"/>
      <c r="ACF188" s="387"/>
      <c r="ACG188" s="387"/>
      <c r="ACH188" s="387"/>
      <c r="ACI188" s="387"/>
      <c r="ACJ188" s="387"/>
      <c r="ACK188" s="387"/>
      <c r="ACL188" s="387"/>
      <c r="ACM188" s="387"/>
      <c r="ACN188" s="387"/>
      <c r="ACO188" s="387"/>
      <c r="ACP188" s="387"/>
      <c r="ACQ188" s="387"/>
      <c r="ACR188" s="387"/>
      <c r="ACS188" s="387"/>
      <c r="ACT188" s="387"/>
      <c r="ACU188" s="387"/>
      <c r="ACV188" s="387"/>
      <c r="ACW188" s="387"/>
      <c r="ACX188" s="387"/>
      <c r="ACY188" s="387"/>
      <c r="ACZ188" s="387"/>
      <c r="ADA188" s="387"/>
      <c r="ADB188" s="387"/>
      <c r="ADC188" s="387"/>
      <c r="ADD188" s="387"/>
      <c r="ADE188" s="387"/>
      <c r="ADF188" s="387"/>
      <c r="ADG188" s="387"/>
      <c r="ADH188" s="387"/>
      <c r="ADI188" s="387"/>
      <c r="ADJ188" s="387"/>
      <c r="ADK188" s="387"/>
      <c r="ADL188" s="387"/>
      <c r="ADM188" s="387"/>
      <c r="ADN188" s="387"/>
      <c r="ADO188" s="387"/>
      <c r="ADP188" s="387"/>
      <c r="ADQ188" s="387"/>
      <c r="ADR188" s="387"/>
      <c r="ADS188" s="387"/>
      <c r="ADT188" s="387"/>
      <c r="ADU188" s="387"/>
      <c r="ADV188" s="387"/>
      <c r="ADW188" s="387"/>
      <c r="ADX188" s="387"/>
      <c r="ADY188" s="387"/>
      <c r="ADZ188" s="387"/>
      <c r="AEA188" s="387"/>
      <c r="AEB188" s="387"/>
      <c r="AEC188" s="387"/>
      <c r="AED188" s="387"/>
      <c r="AEE188" s="387"/>
      <c r="AEF188" s="387"/>
      <c r="AEG188" s="387"/>
      <c r="AEH188" s="387"/>
      <c r="AEI188" s="387"/>
      <c r="AEJ188" s="387"/>
      <c r="AEK188" s="387"/>
      <c r="AEL188" s="387"/>
      <c r="AEM188" s="387"/>
      <c r="AEN188" s="387"/>
      <c r="AEO188" s="387"/>
      <c r="AEP188" s="387"/>
      <c r="AEQ188" s="387"/>
      <c r="AER188" s="387"/>
      <c r="AES188" s="387"/>
      <c r="AET188" s="387"/>
      <c r="AEU188" s="387"/>
      <c r="AEV188" s="387"/>
      <c r="AEW188" s="387"/>
      <c r="AEX188" s="387"/>
      <c r="AEY188" s="387"/>
      <c r="AEZ188" s="387"/>
      <c r="AFA188" s="387"/>
      <c r="AFB188" s="387"/>
      <c r="AFC188" s="387"/>
      <c r="AFD188" s="387"/>
      <c r="AFE188" s="387"/>
      <c r="AFF188" s="387"/>
      <c r="AFG188" s="387"/>
      <c r="AFH188" s="387"/>
      <c r="AFI188" s="387"/>
      <c r="AFJ188" s="387"/>
      <c r="AFK188" s="387"/>
      <c r="AFL188" s="387"/>
      <c r="AFM188" s="387"/>
      <c r="AFN188" s="387"/>
      <c r="AFO188" s="387"/>
      <c r="AFP188" s="387"/>
      <c r="AFQ188" s="387"/>
      <c r="AFR188" s="387"/>
      <c r="AFS188" s="387"/>
      <c r="AFT188" s="387"/>
      <c r="AFU188" s="387"/>
      <c r="AFV188" s="387"/>
      <c r="AFW188" s="387"/>
      <c r="AFX188" s="387"/>
      <c r="AFY188" s="387"/>
      <c r="AFZ188" s="387"/>
      <c r="AGA188" s="387"/>
      <c r="AGB188" s="387"/>
      <c r="AGC188" s="387"/>
      <c r="AGD188" s="387"/>
      <c r="AGE188" s="387"/>
      <c r="AGF188" s="387"/>
      <c r="AGG188" s="387"/>
      <c r="AGH188" s="387"/>
      <c r="AGI188" s="387"/>
      <c r="AGJ188" s="387"/>
      <c r="AGK188" s="387"/>
      <c r="AGL188" s="387"/>
      <c r="AGM188" s="387"/>
      <c r="AGN188" s="387"/>
      <c r="AGO188" s="387"/>
      <c r="AGP188" s="387"/>
      <c r="AGQ188" s="387"/>
      <c r="AGR188" s="387"/>
      <c r="AGS188" s="387"/>
      <c r="AGT188" s="387"/>
      <c r="AGU188" s="387"/>
      <c r="AGV188" s="387"/>
      <c r="AGW188" s="387"/>
      <c r="AGX188" s="387"/>
      <c r="AGY188" s="387"/>
      <c r="AGZ188" s="387"/>
      <c r="AHA188" s="387"/>
      <c r="AHB188" s="387"/>
      <c r="AHC188" s="387"/>
      <c r="AHD188" s="387"/>
      <c r="AHE188" s="387"/>
      <c r="AHF188" s="387"/>
      <c r="AHG188" s="387"/>
      <c r="AHH188" s="387"/>
      <c r="AHI188" s="387"/>
      <c r="AHJ188" s="387"/>
      <c r="AHK188" s="387"/>
      <c r="AHL188" s="387"/>
      <c r="AHM188" s="387"/>
      <c r="AHN188" s="387"/>
      <c r="AHO188" s="387"/>
      <c r="AHP188" s="387"/>
      <c r="AHQ188" s="387"/>
      <c r="AHR188" s="387"/>
      <c r="AHS188" s="387"/>
      <c r="AHT188" s="387"/>
      <c r="AHU188" s="387"/>
      <c r="AHV188" s="387"/>
      <c r="AHW188" s="387"/>
      <c r="AHX188" s="387"/>
      <c r="AHY188" s="387"/>
      <c r="AHZ188" s="387"/>
      <c r="AIA188" s="387"/>
      <c r="AIB188" s="387"/>
      <c r="AIC188" s="387"/>
      <c r="AID188" s="387"/>
      <c r="AIE188" s="387"/>
      <c r="AIF188" s="387"/>
      <c r="AIG188" s="387"/>
      <c r="AIH188" s="387"/>
      <c r="AII188" s="387"/>
      <c r="AIJ188" s="387"/>
      <c r="AIK188" s="387"/>
      <c r="AIL188" s="387"/>
      <c r="AIM188" s="387"/>
      <c r="AIN188" s="387"/>
      <c r="AIO188" s="387"/>
      <c r="AIP188" s="387"/>
      <c r="AIQ188" s="387"/>
      <c r="AIR188" s="387"/>
      <c r="AIS188" s="387"/>
      <c r="AIT188" s="387"/>
      <c r="AIU188" s="387"/>
      <c r="AIV188" s="387"/>
      <c r="AIW188" s="387"/>
      <c r="AIX188" s="387"/>
      <c r="AIY188" s="387"/>
      <c r="AIZ188" s="387"/>
      <c r="AJA188" s="387"/>
      <c r="AJB188" s="387"/>
      <c r="AJC188" s="387"/>
      <c r="AJD188" s="387"/>
      <c r="AJE188" s="387"/>
      <c r="AJF188" s="387"/>
      <c r="AJG188" s="387"/>
      <c r="AJH188" s="387"/>
      <c r="AJI188" s="387"/>
      <c r="AJJ188" s="387"/>
      <c r="AJK188" s="387"/>
      <c r="AJL188" s="387"/>
      <c r="AJM188" s="387"/>
      <c r="AJN188" s="387"/>
      <c r="AJO188" s="387"/>
      <c r="AJP188" s="387"/>
      <c r="AJQ188" s="387"/>
      <c r="AJR188" s="387"/>
      <c r="AJS188" s="387"/>
      <c r="AJT188" s="387"/>
      <c r="AJU188" s="387"/>
      <c r="AJV188" s="387"/>
      <c r="AJW188" s="387"/>
      <c r="AJX188" s="387"/>
      <c r="AJY188" s="387"/>
      <c r="AJZ188" s="387"/>
      <c r="AKA188" s="387"/>
      <c r="AKB188" s="387"/>
      <c r="AKC188" s="387"/>
      <c r="AKD188" s="387"/>
      <c r="AKE188" s="387"/>
      <c r="AKF188" s="387"/>
      <c r="AKG188" s="387"/>
      <c r="AKH188" s="387"/>
      <c r="AKI188" s="387"/>
      <c r="AKJ188" s="387"/>
      <c r="AKK188" s="387"/>
      <c r="AKL188" s="387"/>
      <c r="AKM188" s="387"/>
      <c r="AKN188" s="387"/>
      <c r="AKO188" s="387"/>
      <c r="AKP188" s="387"/>
      <c r="AKQ188" s="387"/>
      <c r="AKR188" s="387"/>
      <c r="AKS188" s="387"/>
      <c r="AKT188" s="387"/>
      <c r="AKU188" s="387"/>
      <c r="AKV188" s="387"/>
      <c r="AKW188" s="387"/>
      <c r="AKX188" s="387"/>
      <c r="AKY188" s="387"/>
      <c r="AKZ188" s="387"/>
      <c r="ALA188" s="387"/>
      <c r="ALB188" s="387"/>
      <c r="ALC188" s="387"/>
      <c r="ALD188" s="387"/>
      <c r="ALE188" s="387"/>
      <c r="ALF188" s="387"/>
      <c r="ALG188" s="387"/>
      <c r="ALH188" s="387"/>
      <c r="ALI188" s="387"/>
      <c r="ALJ188" s="387"/>
      <c r="ALK188" s="387"/>
      <c r="ALL188" s="387"/>
      <c r="ALM188" s="387"/>
      <c r="ALN188" s="387"/>
      <c r="ALO188" s="387"/>
      <c r="ALP188" s="387"/>
      <c r="ALQ188" s="387"/>
      <c r="ALR188" s="387"/>
      <c r="ALS188" s="387"/>
      <c r="ALT188" s="387"/>
      <c r="ALU188" s="387"/>
      <c r="ALV188" s="387"/>
      <c r="ALW188" s="387"/>
      <c r="ALX188" s="387"/>
      <c r="ALY188" s="387"/>
      <c r="ALZ188" s="387"/>
      <c r="AMA188" s="387"/>
      <c r="AMB188" s="387"/>
      <c r="AMC188" s="387"/>
      <c r="AMD188" s="387"/>
      <c r="AME188" s="387"/>
      <c r="AMF188" s="387"/>
      <c r="AMG188" s="387"/>
      <c r="AMH188" s="387"/>
      <c r="AMI188" s="387"/>
      <c r="AMJ188" s="387"/>
      <c r="AMK188" s="387"/>
      <c r="AML188" s="387"/>
      <c r="AMM188" s="387"/>
      <c r="AMN188" s="387"/>
      <c r="AMO188" s="387"/>
      <c r="AMP188" s="387"/>
      <c r="AMQ188" s="387"/>
      <c r="AMR188" s="387"/>
      <c r="AMS188" s="387"/>
      <c r="AMT188" s="387"/>
      <c r="AMU188" s="387"/>
      <c r="AMV188" s="387"/>
      <c r="AMW188" s="387"/>
      <c r="AMX188" s="387"/>
      <c r="AMY188" s="387"/>
      <c r="AMZ188" s="387"/>
      <c r="ANA188" s="387"/>
      <c r="ANB188" s="387"/>
      <c r="ANC188" s="387"/>
      <c r="AND188" s="387"/>
      <c r="ANE188" s="387"/>
      <c r="ANF188" s="387"/>
      <c r="ANG188" s="387"/>
      <c r="ANH188" s="387"/>
      <c r="ANI188" s="387"/>
      <c r="ANJ188" s="387"/>
      <c r="ANK188" s="387"/>
      <c r="ANL188" s="387"/>
      <c r="ANM188" s="387"/>
      <c r="ANN188" s="387"/>
      <c r="ANO188" s="387"/>
      <c r="ANP188" s="387"/>
      <c r="ANQ188" s="387"/>
      <c r="ANR188" s="387"/>
      <c r="ANS188" s="387"/>
      <c r="ANT188" s="387"/>
      <c r="ANU188" s="387"/>
      <c r="ANV188" s="387"/>
      <c r="ANW188" s="387"/>
      <c r="ANX188" s="387"/>
      <c r="ANY188" s="387"/>
      <c r="ANZ188" s="387"/>
      <c r="AOA188" s="387"/>
      <c r="AOB188" s="387"/>
      <c r="AOC188" s="387"/>
      <c r="AOD188" s="387"/>
      <c r="AOE188" s="387"/>
      <c r="AOF188" s="387"/>
      <c r="AOG188" s="387"/>
      <c r="AOH188" s="387"/>
      <c r="AOI188" s="387"/>
      <c r="AOJ188" s="387"/>
      <c r="AOK188" s="387"/>
      <c r="AOL188" s="387"/>
      <c r="AOM188" s="387"/>
      <c r="AON188" s="387"/>
      <c r="AOO188" s="387"/>
      <c r="AOP188" s="387"/>
      <c r="AOQ188" s="387"/>
      <c r="AOR188" s="387"/>
      <c r="AOS188" s="387"/>
      <c r="AOT188" s="387"/>
      <c r="AOU188" s="387"/>
      <c r="AOV188" s="387"/>
      <c r="AOW188" s="387"/>
      <c r="AOX188" s="387"/>
      <c r="AOY188" s="387"/>
      <c r="AOZ188" s="387"/>
      <c r="APA188" s="387"/>
      <c r="APB188" s="387"/>
      <c r="APC188" s="387"/>
      <c r="APD188" s="387"/>
      <c r="APE188" s="387"/>
      <c r="APF188" s="387"/>
      <c r="APG188" s="387"/>
      <c r="APH188" s="387"/>
      <c r="API188" s="387"/>
      <c r="APJ188" s="387"/>
      <c r="APK188" s="387"/>
      <c r="APL188" s="387"/>
      <c r="APM188" s="387"/>
      <c r="APN188" s="387"/>
      <c r="APO188" s="387"/>
      <c r="APP188" s="387"/>
      <c r="APQ188" s="387"/>
      <c r="APR188" s="387"/>
      <c r="APS188" s="387"/>
      <c r="APT188" s="387"/>
      <c r="APU188" s="387"/>
      <c r="APV188" s="387"/>
      <c r="APW188" s="387"/>
      <c r="APX188" s="387"/>
      <c r="APY188" s="387"/>
      <c r="APZ188" s="387"/>
      <c r="AQA188" s="387"/>
      <c r="AQB188" s="387"/>
      <c r="AQC188" s="387"/>
      <c r="AQD188" s="387"/>
      <c r="AQE188" s="387"/>
      <c r="AQF188" s="387"/>
      <c r="AQG188" s="387"/>
      <c r="AQH188" s="387"/>
      <c r="AQI188" s="387"/>
      <c r="AQJ188" s="387"/>
      <c r="AQK188" s="387"/>
      <c r="AQL188" s="387"/>
      <c r="AQM188" s="387"/>
      <c r="AQN188" s="387"/>
      <c r="AQO188" s="387"/>
      <c r="AQP188" s="387"/>
      <c r="AQQ188" s="387"/>
      <c r="AQR188" s="387"/>
      <c r="AQS188" s="387"/>
      <c r="AQT188" s="387"/>
      <c r="AQU188" s="387"/>
      <c r="AQV188" s="387"/>
      <c r="AQW188" s="387"/>
      <c r="AQX188" s="387"/>
      <c r="AQY188" s="387"/>
      <c r="AQZ188" s="387"/>
      <c r="ARA188" s="387"/>
      <c r="ARB188" s="387"/>
      <c r="ARC188" s="387"/>
      <c r="ARD188" s="387"/>
      <c r="ARE188" s="387"/>
      <c r="ARF188" s="387"/>
      <c r="ARG188" s="387"/>
      <c r="ARH188" s="387"/>
      <c r="ARI188" s="387"/>
      <c r="ARJ188" s="387"/>
      <c r="ARK188" s="387"/>
      <c r="ARL188" s="387"/>
      <c r="ARM188" s="387"/>
      <c r="ARN188" s="387"/>
      <c r="ARO188" s="387"/>
      <c r="ARP188" s="387"/>
      <c r="ARQ188" s="387"/>
      <c r="ARR188" s="387"/>
      <c r="ARS188" s="387"/>
      <c r="ART188" s="387"/>
      <c r="ARU188" s="387"/>
      <c r="ARV188" s="387"/>
      <c r="ARW188" s="387"/>
      <c r="ARX188" s="387"/>
      <c r="ARY188" s="387"/>
      <c r="ARZ188" s="387"/>
      <c r="ASA188" s="387"/>
      <c r="ASB188" s="387"/>
      <c r="ASC188" s="387"/>
      <c r="ASD188" s="387"/>
      <c r="ASE188" s="387"/>
      <c r="ASF188" s="387"/>
      <c r="ASG188" s="387"/>
      <c r="ASH188" s="387"/>
      <c r="ASI188" s="387"/>
      <c r="ASJ188" s="387"/>
      <c r="ASK188" s="387"/>
      <c r="ASL188" s="387"/>
      <c r="ASM188" s="387"/>
      <c r="ASN188" s="387"/>
      <c r="ASO188" s="387"/>
      <c r="ASP188" s="387"/>
      <c r="ASQ188" s="387"/>
      <c r="ASR188" s="387"/>
      <c r="ASS188" s="387"/>
      <c r="AST188" s="387"/>
      <c r="ASU188" s="387"/>
      <c r="ASV188" s="387"/>
      <c r="ASW188" s="387"/>
      <c r="ASX188" s="387"/>
      <c r="ASY188" s="387"/>
      <c r="ASZ188" s="387"/>
      <c r="ATA188" s="387"/>
      <c r="ATB188" s="387"/>
      <c r="ATC188" s="387"/>
      <c r="ATD188" s="387"/>
      <c r="ATE188" s="387"/>
      <c r="ATF188" s="387"/>
      <c r="ATG188" s="387"/>
      <c r="ATH188" s="387"/>
      <c r="ATI188" s="387"/>
      <c r="ATJ188" s="387"/>
      <c r="ATK188" s="387"/>
      <c r="ATL188" s="387"/>
      <c r="ATM188" s="387"/>
      <c r="ATN188" s="387"/>
      <c r="ATO188" s="387"/>
      <c r="ATP188" s="387"/>
      <c r="ATQ188" s="387"/>
      <c r="ATR188" s="387"/>
      <c r="ATS188" s="387"/>
      <c r="ATT188" s="387"/>
      <c r="ATU188" s="387"/>
      <c r="ATV188" s="387"/>
      <c r="ATW188" s="387"/>
      <c r="ATX188" s="387"/>
      <c r="ATY188" s="387"/>
      <c r="ATZ188" s="387"/>
      <c r="AUA188" s="387"/>
      <c r="AUB188" s="387"/>
      <c r="AUC188" s="387"/>
      <c r="AUD188" s="387"/>
      <c r="AUE188" s="387"/>
      <c r="AUF188" s="387"/>
      <c r="AUG188" s="387"/>
      <c r="AUH188" s="387"/>
      <c r="AUI188" s="387"/>
      <c r="AUJ188" s="387"/>
      <c r="AUK188" s="387"/>
      <c r="AUL188" s="387"/>
      <c r="AUM188" s="387"/>
      <c r="AUN188" s="387"/>
      <c r="AUO188" s="387"/>
      <c r="AUP188" s="387"/>
      <c r="AUQ188" s="387"/>
      <c r="AUR188" s="387"/>
      <c r="AUS188" s="387"/>
      <c r="AUT188" s="387"/>
      <c r="AUU188" s="387"/>
      <c r="AUV188" s="387"/>
      <c r="AUW188" s="387"/>
      <c r="AUX188" s="387"/>
      <c r="AUY188" s="387"/>
      <c r="AUZ188" s="387"/>
      <c r="AVA188" s="387"/>
      <c r="AVB188" s="387"/>
      <c r="AVC188" s="387"/>
      <c r="AVD188" s="387"/>
      <c r="AVE188" s="387"/>
      <c r="AVF188" s="387"/>
      <c r="AVG188" s="387"/>
      <c r="AVH188" s="387"/>
      <c r="AVI188" s="387"/>
      <c r="AVJ188" s="387"/>
      <c r="AVK188" s="387"/>
      <c r="AVL188" s="387"/>
      <c r="AVM188" s="387"/>
      <c r="AVN188" s="387"/>
      <c r="AVO188" s="387"/>
      <c r="AVP188" s="387"/>
      <c r="AVQ188" s="387"/>
      <c r="AVR188" s="387"/>
      <c r="AVS188" s="387"/>
      <c r="AVT188" s="387"/>
      <c r="AVU188" s="387"/>
      <c r="AVV188" s="387"/>
      <c r="AVW188" s="387"/>
      <c r="AVX188" s="387"/>
      <c r="AVY188" s="387"/>
      <c r="AVZ188" s="387"/>
      <c r="AWA188" s="387"/>
      <c r="AWB188" s="387"/>
      <c r="AWC188" s="387"/>
      <c r="AWD188" s="387"/>
      <c r="AWE188" s="387"/>
      <c r="AWF188" s="387"/>
      <c r="AWG188" s="387"/>
      <c r="AWH188" s="387"/>
      <c r="AWI188" s="387"/>
      <c r="AWJ188" s="387"/>
      <c r="AWK188" s="387"/>
      <c r="AWL188" s="387"/>
      <c r="AWM188" s="387"/>
      <c r="AWN188" s="387"/>
      <c r="AWO188" s="387"/>
      <c r="AWP188" s="387"/>
      <c r="AWQ188" s="387"/>
      <c r="AWR188" s="387"/>
      <c r="AWS188" s="387"/>
      <c r="AWT188" s="387"/>
      <c r="AWU188" s="387"/>
      <c r="AWV188" s="387"/>
      <c r="AWW188" s="387"/>
      <c r="AWX188" s="387"/>
      <c r="AWY188" s="387"/>
      <c r="AWZ188" s="387"/>
      <c r="AXA188" s="387"/>
      <c r="AXB188" s="387"/>
      <c r="AXC188" s="387"/>
      <c r="AXD188" s="387"/>
      <c r="AXE188" s="387"/>
      <c r="AXF188" s="387"/>
      <c r="AXG188" s="387"/>
      <c r="AXH188" s="387"/>
      <c r="AXI188" s="387"/>
      <c r="AXJ188" s="387"/>
      <c r="AXK188" s="387"/>
      <c r="AXL188" s="387"/>
      <c r="AXM188" s="387"/>
      <c r="AXN188" s="387"/>
      <c r="AXO188" s="387"/>
      <c r="AXP188" s="387"/>
      <c r="AXQ188" s="387"/>
      <c r="AXR188" s="387"/>
      <c r="AXS188" s="387"/>
      <c r="AXT188" s="387"/>
      <c r="AXU188" s="387"/>
      <c r="AXV188" s="387"/>
      <c r="AXW188" s="387"/>
      <c r="AXX188" s="387"/>
      <c r="AXY188" s="387"/>
      <c r="AXZ188" s="387"/>
      <c r="AYA188" s="387"/>
      <c r="AYB188" s="387"/>
      <c r="AYC188" s="387"/>
      <c r="AYD188" s="387"/>
      <c r="AYE188" s="387"/>
      <c r="AYF188" s="387"/>
      <c r="AYG188" s="387"/>
      <c r="AYH188" s="387"/>
      <c r="AYI188" s="387"/>
      <c r="AYJ188" s="387"/>
      <c r="AYK188" s="387"/>
      <c r="AYL188" s="387"/>
      <c r="AYM188" s="387"/>
      <c r="AYN188" s="387"/>
      <c r="AYO188" s="387"/>
      <c r="AYP188" s="387"/>
      <c r="AYQ188" s="387"/>
      <c r="AYR188" s="387"/>
      <c r="AYS188" s="387"/>
      <c r="AYT188" s="387"/>
      <c r="AYU188" s="387"/>
      <c r="AYV188" s="387"/>
      <c r="AYW188" s="387"/>
      <c r="AYX188" s="387"/>
      <c r="AYY188" s="387"/>
      <c r="AYZ188" s="387"/>
      <c r="AZA188" s="387"/>
      <c r="AZB188" s="387"/>
      <c r="AZC188" s="387"/>
      <c r="AZD188" s="387"/>
      <c r="AZE188" s="387"/>
      <c r="AZF188" s="387"/>
      <c r="AZG188" s="387"/>
      <c r="AZH188" s="387"/>
      <c r="AZI188" s="387"/>
      <c r="AZJ188" s="387"/>
      <c r="AZK188" s="387"/>
      <c r="AZL188" s="387"/>
      <c r="AZM188" s="387"/>
      <c r="AZN188" s="387"/>
      <c r="AZO188" s="387"/>
      <c r="AZP188" s="387"/>
      <c r="AZQ188" s="387"/>
      <c r="AZR188" s="387"/>
      <c r="AZS188" s="387"/>
      <c r="AZT188" s="387"/>
      <c r="AZU188" s="387"/>
      <c r="AZV188" s="387"/>
      <c r="AZW188" s="387"/>
      <c r="AZX188" s="387"/>
      <c r="AZY188" s="387"/>
      <c r="AZZ188" s="387"/>
      <c r="BAA188" s="387"/>
      <c r="BAB188" s="387"/>
      <c r="BAC188" s="387"/>
      <c r="BAD188" s="387"/>
      <c r="BAE188" s="387"/>
      <c r="BAF188" s="387"/>
      <c r="BAG188" s="387"/>
      <c r="BAH188" s="387"/>
      <c r="BAI188" s="387"/>
      <c r="BAJ188" s="387"/>
      <c r="BAK188" s="387"/>
      <c r="BAL188" s="387"/>
      <c r="BAM188" s="387"/>
      <c r="BAN188" s="387"/>
      <c r="BAO188" s="387"/>
      <c r="BAP188" s="387"/>
      <c r="BAQ188" s="387"/>
      <c r="BAR188" s="387"/>
      <c r="BAS188" s="387"/>
      <c r="BAT188" s="387"/>
      <c r="BAU188" s="387"/>
      <c r="BAV188" s="387"/>
      <c r="BAW188" s="387"/>
      <c r="BAX188" s="387"/>
      <c r="BAY188" s="387"/>
      <c r="BAZ188" s="387"/>
      <c r="BBA188" s="387"/>
      <c r="BBB188" s="387"/>
      <c r="BBC188" s="387"/>
      <c r="BBD188" s="387"/>
      <c r="BBE188" s="387"/>
      <c r="BBF188" s="387"/>
      <c r="BBG188" s="387"/>
      <c r="BBH188" s="387"/>
      <c r="BBI188" s="387"/>
      <c r="BBJ188" s="387"/>
      <c r="BBK188" s="387"/>
      <c r="BBL188" s="387"/>
      <c r="BBM188" s="387"/>
      <c r="BBN188" s="387"/>
      <c r="BBO188" s="387"/>
      <c r="BBP188" s="387"/>
      <c r="BBQ188" s="387"/>
      <c r="BBR188" s="387"/>
      <c r="BBS188" s="387"/>
      <c r="BBT188" s="387"/>
      <c r="BBU188" s="387"/>
      <c r="BBV188" s="387"/>
      <c r="BBW188" s="387"/>
      <c r="BBX188" s="387"/>
      <c r="BBY188" s="387"/>
      <c r="BBZ188" s="387"/>
      <c r="BCA188" s="387"/>
      <c r="BCB188" s="387"/>
      <c r="BCC188" s="387"/>
      <c r="BCD188" s="387"/>
      <c r="BCE188" s="387"/>
      <c r="BCF188" s="387"/>
      <c r="BCG188" s="387"/>
      <c r="BCH188" s="387"/>
      <c r="BCI188" s="387"/>
      <c r="BCJ188" s="387"/>
      <c r="BCK188" s="387"/>
      <c r="BCL188" s="387"/>
      <c r="BCM188" s="387"/>
      <c r="BCN188" s="387"/>
      <c r="BCO188" s="387"/>
      <c r="BCP188" s="387"/>
      <c r="BCQ188" s="387"/>
      <c r="BCR188" s="387"/>
      <c r="BCS188" s="387"/>
      <c r="BCT188" s="387"/>
      <c r="BCU188" s="387"/>
      <c r="BCV188" s="387"/>
      <c r="BCW188" s="387"/>
      <c r="BCX188" s="387"/>
      <c r="BCY188" s="387"/>
      <c r="BCZ188" s="387"/>
      <c r="BDA188" s="387"/>
      <c r="BDB188" s="387"/>
      <c r="BDC188" s="387"/>
      <c r="BDD188" s="387"/>
      <c r="BDE188" s="387"/>
      <c r="BDF188" s="387"/>
      <c r="BDG188" s="387"/>
      <c r="BDH188" s="387"/>
      <c r="BDI188" s="387"/>
      <c r="BDJ188" s="387"/>
      <c r="BDK188" s="387"/>
      <c r="BDL188" s="387"/>
      <c r="BDM188" s="387"/>
      <c r="BDN188" s="387"/>
      <c r="BDO188" s="387"/>
      <c r="BDP188" s="387"/>
      <c r="BDQ188" s="387"/>
      <c r="BDR188" s="387"/>
      <c r="BDS188" s="387"/>
      <c r="BDT188" s="387"/>
      <c r="BDU188" s="387"/>
      <c r="BDV188" s="387"/>
      <c r="BDW188" s="387"/>
      <c r="BDX188" s="387"/>
      <c r="BDY188" s="387"/>
      <c r="BDZ188" s="387"/>
      <c r="BEA188" s="387"/>
      <c r="BEB188" s="387"/>
      <c r="BEC188" s="387"/>
      <c r="BED188" s="387"/>
      <c r="BEE188" s="387"/>
      <c r="BEF188" s="387"/>
      <c r="BEG188" s="387"/>
      <c r="BEH188" s="387"/>
      <c r="BEI188" s="387"/>
      <c r="BEJ188" s="387"/>
      <c r="BEK188" s="387"/>
      <c r="BEL188" s="387"/>
      <c r="BEM188" s="387"/>
      <c r="BEN188" s="387"/>
      <c r="BEO188" s="387"/>
      <c r="BEP188" s="387"/>
      <c r="BEQ188" s="387"/>
      <c r="BER188" s="387"/>
      <c r="BES188" s="387"/>
      <c r="BET188" s="387"/>
      <c r="BEU188" s="387"/>
      <c r="BEV188" s="387"/>
      <c r="BEW188" s="387"/>
      <c r="BEX188" s="387"/>
      <c r="BEY188" s="387"/>
      <c r="BEZ188" s="387"/>
      <c r="BFA188" s="387"/>
      <c r="BFB188" s="387"/>
      <c r="BFC188" s="387"/>
      <c r="BFD188" s="387"/>
      <c r="BFE188" s="387"/>
      <c r="BFF188" s="387"/>
      <c r="BFG188" s="387"/>
      <c r="BFH188" s="387"/>
      <c r="BFI188" s="387"/>
      <c r="BFJ188" s="387"/>
      <c r="BFK188" s="387"/>
      <c r="BFL188" s="387"/>
      <c r="BFM188" s="387"/>
      <c r="BFN188" s="387"/>
      <c r="BFO188" s="387"/>
      <c r="BFP188" s="387"/>
      <c r="BFQ188" s="387"/>
      <c r="BFR188" s="387"/>
      <c r="BFS188" s="387"/>
      <c r="BFT188" s="387"/>
      <c r="BFU188" s="387"/>
      <c r="BFV188" s="387"/>
      <c r="BFW188" s="387"/>
      <c r="BFX188" s="387"/>
      <c r="BFY188" s="387"/>
      <c r="BFZ188" s="387"/>
      <c r="BGA188" s="387"/>
      <c r="BGB188" s="387"/>
      <c r="BGC188" s="387"/>
      <c r="BGD188" s="387"/>
      <c r="BGE188" s="387"/>
      <c r="BGF188" s="387"/>
      <c r="BGG188" s="387"/>
      <c r="BGH188" s="387"/>
      <c r="BGI188" s="387"/>
      <c r="BGJ188" s="387"/>
      <c r="BGK188" s="387"/>
      <c r="BGL188" s="387"/>
      <c r="BGM188" s="387"/>
      <c r="BGN188" s="387"/>
      <c r="BGO188" s="387"/>
      <c r="BGP188" s="387"/>
      <c r="BGQ188" s="387"/>
      <c r="BGR188" s="387"/>
      <c r="BGS188" s="387"/>
      <c r="BGT188" s="387"/>
      <c r="BGU188" s="387"/>
      <c r="BGV188" s="387"/>
      <c r="BGW188" s="387"/>
      <c r="BGX188" s="387"/>
      <c r="BGY188" s="387"/>
      <c r="BGZ188" s="387"/>
      <c r="BHA188" s="387"/>
      <c r="BHB188" s="387"/>
      <c r="BHC188" s="387"/>
      <c r="BHD188" s="387"/>
      <c r="BHE188" s="387"/>
      <c r="BHF188" s="387"/>
      <c r="BHG188" s="387"/>
      <c r="BHH188" s="387"/>
      <c r="BHI188" s="387"/>
      <c r="BHJ188" s="387"/>
      <c r="BHK188" s="387"/>
      <c r="BHL188" s="387"/>
      <c r="BHM188" s="387"/>
      <c r="BHN188" s="387"/>
      <c r="BHO188" s="387"/>
      <c r="BHP188" s="387"/>
      <c r="BHQ188" s="387"/>
      <c r="BHR188" s="387"/>
      <c r="BHS188" s="387"/>
      <c r="BHT188" s="387"/>
      <c r="BHU188" s="387"/>
      <c r="BHV188" s="387"/>
      <c r="BHW188" s="387"/>
      <c r="BHX188" s="387"/>
      <c r="BHY188" s="387"/>
      <c r="BHZ188" s="387"/>
      <c r="BIA188" s="387"/>
      <c r="BIB188" s="387"/>
      <c r="BIC188" s="387"/>
      <c r="BID188" s="387"/>
      <c r="BIE188" s="387"/>
      <c r="BIF188" s="387"/>
      <c r="BIG188" s="387"/>
      <c r="BIH188" s="387"/>
      <c r="BII188" s="387"/>
      <c r="BIJ188" s="387"/>
      <c r="BIK188" s="387"/>
      <c r="BIL188" s="387"/>
      <c r="BIM188" s="387"/>
      <c r="BIN188" s="387"/>
      <c r="BIO188" s="387"/>
      <c r="BIP188" s="387"/>
      <c r="BIQ188" s="387"/>
      <c r="BIR188" s="387"/>
      <c r="BIS188" s="387"/>
      <c r="BIT188" s="387"/>
      <c r="BIU188" s="387"/>
      <c r="BIV188" s="387"/>
      <c r="BIW188" s="387"/>
      <c r="BIX188" s="387"/>
      <c r="BIY188" s="387"/>
      <c r="BIZ188" s="387"/>
      <c r="BJA188" s="387"/>
      <c r="BJB188" s="387"/>
      <c r="BJC188" s="387"/>
      <c r="BJD188" s="387"/>
      <c r="BJE188" s="387"/>
      <c r="BJF188" s="387"/>
      <c r="BJG188" s="387"/>
      <c r="BJH188" s="387"/>
      <c r="BJI188" s="387"/>
      <c r="BJJ188" s="387"/>
      <c r="BJK188" s="387"/>
      <c r="BJL188" s="387"/>
      <c r="BJM188" s="387"/>
      <c r="BJN188" s="387"/>
      <c r="BJO188" s="387"/>
      <c r="BJP188" s="387"/>
      <c r="BJQ188" s="387"/>
      <c r="BJR188" s="387"/>
      <c r="BJS188" s="387"/>
      <c r="BJT188" s="387"/>
      <c r="BJU188" s="387"/>
      <c r="BJV188" s="387"/>
      <c r="BJW188" s="387"/>
      <c r="BJX188" s="387"/>
      <c r="BJY188" s="387"/>
      <c r="BJZ188" s="387"/>
      <c r="BKA188" s="387"/>
      <c r="BKB188" s="387"/>
      <c r="BKC188" s="387"/>
      <c r="BKD188" s="387"/>
      <c r="BKE188" s="387"/>
      <c r="BKF188" s="387"/>
      <c r="BKG188" s="387"/>
      <c r="BKH188" s="387"/>
      <c r="BKI188" s="387"/>
      <c r="BKJ188" s="387"/>
      <c r="BKK188" s="387"/>
      <c r="BKL188" s="387"/>
      <c r="BKM188" s="387"/>
      <c r="BKN188" s="387"/>
      <c r="BKO188" s="387"/>
      <c r="BKP188" s="387"/>
      <c r="BKQ188" s="387"/>
      <c r="BKR188" s="387"/>
      <c r="BKS188" s="387"/>
      <c r="BKT188" s="387"/>
      <c r="BKU188" s="387"/>
      <c r="BKV188" s="387"/>
      <c r="BKW188" s="387"/>
      <c r="BKX188" s="387"/>
      <c r="BKY188" s="387"/>
      <c r="BKZ188" s="387"/>
      <c r="BLA188" s="387"/>
      <c r="BLB188" s="387"/>
      <c r="BLC188" s="387"/>
      <c r="BLD188" s="387"/>
      <c r="BLE188" s="387"/>
      <c r="BLF188" s="387"/>
      <c r="BLG188" s="387"/>
      <c r="BLH188" s="387"/>
      <c r="BLI188" s="387"/>
      <c r="BLJ188" s="387"/>
      <c r="BLK188" s="387"/>
      <c r="BLL188" s="387"/>
      <c r="BLM188" s="387"/>
      <c r="BLN188" s="387"/>
      <c r="BLO188" s="387"/>
      <c r="BLP188" s="387"/>
      <c r="BLQ188" s="387"/>
      <c r="BLR188" s="387"/>
      <c r="BLS188" s="387"/>
      <c r="BLT188" s="387"/>
      <c r="BLU188" s="387"/>
      <c r="BLV188" s="387"/>
      <c r="BLW188" s="387"/>
      <c r="BLX188" s="387"/>
      <c r="BLY188" s="387"/>
      <c r="BLZ188" s="387"/>
      <c r="BMA188" s="387"/>
      <c r="BMB188" s="387"/>
      <c r="BMC188" s="387"/>
      <c r="BMD188" s="387"/>
      <c r="BME188" s="387"/>
      <c r="BMF188" s="387"/>
      <c r="BMG188" s="387"/>
      <c r="BMH188" s="387"/>
      <c r="BMI188" s="387"/>
      <c r="BMJ188" s="387"/>
      <c r="BMK188" s="387"/>
      <c r="BML188" s="387"/>
      <c r="BMM188" s="387"/>
      <c r="BMN188" s="387"/>
      <c r="BMO188" s="387"/>
      <c r="BMP188" s="387"/>
      <c r="BMQ188" s="387"/>
      <c r="BMR188" s="387"/>
      <c r="BMS188" s="387"/>
      <c r="BMT188" s="387"/>
      <c r="BMU188" s="387"/>
      <c r="BMV188" s="387"/>
      <c r="BMW188" s="387"/>
      <c r="BMX188" s="387"/>
      <c r="BMY188" s="387"/>
      <c r="BMZ188" s="387"/>
      <c r="BNA188" s="387"/>
      <c r="BNB188" s="387"/>
      <c r="BNC188" s="387"/>
      <c r="BND188" s="387"/>
      <c r="BNE188" s="387"/>
      <c r="BNF188" s="387"/>
      <c r="BNG188" s="387"/>
      <c r="BNH188" s="387"/>
      <c r="BNI188" s="387"/>
      <c r="BNJ188" s="387"/>
      <c r="BNK188" s="387"/>
      <c r="BNL188" s="387"/>
      <c r="BNM188" s="387"/>
      <c r="BNN188" s="387"/>
      <c r="BNO188" s="387"/>
      <c r="BNP188" s="387"/>
      <c r="BNQ188" s="387"/>
      <c r="BNR188" s="387"/>
      <c r="BNS188" s="387"/>
      <c r="BNT188" s="387"/>
      <c r="BNU188" s="387"/>
      <c r="BNV188" s="387"/>
      <c r="BNW188" s="387"/>
      <c r="BNX188" s="387"/>
      <c r="BNY188" s="387"/>
      <c r="BNZ188" s="387"/>
      <c r="BOA188" s="387"/>
      <c r="BOB188" s="387"/>
      <c r="BOC188" s="387"/>
      <c r="BOD188" s="387"/>
      <c r="BOE188" s="387"/>
      <c r="BOF188" s="387"/>
      <c r="BOG188" s="387"/>
      <c r="BOH188" s="387"/>
      <c r="BOI188" s="387"/>
      <c r="BOJ188" s="387"/>
      <c r="BOK188" s="387"/>
      <c r="BOL188" s="387"/>
      <c r="BOM188" s="387"/>
      <c r="BON188" s="387"/>
      <c r="BOO188" s="387"/>
      <c r="BOP188" s="387"/>
      <c r="BOQ188" s="387"/>
      <c r="BOR188" s="387"/>
      <c r="BOS188" s="387"/>
      <c r="BOT188" s="387"/>
      <c r="BOU188" s="387"/>
      <c r="BOV188" s="387"/>
      <c r="BOW188" s="387"/>
      <c r="BOX188" s="387"/>
      <c r="BOY188" s="387"/>
      <c r="BOZ188" s="387"/>
      <c r="BPA188" s="387"/>
      <c r="BPB188" s="387"/>
      <c r="BPC188" s="387"/>
      <c r="BPD188" s="387"/>
      <c r="BPE188" s="387"/>
      <c r="BPF188" s="387"/>
      <c r="BPG188" s="387"/>
      <c r="BPH188" s="387"/>
      <c r="BPI188" s="387"/>
      <c r="BPJ188" s="387"/>
      <c r="BPK188" s="387"/>
      <c r="BPL188" s="387"/>
      <c r="BPM188" s="387"/>
      <c r="BPN188" s="387"/>
      <c r="BPO188" s="387"/>
      <c r="BPP188" s="387"/>
      <c r="BPQ188" s="387"/>
      <c r="BPR188" s="387"/>
      <c r="BPS188" s="387"/>
      <c r="BPT188" s="387"/>
      <c r="BPU188" s="387"/>
      <c r="BPV188" s="387"/>
      <c r="BPW188" s="387"/>
      <c r="BPX188" s="387"/>
      <c r="BPY188" s="387"/>
      <c r="BPZ188" s="387"/>
      <c r="BQA188" s="387"/>
      <c r="BQB188" s="387"/>
      <c r="BQC188" s="387"/>
      <c r="BQD188" s="387"/>
      <c r="BQE188" s="387"/>
      <c r="BQF188" s="387"/>
      <c r="BQG188" s="387"/>
      <c r="BQH188" s="387"/>
      <c r="BQI188" s="387"/>
      <c r="BQJ188" s="387"/>
      <c r="BQK188" s="387"/>
      <c r="BQL188" s="387"/>
      <c r="BQM188" s="387"/>
      <c r="BQN188" s="387"/>
      <c r="BQO188" s="387"/>
      <c r="BQP188" s="387"/>
      <c r="BQQ188" s="387"/>
      <c r="BQR188" s="387"/>
      <c r="BQS188" s="387"/>
      <c r="BQT188" s="387"/>
      <c r="BQU188" s="387"/>
      <c r="BQV188" s="387"/>
      <c r="BQW188" s="387"/>
      <c r="BQX188" s="387"/>
      <c r="BQY188" s="387"/>
      <c r="BQZ188" s="387"/>
      <c r="BRA188" s="387"/>
      <c r="BRB188" s="387"/>
      <c r="BRC188" s="387"/>
      <c r="BRD188" s="387"/>
      <c r="BRE188" s="387"/>
      <c r="BRF188" s="387"/>
      <c r="BRG188" s="387"/>
      <c r="BRH188" s="387"/>
      <c r="BRI188" s="387"/>
      <c r="BRJ188" s="387"/>
      <c r="BRK188" s="387"/>
      <c r="BRL188" s="387"/>
      <c r="BRM188" s="387"/>
      <c r="BRN188" s="387"/>
      <c r="BRO188" s="387"/>
      <c r="BRP188" s="387"/>
      <c r="BRQ188" s="387"/>
      <c r="BRR188" s="387"/>
      <c r="BRS188" s="387"/>
      <c r="BRT188" s="387"/>
      <c r="BRU188" s="387"/>
      <c r="BRV188" s="387"/>
      <c r="BRW188" s="387"/>
      <c r="BRX188" s="387"/>
      <c r="BRY188" s="387"/>
      <c r="BRZ188" s="387"/>
      <c r="BSA188" s="387"/>
      <c r="BSB188" s="387"/>
      <c r="BSC188" s="387"/>
      <c r="BSD188" s="387"/>
      <c r="BSE188" s="387"/>
      <c r="BSF188" s="387"/>
      <c r="BSG188" s="387"/>
      <c r="BSH188" s="387"/>
      <c r="BSI188" s="387"/>
      <c r="BSJ188" s="387"/>
      <c r="BSK188" s="387"/>
      <c r="BSL188" s="387"/>
      <c r="BSM188" s="387"/>
      <c r="BSN188" s="387"/>
      <c r="BSO188" s="387"/>
      <c r="BSP188" s="387"/>
      <c r="BSQ188" s="387"/>
      <c r="BSR188" s="387"/>
      <c r="BSS188" s="387"/>
      <c r="BST188" s="387"/>
      <c r="BSU188" s="387"/>
      <c r="BSV188" s="387"/>
      <c r="BSW188" s="387"/>
      <c r="BSX188" s="387"/>
      <c r="BSY188" s="387"/>
      <c r="BSZ188" s="387"/>
      <c r="BTA188" s="387"/>
      <c r="BTB188" s="387"/>
      <c r="BTC188" s="387"/>
      <c r="BTD188" s="387"/>
      <c r="BTE188" s="387"/>
      <c r="BTF188" s="387"/>
      <c r="BTG188" s="387"/>
      <c r="BTH188" s="387"/>
      <c r="BTI188" s="387"/>
    </row>
    <row r="189" spans="1:1881" s="67" customFormat="1" ht="28.5" customHeight="1" x14ac:dyDescent="0.25">
      <c r="A189" s="187"/>
      <c r="B189" s="179"/>
      <c r="C189" s="179"/>
      <c r="D189" s="168" t="s">
        <v>39</v>
      </c>
      <c r="E189" s="366" t="e">
        <f>E169+E176-E188</f>
        <v>#N/A</v>
      </c>
      <c r="F189" s="611">
        <f>F169+F176-F188</f>
        <v>0</v>
      </c>
      <c r="G189" s="311"/>
      <c r="H189" s="14"/>
      <c r="I189" s="31"/>
      <c r="J189" s="362"/>
      <c r="K189" s="387"/>
      <c r="L189" s="387"/>
      <c r="M189" s="387"/>
      <c r="N189"/>
      <c r="O189" s="387"/>
      <c r="P189" s="387"/>
      <c r="Q189" s="387"/>
      <c r="R189"/>
      <c r="S189" s="682"/>
      <c r="T189" s="387"/>
      <c r="U189" s="387"/>
      <c r="V189" s="387"/>
      <c r="W189" s="387"/>
      <c r="X189" s="682"/>
      <c r="Y189" s="387"/>
      <c r="Z189" s="387"/>
      <c r="AA189" s="387"/>
      <c r="AB189" s="387"/>
      <c r="AC189" s="387"/>
      <c r="AD189" s="387"/>
      <c r="AE189" s="387"/>
      <c r="AF189" s="387"/>
      <c r="AG189" s="387"/>
      <c r="AH189" s="387"/>
      <c r="AI189" s="387"/>
      <c r="AJ189" s="387"/>
      <c r="AK189" s="387"/>
      <c r="AL189" s="387"/>
      <c r="AM189" s="387"/>
      <c r="AN189" s="387"/>
      <c r="AO189" s="387"/>
      <c r="AP189" s="387"/>
      <c r="AQ189" s="387"/>
      <c r="AR189" s="387"/>
      <c r="AS189" s="387"/>
      <c r="AT189" s="387"/>
      <c r="AU189" s="387"/>
      <c r="AV189" s="387"/>
      <c r="AW189" s="387"/>
      <c r="AX189" s="387"/>
      <c r="AY189" s="387"/>
      <c r="AZ189" s="387"/>
      <c r="BA189" s="387"/>
      <c r="BB189" s="387"/>
      <c r="BC189" s="387"/>
      <c r="BD189" s="387"/>
      <c r="BE189" s="387"/>
      <c r="BF189" s="387"/>
      <c r="BG189" s="387"/>
      <c r="BH189" s="387"/>
      <c r="BI189" s="387"/>
      <c r="BJ189" s="387"/>
      <c r="BK189" s="387"/>
      <c r="BL189" s="387"/>
      <c r="BM189" s="387"/>
      <c r="BN189" s="387"/>
      <c r="BO189" s="387"/>
      <c r="BP189" s="387"/>
      <c r="BQ189" s="387"/>
      <c r="BR189" s="387"/>
      <c r="BS189" s="387"/>
      <c r="BT189" s="387"/>
      <c r="BU189" s="387"/>
      <c r="BV189" s="387"/>
      <c r="BW189" s="387"/>
      <c r="BX189" s="387"/>
      <c r="BY189" s="387"/>
      <c r="BZ189" s="387"/>
      <c r="CA189" s="387"/>
      <c r="CB189" s="387"/>
      <c r="CC189" s="387"/>
      <c r="CD189" s="387"/>
      <c r="CE189" s="387"/>
      <c r="CF189" s="387"/>
      <c r="CG189" s="387"/>
      <c r="CH189" s="387"/>
      <c r="CI189" s="387"/>
      <c r="CJ189" s="387"/>
      <c r="CK189" s="387"/>
      <c r="CL189" s="387"/>
      <c r="CM189" s="387"/>
      <c r="CN189" s="387"/>
      <c r="CO189" s="387"/>
      <c r="CP189" s="387"/>
      <c r="CQ189" s="387"/>
      <c r="CR189" s="387"/>
      <c r="CS189" s="387"/>
      <c r="CT189" s="387"/>
      <c r="CU189" s="387"/>
      <c r="CV189" s="387"/>
      <c r="CW189" s="387"/>
      <c r="CX189" s="387"/>
      <c r="CY189" s="387"/>
      <c r="CZ189" s="387"/>
      <c r="DA189" s="387"/>
      <c r="DB189" s="387"/>
      <c r="DC189" s="387"/>
      <c r="DD189" s="387"/>
      <c r="DE189" s="387"/>
      <c r="DF189" s="387"/>
      <c r="DG189" s="387"/>
      <c r="DH189" s="387"/>
      <c r="DI189" s="387"/>
      <c r="DJ189" s="387"/>
      <c r="DK189" s="387"/>
      <c r="DL189" s="387"/>
      <c r="DM189" s="387"/>
      <c r="DN189" s="387"/>
      <c r="DO189" s="387"/>
      <c r="DP189" s="387"/>
      <c r="DQ189" s="387"/>
      <c r="DR189" s="387"/>
      <c r="DS189" s="387"/>
      <c r="DT189" s="387"/>
      <c r="DU189" s="387"/>
      <c r="DV189" s="387"/>
      <c r="DW189" s="387"/>
      <c r="DX189" s="387"/>
      <c r="DY189" s="387"/>
      <c r="DZ189" s="387"/>
      <c r="EA189" s="387"/>
      <c r="EB189" s="387"/>
      <c r="EC189" s="387"/>
      <c r="ED189" s="387"/>
      <c r="EE189" s="387"/>
      <c r="EF189" s="387"/>
      <c r="EG189" s="387"/>
      <c r="EH189" s="387"/>
      <c r="EI189" s="387"/>
      <c r="EJ189" s="387"/>
      <c r="EK189" s="387"/>
      <c r="EL189" s="387"/>
      <c r="EM189" s="387"/>
      <c r="EN189" s="387"/>
      <c r="EO189" s="387"/>
      <c r="EP189" s="387"/>
      <c r="EQ189" s="387"/>
      <c r="ER189" s="387"/>
      <c r="ES189" s="387"/>
      <c r="ET189" s="387"/>
      <c r="EU189" s="387"/>
      <c r="EV189" s="387"/>
      <c r="EW189" s="387"/>
      <c r="EX189" s="387"/>
      <c r="EY189" s="387"/>
      <c r="EZ189" s="387"/>
      <c r="FA189" s="387"/>
      <c r="FB189" s="387"/>
      <c r="FC189" s="387"/>
      <c r="FD189" s="387"/>
      <c r="FE189" s="387"/>
      <c r="FF189" s="387"/>
      <c r="FG189" s="387"/>
      <c r="FH189" s="387"/>
      <c r="FI189" s="387"/>
      <c r="FJ189" s="387"/>
      <c r="FK189" s="387"/>
      <c r="FL189" s="387"/>
      <c r="FM189" s="387"/>
      <c r="FN189" s="387"/>
      <c r="FO189" s="387"/>
      <c r="FP189" s="387"/>
      <c r="FQ189" s="387"/>
      <c r="FR189" s="387"/>
      <c r="FS189" s="387"/>
      <c r="FT189" s="387"/>
      <c r="FU189" s="387"/>
      <c r="FV189" s="387"/>
      <c r="FW189" s="387"/>
      <c r="FX189" s="387"/>
      <c r="FY189" s="387"/>
      <c r="FZ189" s="387"/>
      <c r="GA189" s="387"/>
      <c r="GB189" s="387"/>
      <c r="GC189" s="387"/>
      <c r="GD189" s="387"/>
      <c r="GE189" s="387"/>
      <c r="GF189" s="387"/>
      <c r="GG189" s="387"/>
      <c r="GH189" s="387"/>
      <c r="GI189" s="387"/>
      <c r="GJ189" s="387"/>
      <c r="GK189" s="387"/>
      <c r="GL189" s="387"/>
      <c r="GM189" s="387"/>
      <c r="GN189" s="387"/>
      <c r="GO189" s="387"/>
      <c r="GP189" s="387"/>
      <c r="GQ189" s="387"/>
      <c r="GR189" s="387"/>
      <c r="GS189" s="387"/>
      <c r="GT189" s="387"/>
      <c r="GU189" s="387"/>
      <c r="GV189" s="387"/>
      <c r="GW189" s="387"/>
      <c r="GX189" s="387"/>
      <c r="GY189" s="387"/>
      <c r="GZ189" s="387"/>
      <c r="HA189" s="387"/>
      <c r="HB189" s="387"/>
      <c r="HC189" s="387"/>
      <c r="HD189" s="387"/>
      <c r="HE189" s="387"/>
      <c r="HF189" s="387"/>
      <c r="HG189" s="387"/>
      <c r="HH189" s="387"/>
      <c r="HI189" s="387"/>
      <c r="HJ189" s="387"/>
      <c r="HK189" s="387"/>
      <c r="HL189" s="387"/>
      <c r="HM189" s="387"/>
      <c r="HN189" s="387"/>
      <c r="HO189" s="387"/>
      <c r="HP189" s="387"/>
      <c r="HQ189" s="387"/>
      <c r="HR189" s="387"/>
      <c r="HS189" s="387"/>
      <c r="HT189" s="387"/>
      <c r="HU189" s="387"/>
      <c r="HV189" s="387"/>
      <c r="HW189" s="387"/>
      <c r="HX189" s="387"/>
      <c r="HY189" s="387"/>
      <c r="HZ189" s="387"/>
      <c r="IA189" s="387"/>
      <c r="IB189" s="387"/>
      <c r="IC189" s="387"/>
      <c r="ID189" s="387"/>
      <c r="IE189" s="387"/>
      <c r="IF189" s="387"/>
      <c r="IG189" s="387"/>
      <c r="IH189" s="387"/>
      <c r="II189" s="387"/>
      <c r="IJ189" s="387"/>
      <c r="IK189" s="387"/>
      <c r="IL189" s="387"/>
      <c r="IM189" s="387"/>
      <c r="IN189" s="387"/>
      <c r="IO189" s="387"/>
      <c r="IP189" s="387"/>
      <c r="IQ189" s="387"/>
      <c r="IR189" s="387"/>
      <c r="IS189" s="387"/>
      <c r="IT189" s="387"/>
      <c r="IU189" s="387"/>
      <c r="IV189" s="387"/>
      <c r="IW189" s="387"/>
      <c r="IX189" s="387"/>
      <c r="IY189" s="387"/>
      <c r="IZ189" s="387"/>
      <c r="JA189" s="387"/>
      <c r="JB189" s="387"/>
      <c r="JC189" s="387"/>
      <c r="JD189" s="387"/>
      <c r="JE189" s="387"/>
      <c r="JF189" s="387"/>
      <c r="JG189" s="387"/>
      <c r="JH189" s="387"/>
      <c r="JI189" s="387"/>
      <c r="JJ189" s="387"/>
      <c r="JK189" s="387"/>
      <c r="JL189" s="387"/>
      <c r="JM189" s="387"/>
      <c r="JN189" s="387"/>
      <c r="JO189" s="387"/>
      <c r="JP189" s="387"/>
      <c r="JQ189" s="387"/>
      <c r="JR189" s="387"/>
      <c r="JS189" s="387"/>
      <c r="JT189" s="387"/>
      <c r="JU189" s="387"/>
      <c r="JV189" s="387"/>
      <c r="JW189" s="387"/>
      <c r="JX189" s="387"/>
      <c r="JY189" s="387"/>
      <c r="JZ189" s="387"/>
      <c r="KA189" s="387"/>
      <c r="KB189" s="387"/>
      <c r="KC189" s="387"/>
      <c r="KD189" s="387"/>
      <c r="KE189" s="387"/>
      <c r="KF189" s="387"/>
      <c r="KG189" s="387"/>
      <c r="KH189" s="387"/>
      <c r="KI189" s="387"/>
      <c r="KJ189" s="387"/>
      <c r="KK189" s="387"/>
      <c r="KL189" s="387"/>
      <c r="KM189" s="387"/>
      <c r="KN189" s="387"/>
      <c r="KO189" s="387"/>
      <c r="KP189" s="387"/>
      <c r="KQ189" s="387"/>
      <c r="KR189" s="387"/>
      <c r="KS189" s="387"/>
      <c r="KT189" s="387"/>
      <c r="KU189" s="387"/>
      <c r="KV189" s="387"/>
      <c r="KW189" s="387"/>
      <c r="KX189" s="387"/>
      <c r="KY189" s="387"/>
      <c r="KZ189" s="387"/>
      <c r="LA189" s="387"/>
      <c r="LB189" s="387"/>
      <c r="LC189" s="387"/>
      <c r="LD189" s="387"/>
      <c r="LE189" s="387"/>
      <c r="LF189" s="387"/>
      <c r="LG189" s="387"/>
      <c r="LH189" s="387"/>
      <c r="LI189" s="387"/>
      <c r="LJ189" s="387"/>
      <c r="LK189" s="387"/>
      <c r="LL189" s="387"/>
      <c r="LM189" s="387"/>
      <c r="LN189" s="387"/>
      <c r="LO189" s="387"/>
      <c r="LP189" s="387"/>
      <c r="LQ189" s="387"/>
      <c r="LR189" s="387"/>
      <c r="LS189" s="387"/>
      <c r="LT189" s="387"/>
      <c r="LU189" s="387"/>
      <c r="LV189" s="387"/>
      <c r="LW189" s="387"/>
      <c r="LX189" s="387"/>
      <c r="LY189" s="387"/>
      <c r="LZ189" s="387"/>
      <c r="MA189" s="387"/>
      <c r="MB189" s="387"/>
      <c r="MC189" s="387"/>
      <c r="MD189" s="387"/>
      <c r="ME189" s="387"/>
      <c r="MF189" s="387"/>
      <c r="MG189" s="387"/>
      <c r="MH189" s="387"/>
      <c r="MI189" s="387"/>
      <c r="MJ189" s="387"/>
      <c r="MK189" s="387"/>
      <c r="ML189" s="387"/>
      <c r="MM189" s="387"/>
      <c r="MN189" s="387"/>
      <c r="MO189" s="387"/>
      <c r="MP189" s="387"/>
      <c r="MQ189" s="387"/>
      <c r="MR189" s="387"/>
      <c r="MS189" s="387"/>
      <c r="MT189" s="387"/>
      <c r="MU189" s="387"/>
      <c r="MV189" s="387"/>
      <c r="MW189" s="387"/>
      <c r="MX189" s="387"/>
      <c r="MY189" s="387"/>
      <c r="MZ189" s="387"/>
      <c r="NA189" s="387"/>
      <c r="NB189" s="387"/>
      <c r="NC189" s="387"/>
      <c r="ND189" s="387"/>
      <c r="NE189" s="387"/>
      <c r="NF189" s="387"/>
      <c r="NG189" s="387"/>
      <c r="NH189" s="387"/>
      <c r="NI189" s="387"/>
      <c r="NJ189" s="387"/>
      <c r="NK189" s="387"/>
      <c r="NL189" s="387"/>
      <c r="NM189" s="387"/>
      <c r="NN189" s="387"/>
      <c r="NO189" s="387"/>
      <c r="NP189" s="387"/>
      <c r="NQ189" s="387"/>
      <c r="NR189" s="387"/>
      <c r="NS189" s="387"/>
      <c r="NT189" s="387"/>
      <c r="NU189" s="387"/>
      <c r="NV189" s="387"/>
      <c r="NW189" s="387"/>
      <c r="NX189" s="387"/>
      <c r="NY189" s="387"/>
      <c r="NZ189" s="387"/>
      <c r="OA189" s="387"/>
      <c r="OB189" s="387"/>
      <c r="OC189" s="387"/>
      <c r="OD189" s="387"/>
      <c r="OE189" s="387"/>
      <c r="OF189" s="387"/>
      <c r="OG189" s="387"/>
      <c r="OH189" s="387"/>
      <c r="OI189" s="387"/>
      <c r="OJ189" s="387"/>
      <c r="OK189" s="387"/>
      <c r="OL189" s="387"/>
      <c r="OM189" s="387"/>
      <c r="ON189" s="387"/>
      <c r="OO189" s="387"/>
      <c r="OP189" s="387"/>
      <c r="OQ189" s="387"/>
      <c r="OR189" s="387"/>
      <c r="OS189" s="387"/>
      <c r="OT189" s="387"/>
      <c r="OU189" s="387"/>
      <c r="OV189" s="387"/>
      <c r="OW189" s="387"/>
      <c r="OX189" s="387"/>
      <c r="OY189" s="387"/>
      <c r="OZ189" s="387"/>
      <c r="PA189" s="387"/>
      <c r="PB189" s="387"/>
      <c r="PC189" s="387"/>
      <c r="PD189" s="387"/>
      <c r="PE189" s="387"/>
      <c r="PF189" s="387"/>
      <c r="PG189" s="387"/>
      <c r="PH189" s="387"/>
      <c r="PI189" s="387"/>
      <c r="PJ189" s="387"/>
      <c r="PK189" s="387"/>
      <c r="PL189" s="387"/>
      <c r="PM189" s="387"/>
      <c r="PN189" s="387"/>
      <c r="PO189" s="387"/>
      <c r="PP189" s="387"/>
      <c r="PQ189" s="387"/>
      <c r="PR189" s="387"/>
      <c r="PS189" s="387"/>
      <c r="PT189" s="387"/>
      <c r="PU189" s="387"/>
      <c r="PV189" s="387"/>
      <c r="PW189" s="387"/>
      <c r="PX189" s="387"/>
      <c r="PY189" s="387"/>
      <c r="PZ189" s="387"/>
      <c r="QA189" s="387"/>
      <c r="QB189" s="387"/>
      <c r="QC189" s="387"/>
      <c r="QD189" s="387"/>
      <c r="QE189" s="387"/>
      <c r="QF189" s="387"/>
      <c r="QG189" s="387"/>
      <c r="QH189" s="387"/>
      <c r="QI189" s="387"/>
      <c r="QJ189" s="387"/>
      <c r="QK189" s="387"/>
      <c r="QL189" s="387"/>
      <c r="QM189" s="387"/>
      <c r="QN189" s="387"/>
      <c r="QO189" s="387"/>
      <c r="QP189" s="387"/>
      <c r="QQ189" s="387"/>
      <c r="QR189" s="387"/>
      <c r="QS189" s="387"/>
      <c r="QT189" s="387"/>
      <c r="QU189" s="387"/>
      <c r="QV189" s="387"/>
      <c r="QW189" s="387"/>
      <c r="QX189" s="387"/>
      <c r="QY189" s="387"/>
      <c r="QZ189" s="387"/>
      <c r="RA189" s="387"/>
      <c r="RB189" s="387"/>
      <c r="RC189" s="387"/>
      <c r="RD189" s="387"/>
      <c r="RE189" s="387"/>
      <c r="RF189" s="387"/>
      <c r="RG189" s="387"/>
      <c r="RH189" s="387"/>
      <c r="RI189" s="387"/>
      <c r="RJ189" s="387"/>
      <c r="RK189" s="387"/>
      <c r="RL189" s="387"/>
      <c r="RM189" s="387"/>
      <c r="RN189" s="387"/>
      <c r="RO189" s="387"/>
      <c r="RP189" s="387"/>
      <c r="RQ189" s="387"/>
      <c r="RR189" s="387"/>
      <c r="RS189" s="387"/>
      <c r="RT189" s="387"/>
      <c r="RU189" s="387"/>
      <c r="RV189" s="387"/>
      <c r="RW189" s="387"/>
      <c r="RX189" s="387"/>
      <c r="RY189" s="387"/>
      <c r="RZ189" s="387"/>
      <c r="SA189" s="387"/>
      <c r="SB189" s="387"/>
      <c r="SC189" s="387"/>
      <c r="SD189" s="387"/>
      <c r="SE189" s="387"/>
      <c r="SF189" s="387"/>
      <c r="SG189" s="387"/>
      <c r="SH189" s="387"/>
      <c r="SI189" s="387"/>
      <c r="SJ189" s="387"/>
      <c r="SK189" s="387"/>
      <c r="SL189" s="387"/>
      <c r="SM189" s="387"/>
      <c r="SN189" s="387"/>
      <c r="SO189" s="387"/>
      <c r="SP189" s="387"/>
      <c r="SQ189" s="387"/>
      <c r="SR189" s="387"/>
      <c r="SS189" s="387"/>
      <c r="ST189" s="387"/>
      <c r="SU189" s="387"/>
      <c r="SV189" s="387"/>
      <c r="SW189" s="387"/>
      <c r="SX189" s="387"/>
      <c r="SY189" s="387"/>
      <c r="SZ189" s="387"/>
      <c r="TA189" s="387"/>
      <c r="TB189" s="387"/>
      <c r="TC189" s="387"/>
      <c r="TD189" s="387"/>
      <c r="TE189" s="387"/>
      <c r="TF189" s="387"/>
      <c r="TG189" s="387"/>
      <c r="TH189" s="387"/>
      <c r="TI189" s="387"/>
      <c r="TJ189" s="387"/>
      <c r="TK189" s="387"/>
      <c r="TL189" s="387"/>
      <c r="TM189" s="387"/>
      <c r="TN189" s="387"/>
      <c r="TO189" s="387"/>
      <c r="TP189" s="387"/>
      <c r="TQ189" s="387"/>
      <c r="TR189" s="387"/>
      <c r="TS189" s="387"/>
      <c r="TT189" s="387"/>
      <c r="TU189" s="387"/>
      <c r="TV189" s="387"/>
      <c r="TW189" s="387"/>
      <c r="TX189" s="387"/>
      <c r="TY189" s="387"/>
      <c r="TZ189" s="387"/>
      <c r="UA189" s="387"/>
      <c r="UB189" s="387"/>
      <c r="UC189" s="387"/>
      <c r="UD189" s="387"/>
      <c r="UE189" s="387"/>
      <c r="UF189" s="387"/>
      <c r="UG189" s="387"/>
      <c r="UH189" s="387"/>
      <c r="UI189" s="387"/>
      <c r="UJ189" s="387"/>
      <c r="UK189" s="387"/>
      <c r="UL189" s="387"/>
      <c r="UM189" s="387"/>
      <c r="UN189" s="387"/>
      <c r="UO189" s="387"/>
      <c r="UP189" s="387"/>
      <c r="UQ189" s="387"/>
      <c r="UR189" s="387"/>
      <c r="US189" s="387"/>
      <c r="UT189" s="387"/>
      <c r="UU189" s="387"/>
      <c r="UV189" s="387"/>
      <c r="UW189" s="387"/>
      <c r="UX189" s="387"/>
      <c r="UY189" s="387"/>
      <c r="UZ189" s="387"/>
      <c r="VA189" s="387"/>
      <c r="VB189" s="387"/>
      <c r="VC189" s="387"/>
      <c r="VD189" s="387"/>
      <c r="VE189" s="387"/>
      <c r="VF189" s="387"/>
      <c r="VG189" s="387"/>
      <c r="VH189" s="387"/>
      <c r="VI189" s="387"/>
      <c r="VJ189" s="387"/>
      <c r="VK189" s="387"/>
      <c r="VL189" s="387"/>
      <c r="VM189" s="387"/>
      <c r="VN189" s="387"/>
      <c r="VO189" s="387"/>
      <c r="VP189" s="387"/>
      <c r="VQ189" s="387"/>
      <c r="VR189" s="387"/>
      <c r="VS189" s="387"/>
      <c r="VT189" s="387"/>
      <c r="VU189" s="387"/>
      <c r="VV189" s="387"/>
      <c r="VW189" s="387"/>
      <c r="VX189" s="387"/>
      <c r="VY189" s="387"/>
      <c r="VZ189" s="387"/>
      <c r="WA189" s="387"/>
      <c r="WB189" s="387"/>
      <c r="WC189" s="387"/>
      <c r="WD189" s="387"/>
      <c r="WE189" s="387"/>
      <c r="WF189" s="387"/>
      <c r="WG189" s="387"/>
      <c r="WH189" s="387"/>
      <c r="WI189" s="387"/>
      <c r="WJ189" s="387"/>
      <c r="WK189" s="387"/>
      <c r="WL189" s="387"/>
      <c r="WM189" s="387"/>
      <c r="WN189" s="387"/>
      <c r="WO189" s="387"/>
      <c r="WP189" s="387"/>
      <c r="WQ189" s="387"/>
      <c r="WR189" s="387"/>
      <c r="WS189" s="387"/>
      <c r="WT189" s="387"/>
      <c r="WU189" s="387"/>
      <c r="WV189" s="387"/>
      <c r="WW189" s="387"/>
      <c r="WX189" s="387"/>
      <c r="WY189" s="387"/>
      <c r="WZ189" s="387"/>
      <c r="XA189" s="387"/>
      <c r="XB189" s="387"/>
      <c r="XC189" s="387"/>
      <c r="XD189" s="387"/>
      <c r="XE189" s="387"/>
      <c r="XF189" s="387"/>
      <c r="XG189" s="387"/>
      <c r="XH189" s="387"/>
      <c r="XI189" s="387"/>
      <c r="XJ189" s="387"/>
      <c r="XK189" s="387"/>
      <c r="XL189" s="387"/>
      <c r="XM189" s="387"/>
      <c r="XN189" s="387"/>
      <c r="XO189" s="387"/>
      <c r="XP189" s="387"/>
      <c r="XQ189" s="387"/>
      <c r="XR189" s="387"/>
      <c r="XS189" s="387"/>
      <c r="XT189" s="387"/>
      <c r="XU189" s="387"/>
      <c r="XV189" s="387"/>
      <c r="XW189" s="387"/>
      <c r="XX189" s="387"/>
      <c r="XY189" s="387"/>
      <c r="XZ189" s="387"/>
      <c r="YA189" s="387"/>
      <c r="YB189" s="387"/>
      <c r="YC189" s="387"/>
      <c r="YD189" s="387"/>
      <c r="YE189" s="387"/>
      <c r="YF189" s="387"/>
      <c r="YG189" s="387"/>
      <c r="YH189" s="387"/>
      <c r="YI189" s="387"/>
      <c r="YJ189" s="387"/>
      <c r="YK189" s="387"/>
      <c r="YL189" s="387"/>
      <c r="YM189" s="387"/>
      <c r="YN189" s="387"/>
      <c r="YO189" s="387"/>
      <c r="YP189" s="387"/>
      <c r="YQ189" s="387"/>
      <c r="YR189" s="387"/>
      <c r="YS189" s="387"/>
      <c r="YT189" s="387"/>
      <c r="YU189" s="387"/>
      <c r="YV189" s="387"/>
      <c r="YW189" s="387"/>
      <c r="YX189" s="387"/>
      <c r="YY189" s="387"/>
      <c r="YZ189" s="387"/>
      <c r="ZA189" s="387"/>
      <c r="ZB189" s="387"/>
      <c r="ZC189" s="387"/>
      <c r="ZD189" s="387"/>
      <c r="ZE189" s="387"/>
      <c r="ZF189" s="387"/>
      <c r="ZG189" s="387"/>
      <c r="ZH189" s="387"/>
      <c r="ZI189" s="387"/>
      <c r="ZJ189" s="387"/>
      <c r="ZK189" s="387"/>
      <c r="ZL189" s="387"/>
      <c r="ZM189" s="387"/>
      <c r="ZN189" s="387"/>
      <c r="ZO189" s="387"/>
      <c r="ZP189" s="387"/>
      <c r="ZQ189" s="387"/>
      <c r="ZR189" s="387"/>
      <c r="ZS189" s="387"/>
      <c r="ZT189" s="387"/>
      <c r="ZU189" s="387"/>
      <c r="ZV189" s="387"/>
      <c r="ZW189" s="387"/>
      <c r="ZX189" s="387"/>
      <c r="ZY189" s="387"/>
      <c r="ZZ189" s="387"/>
      <c r="AAA189" s="387"/>
      <c r="AAB189" s="387"/>
      <c r="AAC189" s="387"/>
      <c r="AAD189" s="387"/>
      <c r="AAE189" s="387"/>
      <c r="AAF189" s="387"/>
      <c r="AAG189" s="387"/>
      <c r="AAH189" s="387"/>
      <c r="AAI189" s="387"/>
      <c r="AAJ189" s="387"/>
      <c r="AAK189" s="387"/>
      <c r="AAL189" s="387"/>
      <c r="AAM189" s="387"/>
      <c r="AAN189" s="387"/>
      <c r="AAO189" s="387"/>
      <c r="AAP189" s="387"/>
      <c r="AAQ189" s="387"/>
      <c r="AAR189" s="387"/>
      <c r="AAS189" s="387"/>
      <c r="AAT189" s="387"/>
      <c r="AAU189" s="387"/>
      <c r="AAV189" s="387"/>
      <c r="AAW189" s="387"/>
      <c r="AAX189" s="387"/>
      <c r="AAY189" s="387"/>
      <c r="AAZ189" s="387"/>
      <c r="ABA189" s="387"/>
      <c r="ABB189" s="387"/>
      <c r="ABC189" s="387"/>
      <c r="ABD189" s="387"/>
      <c r="ABE189" s="387"/>
      <c r="ABF189" s="387"/>
      <c r="ABG189" s="387"/>
      <c r="ABH189" s="387"/>
      <c r="ABI189" s="387"/>
      <c r="ABJ189" s="387"/>
      <c r="ABK189" s="387"/>
      <c r="ABL189" s="387"/>
      <c r="ABM189" s="387"/>
      <c r="ABN189" s="387"/>
      <c r="ABO189" s="387"/>
      <c r="ABP189" s="387"/>
      <c r="ABQ189" s="387"/>
      <c r="ABR189" s="387"/>
      <c r="ABS189" s="387"/>
      <c r="ABT189" s="387"/>
      <c r="ABU189" s="387"/>
      <c r="ABV189" s="387"/>
      <c r="ABW189" s="387"/>
      <c r="ABX189" s="387"/>
      <c r="ABY189" s="387"/>
      <c r="ABZ189" s="387"/>
      <c r="ACA189" s="387"/>
      <c r="ACB189" s="387"/>
      <c r="ACC189" s="387"/>
      <c r="ACD189" s="387"/>
      <c r="ACE189" s="387"/>
      <c r="ACF189" s="387"/>
      <c r="ACG189" s="387"/>
      <c r="ACH189" s="387"/>
      <c r="ACI189" s="387"/>
      <c r="ACJ189" s="387"/>
      <c r="ACK189" s="387"/>
      <c r="ACL189" s="387"/>
      <c r="ACM189" s="387"/>
      <c r="ACN189" s="387"/>
      <c r="ACO189" s="387"/>
      <c r="ACP189" s="387"/>
      <c r="ACQ189" s="387"/>
      <c r="ACR189" s="387"/>
      <c r="ACS189" s="387"/>
      <c r="ACT189" s="387"/>
      <c r="ACU189" s="387"/>
      <c r="ACV189" s="387"/>
      <c r="ACW189" s="387"/>
      <c r="ACX189" s="387"/>
      <c r="ACY189" s="387"/>
      <c r="ACZ189" s="387"/>
      <c r="ADA189" s="387"/>
      <c r="ADB189" s="387"/>
      <c r="ADC189" s="387"/>
      <c r="ADD189" s="387"/>
      <c r="ADE189" s="387"/>
      <c r="ADF189" s="387"/>
      <c r="ADG189" s="387"/>
      <c r="ADH189" s="387"/>
      <c r="ADI189" s="387"/>
      <c r="ADJ189" s="387"/>
      <c r="ADK189" s="387"/>
      <c r="ADL189" s="387"/>
      <c r="ADM189" s="387"/>
      <c r="ADN189" s="387"/>
      <c r="ADO189" s="387"/>
      <c r="ADP189" s="387"/>
      <c r="ADQ189" s="387"/>
      <c r="ADR189" s="387"/>
      <c r="ADS189" s="387"/>
      <c r="ADT189" s="387"/>
      <c r="ADU189" s="387"/>
      <c r="ADV189" s="387"/>
      <c r="ADW189" s="387"/>
      <c r="ADX189" s="387"/>
      <c r="ADY189" s="387"/>
      <c r="ADZ189" s="387"/>
      <c r="AEA189" s="387"/>
      <c r="AEB189" s="387"/>
      <c r="AEC189" s="387"/>
      <c r="AED189" s="387"/>
      <c r="AEE189" s="387"/>
      <c r="AEF189" s="387"/>
      <c r="AEG189" s="387"/>
      <c r="AEH189" s="387"/>
      <c r="AEI189" s="387"/>
      <c r="AEJ189" s="387"/>
      <c r="AEK189" s="387"/>
      <c r="AEL189" s="387"/>
      <c r="AEM189" s="387"/>
      <c r="AEN189" s="387"/>
      <c r="AEO189" s="387"/>
      <c r="AEP189" s="387"/>
      <c r="AEQ189" s="387"/>
      <c r="AER189" s="387"/>
      <c r="AES189" s="387"/>
      <c r="AET189" s="387"/>
      <c r="AEU189" s="387"/>
      <c r="AEV189" s="387"/>
      <c r="AEW189" s="387"/>
      <c r="AEX189" s="387"/>
      <c r="AEY189" s="387"/>
      <c r="AEZ189" s="387"/>
      <c r="AFA189" s="387"/>
      <c r="AFB189" s="387"/>
      <c r="AFC189" s="387"/>
      <c r="AFD189" s="387"/>
      <c r="AFE189" s="387"/>
      <c r="AFF189" s="387"/>
      <c r="AFG189" s="387"/>
      <c r="AFH189" s="387"/>
      <c r="AFI189" s="387"/>
      <c r="AFJ189" s="387"/>
      <c r="AFK189" s="387"/>
      <c r="AFL189" s="387"/>
      <c r="AFM189" s="387"/>
      <c r="AFN189" s="387"/>
      <c r="AFO189" s="387"/>
      <c r="AFP189" s="387"/>
      <c r="AFQ189" s="387"/>
      <c r="AFR189" s="387"/>
      <c r="AFS189" s="387"/>
      <c r="AFT189" s="387"/>
      <c r="AFU189" s="387"/>
      <c r="AFV189" s="387"/>
      <c r="AFW189" s="387"/>
      <c r="AFX189" s="387"/>
      <c r="AFY189" s="387"/>
      <c r="AFZ189" s="387"/>
      <c r="AGA189" s="387"/>
      <c r="AGB189" s="387"/>
      <c r="AGC189" s="387"/>
      <c r="AGD189" s="387"/>
      <c r="AGE189" s="387"/>
      <c r="AGF189" s="387"/>
      <c r="AGG189" s="387"/>
      <c r="AGH189" s="387"/>
      <c r="AGI189" s="387"/>
      <c r="AGJ189" s="387"/>
      <c r="AGK189" s="387"/>
      <c r="AGL189" s="387"/>
      <c r="AGM189" s="387"/>
      <c r="AGN189" s="387"/>
      <c r="AGO189" s="387"/>
      <c r="AGP189" s="387"/>
      <c r="AGQ189" s="387"/>
      <c r="AGR189" s="387"/>
      <c r="AGS189" s="387"/>
      <c r="AGT189" s="387"/>
      <c r="AGU189" s="387"/>
      <c r="AGV189" s="387"/>
      <c r="AGW189" s="387"/>
      <c r="AGX189" s="387"/>
      <c r="AGY189" s="387"/>
      <c r="AGZ189" s="387"/>
      <c r="AHA189" s="387"/>
      <c r="AHB189" s="387"/>
      <c r="AHC189" s="387"/>
      <c r="AHD189" s="387"/>
      <c r="AHE189" s="387"/>
      <c r="AHF189" s="387"/>
      <c r="AHG189" s="387"/>
      <c r="AHH189" s="387"/>
      <c r="AHI189" s="387"/>
      <c r="AHJ189" s="387"/>
      <c r="AHK189" s="387"/>
      <c r="AHL189" s="387"/>
      <c r="AHM189" s="387"/>
      <c r="AHN189" s="387"/>
      <c r="AHO189" s="387"/>
      <c r="AHP189" s="387"/>
      <c r="AHQ189" s="387"/>
      <c r="AHR189" s="387"/>
      <c r="AHS189" s="387"/>
      <c r="AHT189" s="387"/>
      <c r="AHU189" s="387"/>
      <c r="AHV189" s="387"/>
      <c r="AHW189" s="387"/>
      <c r="AHX189" s="387"/>
      <c r="AHY189" s="387"/>
      <c r="AHZ189" s="387"/>
      <c r="AIA189" s="387"/>
      <c r="AIB189" s="387"/>
      <c r="AIC189" s="387"/>
      <c r="AID189" s="387"/>
      <c r="AIE189" s="387"/>
      <c r="AIF189" s="387"/>
      <c r="AIG189" s="387"/>
      <c r="AIH189" s="387"/>
      <c r="AII189" s="387"/>
      <c r="AIJ189" s="387"/>
      <c r="AIK189" s="387"/>
      <c r="AIL189" s="387"/>
      <c r="AIM189" s="387"/>
      <c r="AIN189" s="387"/>
      <c r="AIO189" s="387"/>
      <c r="AIP189" s="387"/>
      <c r="AIQ189" s="387"/>
      <c r="AIR189" s="387"/>
      <c r="AIS189" s="387"/>
      <c r="AIT189" s="387"/>
      <c r="AIU189" s="387"/>
      <c r="AIV189" s="387"/>
      <c r="AIW189" s="387"/>
      <c r="AIX189" s="387"/>
      <c r="AIY189" s="387"/>
      <c r="AIZ189" s="387"/>
      <c r="AJA189" s="387"/>
      <c r="AJB189" s="387"/>
      <c r="AJC189" s="387"/>
      <c r="AJD189" s="387"/>
      <c r="AJE189" s="387"/>
      <c r="AJF189" s="387"/>
      <c r="AJG189" s="387"/>
      <c r="AJH189" s="387"/>
      <c r="AJI189" s="387"/>
      <c r="AJJ189" s="387"/>
      <c r="AJK189" s="387"/>
      <c r="AJL189" s="387"/>
      <c r="AJM189" s="387"/>
      <c r="AJN189" s="387"/>
      <c r="AJO189" s="387"/>
      <c r="AJP189" s="387"/>
      <c r="AJQ189" s="387"/>
      <c r="AJR189" s="387"/>
      <c r="AJS189" s="387"/>
      <c r="AJT189" s="387"/>
      <c r="AJU189" s="387"/>
      <c r="AJV189" s="387"/>
      <c r="AJW189" s="387"/>
      <c r="AJX189" s="387"/>
      <c r="AJY189" s="387"/>
      <c r="AJZ189" s="387"/>
      <c r="AKA189" s="387"/>
      <c r="AKB189" s="387"/>
      <c r="AKC189" s="387"/>
      <c r="AKD189" s="387"/>
      <c r="AKE189" s="387"/>
      <c r="AKF189" s="387"/>
      <c r="AKG189" s="387"/>
      <c r="AKH189" s="387"/>
      <c r="AKI189" s="387"/>
      <c r="AKJ189" s="387"/>
      <c r="AKK189" s="387"/>
      <c r="AKL189" s="387"/>
      <c r="AKM189" s="387"/>
      <c r="AKN189" s="387"/>
      <c r="AKO189" s="387"/>
      <c r="AKP189" s="387"/>
      <c r="AKQ189" s="387"/>
      <c r="AKR189" s="387"/>
      <c r="AKS189" s="387"/>
      <c r="AKT189" s="387"/>
      <c r="AKU189" s="387"/>
      <c r="AKV189" s="387"/>
      <c r="AKW189" s="387"/>
      <c r="AKX189" s="387"/>
      <c r="AKY189" s="387"/>
      <c r="AKZ189" s="387"/>
      <c r="ALA189" s="387"/>
      <c r="ALB189" s="387"/>
      <c r="ALC189" s="387"/>
      <c r="ALD189" s="387"/>
      <c r="ALE189" s="387"/>
      <c r="ALF189" s="387"/>
      <c r="ALG189" s="387"/>
      <c r="ALH189" s="387"/>
      <c r="ALI189" s="387"/>
      <c r="ALJ189" s="387"/>
      <c r="ALK189" s="387"/>
      <c r="ALL189" s="387"/>
      <c r="ALM189" s="387"/>
      <c r="ALN189" s="387"/>
      <c r="ALO189" s="387"/>
      <c r="ALP189" s="387"/>
      <c r="ALQ189" s="387"/>
      <c r="ALR189" s="387"/>
      <c r="ALS189" s="387"/>
      <c r="ALT189" s="387"/>
      <c r="ALU189" s="387"/>
      <c r="ALV189" s="387"/>
      <c r="ALW189" s="387"/>
      <c r="ALX189" s="387"/>
      <c r="ALY189" s="387"/>
      <c r="ALZ189" s="387"/>
      <c r="AMA189" s="387"/>
      <c r="AMB189" s="387"/>
      <c r="AMC189" s="387"/>
      <c r="AMD189" s="387"/>
      <c r="AME189" s="387"/>
      <c r="AMF189" s="387"/>
      <c r="AMG189" s="387"/>
      <c r="AMH189" s="387"/>
      <c r="AMI189" s="387"/>
      <c r="AMJ189" s="387"/>
      <c r="AMK189" s="387"/>
      <c r="AML189" s="387"/>
      <c r="AMM189" s="387"/>
      <c r="AMN189" s="387"/>
      <c r="AMO189" s="387"/>
      <c r="AMP189" s="387"/>
      <c r="AMQ189" s="387"/>
      <c r="AMR189" s="387"/>
      <c r="AMS189" s="387"/>
      <c r="AMT189" s="387"/>
      <c r="AMU189" s="387"/>
      <c r="AMV189" s="387"/>
      <c r="AMW189" s="387"/>
      <c r="AMX189" s="387"/>
      <c r="AMY189" s="387"/>
      <c r="AMZ189" s="387"/>
      <c r="ANA189" s="387"/>
      <c r="ANB189" s="387"/>
      <c r="ANC189" s="387"/>
      <c r="AND189" s="387"/>
      <c r="ANE189" s="387"/>
      <c r="ANF189" s="387"/>
      <c r="ANG189" s="387"/>
      <c r="ANH189" s="387"/>
      <c r="ANI189" s="387"/>
      <c r="ANJ189" s="387"/>
      <c r="ANK189" s="387"/>
      <c r="ANL189" s="387"/>
      <c r="ANM189" s="387"/>
      <c r="ANN189" s="387"/>
      <c r="ANO189" s="387"/>
      <c r="ANP189" s="387"/>
      <c r="ANQ189" s="387"/>
      <c r="ANR189" s="387"/>
      <c r="ANS189" s="387"/>
      <c r="ANT189" s="387"/>
      <c r="ANU189" s="387"/>
      <c r="ANV189" s="387"/>
      <c r="ANW189" s="387"/>
      <c r="ANX189" s="387"/>
      <c r="ANY189" s="387"/>
      <c r="ANZ189" s="387"/>
      <c r="AOA189" s="387"/>
      <c r="AOB189" s="387"/>
      <c r="AOC189" s="387"/>
      <c r="AOD189" s="387"/>
      <c r="AOE189" s="387"/>
      <c r="AOF189" s="387"/>
      <c r="AOG189" s="387"/>
      <c r="AOH189" s="387"/>
      <c r="AOI189" s="387"/>
      <c r="AOJ189" s="387"/>
      <c r="AOK189" s="387"/>
      <c r="AOL189" s="387"/>
      <c r="AOM189" s="387"/>
      <c r="AON189" s="387"/>
      <c r="AOO189" s="387"/>
      <c r="AOP189" s="387"/>
      <c r="AOQ189" s="387"/>
      <c r="AOR189" s="387"/>
      <c r="AOS189" s="387"/>
      <c r="AOT189" s="387"/>
      <c r="AOU189" s="387"/>
      <c r="AOV189" s="387"/>
      <c r="AOW189" s="387"/>
      <c r="AOX189" s="387"/>
      <c r="AOY189" s="387"/>
      <c r="AOZ189" s="387"/>
      <c r="APA189" s="387"/>
      <c r="APB189" s="387"/>
      <c r="APC189" s="387"/>
      <c r="APD189" s="387"/>
      <c r="APE189" s="387"/>
      <c r="APF189" s="387"/>
      <c r="APG189" s="387"/>
      <c r="APH189" s="387"/>
      <c r="API189" s="387"/>
      <c r="APJ189" s="387"/>
      <c r="APK189" s="387"/>
      <c r="APL189" s="387"/>
      <c r="APM189" s="387"/>
      <c r="APN189" s="387"/>
      <c r="APO189" s="387"/>
      <c r="APP189" s="387"/>
      <c r="APQ189" s="387"/>
      <c r="APR189" s="387"/>
      <c r="APS189" s="387"/>
      <c r="APT189" s="387"/>
      <c r="APU189" s="387"/>
      <c r="APV189" s="387"/>
      <c r="APW189" s="387"/>
      <c r="APX189" s="387"/>
      <c r="APY189" s="387"/>
      <c r="APZ189" s="387"/>
      <c r="AQA189" s="387"/>
      <c r="AQB189" s="387"/>
      <c r="AQC189" s="387"/>
      <c r="AQD189" s="387"/>
      <c r="AQE189" s="387"/>
      <c r="AQF189" s="387"/>
      <c r="AQG189" s="387"/>
      <c r="AQH189" s="387"/>
      <c r="AQI189" s="387"/>
      <c r="AQJ189" s="387"/>
      <c r="AQK189" s="387"/>
      <c r="AQL189" s="387"/>
      <c r="AQM189" s="387"/>
      <c r="AQN189" s="387"/>
      <c r="AQO189" s="387"/>
      <c r="AQP189" s="387"/>
      <c r="AQQ189" s="387"/>
      <c r="AQR189" s="387"/>
      <c r="AQS189" s="387"/>
      <c r="AQT189" s="387"/>
      <c r="AQU189" s="387"/>
      <c r="AQV189" s="387"/>
      <c r="AQW189" s="387"/>
      <c r="AQX189" s="387"/>
      <c r="AQY189" s="387"/>
      <c r="AQZ189" s="387"/>
      <c r="ARA189" s="387"/>
      <c r="ARB189" s="387"/>
      <c r="ARC189" s="387"/>
      <c r="ARD189" s="387"/>
      <c r="ARE189" s="387"/>
      <c r="ARF189" s="387"/>
      <c r="ARG189" s="387"/>
      <c r="ARH189" s="387"/>
      <c r="ARI189" s="387"/>
      <c r="ARJ189" s="387"/>
      <c r="ARK189" s="387"/>
      <c r="ARL189" s="387"/>
      <c r="ARM189" s="387"/>
      <c r="ARN189" s="387"/>
      <c r="ARO189" s="387"/>
      <c r="ARP189" s="387"/>
      <c r="ARQ189" s="387"/>
      <c r="ARR189" s="387"/>
      <c r="ARS189" s="387"/>
      <c r="ART189" s="387"/>
      <c r="ARU189" s="387"/>
      <c r="ARV189" s="387"/>
      <c r="ARW189" s="387"/>
      <c r="ARX189" s="387"/>
      <c r="ARY189" s="387"/>
      <c r="ARZ189" s="387"/>
      <c r="ASA189" s="387"/>
      <c r="ASB189" s="387"/>
      <c r="ASC189" s="387"/>
      <c r="ASD189" s="387"/>
      <c r="ASE189" s="387"/>
      <c r="ASF189" s="387"/>
      <c r="ASG189" s="387"/>
      <c r="ASH189" s="387"/>
      <c r="ASI189" s="387"/>
      <c r="ASJ189" s="387"/>
      <c r="ASK189" s="387"/>
      <c r="ASL189" s="387"/>
      <c r="ASM189" s="387"/>
      <c r="ASN189" s="387"/>
      <c r="ASO189" s="387"/>
      <c r="ASP189" s="387"/>
      <c r="ASQ189" s="387"/>
      <c r="ASR189" s="387"/>
      <c r="ASS189" s="387"/>
      <c r="AST189" s="387"/>
      <c r="ASU189" s="387"/>
      <c r="ASV189" s="387"/>
      <c r="ASW189" s="387"/>
      <c r="ASX189" s="387"/>
      <c r="ASY189" s="387"/>
      <c r="ASZ189" s="387"/>
      <c r="ATA189" s="387"/>
      <c r="ATB189" s="387"/>
      <c r="ATC189" s="387"/>
      <c r="ATD189" s="387"/>
      <c r="ATE189" s="387"/>
      <c r="ATF189" s="387"/>
      <c r="ATG189" s="387"/>
      <c r="ATH189" s="387"/>
      <c r="ATI189" s="387"/>
      <c r="ATJ189" s="387"/>
      <c r="ATK189" s="387"/>
      <c r="ATL189" s="387"/>
      <c r="ATM189" s="387"/>
      <c r="ATN189" s="387"/>
      <c r="ATO189" s="387"/>
      <c r="ATP189" s="387"/>
      <c r="ATQ189" s="387"/>
      <c r="ATR189" s="387"/>
      <c r="ATS189" s="387"/>
      <c r="ATT189" s="387"/>
      <c r="ATU189" s="387"/>
      <c r="ATV189" s="387"/>
      <c r="ATW189" s="387"/>
      <c r="ATX189" s="387"/>
      <c r="ATY189" s="387"/>
      <c r="ATZ189" s="387"/>
      <c r="AUA189" s="387"/>
      <c r="AUB189" s="387"/>
      <c r="AUC189" s="387"/>
      <c r="AUD189" s="387"/>
      <c r="AUE189" s="387"/>
      <c r="AUF189" s="387"/>
      <c r="AUG189" s="387"/>
      <c r="AUH189" s="387"/>
      <c r="AUI189" s="387"/>
      <c r="AUJ189" s="387"/>
      <c r="AUK189" s="387"/>
      <c r="AUL189" s="387"/>
      <c r="AUM189" s="387"/>
      <c r="AUN189" s="387"/>
      <c r="AUO189" s="387"/>
      <c r="AUP189" s="387"/>
      <c r="AUQ189" s="387"/>
      <c r="AUR189" s="387"/>
      <c r="AUS189" s="387"/>
      <c r="AUT189" s="387"/>
      <c r="AUU189" s="387"/>
      <c r="AUV189" s="387"/>
      <c r="AUW189" s="387"/>
      <c r="AUX189" s="387"/>
      <c r="AUY189" s="387"/>
      <c r="AUZ189" s="387"/>
      <c r="AVA189" s="387"/>
      <c r="AVB189" s="387"/>
      <c r="AVC189" s="387"/>
      <c r="AVD189" s="387"/>
      <c r="AVE189" s="387"/>
      <c r="AVF189" s="387"/>
      <c r="AVG189" s="387"/>
      <c r="AVH189" s="387"/>
      <c r="AVI189" s="387"/>
      <c r="AVJ189" s="387"/>
      <c r="AVK189" s="387"/>
      <c r="AVL189" s="387"/>
      <c r="AVM189" s="387"/>
      <c r="AVN189" s="387"/>
      <c r="AVO189" s="387"/>
      <c r="AVP189" s="387"/>
      <c r="AVQ189" s="387"/>
      <c r="AVR189" s="387"/>
      <c r="AVS189" s="387"/>
      <c r="AVT189" s="387"/>
      <c r="AVU189" s="387"/>
      <c r="AVV189" s="387"/>
      <c r="AVW189" s="387"/>
      <c r="AVX189" s="387"/>
      <c r="AVY189" s="387"/>
      <c r="AVZ189" s="387"/>
      <c r="AWA189" s="387"/>
      <c r="AWB189" s="387"/>
      <c r="AWC189" s="387"/>
      <c r="AWD189" s="387"/>
      <c r="AWE189" s="387"/>
      <c r="AWF189" s="387"/>
      <c r="AWG189" s="387"/>
      <c r="AWH189" s="387"/>
      <c r="AWI189" s="387"/>
      <c r="AWJ189" s="387"/>
      <c r="AWK189" s="387"/>
      <c r="AWL189" s="387"/>
      <c r="AWM189" s="387"/>
      <c r="AWN189" s="387"/>
      <c r="AWO189" s="387"/>
      <c r="AWP189" s="387"/>
      <c r="AWQ189" s="387"/>
      <c r="AWR189" s="387"/>
      <c r="AWS189" s="387"/>
      <c r="AWT189" s="387"/>
      <c r="AWU189" s="387"/>
      <c r="AWV189" s="387"/>
      <c r="AWW189" s="387"/>
      <c r="AWX189" s="387"/>
      <c r="AWY189" s="387"/>
      <c r="AWZ189" s="387"/>
      <c r="AXA189" s="387"/>
      <c r="AXB189" s="387"/>
      <c r="AXC189" s="387"/>
      <c r="AXD189" s="387"/>
      <c r="AXE189" s="387"/>
      <c r="AXF189" s="387"/>
      <c r="AXG189" s="387"/>
      <c r="AXH189" s="387"/>
      <c r="AXI189" s="387"/>
      <c r="AXJ189" s="387"/>
      <c r="AXK189" s="387"/>
      <c r="AXL189" s="387"/>
      <c r="AXM189" s="387"/>
      <c r="AXN189" s="387"/>
      <c r="AXO189" s="387"/>
      <c r="AXP189" s="387"/>
      <c r="AXQ189" s="387"/>
      <c r="AXR189" s="387"/>
      <c r="AXS189" s="387"/>
      <c r="AXT189" s="387"/>
      <c r="AXU189" s="387"/>
      <c r="AXV189" s="387"/>
      <c r="AXW189" s="387"/>
      <c r="AXX189" s="387"/>
      <c r="AXY189" s="387"/>
      <c r="AXZ189" s="387"/>
      <c r="AYA189" s="387"/>
      <c r="AYB189" s="387"/>
      <c r="AYC189" s="387"/>
      <c r="AYD189" s="387"/>
      <c r="AYE189" s="387"/>
      <c r="AYF189" s="387"/>
      <c r="AYG189" s="387"/>
      <c r="AYH189" s="387"/>
      <c r="AYI189" s="387"/>
      <c r="AYJ189" s="387"/>
      <c r="AYK189" s="387"/>
      <c r="AYL189" s="387"/>
      <c r="AYM189" s="387"/>
      <c r="AYN189" s="387"/>
      <c r="AYO189" s="387"/>
      <c r="AYP189" s="387"/>
      <c r="AYQ189" s="387"/>
      <c r="AYR189" s="387"/>
      <c r="AYS189" s="387"/>
      <c r="AYT189" s="387"/>
      <c r="AYU189" s="387"/>
      <c r="AYV189" s="387"/>
      <c r="AYW189" s="387"/>
      <c r="AYX189" s="387"/>
      <c r="AYY189" s="387"/>
      <c r="AYZ189" s="387"/>
      <c r="AZA189" s="387"/>
      <c r="AZB189" s="387"/>
      <c r="AZC189" s="387"/>
      <c r="AZD189" s="387"/>
      <c r="AZE189" s="387"/>
      <c r="AZF189" s="387"/>
      <c r="AZG189" s="387"/>
      <c r="AZH189" s="387"/>
      <c r="AZI189" s="387"/>
      <c r="AZJ189" s="387"/>
      <c r="AZK189" s="387"/>
      <c r="AZL189" s="387"/>
      <c r="AZM189" s="387"/>
      <c r="AZN189" s="387"/>
      <c r="AZO189" s="387"/>
      <c r="AZP189" s="387"/>
      <c r="AZQ189" s="387"/>
      <c r="AZR189" s="387"/>
      <c r="AZS189" s="387"/>
      <c r="AZT189" s="387"/>
      <c r="AZU189" s="387"/>
      <c r="AZV189" s="387"/>
      <c r="AZW189" s="387"/>
      <c r="AZX189" s="387"/>
      <c r="AZY189" s="387"/>
      <c r="AZZ189" s="387"/>
      <c r="BAA189" s="387"/>
      <c r="BAB189" s="387"/>
      <c r="BAC189" s="387"/>
      <c r="BAD189" s="387"/>
      <c r="BAE189" s="387"/>
      <c r="BAF189" s="387"/>
      <c r="BAG189" s="387"/>
      <c r="BAH189" s="387"/>
      <c r="BAI189" s="387"/>
      <c r="BAJ189" s="387"/>
      <c r="BAK189" s="387"/>
      <c r="BAL189" s="387"/>
      <c r="BAM189" s="387"/>
      <c r="BAN189" s="387"/>
      <c r="BAO189" s="387"/>
      <c r="BAP189" s="387"/>
      <c r="BAQ189" s="387"/>
      <c r="BAR189" s="387"/>
      <c r="BAS189" s="387"/>
      <c r="BAT189" s="387"/>
      <c r="BAU189" s="387"/>
      <c r="BAV189" s="387"/>
      <c r="BAW189" s="387"/>
      <c r="BAX189" s="387"/>
      <c r="BAY189" s="387"/>
      <c r="BAZ189" s="387"/>
      <c r="BBA189" s="387"/>
      <c r="BBB189" s="387"/>
      <c r="BBC189" s="387"/>
      <c r="BBD189" s="387"/>
      <c r="BBE189" s="387"/>
      <c r="BBF189" s="387"/>
      <c r="BBG189" s="387"/>
      <c r="BBH189" s="387"/>
      <c r="BBI189" s="387"/>
      <c r="BBJ189" s="387"/>
      <c r="BBK189" s="387"/>
      <c r="BBL189" s="387"/>
      <c r="BBM189" s="387"/>
      <c r="BBN189" s="387"/>
      <c r="BBO189" s="387"/>
      <c r="BBP189" s="387"/>
      <c r="BBQ189" s="387"/>
      <c r="BBR189" s="387"/>
      <c r="BBS189" s="387"/>
      <c r="BBT189" s="387"/>
      <c r="BBU189" s="387"/>
      <c r="BBV189" s="387"/>
      <c r="BBW189" s="387"/>
      <c r="BBX189" s="387"/>
      <c r="BBY189" s="387"/>
      <c r="BBZ189" s="387"/>
      <c r="BCA189" s="387"/>
      <c r="BCB189" s="387"/>
      <c r="BCC189" s="387"/>
      <c r="BCD189" s="387"/>
      <c r="BCE189" s="387"/>
      <c r="BCF189" s="387"/>
      <c r="BCG189" s="387"/>
      <c r="BCH189" s="387"/>
      <c r="BCI189" s="387"/>
      <c r="BCJ189" s="387"/>
      <c r="BCK189" s="387"/>
      <c r="BCL189" s="387"/>
      <c r="BCM189" s="387"/>
      <c r="BCN189" s="387"/>
      <c r="BCO189" s="387"/>
      <c r="BCP189" s="387"/>
      <c r="BCQ189" s="387"/>
      <c r="BCR189" s="387"/>
      <c r="BCS189" s="387"/>
      <c r="BCT189" s="387"/>
      <c r="BCU189" s="387"/>
      <c r="BCV189" s="387"/>
      <c r="BCW189" s="387"/>
      <c r="BCX189" s="387"/>
      <c r="BCY189" s="387"/>
      <c r="BCZ189" s="387"/>
      <c r="BDA189" s="387"/>
      <c r="BDB189" s="387"/>
      <c r="BDC189" s="387"/>
      <c r="BDD189" s="387"/>
      <c r="BDE189" s="387"/>
      <c r="BDF189" s="387"/>
      <c r="BDG189" s="387"/>
      <c r="BDH189" s="387"/>
      <c r="BDI189" s="387"/>
      <c r="BDJ189" s="387"/>
      <c r="BDK189" s="387"/>
      <c r="BDL189" s="387"/>
      <c r="BDM189" s="387"/>
      <c r="BDN189" s="387"/>
      <c r="BDO189" s="387"/>
      <c r="BDP189" s="387"/>
      <c r="BDQ189" s="387"/>
      <c r="BDR189" s="387"/>
      <c r="BDS189" s="387"/>
      <c r="BDT189" s="387"/>
      <c r="BDU189" s="387"/>
      <c r="BDV189" s="387"/>
      <c r="BDW189" s="387"/>
      <c r="BDX189" s="387"/>
      <c r="BDY189" s="387"/>
      <c r="BDZ189" s="387"/>
      <c r="BEA189" s="387"/>
      <c r="BEB189" s="387"/>
      <c r="BEC189" s="387"/>
      <c r="BED189" s="387"/>
      <c r="BEE189" s="387"/>
      <c r="BEF189" s="387"/>
      <c r="BEG189" s="387"/>
      <c r="BEH189" s="387"/>
      <c r="BEI189" s="387"/>
      <c r="BEJ189" s="387"/>
      <c r="BEK189" s="387"/>
      <c r="BEL189" s="387"/>
      <c r="BEM189" s="387"/>
      <c r="BEN189" s="387"/>
      <c r="BEO189" s="387"/>
      <c r="BEP189" s="387"/>
      <c r="BEQ189" s="387"/>
      <c r="BER189" s="387"/>
      <c r="BES189" s="387"/>
      <c r="BET189" s="387"/>
      <c r="BEU189" s="387"/>
      <c r="BEV189" s="387"/>
      <c r="BEW189" s="387"/>
      <c r="BEX189" s="387"/>
      <c r="BEY189" s="387"/>
      <c r="BEZ189" s="387"/>
      <c r="BFA189" s="387"/>
      <c r="BFB189" s="387"/>
      <c r="BFC189" s="387"/>
      <c r="BFD189" s="387"/>
      <c r="BFE189" s="387"/>
      <c r="BFF189" s="387"/>
      <c r="BFG189" s="387"/>
      <c r="BFH189" s="387"/>
      <c r="BFI189" s="387"/>
      <c r="BFJ189" s="387"/>
      <c r="BFK189" s="387"/>
      <c r="BFL189" s="387"/>
      <c r="BFM189" s="387"/>
      <c r="BFN189" s="387"/>
      <c r="BFO189" s="387"/>
      <c r="BFP189" s="387"/>
      <c r="BFQ189" s="387"/>
      <c r="BFR189" s="387"/>
      <c r="BFS189" s="387"/>
      <c r="BFT189" s="387"/>
      <c r="BFU189" s="387"/>
      <c r="BFV189" s="387"/>
      <c r="BFW189" s="387"/>
      <c r="BFX189" s="387"/>
      <c r="BFY189" s="387"/>
      <c r="BFZ189" s="387"/>
      <c r="BGA189" s="387"/>
      <c r="BGB189" s="387"/>
      <c r="BGC189" s="387"/>
      <c r="BGD189" s="387"/>
      <c r="BGE189" s="387"/>
      <c r="BGF189" s="387"/>
      <c r="BGG189" s="387"/>
      <c r="BGH189" s="387"/>
      <c r="BGI189" s="387"/>
      <c r="BGJ189" s="387"/>
      <c r="BGK189" s="387"/>
      <c r="BGL189" s="387"/>
      <c r="BGM189" s="387"/>
      <c r="BGN189" s="387"/>
      <c r="BGO189" s="387"/>
      <c r="BGP189" s="387"/>
      <c r="BGQ189" s="387"/>
      <c r="BGR189" s="387"/>
      <c r="BGS189" s="387"/>
      <c r="BGT189" s="387"/>
      <c r="BGU189" s="387"/>
      <c r="BGV189" s="387"/>
      <c r="BGW189" s="387"/>
      <c r="BGX189" s="387"/>
      <c r="BGY189" s="387"/>
      <c r="BGZ189" s="387"/>
      <c r="BHA189" s="387"/>
      <c r="BHB189" s="387"/>
      <c r="BHC189" s="387"/>
      <c r="BHD189" s="387"/>
      <c r="BHE189" s="387"/>
      <c r="BHF189" s="387"/>
      <c r="BHG189" s="387"/>
      <c r="BHH189" s="387"/>
      <c r="BHI189" s="387"/>
      <c r="BHJ189" s="387"/>
      <c r="BHK189" s="387"/>
      <c r="BHL189" s="387"/>
      <c r="BHM189" s="387"/>
      <c r="BHN189" s="387"/>
      <c r="BHO189" s="387"/>
      <c r="BHP189" s="387"/>
      <c r="BHQ189" s="387"/>
      <c r="BHR189" s="387"/>
      <c r="BHS189" s="387"/>
      <c r="BHT189" s="387"/>
      <c r="BHU189" s="387"/>
      <c r="BHV189" s="387"/>
      <c r="BHW189" s="387"/>
      <c r="BHX189" s="387"/>
      <c r="BHY189" s="387"/>
      <c r="BHZ189" s="387"/>
      <c r="BIA189" s="387"/>
      <c r="BIB189" s="387"/>
      <c r="BIC189" s="387"/>
      <c r="BID189" s="387"/>
      <c r="BIE189" s="387"/>
      <c r="BIF189" s="387"/>
      <c r="BIG189" s="387"/>
      <c r="BIH189" s="387"/>
      <c r="BII189" s="387"/>
      <c r="BIJ189" s="387"/>
      <c r="BIK189" s="387"/>
      <c r="BIL189" s="387"/>
      <c r="BIM189" s="387"/>
      <c r="BIN189" s="387"/>
      <c r="BIO189" s="387"/>
      <c r="BIP189" s="387"/>
      <c r="BIQ189" s="387"/>
      <c r="BIR189" s="387"/>
      <c r="BIS189" s="387"/>
      <c r="BIT189" s="387"/>
      <c r="BIU189" s="387"/>
      <c r="BIV189" s="387"/>
      <c r="BIW189" s="387"/>
      <c r="BIX189" s="387"/>
      <c r="BIY189" s="387"/>
      <c r="BIZ189" s="387"/>
      <c r="BJA189" s="387"/>
      <c r="BJB189" s="387"/>
      <c r="BJC189" s="387"/>
      <c r="BJD189" s="387"/>
      <c r="BJE189" s="387"/>
      <c r="BJF189" s="387"/>
      <c r="BJG189" s="387"/>
      <c r="BJH189" s="387"/>
      <c r="BJI189" s="387"/>
      <c r="BJJ189" s="387"/>
      <c r="BJK189" s="387"/>
      <c r="BJL189" s="387"/>
      <c r="BJM189" s="387"/>
      <c r="BJN189" s="387"/>
      <c r="BJO189" s="387"/>
      <c r="BJP189" s="387"/>
      <c r="BJQ189" s="387"/>
      <c r="BJR189" s="387"/>
      <c r="BJS189" s="387"/>
      <c r="BJT189" s="387"/>
      <c r="BJU189" s="387"/>
      <c r="BJV189" s="387"/>
      <c r="BJW189" s="387"/>
      <c r="BJX189" s="387"/>
      <c r="BJY189" s="387"/>
      <c r="BJZ189" s="387"/>
      <c r="BKA189" s="387"/>
      <c r="BKB189" s="387"/>
      <c r="BKC189" s="387"/>
      <c r="BKD189" s="387"/>
      <c r="BKE189" s="387"/>
      <c r="BKF189" s="387"/>
      <c r="BKG189" s="387"/>
      <c r="BKH189" s="387"/>
      <c r="BKI189" s="387"/>
      <c r="BKJ189" s="387"/>
      <c r="BKK189" s="387"/>
      <c r="BKL189" s="387"/>
      <c r="BKM189" s="387"/>
      <c r="BKN189" s="387"/>
      <c r="BKO189" s="387"/>
      <c r="BKP189" s="387"/>
      <c r="BKQ189" s="387"/>
      <c r="BKR189" s="387"/>
      <c r="BKS189" s="387"/>
      <c r="BKT189" s="387"/>
      <c r="BKU189" s="387"/>
      <c r="BKV189" s="387"/>
      <c r="BKW189" s="387"/>
      <c r="BKX189" s="387"/>
      <c r="BKY189" s="387"/>
      <c r="BKZ189" s="387"/>
      <c r="BLA189" s="387"/>
      <c r="BLB189" s="387"/>
      <c r="BLC189" s="387"/>
      <c r="BLD189" s="387"/>
      <c r="BLE189" s="387"/>
      <c r="BLF189" s="387"/>
      <c r="BLG189" s="387"/>
      <c r="BLH189" s="387"/>
      <c r="BLI189" s="387"/>
      <c r="BLJ189" s="387"/>
      <c r="BLK189" s="387"/>
      <c r="BLL189" s="387"/>
      <c r="BLM189" s="387"/>
      <c r="BLN189" s="387"/>
      <c r="BLO189" s="387"/>
      <c r="BLP189" s="387"/>
      <c r="BLQ189" s="387"/>
      <c r="BLR189" s="387"/>
      <c r="BLS189" s="387"/>
      <c r="BLT189" s="387"/>
      <c r="BLU189" s="387"/>
      <c r="BLV189" s="387"/>
      <c r="BLW189" s="387"/>
      <c r="BLX189" s="387"/>
      <c r="BLY189" s="387"/>
      <c r="BLZ189" s="387"/>
      <c r="BMA189" s="387"/>
      <c r="BMB189" s="387"/>
      <c r="BMC189" s="387"/>
      <c r="BMD189" s="387"/>
      <c r="BME189" s="387"/>
      <c r="BMF189" s="387"/>
      <c r="BMG189" s="387"/>
      <c r="BMH189" s="387"/>
      <c r="BMI189" s="387"/>
      <c r="BMJ189" s="387"/>
      <c r="BMK189" s="387"/>
      <c r="BML189" s="387"/>
      <c r="BMM189" s="387"/>
      <c r="BMN189" s="387"/>
      <c r="BMO189" s="387"/>
      <c r="BMP189" s="387"/>
      <c r="BMQ189" s="387"/>
      <c r="BMR189" s="387"/>
      <c r="BMS189" s="387"/>
      <c r="BMT189" s="387"/>
      <c r="BMU189" s="387"/>
      <c r="BMV189" s="387"/>
      <c r="BMW189" s="387"/>
      <c r="BMX189" s="387"/>
      <c r="BMY189" s="387"/>
      <c r="BMZ189" s="387"/>
      <c r="BNA189" s="387"/>
      <c r="BNB189" s="387"/>
      <c r="BNC189" s="387"/>
      <c r="BND189" s="387"/>
      <c r="BNE189" s="387"/>
      <c r="BNF189" s="387"/>
      <c r="BNG189" s="387"/>
      <c r="BNH189" s="387"/>
      <c r="BNI189" s="387"/>
      <c r="BNJ189" s="387"/>
      <c r="BNK189" s="387"/>
      <c r="BNL189" s="387"/>
      <c r="BNM189" s="387"/>
      <c r="BNN189" s="387"/>
      <c r="BNO189" s="387"/>
      <c r="BNP189" s="387"/>
      <c r="BNQ189" s="387"/>
      <c r="BNR189" s="387"/>
      <c r="BNS189" s="387"/>
      <c r="BNT189" s="387"/>
      <c r="BNU189" s="387"/>
      <c r="BNV189" s="387"/>
      <c r="BNW189" s="387"/>
      <c r="BNX189" s="387"/>
      <c r="BNY189" s="387"/>
      <c r="BNZ189" s="387"/>
      <c r="BOA189" s="387"/>
      <c r="BOB189" s="387"/>
      <c r="BOC189" s="387"/>
      <c r="BOD189" s="387"/>
      <c r="BOE189" s="387"/>
      <c r="BOF189" s="387"/>
      <c r="BOG189" s="387"/>
      <c r="BOH189" s="387"/>
      <c r="BOI189" s="387"/>
      <c r="BOJ189" s="387"/>
      <c r="BOK189" s="387"/>
      <c r="BOL189" s="387"/>
      <c r="BOM189" s="387"/>
      <c r="BON189" s="387"/>
      <c r="BOO189" s="387"/>
      <c r="BOP189" s="387"/>
      <c r="BOQ189" s="387"/>
      <c r="BOR189" s="387"/>
      <c r="BOS189" s="387"/>
      <c r="BOT189" s="387"/>
      <c r="BOU189" s="387"/>
      <c r="BOV189" s="387"/>
      <c r="BOW189" s="387"/>
      <c r="BOX189" s="387"/>
      <c r="BOY189" s="387"/>
      <c r="BOZ189" s="387"/>
      <c r="BPA189" s="387"/>
      <c r="BPB189" s="387"/>
      <c r="BPC189" s="387"/>
      <c r="BPD189" s="387"/>
      <c r="BPE189" s="387"/>
      <c r="BPF189" s="387"/>
      <c r="BPG189" s="387"/>
      <c r="BPH189" s="387"/>
      <c r="BPI189" s="387"/>
      <c r="BPJ189" s="387"/>
      <c r="BPK189" s="387"/>
      <c r="BPL189" s="387"/>
      <c r="BPM189" s="387"/>
      <c r="BPN189" s="387"/>
      <c r="BPO189" s="387"/>
      <c r="BPP189" s="387"/>
      <c r="BPQ189" s="387"/>
      <c r="BPR189" s="387"/>
      <c r="BPS189" s="387"/>
      <c r="BPT189" s="387"/>
      <c r="BPU189" s="387"/>
      <c r="BPV189" s="387"/>
      <c r="BPW189" s="387"/>
      <c r="BPX189" s="387"/>
      <c r="BPY189" s="387"/>
      <c r="BPZ189" s="387"/>
      <c r="BQA189" s="387"/>
      <c r="BQB189" s="387"/>
      <c r="BQC189" s="387"/>
      <c r="BQD189" s="387"/>
      <c r="BQE189" s="387"/>
      <c r="BQF189" s="387"/>
      <c r="BQG189" s="387"/>
      <c r="BQH189" s="387"/>
      <c r="BQI189" s="387"/>
      <c r="BQJ189" s="387"/>
      <c r="BQK189" s="387"/>
      <c r="BQL189" s="387"/>
      <c r="BQM189" s="387"/>
      <c r="BQN189" s="387"/>
      <c r="BQO189" s="387"/>
      <c r="BQP189" s="387"/>
      <c r="BQQ189" s="387"/>
      <c r="BQR189" s="387"/>
      <c r="BQS189" s="387"/>
      <c r="BQT189" s="387"/>
      <c r="BQU189" s="387"/>
      <c r="BQV189" s="387"/>
      <c r="BQW189" s="387"/>
      <c r="BQX189" s="387"/>
      <c r="BQY189" s="387"/>
      <c r="BQZ189" s="387"/>
      <c r="BRA189" s="387"/>
      <c r="BRB189" s="387"/>
      <c r="BRC189" s="387"/>
      <c r="BRD189" s="387"/>
      <c r="BRE189" s="387"/>
      <c r="BRF189" s="387"/>
      <c r="BRG189" s="387"/>
      <c r="BRH189" s="387"/>
      <c r="BRI189" s="387"/>
      <c r="BRJ189" s="387"/>
      <c r="BRK189" s="387"/>
      <c r="BRL189" s="387"/>
      <c r="BRM189" s="387"/>
      <c r="BRN189" s="387"/>
      <c r="BRO189" s="387"/>
      <c r="BRP189" s="387"/>
      <c r="BRQ189" s="387"/>
      <c r="BRR189" s="387"/>
      <c r="BRS189" s="387"/>
      <c r="BRT189" s="387"/>
      <c r="BRU189" s="387"/>
      <c r="BRV189" s="387"/>
      <c r="BRW189" s="387"/>
      <c r="BRX189" s="387"/>
      <c r="BRY189" s="387"/>
      <c r="BRZ189" s="387"/>
      <c r="BSA189" s="387"/>
      <c r="BSB189" s="387"/>
      <c r="BSC189" s="387"/>
      <c r="BSD189" s="387"/>
      <c r="BSE189" s="387"/>
      <c r="BSF189" s="387"/>
      <c r="BSG189" s="387"/>
      <c r="BSH189" s="387"/>
      <c r="BSI189" s="387"/>
      <c r="BSJ189" s="387"/>
      <c r="BSK189" s="387"/>
      <c r="BSL189" s="387"/>
      <c r="BSM189" s="387"/>
      <c r="BSN189" s="387"/>
      <c r="BSO189" s="387"/>
      <c r="BSP189" s="387"/>
      <c r="BSQ189" s="387"/>
      <c r="BSR189" s="387"/>
      <c r="BSS189" s="387"/>
      <c r="BST189" s="387"/>
      <c r="BSU189" s="387"/>
      <c r="BSV189" s="387"/>
      <c r="BSW189" s="387"/>
      <c r="BSX189" s="387"/>
      <c r="BSY189" s="387"/>
      <c r="BSZ189" s="387"/>
      <c r="BTA189" s="387"/>
      <c r="BTB189" s="387"/>
      <c r="BTC189" s="387"/>
      <c r="BTD189" s="387"/>
      <c r="BTE189" s="387"/>
      <c r="BTF189" s="387"/>
      <c r="BTG189" s="387"/>
      <c r="BTH189" s="387"/>
      <c r="BTI189" s="387"/>
    </row>
    <row r="190" spans="1:1881" s="67" customFormat="1" ht="17.25" customHeight="1" x14ac:dyDescent="0.3">
      <c r="A190" s="187"/>
      <c r="B190" s="178"/>
      <c r="C190" s="178"/>
      <c r="D190" s="165"/>
      <c r="E190" s="10"/>
      <c r="F190" s="557"/>
      <c r="G190" s="311"/>
      <c r="H190" s="14"/>
      <c r="I190" s="31"/>
      <c r="J190" s="362"/>
      <c r="K190" s="387"/>
      <c r="L190" s="387"/>
      <c r="M190" s="387"/>
      <c r="N190"/>
      <c r="O190" s="387"/>
      <c r="P190" s="387"/>
      <c r="Q190" s="387"/>
      <c r="R190"/>
      <c r="S190" s="682"/>
      <c r="T190" s="387"/>
      <c r="U190" s="387"/>
      <c r="V190" s="387"/>
      <c r="W190" s="387"/>
      <c r="X190" s="682"/>
      <c r="Y190" s="387"/>
      <c r="Z190" s="387"/>
      <c r="AA190" s="387"/>
      <c r="AB190" s="387"/>
      <c r="AC190" s="387"/>
      <c r="AD190" s="387"/>
      <c r="AE190" s="387"/>
      <c r="AF190" s="387"/>
      <c r="AG190" s="387"/>
      <c r="AH190" s="387"/>
      <c r="AI190" s="387"/>
      <c r="AJ190" s="387"/>
      <c r="AK190" s="387"/>
      <c r="AL190" s="387"/>
      <c r="AM190" s="387"/>
      <c r="AN190" s="387"/>
      <c r="AO190" s="387"/>
      <c r="AP190" s="387"/>
      <c r="AQ190" s="387"/>
      <c r="AR190" s="387"/>
      <c r="AS190" s="387"/>
      <c r="AT190" s="387"/>
      <c r="AU190" s="387"/>
      <c r="AV190" s="387"/>
      <c r="AW190" s="387"/>
      <c r="AX190" s="387"/>
      <c r="AY190" s="387"/>
      <c r="AZ190" s="387"/>
      <c r="BA190" s="387"/>
      <c r="BB190" s="387"/>
      <c r="BC190" s="387"/>
      <c r="BD190" s="387"/>
      <c r="BE190" s="387"/>
      <c r="BF190" s="387"/>
      <c r="BG190" s="387"/>
      <c r="BH190" s="387"/>
      <c r="BI190" s="387"/>
      <c r="BJ190" s="387"/>
      <c r="BK190" s="387"/>
      <c r="BL190" s="387"/>
      <c r="BM190" s="387"/>
      <c r="BN190" s="387"/>
      <c r="BO190" s="387"/>
      <c r="BP190" s="387"/>
      <c r="BQ190" s="387"/>
      <c r="BR190" s="387"/>
      <c r="BS190" s="387"/>
      <c r="BT190" s="387"/>
      <c r="BU190" s="387"/>
      <c r="BV190" s="387"/>
      <c r="BW190" s="387"/>
      <c r="BX190" s="387"/>
      <c r="BY190" s="387"/>
      <c r="BZ190" s="387"/>
      <c r="CA190" s="387"/>
      <c r="CB190" s="387"/>
      <c r="CC190" s="387"/>
      <c r="CD190" s="387"/>
      <c r="CE190" s="387"/>
      <c r="CF190" s="387"/>
      <c r="CG190" s="387"/>
      <c r="CH190" s="387"/>
      <c r="CI190" s="387"/>
      <c r="CJ190" s="387"/>
      <c r="CK190" s="387"/>
      <c r="CL190" s="387"/>
      <c r="CM190" s="387"/>
      <c r="CN190" s="387"/>
      <c r="CO190" s="387"/>
      <c r="CP190" s="387"/>
      <c r="CQ190" s="387"/>
      <c r="CR190" s="387"/>
      <c r="CS190" s="387"/>
      <c r="CT190" s="387"/>
      <c r="CU190" s="387"/>
      <c r="CV190" s="387"/>
      <c r="CW190" s="387"/>
      <c r="CX190" s="387"/>
      <c r="CY190" s="387"/>
      <c r="CZ190" s="387"/>
      <c r="DA190" s="387"/>
      <c r="DB190" s="387"/>
      <c r="DC190" s="387"/>
      <c r="DD190" s="387"/>
      <c r="DE190" s="387"/>
      <c r="DF190" s="387"/>
      <c r="DG190" s="387"/>
      <c r="DH190" s="387"/>
      <c r="DI190" s="387"/>
      <c r="DJ190" s="387"/>
      <c r="DK190" s="387"/>
      <c r="DL190" s="387"/>
      <c r="DM190" s="387"/>
      <c r="DN190" s="387"/>
      <c r="DO190" s="387"/>
      <c r="DP190" s="387"/>
      <c r="DQ190" s="387"/>
      <c r="DR190" s="387"/>
      <c r="DS190" s="387"/>
      <c r="DT190" s="387"/>
      <c r="DU190" s="387"/>
      <c r="DV190" s="387"/>
      <c r="DW190" s="387"/>
      <c r="DX190" s="387"/>
      <c r="DY190" s="387"/>
      <c r="DZ190" s="387"/>
      <c r="EA190" s="387"/>
      <c r="EB190" s="387"/>
      <c r="EC190" s="387"/>
      <c r="ED190" s="387"/>
      <c r="EE190" s="387"/>
      <c r="EF190" s="387"/>
      <c r="EG190" s="387"/>
      <c r="EH190" s="387"/>
      <c r="EI190" s="387"/>
      <c r="EJ190" s="387"/>
      <c r="EK190" s="387"/>
      <c r="EL190" s="387"/>
      <c r="EM190" s="387"/>
      <c r="EN190" s="387"/>
      <c r="EO190" s="387"/>
      <c r="EP190" s="387"/>
      <c r="EQ190" s="387"/>
      <c r="ER190" s="387"/>
      <c r="ES190" s="387"/>
      <c r="ET190" s="387"/>
      <c r="EU190" s="387"/>
      <c r="EV190" s="387"/>
      <c r="EW190" s="387"/>
      <c r="EX190" s="387"/>
      <c r="EY190" s="387"/>
      <c r="EZ190" s="387"/>
      <c r="FA190" s="387"/>
      <c r="FB190" s="387"/>
      <c r="FC190" s="387"/>
      <c r="FD190" s="387"/>
      <c r="FE190" s="387"/>
      <c r="FF190" s="387"/>
      <c r="FG190" s="387"/>
      <c r="FH190" s="387"/>
      <c r="FI190" s="387"/>
      <c r="FJ190" s="387"/>
      <c r="FK190" s="387"/>
      <c r="FL190" s="387"/>
      <c r="FM190" s="387"/>
      <c r="FN190" s="387"/>
      <c r="FO190" s="387"/>
      <c r="FP190" s="387"/>
      <c r="FQ190" s="387"/>
      <c r="FR190" s="387"/>
      <c r="FS190" s="387"/>
      <c r="FT190" s="387"/>
      <c r="FU190" s="387"/>
      <c r="FV190" s="387"/>
      <c r="FW190" s="387"/>
      <c r="FX190" s="387"/>
      <c r="FY190" s="387"/>
      <c r="FZ190" s="387"/>
      <c r="GA190" s="387"/>
      <c r="GB190" s="387"/>
      <c r="GC190" s="387"/>
      <c r="GD190" s="387"/>
      <c r="GE190" s="387"/>
      <c r="GF190" s="387"/>
      <c r="GG190" s="387"/>
      <c r="GH190" s="387"/>
      <c r="GI190" s="387"/>
      <c r="GJ190" s="387"/>
      <c r="GK190" s="387"/>
      <c r="GL190" s="387"/>
      <c r="GM190" s="387"/>
      <c r="GN190" s="387"/>
      <c r="GO190" s="387"/>
      <c r="GP190" s="387"/>
      <c r="GQ190" s="387"/>
      <c r="GR190" s="387"/>
      <c r="GS190" s="387"/>
      <c r="GT190" s="387"/>
      <c r="GU190" s="387"/>
      <c r="GV190" s="387"/>
      <c r="GW190" s="387"/>
      <c r="GX190" s="387"/>
      <c r="GY190" s="387"/>
      <c r="GZ190" s="387"/>
      <c r="HA190" s="387"/>
      <c r="HB190" s="387"/>
      <c r="HC190" s="387"/>
      <c r="HD190" s="387"/>
      <c r="HE190" s="387"/>
      <c r="HF190" s="387"/>
      <c r="HG190" s="387"/>
      <c r="HH190" s="387"/>
      <c r="HI190" s="387"/>
      <c r="HJ190" s="387"/>
      <c r="HK190" s="387"/>
      <c r="HL190" s="387"/>
      <c r="HM190" s="387"/>
      <c r="HN190" s="387"/>
      <c r="HO190" s="387"/>
      <c r="HP190" s="387"/>
      <c r="HQ190" s="387"/>
      <c r="HR190" s="387"/>
      <c r="HS190" s="387"/>
      <c r="HT190" s="387"/>
      <c r="HU190" s="387"/>
      <c r="HV190" s="387"/>
      <c r="HW190" s="387"/>
      <c r="HX190" s="387"/>
      <c r="HY190" s="387"/>
      <c r="HZ190" s="387"/>
      <c r="IA190" s="387"/>
      <c r="IB190" s="387"/>
      <c r="IC190" s="387"/>
      <c r="ID190" s="387"/>
      <c r="IE190" s="387"/>
      <c r="IF190" s="387"/>
      <c r="IG190" s="387"/>
      <c r="IH190" s="387"/>
      <c r="II190" s="387"/>
      <c r="IJ190" s="387"/>
      <c r="IK190" s="387"/>
      <c r="IL190" s="387"/>
      <c r="IM190" s="387"/>
      <c r="IN190" s="387"/>
      <c r="IO190" s="387"/>
      <c r="IP190" s="387"/>
      <c r="IQ190" s="387"/>
      <c r="IR190" s="387"/>
      <c r="IS190" s="387"/>
      <c r="IT190" s="387"/>
      <c r="IU190" s="387"/>
      <c r="IV190" s="387"/>
      <c r="IW190" s="387"/>
      <c r="IX190" s="387"/>
      <c r="IY190" s="387"/>
      <c r="IZ190" s="387"/>
      <c r="JA190" s="387"/>
      <c r="JB190" s="387"/>
      <c r="JC190" s="387"/>
      <c r="JD190" s="387"/>
      <c r="JE190" s="387"/>
      <c r="JF190" s="387"/>
      <c r="JG190" s="387"/>
      <c r="JH190" s="387"/>
      <c r="JI190" s="387"/>
      <c r="JJ190" s="387"/>
      <c r="JK190" s="387"/>
      <c r="JL190" s="387"/>
      <c r="JM190" s="387"/>
      <c r="JN190" s="387"/>
      <c r="JO190" s="387"/>
      <c r="JP190" s="387"/>
      <c r="JQ190" s="387"/>
      <c r="JR190" s="387"/>
      <c r="JS190" s="387"/>
      <c r="JT190" s="387"/>
      <c r="JU190" s="387"/>
      <c r="JV190" s="387"/>
      <c r="JW190" s="387"/>
      <c r="JX190" s="387"/>
      <c r="JY190" s="387"/>
      <c r="JZ190" s="387"/>
      <c r="KA190" s="387"/>
      <c r="KB190" s="387"/>
      <c r="KC190" s="387"/>
      <c r="KD190" s="387"/>
      <c r="KE190" s="387"/>
      <c r="KF190" s="387"/>
      <c r="KG190" s="387"/>
      <c r="KH190" s="387"/>
      <c r="KI190" s="387"/>
      <c r="KJ190" s="387"/>
      <c r="KK190" s="387"/>
      <c r="KL190" s="387"/>
      <c r="KM190" s="387"/>
      <c r="KN190" s="387"/>
      <c r="KO190" s="387"/>
      <c r="KP190" s="387"/>
      <c r="KQ190" s="387"/>
      <c r="KR190" s="387"/>
      <c r="KS190" s="387"/>
      <c r="KT190" s="387"/>
      <c r="KU190" s="387"/>
      <c r="KV190" s="387"/>
      <c r="KW190" s="387"/>
      <c r="KX190" s="387"/>
      <c r="KY190" s="387"/>
      <c r="KZ190" s="387"/>
      <c r="LA190" s="387"/>
      <c r="LB190" s="387"/>
      <c r="LC190" s="387"/>
      <c r="LD190" s="387"/>
      <c r="LE190" s="387"/>
      <c r="LF190" s="387"/>
      <c r="LG190" s="387"/>
      <c r="LH190" s="387"/>
      <c r="LI190" s="387"/>
      <c r="LJ190" s="387"/>
      <c r="LK190" s="387"/>
      <c r="LL190" s="387"/>
      <c r="LM190" s="387"/>
      <c r="LN190" s="387"/>
      <c r="LO190" s="387"/>
      <c r="LP190" s="387"/>
      <c r="LQ190" s="387"/>
      <c r="LR190" s="387"/>
      <c r="LS190" s="387"/>
      <c r="LT190" s="387"/>
      <c r="LU190" s="387"/>
      <c r="LV190" s="387"/>
      <c r="LW190" s="387"/>
      <c r="LX190" s="387"/>
      <c r="LY190" s="387"/>
      <c r="LZ190" s="387"/>
      <c r="MA190" s="387"/>
      <c r="MB190" s="387"/>
      <c r="MC190" s="387"/>
      <c r="MD190" s="387"/>
      <c r="ME190" s="387"/>
      <c r="MF190" s="387"/>
      <c r="MG190" s="387"/>
      <c r="MH190" s="387"/>
      <c r="MI190" s="387"/>
      <c r="MJ190" s="387"/>
      <c r="MK190" s="387"/>
      <c r="ML190" s="387"/>
      <c r="MM190" s="387"/>
      <c r="MN190" s="387"/>
      <c r="MO190" s="387"/>
      <c r="MP190" s="387"/>
      <c r="MQ190" s="387"/>
      <c r="MR190" s="387"/>
      <c r="MS190" s="387"/>
      <c r="MT190" s="387"/>
      <c r="MU190" s="387"/>
      <c r="MV190" s="387"/>
      <c r="MW190" s="387"/>
      <c r="MX190" s="387"/>
      <c r="MY190" s="387"/>
      <c r="MZ190" s="387"/>
      <c r="NA190" s="387"/>
      <c r="NB190" s="387"/>
      <c r="NC190" s="387"/>
      <c r="ND190" s="387"/>
      <c r="NE190" s="387"/>
      <c r="NF190" s="387"/>
      <c r="NG190" s="387"/>
      <c r="NH190" s="387"/>
      <c r="NI190" s="387"/>
      <c r="NJ190" s="387"/>
      <c r="NK190" s="387"/>
      <c r="NL190" s="387"/>
      <c r="NM190" s="387"/>
      <c r="NN190" s="387"/>
      <c r="NO190" s="387"/>
      <c r="NP190" s="387"/>
      <c r="NQ190" s="387"/>
      <c r="NR190" s="387"/>
      <c r="NS190" s="387"/>
      <c r="NT190" s="387"/>
      <c r="NU190" s="387"/>
      <c r="NV190" s="387"/>
      <c r="NW190" s="387"/>
      <c r="NX190" s="387"/>
      <c r="NY190" s="387"/>
      <c r="NZ190" s="387"/>
      <c r="OA190" s="387"/>
      <c r="OB190" s="387"/>
      <c r="OC190" s="387"/>
      <c r="OD190" s="387"/>
      <c r="OE190" s="387"/>
      <c r="OF190" s="387"/>
      <c r="OG190" s="387"/>
      <c r="OH190" s="387"/>
      <c r="OI190" s="387"/>
      <c r="OJ190" s="387"/>
      <c r="OK190" s="387"/>
      <c r="OL190" s="387"/>
      <c r="OM190" s="387"/>
      <c r="ON190" s="387"/>
      <c r="OO190" s="387"/>
      <c r="OP190" s="387"/>
      <c r="OQ190" s="387"/>
      <c r="OR190" s="387"/>
      <c r="OS190" s="387"/>
      <c r="OT190" s="387"/>
      <c r="OU190" s="387"/>
      <c r="OV190" s="387"/>
      <c r="OW190" s="387"/>
      <c r="OX190" s="387"/>
      <c r="OY190" s="387"/>
      <c r="OZ190" s="387"/>
      <c r="PA190" s="387"/>
      <c r="PB190" s="387"/>
      <c r="PC190" s="387"/>
      <c r="PD190" s="387"/>
      <c r="PE190" s="387"/>
      <c r="PF190" s="387"/>
      <c r="PG190" s="387"/>
      <c r="PH190" s="387"/>
      <c r="PI190" s="387"/>
      <c r="PJ190" s="387"/>
      <c r="PK190" s="387"/>
      <c r="PL190" s="387"/>
      <c r="PM190" s="387"/>
      <c r="PN190" s="387"/>
      <c r="PO190" s="387"/>
      <c r="PP190" s="387"/>
      <c r="PQ190" s="387"/>
      <c r="PR190" s="387"/>
      <c r="PS190" s="387"/>
      <c r="PT190" s="387"/>
      <c r="PU190" s="387"/>
      <c r="PV190" s="387"/>
      <c r="PW190" s="387"/>
      <c r="PX190" s="387"/>
      <c r="PY190" s="387"/>
      <c r="PZ190" s="387"/>
      <c r="QA190" s="387"/>
      <c r="QB190" s="387"/>
      <c r="QC190" s="387"/>
      <c r="QD190" s="387"/>
      <c r="QE190" s="387"/>
      <c r="QF190" s="387"/>
      <c r="QG190" s="387"/>
      <c r="QH190" s="387"/>
      <c r="QI190" s="387"/>
      <c r="QJ190" s="387"/>
      <c r="QK190" s="387"/>
      <c r="QL190" s="387"/>
      <c r="QM190" s="387"/>
      <c r="QN190" s="387"/>
      <c r="QO190" s="387"/>
      <c r="QP190" s="387"/>
      <c r="QQ190" s="387"/>
      <c r="QR190" s="387"/>
      <c r="QS190" s="387"/>
      <c r="QT190" s="387"/>
      <c r="QU190" s="387"/>
      <c r="QV190" s="387"/>
      <c r="QW190" s="387"/>
      <c r="QX190" s="387"/>
      <c r="QY190" s="387"/>
      <c r="QZ190" s="387"/>
      <c r="RA190" s="387"/>
      <c r="RB190" s="387"/>
      <c r="RC190" s="387"/>
      <c r="RD190" s="387"/>
      <c r="RE190" s="387"/>
      <c r="RF190" s="387"/>
      <c r="RG190" s="387"/>
      <c r="RH190" s="387"/>
      <c r="RI190" s="387"/>
      <c r="RJ190" s="387"/>
      <c r="RK190" s="387"/>
      <c r="RL190" s="387"/>
      <c r="RM190" s="387"/>
      <c r="RN190" s="387"/>
      <c r="RO190" s="387"/>
      <c r="RP190" s="387"/>
      <c r="RQ190" s="387"/>
      <c r="RR190" s="387"/>
      <c r="RS190" s="387"/>
      <c r="RT190" s="387"/>
      <c r="RU190" s="387"/>
      <c r="RV190" s="387"/>
      <c r="RW190" s="387"/>
      <c r="RX190" s="387"/>
      <c r="RY190" s="387"/>
      <c r="RZ190" s="387"/>
      <c r="SA190" s="387"/>
      <c r="SB190" s="387"/>
      <c r="SC190" s="387"/>
      <c r="SD190" s="387"/>
      <c r="SE190" s="387"/>
      <c r="SF190" s="387"/>
      <c r="SG190" s="387"/>
      <c r="SH190" s="387"/>
      <c r="SI190" s="387"/>
      <c r="SJ190" s="387"/>
      <c r="SK190" s="387"/>
      <c r="SL190" s="387"/>
      <c r="SM190" s="387"/>
      <c r="SN190" s="387"/>
      <c r="SO190" s="387"/>
      <c r="SP190" s="387"/>
      <c r="SQ190" s="387"/>
      <c r="SR190" s="387"/>
      <c r="SS190" s="387"/>
      <c r="ST190" s="387"/>
      <c r="SU190" s="387"/>
      <c r="SV190" s="387"/>
      <c r="SW190" s="387"/>
      <c r="SX190" s="387"/>
      <c r="SY190" s="387"/>
      <c r="SZ190" s="387"/>
      <c r="TA190" s="387"/>
      <c r="TB190" s="387"/>
      <c r="TC190" s="387"/>
      <c r="TD190" s="387"/>
      <c r="TE190" s="387"/>
      <c r="TF190" s="387"/>
      <c r="TG190" s="387"/>
      <c r="TH190" s="387"/>
      <c r="TI190" s="387"/>
      <c r="TJ190" s="387"/>
      <c r="TK190" s="387"/>
      <c r="TL190" s="387"/>
      <c r="TM190" s="387"/>
      <c r="TN190" s="387"/>
      <c r="TO190" s="387"/>
      <c r="TP190" s="387"/>
      <c r="TQ190" s="387"/>
      <c r="TR190" s="387"/>
      <c r="TS190" s="387"/>
      <c r="TT190" s="387"/>
      <c r="TU190" s="387"/>
      <c r="TV190" s="387"/>
      <c r="TW190" s="387"/>
      <c r="TX190" s="387"/>
      <c r="TY190" s="387"/>
      <c r="TZ190" s="387"/>
      <c r="UA190" s="387"/>
      <c r="UB190" s="387"/>
      <c r="UC190" s="387"/>
      <c r="UD190" s="387"/>
      <c r="UE190" s="387"/>
      <c r="UF190" s="387"/>
      <c r="UG190" s="387"/>
      <c r="UH190" s="387"/>
      <c r="UI190" s="387"/>
      <c r="UJ190" s="387"/>
      <c r="UK190" s="387"/>
      <c r="UL190" s="387"/>
      <c r="UM190" s="387"/>
      <c r="UN190" s="387"/>
      <c r="UO190" s="387"/>
      <c r="UP190" s="387"/>
      <c r="UQ190" s="387"/>
      <c r="UR190" s="387"/>
      <c r="US190" s="387"/>
      <c r="UT190" s="387"/>
      <c r="UU190" s="387"/>
      <c r="UV190" s="387"/>
      <c r="UW190" s="387"/>
      <c r="UX190" s="387"/>
      <c r="UY190" s="387"/>
      <c r="UZ190" s="387"/>
      <c r="VA190" s="387"/>
      <c r="VB190" s="387"/>
      <c r="VC190" s="387"/>
      <c r="VD190" s="387"/>
      <c r="VE190" s="387"/>
      <c r="VF190" s="387"/>
      <c r="VG190" s="387"/>
      <c r="VH190" s="387"/>
      <c r="VI190" s="387"/>
      <c r="VJ190" s="387"/>
      <c r="VK190" s="387"/>
      <c r="VL190" s="387"/>
      <c r="VM190" s="387"/>
      <c r="VN190" s="387"/>
      <c r="VO190" s="387"/>
      <c r="VP190" s="387"/>
      <c r="VQ190" s="387"/>
      <c r="VR190" s="387"/>
      <c r="VS190" s="387"/>
      <c r="VT190" s="387"/>
      <c r="VU190" s="387"/>
      <c r="VV190" s="387"/>
      <c r="VW190" s="387"/>
      <c r="VX190" s="387"/>
      <c r="VY190" s="387"/>
      <c r="VZ190" s="387"/>
      <c r="WA190" s="387"/>
      <c r="WB190" s="387"/>
      <c r="WC190" s="387"/>
      <c r="WD190" s="387"/>
      <c r="WE190" s="387"/>
      <c r="WF190" s="387"/>
      <c r="WG190" s="387"/>
      <c r="WH190" s="387"/>
      <c r="WI190" s="387"/>
      <c r="WJ190" s="387"/>
      <c r="WK190" s="387"/>
      <c r="WL190" s="387"/>
      <c r="WM190" s="387"/>
      <c r="WN190" s="387"/>
      <c r="WO190" s="387"/>
      <c r="WP190" s="387"/>
      <c r="WQ190" s="387"/>
      <c r="WR190" s="387"/>
      <c r="WS190" s="387"/>
      <c r="WT190" s="387"/>
      <c r="WU190" s="387"/>
      <c r="WV190" s="387"/>
      <c r="WW190" s="387"/>
      <c r="WX190" s="387"/>
      <c r="WY190" s="387"/>
      <c r="WZ190" s="387"/>
      <c r="XA190" s="387"/>
      <c r="XB190" s="387"/>
      <c r="XC190" s="387"/>
      <c r="XD190" s="387"/>
      <c r="XE190" s="387"/>
      <c r="XF190" s="387"/>
      <c r="XG190" s="387"/>
      <c r="XH190" s="387"/>
      <c r="XI190" s="387"/>
      <c r="XJ190" s="387"/>
      <c r="XK190" s="387"/>
      <c r="XL190" s="387"/>
      <c r="XM190" s="387"/>
      <c r="XN190" s="387"/>
      <c r="XO190" s="387"/>
      <c r="XP190" s="387"/>
      <c r="XQ190" s="387"/>
      <c r="XR190" s="387"/>
      <c r="XS190" s="387"/>
      <c r="XT190" s="387"/>
      <c r="XU190" s="387"/>
      <c r="XV190" s="387"/>
      <c r="XW190" s="387"/>
      <c r="XX190" s="387"/>
      <c r="XY190" s="387"/>
      <c r="XZ190" s="387"/>
      <c r="YA190" s="387"/>
      <c r="YB190" s="387"/>
      <c r="YC190" s="387"/>
      <c r="YD190" s="387"/>
      <c r="YE190" s="387"/>
      <c r="YF190" s="387"/>
      <c r="YG190" s="387"/>
      <c r="YH190" s="387"/>
      <c r="YI190" s="387"/>
      <c r="YJ190" s="387"/>
      <c r="YK190" s="387"/>
      <c r="YL190" s="387"/>
      <c r="YM190" s="387"/>
      <c r="YN190" s="387"/>
      <c r="YO190" s="387"/>
      <c r="YP190" s="387"/>
      <c r="YQ190" s="387"/>
      <c r="YR190" s="387"/>
      <c r="YS190" s="387"/>
      <c r="YT190" s="387"/>
      <c r="YU190" s="387"/>
      <c r="YV190" s="387"/>
      <c r="YW190" s="387"/>
      <c r="YX190" s="387"/>
      <c r="YY190" s="387"/>
      <c r="YZ190" s="387"/>
      <c r="ZA190" s="387"/>
      <c r="ZB190" s="387"/>
      <c r="ZC190" s="387"/>
      <c r="ZD190" s="387"/>
      <c r="ZE190" s="387"/>
      <c r="ZF190" s="387"/>
      <c r="ZG190" s="387"/>
      <c r="ZH190" s="387"/>
      <c r="ZI190" s="387"/>
      <c r="ZJ190" s="387"/>
      <c r="ZK190" s="387"/>
      <c r="ZL190" s="387"/>
      <c r="ZM190" s="387"/>
      <c r="ZN190" s="387"/>
      <c r="ZO190" s="387"/>
      <c r="ZP190" s="387"/>
      <c r="ZQ190" s="387"/>
      <c r="ZR190" s="387"/>
      <c r="ZS190" s="387"/>
      <c r="ZT190" s="387"/>
      <c r="ZU190" s="387"/>
      <c r="ZV190" s="387"/>
      <c r="ZW190" s="387"/>
      <c r="ZX190" s="387"/>
      <c r="ZY190" s="387"/>
      <c r="ZZ190" s="387"/>
      <c r="AAA190" s="387"/>
      <c r="AAB190" s="387"/>
      <c r="AAC190" s="387"/>
      <c r="AAD190" s="387"/>
      <c r="AAE190" s="387"/>
      <c r="AAF190" s="387"/>
      <c r="AAG190" s="387"/>
      <c r="AAH190" s="387"/>
      <c r="AAI190" s="387"/>
      <c r="AAJ190" s="387"/>
      <c r="AAK190" s="387"/>
      <c r="AAL190" s="387"/>
      <c r="AAM190" s="387"/>
      <c r="AAN190" s="387"/>
      <c r="AAO190" s="387"/>
      <c r="AAP190" s="387"/>
      <c r="AAQ190" s="387"/>
      <c r="AAR190" s="387"/>
      <c r="AAS190" s="387"/>
      <c r="AAT190" s="387"/>
      <c r="AAU190" s="387"/>
      <c r="AAV190" s="387"/>
      <c r="AAW190" s="387"/>
      <c r="AAX190" s="387"/>
      <c r="AAY190" s="387"/>
      <c r="AAZ190" s="387"/>
      <c r="ABA190" s="387"/>
      <c r="ABB190" s="387"/>
      <c r="ABC190" s="387"/>
      <c r="ABD190" s="387"/>
      <c r="ABE190" s="387"/>
      <c r="ABF190" s="387"/>
      <c r="ABG190" s="387"/>
      <c r="ABH190" s="387"/>
      <c r="ABI190" s="387"/>
      <c r="ABJ190" s="387"/>
      <c r="ABK190" s="387"/>
      <c r="ABL190" s="387"/>
      <c r="ABM190" s="387"/>
      <c r="ABN190" s="387"/>
      <c r="ABO190" s="387"/>
      <c r="ABP190" s="387"/>
      <c r="ABQ190" s="387"/>
      <c r="ABR190" s="387"/>
      <c r="ABS190" s="387"/>
      <c r="ABT190" s="387"/>
      <c r="ABU190" s="387"/>
      <c r="ABV190" s="387"/>
      <c r="ABW190" s="387"/>
      <c r="ABX190" s="387"/>
      <c r="ABY190" s="387"/>
      <c r="ABZ190" s="387"/>
      <c r="ACA190" s="387"/>
      <c r="ACB190" s="387"/>
      <c r="ACC190" s="387"/>
      <c r="ACD190" s="387"/>
      <c r="ACE190" s="387"/>
      <c r="ACF190" s="387"/>
      <c r="ACG190" s="387"/>
      <c r="ACH190" s="387"/>
      <c r="ACI190" s="387"/>
      <c r="ACJ190" s="387"/>
      <c r="ACK190" s="387"/>
      <c r="ACL190" s="387"/>
      <c r="ACM190" s="387"/>
      <c r="ACN190" s="387"/>
      <c r="ACO190" s="387"/>
      <c r="ACP190" s="387"/>
      <c r="ACQ190" s="387"/>
      <c r="ACR190" s="387"/>
      <c r="ACS190" s="387"/>
      <c r="ACT190" s="387"/>
      <c r="ACU190" s="387"/>
      <c r="ACV190" s="387"/>
      <c r="ACW190" s="387"/>
      <c r="ACX190" s="387"/>
      <c r="ACY190" s="387"/>
      <c r="ACZ190" s="387"/>
      <c r="ADA190" s="387"/>
      <c r="ADB190" s="387"/>
      <c r="ADC190" s="387"/>
      <c r="ADD190" s="387"/>
      <c r="ADE190" s="387"/>
      <c r="ADF190" s="387"/>
      <c r="ADG190" s="387"/>
      <c r="ADH190" s="387"/>
      <c r="ADI190" s="387"/>
      <c r="ADJ190" s="387"/>
      <c r="ADK190" s="387"/>
      <c r="ADL190" s="387"/>
      <c r="ADM190" s="387"/>
      <c r="ADN190" s="387"/>
      <c r="ADO190" s="387"/>
      <c r="ADP190" s="387"/>
      <c r="ADQ190" s="387"/>
      <c r="ADR190" s="387"/>
      <c r="ADS190" s="387"/>
      <c r="ADT190" s="387"/>
      <c r="ADU190" s="387"/>
      <c r="ADV190" s="387"/>
      <c r="ADW190" s="387"/>
      <c r="ADX190" s="387"/>
      <c r="ADY190" s="387"/>
      <c r="ADZ190" s="387"/>
      <c r="AEA190" s="387"/>
      <c r="AEB190" s="387"/>
      <c r="AEC190" s="387"/>
      <c r="AED190" s="387"/>
      <c r="AEE190" s="387"/>
      <c r="AEF190" s="387"/>
      <c r="AEG190" s="387"/>
      <c r="AEH190" s="387"/>
      <c r="AEI190" s="387"/>
      <c r="AEJ190" s="387"/>
      <c r="AEK190" s="387"/>
      <c r="AEL190" s="387"/>
      <c r="AEM190" s="387"/>
      <c r="AEN190" s="387"/>
      <c r="AEO190" s="387"/>
      <c r="AEP190" s="387"/>
      <c r="AEQ190" s="387"/>
      <c r="AER190" s="387"/>
      <c r="AES190" s="387"/>
      <c r="AET190" s="387"/>
      <c r="AEU190" s="387"/>
      <c r="AEV190" s="387"/>
      <c r="AEW190" s="387"/>
      <c r="AEX190" s="387"/>
      <c r="AEY190" s="387"/>
      <c r="AEZ190" s="387"/>
      <c r="AFA190" s="387"/>
      <c r="AFB190" s="387"/>
      <c r="AFC190" s="387"/>
      <c r="AFD190" s="387"/>
      <c r="AFE190" s="387"/>
      <c r="AFF190" s="387"/>
      <c r="AFG190" s="387"/>
      <c r="AFH190" s="387"/>
      <c r="AFI190" s="387"/>
      <c r="AFJ190" s="387"/>
      <c r="AFK190" s="387"/>
      <c r="AFL190" s="387"/>
      <c r="AFM190" s="387"/>
      <c r="AFN190" s="387"/>
      <c r="AFO190" s="387"/>
      <c r="AFP190" s="387"/>
      <c r="AFQ190" s="387"/>
      <c r="AFR190" s="387"/>
      <c r="AFS190" s="387"/>
      <c r="AFT190" s="387"/>
      <c r="AFU190" s="387"/>
      <c r="AFV190" s="387"/>
      <c r="AFW190" s="387"/>
      <c r="AFX190" s="387"/>
      <c r="AFY190" s="387"/>
      <c r="AFZ190" s="387"/>
      <c r="AGA190" s="387"/>
      <c r="AGB190" s="387"/>
      <c r="AGC190" s="387"/>
      <c r="AGD190" s="387"/>
      <c r="AGE190" s="387"/>
      <c r="AGF190" s="387"/>
      <c r="AGG190" s="387"/>
      <c r="AGH190" s="387"/>
      <c r="AGI190" s="387"/>
      <c r="AGJ190" s="387"/>
      <c r="AGK190" s="387"/>
      <c r="AGL190" s="387"/>
      <c r="AGM190" s="387"/>
      <c r="AGN190" s="387"/>
      <c r="AGO190" s="387"/>
      <c r="AGP190" s="387"/>
      <c r="AGQ190" s="387"/>
      <c r="AGR190" s="387"/>
      <c r="AGS190" s="387"/>
      <c r="AGT190" s="387"/>
      <c r="AGU190" s="387"/>
      <c r="AGV190" s="387"/>
      <c r="AGW190" s="387"/>
      <c r="AGX190" s="387"/>
      <c r="AGY190" s="387"/>
      <c r="AGZ190" s="387"/>
      <c r="AHA190" s="387"/>
      <c r="AHB190" s="387"/>
      <c r="AHC190" s="387"/>
      <c r="AHD190" s="387"/>
      <c r="AHE190" s="387"/>
      <c r="AHF190" s="387"/>
      <c r="AHG190" s="387"/>
      <c r="AHH190" s="387"/>
      <c r="AHI190" s="387"/>
      <c r="AHJ190" s="387"/>
      <c r="AHK190" s="387"/>
      <c r="AHL190" s="387"/>
      <c r="AHM190" s="387"/>
      <c r="AHN190" s="387"/>
      <c r="AHO190" s="387"/>
      <c r="AHP190" s="387"/>
      <c r="AHQ190" s="387"/>
      <c r="AHR190" s="387"/>
      <c r="AHS190" s="387"/>
      <c r="AHT190" s="387"/>
      <c r="AHU190" s="387"/>
      <c r="AHV190" s="387"/>
      <c r="AHW190" s="387"/>
      <c r="AHX190" s="387"/>
      <c r="AHY190" s="387"/>
      <c r="AHZ190" s="387"/>
      <c r="AIA190" s="387"/>
      <c r="AIB190" s="387"/>
      <c r="AIC190" s="387"/>
      <c r="AID190" s="387"/>
      <c r="AIE190" s="387"/>
      <c r="AIF190" s="387"/>
      <c r="AIG190" s="387"/>
      <c r="AIH190" s="387"/>
      <c r="AII190" s="387"/>
      <c r="AIJ190" s="387"/>
      <c r="AIK190" s="387"/>
      <c r="AIL190" s="387"/>
      <c r="AIM190" s="387"/>
      <c r="AIN190" s="387"/>
      <c r="AIO190" s="387"/>
      <c r="AIP190" s="387"/>
      <c r="AIQ190" s="387"/>
      <c r="AIR190" s="387"/>
      <c r="AIS190" s="387"/>
      <c r="AIT190" s="387"/>
      <c r="AIU190" s="387"/>
      <c r="AIV190" s="387"/>
      <c r="AIW190" s="387"/>
      <c r="AIX190" s="387"/>
      <c r="AIY190" s="387"/>
      <c r="AIZ190" s="387"/>
      <c r="AJA190" s="387"/>
      <c r="AJB190" s="387"/>
      <c r="AJC190" s="387"/>
      <c r="AJD190" s="387"/>
      <c r="AJE190" s="387"/>
      <c r="AJF190" s="387"/>
      <c r="AJG190" s="387"/>
      <c r="AJH190" s="387"/>
      <c r="AJI190" s="387"/>
      <c r="AJJ190" s="387"/>
      <c r="AJK190" s="387"/>
      <c r="AJL190" s="387"/>
      <c r="AJM190" s="387"/>
      <c r="AJN190" s="387"/>
      <c r="AJO190" s="387"/>
      <c r="AJP190" s="387"/>
      <c r="AJQ190" s="387"/>
      <c r="AJR190" s="387"/>
      <c r="AJS190" s="387"/>
      <c r="AJT190" s="387"/>
      <c r="AJU190" s="387"/>
      <c r="AJV190" s="387"/>
      <c r="AJW190" s="387"/>
      <c r="AJX190" s="387"/>
      <c r="AJY190" s="387"/>
      <c r="AJZ190" s="387"/>
      <c r="AKA190" s="387"/>
      <c r="AKB190" s="387"/>
      <c r="AKC190" s="387"/>
      <c r="AKD190" s="387"/>
      <c r="AKE190" s="387"/>
      <c r="AKF190" s="387"/>
      <c r="AKG190" s="387"/>
      <c r="AKH190" s="387"/>
      <c r="AKI190" s="387"/>
      <c r="AKJ190" s="387"/>
      <c r="AKK190" s="387"/>
      <c r="AKL190" s="387"/>
      <c r="AKM190" s="387"/>
      <c r="AKN190" s="387"/>
      <c r="AKO190" s="387"/>
      <c r="AKP190" s="387"/>
      <c r="AKQ190" s="387"/>
      <c r="AKR190" s="387"/>
      <c r="AKS190" s="387"/>
      <c r="AKT190" s="387"/>
      <c r="AKU190" s="387"/>
      <c r="AKV190" s="387"/>
      <c r="AKW190" s="387"/>
      <c r="AKX190" s="387"/>
      <c r="AKY190" s="387"/>
      <c r="AKZ190" s="387"/>
      <c r="ALA190" s="387"/>
      <c r="ALB190" s="387"/>
      <c r="ALC190" s="387"/>
      <c r="ALD190" s="387"/>
      <c r="ALE190" s="387"/>
      <c r="ALF190" s="387"/>
      <c r="ALG190" s="387"/>
      <c r="ALH190" s="387"/>
      <c r="ALI190" s="387"/>
      <c r="ALJ190" s="387"/>
      <c r="ALK190" s="387"/>
      <c r="ALL190" s="387"/>
      <c r="ALM190" s="387"/>
      <c r="ALN190" s="387"/>
      <c r="ALO190" s="387"/>
      <c r="ALP190" s="387"/>
      <c r="ALQ190" s="387"/>
      <c r="ALR190" s="387"/>
      <c r="ALS190" s="387"/>
      <c r="ALT190" s="387"/>
      <c r="ALU190" s="387"/>
      <c r="ALV190" s="387"/>
      <c r="ALW190" s="387"/>
      <c r="ALX190" s="387"/>
      <c r="ALY190" s="387"/>
      <c r="ALZ190" s="387"/>
      <c r="AMA190" s="387"/>
      <c r="AMB190" s="387"/>
      <c r="AMC190" s="387"/>
      <c r="AMD190" s="387"/>
      <c r="AME190" s="387"/>
      <c r="AMF190" s="387"/>
      <c r="AMG190" s="387"/>
      <c r="AMH190" s="387"/>
      <c r="AMI190" s="387"/>
      <c r="AMJ190" s="387"/>
      <c r="AMK190" s="387"/>
      <c r="AML190" s="387"/>
      <c r="AMM190" s="387"/>
      <c r="AMN190" s="387"/>
      <c r="AMO190" s="387"/>
      <c r="AMP190" s="387"/>
      <c r="AMQ190" s="387"/>
      <c r="AMR190" s="387"/>
      <c r="AMS190" s="387"/>
      <c r="AMT190" s="387"/>
      <c r="AMU190" s="387"/>
      <c r="AMV190" s="387"/>
      <c r="AMW190" s="387"/>
      <c r="AMX190" s="387"/>
      <c r="AMY190" s="387"/>
      <c r="AMZ190" s="387"/>
      <c r="ANA190" s="387"/>
      <c r="ANB190" s="387"/>
      <c r="ANC190" s="387"/>
      <c r="AND190" s="387"/>
      <c r="ANE190" s="387"/>
      <c r="ANF190" s="387"/>
      <c r="ANG190" s="387"/>
      <c r="ANH190" s="387"/>
      <c r="ANI190" s="387"/>
      <c r="ANJ190" s="387"/>
      <c r="ANK190" s="387"/>
      <c r="ANL190" s="387"/>
      <c r="ANM190" s="387"/>
      <c r="ANN190" s="387"/>
      <c r="ANO190" s="387"/>
      <c r="ANP190" s="387"/>
      <c r="ANQ190" s="387"/>
      <c r="ANR190" s="387"/>
      <c r="ANS190" s="387"/>
      <c r="ANT190" s="387"/>
      <c r="ANU190" s="387"/>
      <c r="ANV190" s="387"/>
      <c r="ANW190" s="387"/>
      <c r="ANX190" s="387"/>
      <c r="ANY190" s="387"/>
      <c r="ANZ190" s="387"/>
      <c r="AOA190" s="387"/>
      <c r="AOB190" s="387"/>
      <c r="AOC190" s="387"/>
      <c r="AOD190" s="387"/>
      <c r="AOE190" s="387"/>
      <c r="AOF190" s="387"/>
      <c r="AOG190" s="387"/>
      <c r="AOH190" s="387"/>
      <c r="AOI190" s="387"/>
      <c r="AOJ190" s="387"/>
      <c r="AOK190" s="387"/>
      <c r="AOL190" s="387"/>
      <c r="AOM190" s="387"/>
      <c r="AON190" s="387"/>
      <c r="AOO190" s="387"/>
      <c r="AOP190" s="387"/>
      <c r="AOQ190" s="387"/>
      <c r="AOR190" s="387"/>
      <c r="AOS190" s="387"/>
      <c r="AOT190" s="387"/>
      <c r="AOU190" s="387"/>
      <c r="AOV190" s="387"/>
      <c r="AOW190" s="387"/>
      <c r="AOX190" s="387"/>
      <c r="AOY190" s="387"/>
      <c r="AOZ190" s="387"/>
      <c r="APA190" s="387"/>
      <c r="APB190" s="387"/>
      <c r="APC190" s="387"/>
      <c r="APD190" s="387"/>
      <c r="APE190" s="387"/>
      <c r="APF190" s="387"/>
      <c r="APG190" s="387"/>
      <c r="APH190" s="387"/>
      <c r="API190" s="387"/>
      <c r="APJ190" s="387"/>
      <c r="APK190" s="387"/>
      <c r="APL190" s="387"/>
      <c r="APM190" s="387"/>
      <c r="APN190" s="387"/>
      <c r="APO190" s="387"/>
      <c r="APP190" s="387"/>
      <c r="APQ190" s="387"/>
      <c r="APR190" s="387"/>
      <c r="APS190" s="387"/>
      <c r="APT190" s="387"/>
      <c r="APU190" s="387"/>
      <c r="APV190" s="387"/>
      <c r="APW190" s="387"/>
      <c r="APX190" s="387"/>
      <c r="APY190" s="387"/>
      <c r="APZ190" s="387"/>
      <c r="AQA190" s="387"/>
      <c r="AQB190" s="387"/>
      <c r="AQC190" s="387"/>
      <c r="AQD190" s="387"/>
      <c r="AQE190" s="387"/>
      <c r="AQF190" s="387"/>
      <c r="AQG190" s="387"/>
      <c r="AQH190" s="387"/>
      <c r="AQI190" s="387"/>
      <c r="AQJ190" s="387"/>
      <c r="AQK190" s="387"/>
      <c r="AQL190" s="387"/>
      <c r="AQM190" s="387"/>
      <c r="AQN190" s="387"/>
      <c r="AQO190" s="387"/>
      <c r="AQP190" s="387"/>
      <c r="AQQ190" s="387"/>
      <c r="AQR190" s="387"/>
      <c r="AQS190" s="387"/>
      <c r="AQT190" s="387"/>
      <c r="AQU190" s="387"/>
      <c r="AQV190" s="387"/>
      <c r="AQW190" s="387"/>
      <c r="AQX190" s="387"/>
      <c r="AQY190" s="387"/>
      <c r="AQZ190" s="387"/>
      <c r="ARA190" s="387"/>
      <c r="ARB190" s="387"/>
      <c r="ARC190" s="387"/>
      <c r="ARD190" s="387"/>
      <c r="ARE190" s="387"/>
      <c r="ARF190" s="387"/>
      <c r="ARG190" s="387"/>
      <c r="ARH190" s="387"/>
      <c r="ARI190" s="387"/>
      <c r="ARJ190" s="387"/>
      <c r="ARK190" s="387"/>
      <c r="ARL190" s="387"/>
      <c r="ARM190" s="387"/>
      <c r="ARN190" s="387"/>
      <c r="ARO190" s="387"/>
      <c r="ARP190" s="387"/>
      <c r="ARQ190" s="387"/>
      <c r="ARR190" s="387"/>
      <c r="ARS190" s="387"/>
      <c r="ART190" s="387"/>
      <c r="ARU190" s="387"/>
      <c r="ARV190" s="387"/>
      <c r="ARW190" s="387"/>
      <c r="ARX190" s="387"/>
      <c r="ARY190" s="387"/>
      <c r="ARZ190" s="387"/>
      <c r="ASA190" s="387"/>
      <c r="ASB190" s="387"/>
      <c r="ASC190" s="387"/>
      <c r="ASD190" s="387"/>
      <c r="ASE190" s="387"/>
      <c r="ASF190" s="387"/>
      <c r="ASG190" s="387"/>
      <c r="ASH190" s="387"/>
      <c r="ASI190" s="387"/>
      <c r="ASJ190" s="387"/>
      <c r="ASK190" s="387"/>
      <c r="ASL190" s="387"/>
      <c r="ASM190" s="387"/>
      <c r="ASN190" s="387"/>
      <c r="ASO190" s="387"/>
      <c r="ASP190" s="387"/>
      <c r="ASQ190" s="387"/>
      <c r="ASR190" s="387"/>
      <c r="ASS190" s="387"/>
      <c r="AST190" s="387"/>
      <c r="ASU190" s="387"/>
      <c r="ASV190" s="387"/>
      <c r="ASW190" s="387"/>
      <c r="ASX190" s="387"/>
      <c r="ASY190" s="387"/>
      <c r="ASZ190" s="387"/>
      <c r="ATA190" s="387"/>
      <c r="ATB190" s="387"/>
      <c r="ATC190" s="387"/>
      <c r="ATD190" s="387"/>
      <c r="ATE190" s="387"/>
      <c r="ATF190" s="387"/>
      <c r="ATG190" s="387"/>
      <c r="ATH190" s="387"/>
      <c r="ATI190" s="387"/>
      <c r="ATJ190" s="387"/>
      <c r="ATK190" s="387"/>
      <c r="ATL190" s="387"/>
      <c r="ATM190" s="387"/>
      <c r="ATN190" s="387"/>
      <c r="ATO190" s="387"/>
      <c r="ATP190" s="387"/>
      <c r="ATQ190" s="387"/>
      <c r="ATR190" s="387"/>
      <c r="ATS190" s="387"/>
      <c r="ATT190" s="387"/>
      <c r="ATU190" s="387"/>
      <c r="ATV190" s="387"/>
      <c r="ATW190" s="387"/>
      <c r="ATX190" s="387"/>
      <c r="ATY190" s="387"/>
      <c r="ATZ190" s="387"/>
      <c r="AUA190" s="387"/>
      <c r="AUB190" s="387"/>
      <c r="AUC190" s="387"/>
      <c r="AUD190" s="387"/>
      <c r="AUE190" s="387"/>
      <c r="AUF190" s="387"/>
      <c r="AUG190" s="387"/>
      <c r="AUH190" s="387"/>
      <c r="AUI190" s="387"/>
      <c r="AUJ190" s="387"/>
      <c r="AUK190" s="387"/>
      <c r="AUL190" s="387"/>
      <c r="AUM190" s="387"/>
      <c r="AUN190" s="387"/>
      <c r="AUO190" s="387"/>
      <c r="AUP190" s="387"/>
      <c r="AUQ190" s="387"/>
      <c r="AUR190" s="387"/>
      <c r="AUS190" s="387"/>
      <c r="AUT190" s="387"/>
      <c r="AUU190" s="387"/>
      <c r="AUV190" s="387"/>
      <c r="AUW190" s="387"/>
      <c r="AUX190" s="387"/>
      <c r="AUY190" s="387"/>
      <c r="AUZ190" s="387"/>
      <c r="AVA190" s="387"/>
      <c r="AVB190" s="387"/>
      <c r="AVC190" s="387"/>
      <c r="AVD190" s="387"/>
      <c r="AVE190" s="387"/>
      <c r="AVF190" s="387"/>
      <c r="AVG190" s="387"/>
      <c r="AVH190" s="387"/>
      <c r="AVI190" s="387"/>
      <c r="AVJ190" s="387"/>
      <c r="AVK190" s="387"/>
      <c r="AVL190" s="387"/>
      <c r="AVM190" s="387"/>
      <c r="AVN190" s="387"/>
      <c r="AVO190" s="387"/>
      <c r="AVP190" s="387"/>
      <c r="AVQ190" s="387"/>
      <c r="AVR190" s="387"/>
      <c r="AVS190" s="387"/>
      <c r="AVT190" s="387"/>
      <c r="AVU190" s="387"/>
      <c r="AVV190" s="387"/>
      <c r="AVW190" s="387"/>
      <c r="AVX190" s="387"/>
      <c r="AVY190" s="387"/>
      <c r="AVZ190" s="387"/>
      <c r="AWA190" s="387"/>
      <c r="AWB190" s="387"/>
      <c r="AWC190" s="387"/>
      <c r="AWD190" s="387"/>
      <c r="AWE190" s="387"/>
      <c r="AWF190" s="387"/>
      <c r="AWG190" s="387"/>
      <c r="AWH190" s="387"/>
      <c r="AWI190" s="387"/>
      <c r="AWJ190" s="387"/>
      <c r="AWK190" s="387"/>
      <c r="AWL190" s="387"/>
      <c r="AWM190" s="387"/>
      <c r="AWN190" s="387"/>
      <c r="AWO190" s="387"/>
      <c r="AWP190" s="387"/>
      <c r="AWQ190" s="387"/>
      <c r="AWR190" s="387"/>
      <c r="AWS190" s="387"/>
      <c r="AWT190" s="387"/>
      <c r="AWU190" s="387"/>
      <c r="AWV190" s="387"/>
      <c r="AWW190" s="387"/>
      <c r="AWX190" s="387"/>
      <c r="AWY190" s="387"/>
      <c r="AWZ190" s="387"/>
      <c r="AXA190" s="387"/>
      <c r="AXB190" s="387"/>
      <c r="AXC190" s="387"/>
      <c r="AXD190" s="387"/>
      <c r="AXE190" s="387"/>
      <c r="AXF190" s="387"/>
      <c r="AXG190" s="387"/>
      <c r="AXH190" s="387"/>
      <c r="AXI190" s="387"/>
      <c r="AXJ190" s="387"/>
      <c r="AXK190" s="387"/>
      <c r="AXL190" s="387"/>
      <c r="AXM190" s="387"/>
      <c r="AXN190" s="387"/>
      <c r="AXO190" s="387"/>
      <c r="AXP190" s="387"/>
      <c r="AXQ190" s="387"/>
      <c r="AXR190" s="387"/>
      <c r="AXS190" s="387"/>
      <c r="AXT190" s="387"/>
      <c r="AXU190" s="387"/>
      <c r="AXV190" s="387"/>
      <c r="AXW190" s="387"/>
      <c r="AXX190" s="387"/>
      <c r="AXY190" s="387"/>
      <c r="AXZ190" s="387"/>
      <c r="AYA190" s="387"/>
      <c r="AYB190" s="387"/>
      <c r="AYC190" s="387"/>
      <c r="AYD190" s="387"/>
      <c r="AYE190" s="387"/>
      <c r="AYF190" s="387"/>
      <c r="AYG190" s="387"/>
      <c r="AYH190" s="387"/>
      <c r="AYI190" s="387"/>
      <c r="AYJ190" s="387"/>
      <c r="AYK190" s="387"/>
      <c r="AYL190" s="387"/>
      <c r="AYM190" s="387"/>
      <c r="AYN190" s="387"/>
      <c r="AYO190" s="387"/>
      <c r="AYP190" s="387"/>
      <c r="AYQ190" s="387"/>
      <c r="AYR190" s="387"/>
      <c r="AYS190" s="387"/>
      <c r="AYT190" s="387"/>
      <c r="AYU190" s="387"/>
      <c r="AYV190" s="387"/>
      <c r="AYW190" s="387"/>
      <c r="AYX190" s="387"/>
      <c r="AYY190" s="387"/>
      <c r="AYZ190" s="387"/>
      <c r="AZA190" s="387"/>
      <c r="AZB190" s="387"/>
      <c r="AZC190" s="387"/>
      <c r="AZD190" s="387"/>
      <c r="AZE190" s="387"/>
      <c r="AZF190" s="387"/>
      <c r="AZG190" s="387"/>
      <c r="AZH190" s="387"/>
      <c r="AZI190" s="387"/>
      <c r="AZJ190" s="387"/>
      <c r="AZK190" s="387"/>
      <c r="AZL190" s="387"/>
      <c r="AZM190" s="387"/>
      <c r="AZN190" s="387"/>
      <c r="AZO190" s="387"/>
      <c r="AZP190" s="387"/>
      <c r="AZQ190" s="387"/>
      <c r="AZR190" s="387"/>
      <c r="AZS190" s="387"/>
      <c r="AZT190" s="387"/>
      <c r="AZU190" s="387"/>
      <c r="AZV190" s="387"/>
      <c r="AZW190" s="387"/>
      <c r="AZX190" s="387"/>
      <c r="AZY190" s="387"/>
      <c r="AZZ190" s="387"/>
      <c r="BAA190" s="387"/>
      <c r="BAB190" s="387"/>
      <c r="BAC190" s="387"/>
      <c r="BAD190" s="387"/>
      <c r="BAE190" s="387"/>
      <c r="BAF190" s="387"/>
      <c r="BAG190" s="387"/>
      <c r="BAH190" s="387"/>
      <c r="BAI190" s="387"/>
      <c r="BAJ190" s="387"/>
      <c r="BAK190" s="387"/>
      <c r="BAL190" s="387"/>
      <c r="BAM190" s="387"/>
      <c r="BAN190" s="387"/>
      <c r="BAO190" s="387"/>
      <c r="BAP190" s="387"/>
      <c r="BAQ190" s="387"/>
      <c r="BAR190" s="387"/>
      <c r="BAS190" s="387"/>
      <c r="BAT190" s="387"/>
      <c r="BAU190" s="387"/>
      <c r="BAV190" s="387"/>
      <c r="BAW190" s="387"/>
      <c r="BAX190" s="387"/>
      <c r="BAY190" s="387"/>
      <c r="BAZ190" s="387"/>
      <c r="BBA190" s="387"/>
      <c r="BBB190" s="387"/>
      <c r="BBC190" s="387"/>
      <c r="BBD190" s="387"/>
      <c r="BBE190" s="387"/>
      <c r="BBF190" s="387"/>
      <c r="BBG190" s="387"/>
      <c r="BBH190" s="387"/>
      <c r="BBI190" s="387"/>
      <c r="BBJ190" s="387"/>
      <c r="BBK190" s="387"/>
      <c r="BBL190" s="387"/>
      <c r="BBM190" s="387"/>
      <c r="BBN190" s="387"/>
      <c r="BBO190" s="387"/>
      <c r="BBP190" s="387"/>
      <c r="BBQ190" s="387"/>
      <c r="BBR190" s="387"/>
      <c r="BBS190" s="387"/>
      <c r="BBT190" s="387"/>
      <c r="BBU190" s="387"/>
      <c r="BBV190" s="387"/>
      <c r="BBW190" s="387"/>
      <c r="BBX190" s="387"/>
      <c r="BBY190" s="387"/>
      <c r="BBZ190" s="387"/>
      <c r="BCA190" s="387"/>
      <c r="BCB190" s="387"/>
      <c r="BCC190" s="387"/>
      <c r="BCD190" s="387"/>
      <c r="BCE190" s="387"/>
      <c r="BCF190" s="387"/>
      <c r="BCG190" s="387"/>
      <c r="BCH190" s="387"/>
      <c r="BCI190" s="387"/>
      <c r="BCJ190" s="387"/>
      <c r="BCK190" s="387"/>
      <c r="BCL190" s="387"/>
      <c r="BCM190" s="387"/>
      <c r="BCN190" s="387"/>
      <c r="BCO190" s="387"/>
      <c r="BCP190" s="387"/>
      <c r="BCQ190" s="387"/>
      <c r="BCR190" s="387"/>
      <c r="BCS190" s="387"/>
      <c r="BCT190" s="387"/>
      <c r="BCU190" s="387"/>
      <c r="BCV190" s="387"/>
      <c r="BCW190" s="387"/>
      <c r="BCX190" s="387"/>
      <c r="BCY190" s="387"/>
      <c r="BCZ190" s="387"/>
      <c r="BDA190" s="387"/>
      <c r="BDB190" s="387"/>
      <c r="BDC190" s="387"/>
      <c r="BDD190" s="387"/>
      <c r="BDE190" s="387"/>
      <c r="BDF190" s="387"/>
      <c r="BDG190" s="387"/>
      <c r="BDH190" s="387"/>
      <c r="BDI190" s="387"/>
      <c r="BDJ190" s="387"/>
      <c r="BDK190" s="387"/>
      <c r="BDL190" s="387"/>
      <c r="BDM190" s="387"/>
      <c r="BDN190" s="387"/>
      <c r="BDO190" s="387"/>
      <c r="BDP190" s="387"/>
      <c r="BDQ190" s="387"/>
      <c r="BDR190" s="387"/>
      <c r="BDS190" s="387"/>
      <c r="BDT190" s="387"/>
      <c r="BDU190" s="387"/>
      <c r="BDV190" s="387"/>
      <c r="BDW190" s="387"/>
      <c r="BDX190" s="387"/>
      <c r="BDY190" s="387"/>
      <c r="BDZ190" s="387"/>
      <c r="BEA190" s="387"/>
      <c r="BEB190" s="387"/>
      <c r="BEC190" s="387"/>
      <c r="BED190" s="387"/>
      <c r="BEE190" s="387"/>
      <c r="BEF190" s="387"/>
      <c r="BEG190" s="387"/>
      <c r="BEH190" s="387"/>
      <c r="BEI190" s="387"/>
      <c r="BEJ190" s="387"/>
      <c r="BEK190" s="387"/>
      <c r="BEL190" s="387"/>
      <c r="BEM190" s="387"/>
      <c r="BEN190" s="387"/>
      <c r="BEO190" s="387"/>
      <c r="BEP190" s="387"/>
      <c r="BEQ190" s="387"/>
      <c r="BER190" s="387"/>
      <c r="BES190" s="387"/>
      <c r="BET190" s="387"/>
      <c r="BEU190" s="387"/>
      <c r="BEV190" s="387"/>
      <c r="BEW190" s="387"/>
      <c r="BEX190" s="387"/>
      <c r="BEY190" s="387"/>
      <c r="BEZ190" s="387"/>
      <c r="BFA190" s="387"/>
      <c r="BFB190" s="387"/>
      <c r="BFC190" s="387"/>
      <c r="BFD190" s="387"/>
      <c r="BFE190" s="387"/>
      <c r="BFF190" s="387"/>
      <c r="BFG190" s="387"/>
      <c r="BFH190" s="387"/>
      <c r="BFI190" s="387"/>
      <c r="BFJ190" s="387"/>
      <c r="BFK190" s="387"/>
      <c r="BFL190" s="387"/>
      <c r="BFM190" s="387"/>
      <c r="BFN190" s="387"/>
      <c r="BFO190" s="387"/>
      <c r="BFP190" s="387"/>
      <c r="BFQ190" s="387"/>
      <c r="BFR190" s="387"/>
      <c r="BFS190" s="387"/>
      <c r="BFT190" s="387"/>
      <c r="BFU190" s="387"/>
      <c r="BFV190" s="387"/>
      <c r="BFW190" s="387"/>
      <c r="BFX190" s="387"/>
      <c r="BFY190" s="387"/>
      <c r="BFZ190" s="387"/>
      <c r="BGA190" s="387"/>
      <c r="BGB190" s="387"/>
      <c r="BGC190" s="387"/>
      <c r="BGD190" s="387"/>
      <c r="BGE190" s="387"/>
      <c r="BGF190" s="387"/>
      <c r="BGG190" s="387"/>
      <c r="BGH190" s="387"/>
      <c r="BGI190" s="387"/>
      <c r="BGJ190" s="387"/>
      <c r="BGK190" s="387"/>
      <c r="BGL190" s="387"/>
      <c r="BGM190" s="387"/>
      <c r="BGN190" s="387"/>
      <c r="BGO190" s="387"/>
      <c r="BGP190" s="387"/>
      <c r="BGQ190" s="387"/>
      <c r="BGR190" s="387"/>
      <c r="BGS190" s="387"/>
      <c r="BGT190" s="387"/>
      <c r="BGU190" s="387"/>
      <c r="BGV190" s="387"/>
      <c r="BGW190" s="387"/>
      <c r="BGX190" s="387"/>
      <c r="BGY190" s="387"/>
      <c r="BGZ190" s="387"/>
      <c r="BHA190" s="387"/>
      <c r="BHB190" s="387"/>
      <c r="BHC190" s="387"/>
      <c r="BHD190" s="387"/>
      <c r="BHE190" s="387"/>
      <c r="BHF190" s="387"/>
      <c r="BHG190" s="387"/>
      <c r="BHH190" s="387"/>
      <c r="BHI190" s="387"/>
      <c r="BHJ190" s="387"/>
      <c r="BHK190" s="387"/>
      <c r="BHL190" s="387"/>
      <c r="BHM190" s="387"/>
      <c r="BHN190" s="387"/>
      <c r="BHO190" s="387"/>
      <c r="BHP190" s="387"/>
      <c r="BHQ190" s="387"/>
      <c r="BHR190" s="387"/>
      <c r="BHS190" s="387"/>
      <c r="BHT190" s="387"/>
      <c r="BHU190" s="387"/>
      <c r="BHV190" s="387"/>
      <c r="BHW190" s="387"/>
      <c r="BHX190" s="387"/>
      <c r="BHY190" s="387"/>
      <c r="BHZ190" s="387"/>
      <c r="BIA190" s="387"/>
      <c r="BIB190" s="387"/>
      <c r="BIC190" s="387"/>
      <c r="BID190" s="387"/>
      <c r="BIE190" s="387"/>
      <c r="BIF190" s="387"/>
      <c r="BIG190" s="387"/>
      <c r="BIH190" s="387"/>
      <c r="BII190" s="387"/>
      <c r="BIJ190" s="387"/>
      <c r="BIK190" s="387"/>
      <c r="BIL190" s="387"/>
      <c r="BIM190" s="387"/>
      <c r="BIN190" s="387"/>
      <c r="BIO190" s="387"/>
      <c r="BIP190" s="387"/>
      <c r="BIQ190" s="387"/>
      <c r="BIR190" s="387"/>
      <c r="BIS190" s="387"/>
      <c r="BIT190" s="387"/>
      <c r="BIU190" s="387"/>
      <c r="BIV190" s="387"/>
      <c r="BIW190" s="387"/>
      <c r="BIX190" s="387"/>
      <c r="BIY190" s="387"/>
      <c r="BIZ190" s="387"/>
      <c r="BJA190" s="387"/>
      <c r="BJB190" s="387"/>
      <c r="BJC190" s="387"/>
      <c r="BJD190" s="387"/>
      <c r="BJE190" s="387"/>
      <c r="BJF190" s="387"/>
      <c r="BJG190" s="387"/>
      <c r="BJH190" s="387"/>
      <c r="BJI190" s="387"/>
      <c r="BJJ190" s="387"/>
      <c r="BJK190" s="387"/>
      <c r="BJL190" s="387"/>
      <c r="BJM190" s="387"/>
      <c r="BJN190" s="387"/>
      <c r="BJO190" s="387"/>
      <c r="BJP190" s="387"/>
      <c r="BJQ190" s="387"/>
      <c r="BJR190" s="387"/>
      <c r="BJS190" s="387"/>
      <c r="BJT190" s="387"/>
      <c r="BJU190" s="387"/>
      <c r="BJV190" s="387"/>
      <c r="BJW190" s="387"/>
      <c r="BJX190" s="387"/>
      <c r="BJY190" s="387"/>
      <c r="BJZ190" s="387"/>
      <c r="BKA190" s="387"/>
      <c r="BKB190" s="387"/>
      <c r="BKC190" s="387"/>
      <c r="BKD190" s="387"/>
      <c r="BKE190" s="387"/>
      <c r="BKF190" s="387"/>
      <c r="BKG190" s="387"/>
      <c r="BKH190" s="387"/>
      <c r="BKI190" s="387"/>
      <c r="BKJ190" s="387"/>
      <c r="BKK190" s="387"/>
      <c r="BKL190" s="387"/>
      <c r="BKM190" s="387"/>
      <c r="BKN190" s="387"/>
      <c r="BKO190" s="387"/>
      <c r="BKP190" s="387"/>
      <c r="BKQ190" s="387"/>
      <c r="BKR190" s="387"/>
      <c r="BKS190" s="387"/>
      <c r="BKT190" s="387"/>
      <c r="BKU190" s="387"/>
      <c r="BKV190" s="387"/>
      <c r="BKW190" s="387"/>
      <c r="BKX190" s="387"/>
      <c r="BKY190" s="387"/>
      <c r="BKZ190" s="387"/>
      <c r="BLA190" s="387"/>
      <c r="BLB190" s="387"/>
      <c r="BLC190" s="387"/>
      <c r="BLD190" s="387"/>
      <c r="BLE190" s="387"/>
      <c r="BLF190" s="387"/>
      <c r="BLG190" s="387"/>
      <c r="BLH190" s="387"/>
      <c r="BLI190" s="387"/>
      <c r="BLJ190" s="387"/>
      <c r="BLK190" s="387"/>
      <c r="BLL190" s="387"/>
      <c r="BLM190" s="387"/>
      <c r="BLN190" s="387"/>
      <c r="BLO190" s="387"/>
      <c r="BLP190" s="387"/>
      <c r="BLQ190" s="387"/>
      <c r="BLR190" s="387"/>
      <c r="BLS190" s="387"/>
      <c r="BLT190" s="387"/>
      <c r="BLU190" s="387"/>
      <c r="BLV190" s="387"/>
      <c r="BLW190" s="387"/>
      <c r="BLX190" s="387"/>
      <c r="BLY190" s="387"/>
      <c r="BLZ190" s="387"/>
      <c r="BMA190" s="387"/>
      <c r="BMB190" s="387"/>
      <c r="BMC190" s="387"/>
      <c r="BMD190" s="387"/>
      <c r="BME190" s="387"/>
      <c r="BMF190" s="387"/>
      <c r="BMG190" s="387"/>
      <c r="BMH190" s="387"/>
      <c r="BMI190" s="387"/>
      <c r="BMJ190" s="387"/>
      <c r="BMK190" s="387"/>
      <c r="BML190" s="387"/>
      <c r="BMM190" s="387"/>
      <c r="BMN190" s="387"/>
      <c r="BMO190" s="387"/>
      <c r="BMP190" s="387"/>
      <c r="BMQ190" s="387"/>
      <c r="BMR190" s="387"/>
      <c r="BMS190" s="387"/>
      <c r="BMT190" s="387"/>
      <c r="BMU190" s="387"/>
      <c r="BMV190" s="387"/>
      <c r="BMW190" s="387"/>
      <c r="BMX190" s="387"/>
      <c r="BMY190" s="387"/>
      <c r="BMZ190" s="387"/>
      <c r="BNA190" s="387"/>
      <c r="BNB190" s="387"/>
      <c r="BNC190" s="387"/>
      <c r="BND190" s="387"/>
      <c r="BNE190" s="387"/>
      <c r="BNF190" s="387"/>
      <c r="BNG190" s="387"/>
      <c r="BNH190" s="387"/>
      <c r="BNI190" s="387"/>
      <c r="BNJ190" s="387"/>
      <c r="BNK190" s="387"/>
      <c r="BNL190" s="387"/>
      <c r="BNM190" s="387"/>
      <c r="BNN190" s="387"/>
      <c r="BNO190" s="387"/>
      <c r="BNP190" s="387"/>
      <c r="BNQ190" s="387"/>
      <c r="BNR190" s="387"/>
      <c r="BNS190" s="387"/>
      <c r="BNT190" s="387"/>
      <c r="BNU190" s="387"/>
      <c r="BNV190" s="387"/>
      <c r="BNW190" s="387"/>
      <c r="BNX190" s="387"/>
      <c r="BNY190" s="387"/>
      <c r="BNZ190" s="387"/>
      <c r="BOA190" s="387"/>
      <c r="BOB190" s="387"/>
      <c r="BOC190" s="387"/>
      <c r="BOD190" s="387"/>
      <c r="BOE190" s="387"/>
      <c r="BOF190" s="387"/>
      <c r="BOG190" s="387"/>
      <c r="BOH190" s="387"/>
      <c r="BOI190" s="387"/>
      <c r="BOJ190" s="387"/>
      <c r="BOK190" s="387"/>
      <c r="BOL190" s="387"/>
      <c r="BOM190" s="387"/>
      <c r="BON190" s="387"/>
      <c r="BOO190" s="387"/>
      <c r="BOP190" s="387"/>
      <c r="BOQ190" s="387"/>
      <c r="BOR190" s="387"/>
      <c r="BOS190" s="387"/>
      <c r="BOT190" s="387"/>
      <c r="BOU190" s="387"/>
      <c r="BOV190" s="387"/>
      <c r="BOW190" s="387"/>
      <c r="BOX190" s="387"/>
      <c r="BOY190" s="387"/>
      <c r="BOZ190" s="387"/>
      <c r="BPA190" s="387"/>
      <c r="BPB190" s="387"/>
      <c r="BPC190" s="387"/>
      <c r="BPD190" s="387"/>
      <c r="BPE190" s="387"/>
      <c r="BPF190" s="387"/>
      <c r="BPG190" s="387"/>
      <c r="BPH190" s="387"/>
      <c r="BPI190" s="387"/>
      <c r="BPJ190" s="387"/>
      <c r="BPK190" s="387"/>
      <c r="BPL190" s="387"/>
      <c r="BPM190" s="387"/>
      <c r="BPN190" s="387"/>
      <c r="BPO190" s="387"/>
      <c r="BPP190" s="387"/>
      <c r="BPQ190" s="387"/>
      <c r="BPR190" s="387"/>
      <c r="BPS190" s="387"/>
      <c r="BPT190" s="387"/>
      <c r="BPU190" s="387"/>
      <c r="BPV190" s="387"/>
      <c r="BPW190" s="387"/>
      <c r="BPX190" s="387"/>
      <c r="BPY190" s="387"/>
      <c r="BPZ190" s="387"/>
      <c r="BQA190" s="387"/>
      <c r="BQB190" s="387"/>
      <c r="BQC190" s="387"/>
      <c r="BQD190" s="387"/>
      <c r="BQE190" s="387"/>
      <c r="BQF190" s="387"/>
      <c r="BQG190" s="387"/>
      <c r="BQH190" s="387"/>
      <c r="BQI190" s="387"/>
      <c r="BQJ190" s="387"/>
      <c r="BQK190" s="387"/>
      <c r="BQL190" s="387"/>
      <c r="BQM190" s="387"/>
      <c r="BQN190" s="387"/>
      <c r="BQO190" s="387"/>
      <c r="BQP190" s="387"/>
      <c r="BQQ190" s="387"/>
      <c r="BQR190" s="387"/>
      <c r="BQS190" s="387"/>
      <c r="BQT190" s="387"/>
      <c r="BQU190" s="387"/>
      <c r="BQV190" s="387"/>
      <c r="BQW190" s="387"/>
      <c r="BQX190" s="387"/>
      <c r="BQY190" s="387"/>
      <c r="BQZ190" s="387"/>
      <c r="BRA190" s="387"/>
      <c r="BRB190" s="387"/>
      <c r="BRC190" s="387"/>
      <c r="BRD190" s="387"/>
      <c r="BRE190" s="387"/>
      <c r="BRF190" s="387"/>
      <c r="BRG190" s="387"/>
      <c r="BRH190" s="387"/>
      <c r="BRI190" s="387"/>
      <c r="BRJ190" s="387"/>
      <c r="BRK190" s="387"/>
      <c r="BRL190" s="387"/>
      <c r="BRM190" s="387"/>
      <c r="BRN190" s="387"/>
      <c r="BRO190" s="387"/>
      <c r="BRP190" s="387"/>
      <c r="BRQ190" s="387"/>
      <c r="BRR190" s="387"/>
      <c r="BRS190" s="387"/>
      <c r="BRT190" s="387"/>
      <c r="BRU190" s="387"/>
      <c r="BRV190" s="387"/>
      <c r="BRW190" s="387"/>
      <c r="BRX190" s="387"/>
      <c r="BRY190" s="387"/>
      <c r="BRZ190" s="387"/>
      <c r="BSA190" s="387"/>
      <c r="BSB190" s="387"/>
      <c r="BSC190" s="387"/>
      <c r="BSD190" s="387"/>
      <c r="BSE190" s="387"/>
      <c r="BSF190" s="387"/>
      <c r="BSG190" s="387"/>
      <c r="BSH190" s="387"/>
      <c r="BSI190" s="387"/>
      <c r="BSJ190" s="387"/>
      <c r="BSK190" s="387"/>
      <c r="BSL190" s="387"/>
      <c r="BSM190" s="387"/>
      <c r="BSN190" s="387"/>
      <c r="BSO190" s="387"/>
      <c r="BSP190" s="387"/>
      <c r="BSQ190" s="387"/>
      <c r="BSR190" s="387"/>
      <c r="BSS190" s="387"/>
      <c r="BST190" s="387"/>
      <c r="BSU190" s="387"/>
      <c r="BSV190" s="387"/>
      <c r="BSW190" s="387"/>
      <c r="BSX190" s="387"/>
      <c r="BSY190" s="387"/>
      <c r="BSZ190" s="387"/>
      <c r="BTA190" s="387"/>
      <c r="BTB190" s="387"/>
      <c r="BTC190" s="387"/>
      <c r="BTD190" s="387"/>
      <c r="BTE190" s="387"/>
      <c r="BTF190" s="387"/>
      <c r="BTG190" s="387"/>
      <c r="BTH190" s="387"/>
      <c r="BTI190" s="387"/>
    </row>
    <row r="191" spans="1:1881" s="67" customFormat="1" ht="48.75" customHeight="1" x14ac:dyDescent="0.25">
      <c r="A191" s="187"/>
      <c r="B191" s="177"/>
      <c r="C191" s="177"/>
      <c r="D191" s="171" t="s">
        <v>9</v>
      </c>
      <c r="E191" s="7"/>
      <c r="F191" s="558"/>
      <c r="G191" s="311"/>
      <c r="H191" s="14"/>
      <c r="I191" s="31"/>
      <c r="J191" s="387"/>
      <c r="K191" s="387"/>
      <c r="L191" s="387"/>
      <c r="M191" s="387"/>
      <c r="N191"/>
      <c r="O191" s="387"/>
      <c r="P191" s="387"/>
      <c r="Q191" s="387"/>
      <c r="R191"/>
      <c r="S191" s="682"/>
      <c r="T191" s="387"/>
      <c r="U191" s="387"/>
      <c r="V191" s="387"/>
      <c r="W191" s="387"/>
      <c r="X191" s="682"/>
      <c r="Y191" s="387"/>
      <c r="Z191" s="387"/>
      <c r="AA191" s="387"/>
      <c r="AB191" s="387"/>
      <c r="AC191" s="387"/>
      <c r="AD191" s="387"/>
      <c r="AE191" s="387"/>
      <c r="AF191" s="387"/>
      <c r="AG191" s="387"/>
      <c r="AH191" s="387"/>
      <c r="AI191" s="387"/>
      <c r="AJ191" s="387"/>
      <c r="AK191" s="387"/>
      <c r="AL191" s="387"/>
      <c r="AM191" s="387"/>
      <c r="AN191" s="387"/>
      <c r="AO191" s="387"/>
      <c r="AP191" s="387"/>
      <c r="AQ191" s="387"/>
      <c r="AR191" s="387"/>
      <c r="AS191" s="387"/>
      <c r="AT191" s="387"/>
      <c r="AU191" s="387"/>
      <c r="AV191" s="387"/>
      <c r="AW191" s="387"/>
      <c r="AX191" s="387"/>
      <c r="AY191" s="387"/>
      <c r="AZ191" s="387"/>
      <c r="BA191" s="387"/>
      <c r="BB191" s="387"/>
      <c r="BC191" s="387"/>
      <c r="BD191" s="387"/>
      <c r="BE191" s="387"/>
      <c r="BF191" s="387"/>
      <c r="BG191" s="387"/>
      <c r="BH191" s="387"/>
      <c r="BI191" s="387"/>
      <c r="BJ191" s="387"/>
      <c r="BK191" s="387"/>
      <c r="BL191" s="387"/>
      <c r="BM191" s="387"/>
      <c r="BN191" s="387"/>
      <c r="BO191" s="387"/>
      <c r="BP191" s="387"/>
      <c r="BQ191" s="387"/>
      <c r="BR191" s="387"/>
      <c r="BS191" s="387"/>
      <c r="BT191" s="387"/>
      <c r="BU191" s="387"/>
      <c r="BV191" s="387"/>
      <c r="BW191" s="387"/>
      <c r="BX191" s="387"/>
      <c r="BY191" s="387"/>
      <c r="BZ191" s="387"/>
      <c r="CA191" s="387"/>
      <c r="CB191" s="387"/>
      <c r="CC191" s="387"/>
      <c r="CD191" s="387"/>
      <c r="CE191" s="387"/>
      <c r="CF191" s="387"/>
      <c r="CG191" s="387"/>
      <c r="CH191" s="387"/>
      <c r="CI191" s="387"/>
      <c r="CJ191" s="387"/>
      <c r="CK191" s="387"/>
      <c r="CL191" s="387"/>
      <c r="CM191" s="387"/>
      <c r="CN191" s="387"/>
      <c r="CO191" s="387"/>
      <c r="CP191" s="387"/>
      <c r="CQ191" s="387"/>
      <c r="CR191" s="387"/>
      <c r="CS191" s="387"/>
      <c r="CT191" s="387"/>
      <c r="CU191" s="387"/>
      <c r="CV191" s="387"/>
      <c r="CW191" s="387"/>
      <c r="CX191" s="387"/>
      <c r="CY191" s="387"/>
      <c r="CZ191" s="387"/>
      <c r="DA191" s="387"/>
      <c r="DB191" s="387"/>
      <c r="DC191" s="387"/>
      <c r="DD191" s="387"/>
      <c r="DE191" s="387"/>
      <c r="DF191" s="387"/>
      <c r="DG191" s="387"/>
      <c r="DH191" s="387"/>
      <c r="DI191" s="387"/>
      <c r="DJ191" s="387"/>
      <c r="DK191" s="387"/>
      <c r="DL191" s="387"/>
      <c r="DM191" s="387"/>
      <c r="DN191" s="387"/>
      <c r="DO191" s="387"/>
      <c r="DP191" s="387"/>
      <c r="DQ191" s="387"/>
      <c r="DR191" s="387"/>
      <c r="DS191" s="387"/>
      <c r="DT191" s="387"/>
      <c r="DU191" s="387"/>
      <c r="DV191" s="387"/>
      <c r="DW191" s="387"/>
      <c r="DX191" s="387"/>
      <c r="DY191" s="387"/>
      <c r="DZ191" s="387"/>
      <c r="EA191" s="387"/>
      <c r="EB191" s="387"/>
      <c r="EC191" s="387"/>
      <c r="ED191" s="387"/>
      <c r="EE191" s="387"/>
      <c r="EF191" s="387"/>
      <c r="EG191" s="387"/>
      <c r="EH191" s="387"/>
      <c r="EI191" s="387"/>
      <c r="EJ191" s="387"/>
      <c r="EK191" s="387"/>
      <c r="EL191" s="387"/>
      <c r="EM191" s="387"/>
      <c r="EN191" s="387"/>
      <c r="EO191" s="387"/>
      <c r="EP191" s="387"/>
      <c r="EQ191" s="387"/>
      <c r="ER191" s="387"/>
      <c r="ES191" s="387"/>
      <c r="ET191" s="387"/>
      <c r="EU191" s="387"/>
      <c r="EV191" s="387"/>
      <c r="EW191" s="387"/>
      <c r="EX191" s="387"/>
      <c r="EY191" s="387"/>
      <c r="EZ191" s="387"/>
      <c r="FA191" s="387"/>
      <c r="FB191" s="387"/>
      <c r="FC191" s="387"/>
      <c r="FD191" s="387"/>
      <c r="FE191" s="387"/>
      <c r="FF191" s="387"/>
      <c r="FG191" s="387"/>
      <c r="FH191" s="387"/>
      <c r="FI191" s="387"/>
      <c r="FJ191" s="387"/>
      <c r="FK191" s="387"/>
      <c r="FL191" s="387"/>
      <c r="FM191" s="387"/>
      <c r="FN191" s="387"/>
      <c r="FO191" s="387"/>
      <c r="FP191" s="387"/>
      <c r="FQ191" s="387"/>
      <c r="FR191" s="387"/>
      <c r="FS191" s="387"/>
      <c r="FT191" s="387"/>
      <c r="FU191" s="387"/>
      <c r="FV191" s="387"/>
      <c r="FW191" s="387"/>
      <c r="FX191" s="387"/>
      <c r="FY191" s="387"/>
      <c r="FZ191" s="387"/>
      <c r="GA191" s="387"/>
      <c r="GB191" s="387"/>
      <c r="GC191" s="387"/>
      <c r="GD191" s="387"/>
      <c r="GE191" s="387"/>
      <c r="GF191" s="387"/>
      <c r="GG191" s="387"/>
      <c r="GH191" s="387"/>
      <c r="GI191" s="387"/>
      <c r="GJ191" s="387"/>
      <c r="GK191" s="387"/>
      <c r="GL191" s="387"/>
      <c r="GM191" s="387"/>
      <c r="GN191" s="387"/>
      <c r="GO191" s="387"/>
      <c r="GP191" s="387"/>
      <c r="GQ191" s="387"/>
      <c r="GR191" s="387"/>
      <c r="GS191" s="387"/>
      <c r="GT191" s="387"/>
      <c r="GU191" s="387"/>
      <c r="GV191" s="387"/>
      <c r="GW191" s="387"/>
      <c r="GX191" s="387"/>
      <c r="GY191" s="387"/>
      <c r="GZ191" s="387"/>
      <c r="HA191" s="387"/>
      <c r="HB191" s="387"/>
      <c r="HC191" s="387"/>
      <c r="HD191" s="387"/>
      <c r="HE191" s="387"/>
      <c r="HF191" s="387"/>
      <c r="HG191" s="387"/>
      <c r="HH191" s="387"/>
      <c r="HI191" s="387"/>
      <c r="HJ191" s="387"/>
      <c r="HK191" s="387"/>
      <c r="HL191" s="387"/>
      <c r="HM191" s="387"/>
      <c r="HN191" s="387"/>
      <c r="HO191" s="387"/>
      <c r="HP191" s="387"/>
      <c r="HQ191" s="387"/>
      <c r="HR191" s="387"/>
      <c r="HS191" s="387"/>
      <c r="HT191" s="387"/>
      <c r="HU191" s="387"/>
      <c r="HV191" s="387"/>
      <c r="HW191" s="387"/>
      <c r="HX191" s="387"/>
      <c r="HY191" s="387"/>
      <c r="HZ191" s="387"/>
      <c r="IA191" s="387"/>
      <c r="IB191" s="387"/>
      <c r="IC191" s="387"/>
      <c r="ID191" s="387"/>
      <c r="IE191" s="387"/>
      <c r="IF191" s="387"/>
      <c r="IG191" s="387"/>
      <c r="IH191" s="387"/>
      <c r="II191" s="387"/>
      <c r="IJ191" s="387"/>
      <c r="IK191" s="387"/>
      <c r="IL191" s="387"/>
      <c r="IM191" s="387"/>
      <c r="IN191" s="387"/>
      <c r="IO191" s="387"/>
      <c r="IP191" s="387"/>
      <c r="IQ191" s="387"/>
      <c r="IR191" s="387"/>
      <c r="IS191" s="387"/>
      <c r="IT191" s="387"/>
      <c r="IU191" s="387"/>
      <c r="IV191" s="387"/>
      <c r="IW191" s="387"/>
      <c r="IX191" s="387"/>
      <c r="IY191" s="387"/>
      <c r="IZ191" s="387"/>
      <c r="JA191" s="387"/>
      <c r="JB191" s="387"/>
      <c r="JC191" s="387"/>
      <c r="JD191" s="387"/>
      <c r="JE191" s="387"/>
      <c r="JF191" s="387"/>
      <c r="JG191" s="387"/>
      <c r="JH191" s="387"/>
      <c r="JI191" s="387"/>
      <c r="JJ191" s="387"/>
      <c r="JK191" s="387"/>
      <c r="JL191" s="387"/>
      <c r="JM191" s="387"/>
      <c r="JN191" s="387"/>
      <c r="JO191" s="387"/>
      <c r="JP191" s="387"/>
      <c r="JQ191" s="387"/>
      <c r="JR191" s="387"/>
      <c r="JS191" s="387"/>
      <c r="JT191" s="387"/>
      <c r="JU191" s="387"/>
      <c r="JV191" s="387"/>
      <c r="JW191" s="387"/>
      <c r="JX191" s="387"/>
      <c r="JY191" s="387"/>
      <c r="JZ191" s="387"/>
      <c r="KA191" s="387"/>
      <c r="KB191" s="387"/>
      <c r="KC191" s="387"/>
      <c r="KD191" s="387"/>
      <c r="KE191" s="387"/>
      <c r="KF191" s="387"/>
      <c r="KG191" s="387"/>
      <c r="KH191" s="387"/>
      <c r="KI191" s="387"/>
      <c r="KJ191" s="387"/>
      <c r="KK191" s="387"/>
      <c r="KL191" s="387"/>
      <c r="KM191" s="387"/>
      <c r="KN191" s="387"/>
      <c r="KO191" s="387"/>
      <c r="KP191" s="387"/>
      <c r="KQ191" s="387"/>
      <c r="KR191" s="387"/>
      <c r="KS191" s="387"/>
      <c r="KT191" s="387"/>
      <c r="KU191" s="387"/>
      <c r="KV191" s="387"/>
      <c r="KW191" s="387"/>
      <c r="KX191" s="387"/>
      <c r="KY191" s="387"/>
      <c r="KZ191" s="387"/>
      <c r="LA191" s="387"/>
      <c r="LB191" s="387"/>
      <c r="LC191" s="387"/>
      <c r="LD191" s="387"/>
      <c r="LE191" s="387"/>
      <c r="LF191" s="387"/>
      <c r="LG191" s="387"/>
      <c r="LH191" s="387"/>
      <c r="LI191" s="387"/>
      <c r="LJ191" s="387"/>
      <c r="LK191" s="387"/>
      <c r="LL191" s="387"/>
      <c r="LM191" s="387"/>
      <c r="LN191" s="387"/>
      <c r="LO191" s="387"/>
      <c r="LP191" s="387"/>
      <c r="LQ191" s="387"/>
      <c r="LR191" s="387"/>
      <c r="LS191" s="387"/>
      <c r="LT191" s="387"/>
      <c r="LU191" s="387"/>
      <c r="LV191" s="387"/>
      <c r="LW191" s="387"/>
      <c r="LX191" s="387"/>
      <c r="LY191" s="387"/>
      <c r="LZ191" s="387"/>
      <c r="MA191" s="387"/>
      <c r="MB191" s="387"/>
      <c r="MC191" s="387"/>
      <c r="MD191" s="387"/>
      <c r="ME191" s="387"/>
      <c r="MF191" s="387"/>
      <c r="MG191" s="387"/>
      <c r="MH191" s="387"/>
      <c r="MI191" s="387"/>
      <c r="MJ191" s="387"/>
      <c r="MK191" s="387"/>
      <c r="ML191" s="387"/>
      <c r="MM191" s="387"/>
      <c r="MN191" s="387"/>
      <c r="MO191" s="387"/>
      <c r="MP191" s="387"/>
      <c r="MQ191" s="387"/>
      <c r="MR191" s="387"/>
      <c r="MS191" s="387"/>
      <c r="MT191" s="387"/>
      <c r="MU191" s="387"/>
      <c r="MV191" s="387"/>
      <c r="MW191" s="387"/>
      <c r="MX191" s="387"/>
      <c r="MY191" s="387"/>
      <c r="MZ191" s="387"/>
      <c r="NA191" s="387"/>
      <c r="NB191" s="387"/>
      <c r="NC191" s="387"/>
      <c r="ND191" s="387"/>
      <c r="NE191" s="387"/>
      <c r="NF191" s="387"/>
      <c r="NG191" s="387"/>
      <c r="NH191" s="387"/>
      <c r="NI191" s="387"/>
      <c r="NJ191" s="387"/>
      <c r="NK191" s="387"/>
      <c r="NL191" s="387"/>
      <c r="NM191" s="387"/>
      <c r="NN191" s="387"/>
      <c r="NO191" s="387"/>
      <c r="NP191" s="387"/>
      <c r="NQ191" s="387"/>
      <c r="NR191" s="387"/>
      <c r="NS191" s="387"/>
      <c r="NT191" s="387"/>
      <c r="NU191" s="387"/>
      <c r="NV191" s="387"/>
      <c r="NW191" s="387"/>
      <c r="NX191" s="387"/>
      <c r="NY191" s="387"/>
      <c r="NZ191" s="387"/>
      <c r="OA191" s="387"/>
      <c r="OB191" s="387"/>
      <c r="OC191" s="387"/>
      <c r="OD191" s="387"/>
      <c r="OE191" s="387"/>
      <c r="OF191" s="387"/>
      <c r="OG191" s="387"/>
      <c r="OH191" s="387"/>
      <c r="OI191" s="387"/>
      <c r="OJ191" s="387"/>
      <c r="OK191" s="387"/>
      <c r="OL191" s="387"/>
      <c r="OM191" s="387"/>
      <c r="ON191" s="387"/>
      <c r="OO191" s="387"/>
      <c r="OP191" s="387"/>
      <c r="OQ191" s="387"/>
      <c r="OR191" s="387"/>
      <c r="OS191" s="387"/>
      <c r="OT191" s="387"/>
      <c r="OU191" s="387"/>
      <c r="OV191" s="387"/>
      <c r="OW191" s="387"/>
      <c r="OX191" s="387"/>
      <c r="OY191" s="387"/>
      <c r="OZ191" s="387"/>
      <c r="PA191" s="387"/>
      <c r="PB191" s="387"/>
      <c r="PC191" s="387"/>
      <c r="PD191" s="387"/>
      <c r="PE191" s="387"/>
      <c r="PF191" s="387"/>
      <c r="PG191" s="387"/>
      <c r="PH191" s="387"/>
      <c r="PI191" s="387"/>
      <c r="PJ191" s="387"/>
      <c r="PK191" s="387"/>
      <c r="PL191" s="387"/>
      <c r="PM191" s="387"/>
      <c r="PN191" s="387"/>
      <c r="PO191" s="387"/>
      <c r="PP191" s="387"/>
      <c r="PQ191" s="387"/>
      <c r="PR191" s="387"/>
      <c r="PS191" s="387"/>
      <c r="PT191" s="387"/>
      <c r="PU191" s="387"/>
      <c r="PV191" s="387"/>
      <c r="PW191" s="387"/>
      <c r="PX191" s="387"/>
      <c r="PY191" s="387"/>
      <c r="PZ191" s="387"/>
      <c r="QA191" s="387"/>
      <c r="QB191" s="387"/>
      <c r="QC191" s="387"/>
      <c r="QD191" s="387"/>
      <c r="QE191" s="387"/>
      <c r="QF191" s="387"/>
      <c r="QG191" s="387"/>
      <c r="QH191" s="387"/>
      <c r="QI191" s="387"/>
      <c r="QJ191" s="387"/>
      <c r="QK191" s="387"/>
      <c r="QL191" s="387"/>
      <c r="QM191" s="387"/>
      <c r="QN191" s="387"/>
      <c r="QO191" s="387"/>
      <c r="QP191" s="387"/>
      <c r="QQ191" s="387"/>
      <c r="QR191" s="387"/>
      <c r="QS191" s="387"/>
      <c r="QT191" s="387"/>
      <c r="QU191" s="387"/>
      <c r="QV191" s="387"/>
      <c r="QW191" s="387"/>
      <c r="QX191" s="387"/>
      <c r="QY191" s="387"/>
      <c r="QZ191" s="387"/>
      <c r="RA191" s="387"/>
      <c r="RB191" s="387"/>
      <c r="RC191" s="387"/>
      <c r="RD191" s="387"/>
      <c r="RE191" s="387"/>
      <c r="RF191" s="387"/>
      <c r="RG191" s="387"/>
      <c r="RH191" s="387"/>
      <c r="RI191" s="387"/>
      <c r="RJ191" s="387"/>
      <c r="RK191" s="387"/>
      <c r="RL191" s="387"/>
      <c r="RM191" s="387"/>
      <c r="RN191" s="387"/>
      <c r="RO191" s="387"/>
      <c r="RP191" s="387"/>
      <c r="RQ191" s="387"/>
      <c r="RR191" s="387"/>
      <c r="RS191" s="387"/>
      <c r="RT191" s="387"/>
      <c r="RU191" s="387"/>
      <c r="RV191" s="387"/>
      <c r="RW191" s="387"/>
      <c r="RX191" s="387"/>
      <c r="RY191" s="387"/>
      <c r="RZ191" s="387"/>
      <c r="SA191" s="387"/>
      <c r="SB191" s="387"/>
      <c r="SC191" s="387"/>
      <c r="SD191" s="387"/>
      <c r="SE191" s="387"/>
      <c r="SF191" s="387"/>
      <c r="SG191" s="387"/>
      <c r="SH191" s="387"/>
      <c r="SI191" s="387"/>
      <c r="SJ191" s="387"/>
      <c r="SK191" s="387"/>
      <c r="SL191" s="387"/>
      <c r="SM191" s="387"/>
      <c r="SN191" s="387"/>
      <c r="SO191" s="387"/>
      <c r="SP191" s="387"/>
      <c r="SQ191" s="387"/>
      <c r="SR191" s="387"/>
      <c r="SS191" s="387"/>
      <c r="ST191" s="387"/>
      <c r="SU191" s="387"/>
      <c r="SV191" s="387"/>
      <c r="SW191" s="387"/>
      <c r="SX191" s="387"/>
      <c r="SY191" s="387"/>
      <c r="SZ191" s="387"/>
      <c r="TA191" s="387"/>
      <c r="TB191" s="387"/>
      <c r="TC191" s="387"/>
      <c r="TD191" s="387"/>
      <c r="TE191" s="387"/>
      <c r="TF191" s="387"/>
      <c r="TG191" s="387"/>
      <c r="TH191" s="387"/>
      <c r="TI191" s="387"/>
      <c r="TJ191" s="387"/>
      <c r="TK191" s="387"/>
      <c r="TL191" s="387"/>
      <c r="TM191" s="387"/>
      <c r="TN191" s="387"/>
      <c r="TO191" s="387"/>
      <c r="TP191" s="387"/>
      <c r="TQ191" s="387"/>
      <c r="TR191" s="387"/>
      <c r="TS191" s="387"/>
      <c r="TT191" s="387"/>
      <c r="TU191" s="387"/>
      <c r="TV191" s="387"/>
      <c r="TW191" s="387"/>
      <c r="TX191" s="387"/>
      <c r="TY191" s="387"/>
      <c r="TZ191" s="387"/>
      <c r="UA191" s="387"/>
      <c r="UB191" s="387"/>
      <c r="UC191" s="387"/>
      <c r="UD191" s="387"/>
      <c r="UE191" s="387"/>
      <c r="UF191" s="387"/>
      <c r="UG191" s="387"/>
      <c r="UH191" s="387"/>
      <c r="UI191" s="387"/>
      <c r="UJ191" s="387"/>
      <c r="UK191" s="387"/>
      <c r="UL191" s="387"/>
      <c r="UM191" s="387"/>
      <c r="UN191" s="387"/>
      <c r="UO191" s="387"/>
      <c r="UP191" s="387"/>
      <c r="UQ191" s="387"/>
      <c r="UR191" s="387"/>
      <c r="US191" s="387"/>
      <c r="UT191" s="387"/>
      <c r="UU191" s="387"/>
      <c r="UV191" s="387"/>
      <c r="UW191" s="387"/>
      <c r="UX191" s="387"/>
      <c r="UY191" s="387"/>
      <c r="UZ191" s="387"/>
      <c r="VA191" s="387"/>
      <c r="VB191" s="387"/>
      <c r="VC191" s="387"/>
      <c r="VD191" s="387"/>
      <c r="VE191" s="387"/>
      <c r="VF191" s="387"/>
      <c r="VG191" s="387"/>
      <c r="VH191" s="387"/>
      <c r="VI191" s="387"/>
      <c r="VJ191" s="387"/>
      <c r="VK191" s="387"/>
      <c r="VL191" s="387"/>
      <c r="VM191" s="387"/>
      <c r="VN191" s="387"/>
      <c r="VO191" s="387"/>
      <c r="VP191" s="387"/>
      <c r="VQ191" s="387"/>
      <c r="VR191" s="387"/>
      <c r="VS191" s="387"/>
      <c r="VT191" s="387"/>
      <c r="VU191" s="387"/>
      <c r="VV191" s="387"/>
      <c r="VW191" s="387"/>
      <c r="VX191" s="387"/>
      <c r="VY191" s="387"/>
      <c r="VZ191" s="387"/>
      <c r="WA191" s="387"/>
      <c r="WB191" s="387"/>
      <c r="WC191" s="387"/>
      <c r="WD191" s="387"/>
      <c r="WE191" s="387"/>
      <c r="WF191" s="387"/>
      <c r="WG191" s="387"/>
      <c r="WH191" s="387"/>
      <c r="WI191" s="387"/>
      <c r="WJ191" s="387"/>
      <c r="WK191" s="387"/>
      <c r="WL191" s="387"/>
      <c r="WM191" s="387"/>
      <c r="WN191" s="387"/>
      <c r="WO191" s="387"/>
      <c r="WP191" s="387"/>
      <c r="WQ191" s="387"/>
      <c r="WR191" s="387"/>
      <c r="WS191" s="387"/>
      <c r="WT191" s="387"/>
      <c r="WU191" s="387"/>
      <c r="WV191" s="387"/>
      <c r="WW191" s="387"/>
      <c r="WX191" s="387"/>
      <c r="WY191" s="387"/>
      <c r="WZ191" s="387"/>
      <c r="XA191" s="387"/>
      <c r="XB191" s="387"/>
      <c r="XC191" s="387"/>
      <c r="XD191" s="387"/>
      <c r="XE191" s="387"/>
      <c r="XF191" s="387"/>
      <c r="XG191" s="387"/>
      <c r="XH191" s="387"/>
      <c r="XI191" s="387"/>
      <c r="XJ191" s="387"/>
      <c r="XK191" s="387"/>
      <c r="XL191" s="387"/>
      <c r="XM191" s="387"/>
      <c r="XN191" s="387"/>
      <c r="XO191" s="387"/>
      <c r="XP191" s="387"/>
      <c r="XQ191" s="387"/>
      <c r="XR191" s="387"/>
      <c r="XS191" s="387"/>
      <c r="XT191" s="387"/>
      <c r="XU191" s="387"/>
      <c r="XV191" s="387"/>
      <c r="XW191" s="387"/>
      <c r="XX191" s="387"/>
      <c r="XY191" s="387"/>
      <c r="XZ191" s="387"/>
      <c r="YA191" s="387"/>
      <c r="YB191" s="387"/>
      <c r="YC191" s="387"/>
      <c r="YD191" s="387"/>
      <c r="YE191" s="387"/>
      <c r="YF191" s="387"/>
      <c r="YG191" s="387"/>
      <c r="YH191" s="387"/>
      <c r="YI191" s="387"/>
      <c r="YJ191" s="387"/>
      <c r="YK191" s="387"/>
      <c r="YL191" s="387"/>
      <c r="YM191" s="387"/>
      <c r="YN191" s="387"/>
      <c r="YO191" s="387"/>
      <c r="YP191" s="387"/>
      <c r="YQ191" s="387"/>
      <c r="YR191" s="387"/>
      <c r="YS191" s="387"/>
      <c r="YT191" s="387"/>
      <c r="YU191" s="387"/>
      <c r="YV191" s="387"/>
      <c r="YW191" s="387"/>
      <c r="YX191" s="387"/>
      <c r="YY191" s="387"/>
      <c r="YZ191" s="387"/>
      <c r="ZA191" s="387"/>
      <c r="ZB191" s="387"/>
      <c r="ZC191" s="387"/>
      <c r="ZD191" s="387"/>
      <c r="ZE191" s="387"/>
      <c r="ZF191" s="387"/>
      <c r="ZG191" s="387"/>
      <c r="ZH191" s="387"/>
      <c r="ZI191" s="387"/>
      <c r="ZJ191" s="387"/>
      <c r="ZK191" s="387"/>
      <c r="ZL191" s="387"/>
      <c r="ZM191" s="387"/>
      <c r="ZN191" s="387"/>
      <c r="ZO191" s="387"/>
      <c r="ZP191" s="387"/>
      <c r="ZQ191" s="387"/>
      <c r="ZR191" s="387"/>
      <c r="ZS191" s="387"/>
      <c r="ZT191" s="387"/>
      <c r="ZU191" s="387"/>
      <c r="ZV191" s="387"/>
      <c r="ZW191" s="387"/>
      <c r="ZX191" s="387"/>
      <c r="ZY191" s="387"/>
      <c r="ZZ191" s="387"/>
      <c r="AAA191" s="387"/>
      <c r="AAB191" s="387"/>
      <c r="AAC191" s="387"/>
      <c r="AAD191" s="387"/>
      <c r="AAE191" s="387"/>
      <c r="AAF191" s="387"/>
      <c r="AAG191" s="387"/>
      <c r="AAH191" s="387"/>
      <c r="AAI191" s="387"/>
      <c r="AAJ191" s="387"/>
      <c r="AAK191" s="387"/>
      <c r="AAL191" s="387"/>
      <c r="AAM191" s="387"/>
      <c r="AAN191" s="387"/>
      <c r="AAO191" s="387"/>
      <c r="AAP191" s="387"/>
      <c r="AAQ191" s="387"/>
      <c r="AAR191" s="387"/>
      <c r="AAS191" s="387"/>
      <c r="AAT191" s="387"/>
      <c r="AAU191" s="387"/>
      <c r="AAV191" s="387"/>
      <c r="AAW191" s="387"/>
      <c r="AAX191" s="387"/>
      <c r="AAY191" s="387"/>
      <c r="AAZ191" s="387"/>
      <c r="ABA191" s="387"/>
      <c r="ABB191" s="387"/>
      <c r="ABC191" s="387"/>
      <c r="ABD191" s="387"/>
      <c r="ABE191" s="387"/>
      <c r="ABF191" s="387"/>
      <c r="ABG191" s="387"/>
      <c r="ABH191" s="387"/>
      <c r="ABI191" s="387"/>
      <c r="ABJ191" s="387"/>
      <c r="ABK191" s="387"/>
      <c r="ABL191" s="387"/>
      <c r="ABM191" s="387"/>
      <c r="ABN191" s="387"/>
      <c r="ABO191" s="387"/>
      <c r="ABP191" s="387"/>
      <c r="ABQ191" s="387"/>
      <c r="ABR191" s="387"/>
      <c r="ABS191" s="387"/>
      <c r="ABT191" s="387"/>
      <c r="ABU191" s="387"/>
      <c r="ABV191" s="387"/>
      <c r="ABW191" s="387"/>
      <c r="ABX191" s="387"/>
      <c r="ABY191" s="387"/>
      <c r="ABZ191" s="387"/>
      <c r="ACA191" s="387"/>
      <c r="ACB191" s="387"/>
      <c r="ACC191" s="387"/>
      <c r="ACD191" s="387"/>
      <c r="ACE191" s="387"/>
      <c r="ACF191" s="387"/>
      <c r="ACG191" s="387"/>
      <c r="ACH191" s="387"/>
      <c r="ACI191" s="387"/>
      <c r="ACJ191" s="387"/>
      <c r="ACK191" s="387"/>
      <c r="ACL191" s="387"/>
      <c r="ACM191" s="387"/>
      <c r="ACN191" s="387"/>
      <c r="ACO191" s="387"/>
      <c r="ACP191" s="387"/>
      <c r="ACQ191" s="387"/>
      <c r="ACR191" s="387"/>
      <c r="ACS191" s="387"/>
      <c r="ACT191" s="387"/>
      <c r="ACU191" s="387"/>
      <c r="ACV191" s="387"/>
      <c r="ACW191" s="387"/>
      <c r="ACX191" s="387"/>
      <c r="ACY191" s="387"/>
      <c r="ACZ191" s="387"/>
      <c r="ADA191" s="387"/>
      <c r="ADB191" s="387"/>
      <c r="ADC191" s="387"/>
      <c r="ADD191" s="387"/>
      <c r="ADE191" s="387"/>
      <c r="ADF191" s="387"/>
      <c r="ADG191" s="387"/>
      <c r="ADH191" s="387"/>
      <c r="ADI191" s="387"/>
      <c r="ADJ191" s="387"/>
      <c r="ADK191" s="387"/>
      <c r="ADL191" s="387"/>
      <c r="ADM191" s="387"/>
      <c r="ADN191" s="387"/>
      <c r="ADO191" s="387"/>
      <c r="ADP191" s="387"/>
      <c r="ADQ191" s="387"/>
      <c r="ADR191" s="387"/>
      <c r="ADS191" s="387"/>
      <c r="ADT191" s="387"/>
      <c r="ADU191" s="387"/>
      <c r="ADV191" s="387"/>
      <c r="ADW191" s="387"/>
      <c r="ADX191" s="387"/>
      <c r="ADY191" s="387"/>
      <c r="ADZ191" s="387"/>
      <c r="AEA191" s="387"/>
      <c r="AEB191" s="387"/>
      <c r="AEC191" s="387"/>
      <c r="AED191" s="387"/>
      <c r="AEE191" s="387"/>
      <c r="AEF191" s="387"/>
      <c r="AEG191" s="387"/>
      <c r="AEH191" s="387"/>
      <c r="AEI191" s="387"/>
      <c r="AEJ191" s="387"/>
      <c r="AEK191" s="387"/>
      <c r="AEL191" s="387"/>
      <c r="AEM191" s="387"/>
      <c r="AEN191" s="387"/>
      <c r="AEO191" s="387"/>
      <c r="AEP191" s="387"/>
      <c r="AEQ191" s="387"/>
      <c r="AER191" s="387"/>
      <c r="AES191" s="387"/>
      <c r="AET191" s="387"/>
      <c r="AEU191" s="387"/>
      <c r="AEV191" s="387"/>
      <c r="AEW191" s="387"/>
      <c r="AEX191" s="387"/>
      <c r="AEY191" s="387"/>
      <c r="AEZ191" s="387"/>
      <c r="AFA191" s="387"/>
      <c r="AFB191" s="387"/>
      <c r="AFC191" s="387"/>
      <c r="AFD191" s="387"/>
      <c r="AFE191" s="387"/>
      <c r="AFF191" s="387"/>
      <c r="AFG191" s="387"/>
      <c r="AFH191" s="387"/>
      <c r="AFI191" s="387"/>
      <c r="AFJ191" s="387"/>
      <c r="AFK191" s="387"/>
      <c r="AFL191" s="387"/>
      <c r="AFM191" s="387"/>
      <c r="AFN191" s="387"/>
      <c r="AFO191" s="387"/>
      <c r="AFP191" s="387"/>
      <c r="AFQ191" s="387"/>
      <c r="AFR191" s="387"/>
      <c r="AFS191" s="387"/>
      <c r="AFT191" s="387"/>
      <c r="AFU191" s="387"/>
      <c r="AFV191" s="387"/>
      <c r="AFW191" s="387"/>
      <c r="AFX191" s="387"/>
      <c r="AFY191" s="387"/>
      <c r="AFZ191" s="387"/>
      <c r="AGA191" s="387"/>
      <c r="AGB191" s="387"/>
      <c r="AGC191" s="387"/>
      <c r="AGD191" s="387"/>
      <c r="AGE191" s="387"/>
      <c r="AGF191" s="387"/>
      <c r="AGG191" s="387"/>
      <c r="AGH191" s="387"/>
      <c r="AGI191" s="387"/>
      <c r="AGJ191" s="387"/>
      <c r="AGK191" s="387"/>
      <c r="AGL191" s="387"/>
      <c r="AGM191" s="387"/>
      <c r="AGN191" s="387"/>
      <c r="AGO191" s="387"/>
      <c r="AGP191" s="387"/>
      <c r="AGQ191" s="387"/>
      <c r="AGR191" s="387"/>
      <c r="AGS191" s="387"/>
      <c r="AGT191" s="387"/>
      <c r="AGU191" s="387"/>
      <c r="AGV191" s="387"/>
      <c r="AGW191" s="387"/>
      <c r="AGX191" s="387"/>
      <c r="AGY191" s="387"/>
      <c r="AGZ191" s="387"/>
      <c r="AHA191" s="387"/>
      <c r="AHB191" s="387"/>
      <c r="AHC191" s="387"/>
      <c r="AHD191" s="387"/>
      <c r="AHE191" s="387"/>
      <c r="AHF191" s="387"/>
      <c r="AHG191" s="387"/>
      <c r="AHH191" s="387"/>
      <c r="AHI191" s="387"/>
      <c r="AHJ191" s="387"/>
      <c r="AHK191" s="387"/>
      <c r="AHL191" s="387"/>
      <c r="AHM191" s="387"/>
      <c r="AHN191" s="387"/>
      <c r="AHO191" s="387"/>
      <c r="AHP191" s="387"/>
      <c r="AHQ191" s="387"/>
      <c r="AHR191" s="387"/>
      <c r="AHS191" s="387"/>
      <c r="AHT191" s="387"/>
      <c r="AHU191" s="387"/>
      <c r="AHV191" s="387"/>
      <c r="AHW191" s="387"/>
      <c r="AHX191" s="387"/>
      <c r="AHY191" s="387"/>
      <c r="AHZ191" s="387"/>
      <c r="AIA191" s="387"/>
      <c r="AIB191" s="387"/>
      <c r="AIC191" s="387"/>
      <c r="AID191" s="387"/>
      <c r="AIE191" s="387"/>
      <c r="AIF191" s="387"/>
      <c r="AIG191" s="387"/>
      <c r="AIH191" s="387"/>
      <c r="AII191" s="387"/>
      <c r="AIJ191" s="387"/>
      <c r="AIK191" s="387"/>
      <c r="AIL191" s="387"/>
      <c r="AIM191" s="387"/>
      <c r="AIN191" s="387"/>
      <c r="AIO191" s="387"/>
      <c r="AIP191" s="387"/>
      <c r="AIQ191" s="387"/>
      <c r="AIR191" s="387"/>
      <c r="AIS191" s="387"/>
      <c r="AIT191" s="387"/>
      <c r="AIU191" s="387"/>
      <c r="AIV191" s="387"/>
      <c r="AIW191" s="387"/>
      <c r="AIX191" s="387"/>
      <c r="AIY191" s="387"/>
      <c r="AIZ191" s="387"/>
      <c r="AJA191" s="387"/>
      <c r="AJB191" s="387"/>
      <c r="AJC191" s="387"/>
      <c r="AJD191" s="387"/>
      <c r="AJE191" s="387"/>
      <c r="AJF191" s="387"/>
      <c r="AJG191" s="387"/>
      <c r="AJH191" s="387"/>
      <c r="AJI191" s="387"/>
      <c r="AJJ191" s="387"/>
      <c r="AJK191" s="387"/>
      <c r="AJL191" s="387"/>
      <c r="AJM191" s="387"/>
      <c r="AJN191" s="387"/>
      <c r="AJO191" s="387"/>
      <c r="AJP191" s="387"/>
      <c r="AJQ191" s="387"/>
      <c r="AJR191" s="387"/>
      <c r="AJS191" s="387"/>
      <c r="AJT191" s="387"/>
      <c r="AJU191" s="387"/>
      <c r="AJV191" s="387"/>
      <c r="AJW191" s="387"/>
      <c r="AJX191" s="387"/>
      <c r="AJY191" s="387"/>
      <c r="AJZ191" s="387"/>
      <c r="AKA191" s="387"/>
      <c r="AKB191" s="387"/>
      <c r="AKC191" s="387"/>
      <c r="AKD191" s="387"/>
      <c r="AKE191" s="387"/>
      <c r="AKF191" s="387"/>
      <c r="AKG191" s="387"/>
      <c r="AKH191" s="387"/>
      <c r="AKI191" s="387"/>
      <c r="AKJ191" s="387"/>
      <c r="AKK191" s="387"/>
      <c r="AKL191" s="387"/>
      <c r="AKM191" s="387"/>
      <c r="AKN191" s="387"/>
      <c r="AKO191" s="387"/>
      <c r="AKP191" s="387"/>
      <c r="AKQ191" s="387"/>
      <c r="AKR191" s="387"/>
      <c r="AKS191" s="387"/>
      <c r="AKT191" s="387"/>
      <c r="AKU191" s="387"/>
      <c r="AKV191" s="387"/>
      <c r="AKW191" s="387"/>
      <c r="AKX191" s="387"/>
      <c r="AKY191" s="387"/>
      <c r="AKZ191" s="387"/>
      <c r="ALA191" s="387"/>
      <c r="ALB191" s="387"/>
      <c r="ALC191" s="387"/>
      <c r="ALD191" s="387"/>
      <c r="ALE191" s="387"/>
      <c r="ALF191" s="387"/>
      <c r="ALG191" s="387"/>
      <c r="ALH191" s="387"/>
      <c r="ALI191" s="387"/>
      <c r="ALJ191" s="387"/>
      <c r="ALK191" s="387"/>
      <c r="ALL191" s="387"/>
      <c r="ALM191" s="387"/>
      <c r="ALN191" s="387"/>
      <c r="ALO191" s="387"/>
      <c r="ALP191" s="387"/>
      <c r="ALQ191" s="387"/>
      <c r="ALR191" s="387"/>
      <c r="ALS191" s="387"/>
      <c r="ALT191" s="387"/>
      <c r="ALU191" s="387"/>
      <c r="ALV191" s="387"/>
      <c r="ALW191" s="387"/>
      <c r="ALX191" s="387"/>
      <c r="ALY191" s="387"/>
      <c r="ALZ191" s="387"/>
      <c r="AMA191" s="387"/>
      <c r="AMB191" s="387"/>
      <c r="AMC191" s="387"/>
      <c r="AMD191" s="387"/>
      <c r="AME191" s="387"/>
      <c r="AMF191" s="387"/>
      <c r="AMG191" s="387"/>
      <c r="AMH191" s="387"/>
      <c r="AMI191" s="387"/>
      <c r="AMJ191" s="387"/>
      <c r="AMK191" s="387"/>
      <c r="AML191" s="387"/>
      <c r="AMM191" s="387"/>
      <c r="AMN191" s="387"/>
      <c r="AMO191" s="387"/>
      <c r="AMP191" s="387"/>
      <c r="AMQ191" s="387"/>
      <c r="AMR191" s="387"/>
      <c r="AMS191" s="387"/>
      <c r="AMT191" s="387"/>
      <c r="AMU191" s="387"/>
      <c r="AMV191" s="387"/>
      <c r="AMW191" s="387"/>
      <c r="AMX191" s="387"/>
      <c r="AMY191" s="387"/>
      <c r="AMZ191" s="387"/>
      <c r="ANA191" s="387"/>
      <c r="ANB191" s="387"/>
      <c r="ANC191" s="387"/>
      <c r="AND191" s="387"/>
      <c r="ANE191" s="387"/>
      <c r="ANF191" s="387"/>
      <c r="ANG191" s="387"/>
      <c r="ANH191" s="387"/>
      <c r="ANI191" s="387"/>
      <c r="ANJ191" s="387"/>
      <c r="ANK191" s="387"/>
      <c r="ANL191" s="387"/>
      <c r="ANM191" s="387"/>
      <c r="ANN191" s="387"/>
      <c r="ANO191" s="387"/>
      <c r="ANP191" s="387"/>
      <c r="ANQ191" s="387"/>
      <c r="ANR191" s="387"/>
      <c r="ANS191" s="387"/>
      <c r="ANT191" s="387"/>
      <c r="ANU191" s="387"/>
      <c r="ANV191" s="387"/>
      <c r="ANW191" s="387"/>
      <c r="ANX191" s="387"/>
      <c r="ANY191" s="387"/>
      <c r="ANZ191" s="387"/>
      <c r="AOA191" s="387"/>
      <c r="AOB191" s="387"/>
      <c r="AOC191" s="387"/>
      <c r="AOD191" s="387"/>
      <c r="AOE191" s="387"/>
      <c r="AOF191" s="387"/>
      <c r="AOG191" s="387"/>
      <c r="AOH191" s="387"/>
      <c r="AOI191" s="387"/>
      <c r="AOJ191" s="387"/>
      <c r="AOK191" s="387"/>
      <c r="AOL191" s="387"/>
      <c r="AOM191" s="387"/>
      <c r="AON191" s="387"/>
      <c r="AOO191" s="387"/>
      <c r="AOP191" s="387"/>
      <c r="AOQ191" s="387"/>
      <c r="AOR191" s="387"/>
      <c r="AOS191" s="387"/>
      <c r="AOT191" s="387"/>
      <c r="AOU191" s="387"/>
      <c r="AOV191" s="387"/>
      <c r="AOW191" s="387"/>
      <c r="AOX191" s="387"/>
      <c r="AOY191" s="387"/>
      <c r="AOZ191" s="387"/>
      <c r="APA191" s="387"/>
      <c r="APB191" s="387"/>
      <c r="APC191" s="387"/>
      <c r="APD191" s="387"/>
      <c r="APE191" s="387"/>
      <c r="APF191" s="387"/>
      <c r="APG191" s="387"/>
      <c r="APH191" s="387"/>
      <c r="API191" s="387"/>
      <c r="APJ191" s="387"/>
      <c r="APK191" s="387"/>
      <c r="APL191" s="387"/>
      <c r="APM191" s="387"/>
      <c r="APN191" s="387"/>
      <c r="APO191" s="387"/>
      <c r="APP191" s="387"/>
      <c r="APQ191" s="387"/>
      <c r="APR191" s="387"/>
      <c r="APS191" s="387"/>
      <c r="APT191" s="387"/>
      <c r="APU191" s="387"/>
      <c r="APV191" s="387"/>
      <c r="APW191" s="387"/>
      <c r="APX191" s="387"/>
      <c r="APY191" s="387"/>
      <c r="APZ191" s="387"/>
      <c r="AQA191" s="387"/>
      <c r="AQB191" s="387"/>
      <c r="AQC191" s="387"/>
      <c r="AQD191" s="387"/>
      <c r="AQE191" s="387"/>
      <c r="AQF191" s="387"/>
      <c r="AQG191" s="387"/>
      <c r="AQH191" s="387"/>
      <c r="AQI191" s="387"/>
      <c r="AQJ191" s="387"/>
      <c r="AQK191" s="387"/>
      <c r="AQL191" s="387"/>
      <c r="AQM191" s="387"/>
      <c r="AQN191" s="387"/>
      <c r="AQO191" s="387"/>
      <c r="AQP191" s="387"/>
      <c r="AQQ191" s="387"/>
      <c r="AQR191" s="387"/>
      <c r="AQS191" s="387"/>
      <c r="AQT191" s="387"/>
      <c r="AQU191" s="387"/>
      <c r="AQV191" s="387"/>
      <c r="AQW191" s="387"/>
      <c r="AQX191" s="387"/>
      <c r="AQY191" s="387"/>
      <c r="AQZ191" s="387"/>
      <c r="ARA191" s="387"/>
      <c r="ARB191" s="387"/>
      <c r="ARC191" s="387"/>
      <c r="ARD191" s="387"/>
      <c r="ARE191" s="387"/>
      <c r="ARF191" s="387"/>
      <c r="ARG191" s="387"/>
      <c r="ARH191" s="387"/>
      <c r="ARI191" s="387"/>
      <c r="ARJ191" s="387"/>
      <c r="ARK191" s="387"/>
      <c r="ARL191" s="387"/>
      <c r="ARM191" s="387"/>
      <c r="ARN191" s="387"/>
      <c r="ARO191" s="387"/>
      <c r="ARP191" s="387"/>
      <c r="ARQ191" s="387"/>
      <c r="ARR191" s="387"/>
      <c r="ARS191" s="387"/>
      <c r="ART191" s="387"/>
      <c r="ARU191" s="387"/>
      <c r="ARV191" s="387"/>
      <c r="ARW191" s="387"/>
      <c r="ARX191" s="387"/>
      <c r="ARY191" s="387"/>
      <c r="ARZ191" s="387"/>
      <c r="ASA191" s="387"/>
      <c r="ASB191" s="387"/>
      <c r="ASC191" s="387"/>
      <c r="ASD191" s="387"/>
      <c r="ASE191" s="387"/>
      <c r="ASF191" s="387"/>
      <c r="ASG191" s="387"/>
      <c r="ASH191" s="387"/>
      <c r="ASI191" s="387"/>
      <c r="ASJ191" s="387"/>
      <c r="ASK191" s="387"/>
      <c r="ASL191" s="387"/>
      <c r="ASM191" s="387"/>
      <c r="ASN191" s="387"/>
      <c r="ASO191" s="387"/>
      <c r="ASP191" s="387"/>
      <c r="ASQ191" s="387"/>
      <c r="ASR191" s="387"/>
      <c r="ASS191" s="387"/>
      <c r="AST191" s="387"/>
      <c r="ASU191" s="387"/>
      <c r="ASV191" s="387"/>
      <c r="ASW191" s="387"/>
      <c r="ASX191" s="387"/>
      <c r="ASY191" s="387"/>
      <c r="ASZ191" s="387"/>
      <c r="ATA191" s="387"/>
      <c r="ATB191" s="387"/>
      <c r="ATC191" s="387"/>
      <c r="ATD191" s="387"/>
      <c r="ATE191" s="387"/>
      <c r="ATF191" s="387"/>
      <c r="ATG191" s="387"/>
      <c r="ATH191" s="387"/>
      <c r="ATI191" s="387"/>
      <c r="ATJ191" s="387"/>
      <c r="ATK191" s="387"/>
      <c r="ATL191" s="387"/>
      <c r="ATM191" s="387"/>
      <c r="ATN191" s="387"/>
      <c r="ATO191" s="387"/>
      <c r="ATP191" s="387"/>
      <c r="ATQ191" s="387"/>
      <c r="ATR191" s="387"/>
      <c r="ATS191" s="387"/>
      <c r="ATT191" s="387"/>
      <c r="ATU191" s="387"/>
      <c r="ATV191" s="387"/>
      <c r="ATW191" s="387"/>
      <c r="ATX191" s="387"/>
      <c r="ATY191" s="387"/>
      <c r="ATZ191" s="387"/>
      <c r="AUA191" s="387"/>
      <c r="AUB191" s="387"/>
      <c r="AUC191" s="387"/>
      <c r="AUD191" s="387"/>
      <c r="AUE191" s="387"/>
      <c r="AUF191" s="387"/>
      <c r="AUG191" s="387"/>
      <c r="AUH191" s="387"/>
      <c r="AUI191" s="387"/>
      <c r="AUJ191" s="387"/>
      <c r="AUK191" s="387"/>
      <c r="AUL191" s="387"/>
      <c r="AUM191" s="387"/>
      <c r="AUN191" s="387"/>
      <c r="AUO191" s="387"/>
      <c r="AUP191" s="387"/>
      <c r="AUQ191" s="387"/>
      <c r="AUR191" s="387"/>
      <c r="AUS191" s="387"/>
      <c r="AUT191" s="387"/>
      <c r="AUU191" s="387"/>
      <c r="AUV191" s="387"/>
      <c r="AUW191" s="387"/>
      <c r="AUX191" s="387"/>
      <c r="AUY191" s="387"/>
      <c r="AUZ191" s="387"/>
      <c r="AVA191" s="387"/>
      <c r="AVB191" s="387"/>
      <c r="AVC191" s="387"/>
      <c r="AVD191" s="387"/>
      <c r="AVE191" s="387"/>
      <c r="AVF191" s="387"/>
      <c r="AVG191" s="387"/>
      <c r="AVH191" s="387"/>
      <c r="AVI191" s="387"/>
      <c r="AVJ191" s="387"/>
      <c r="AVK191" s="387"/>
      <c r="AVL191" s="387"/>
      <c r="AVM191" s="387"/>
      <c r="AVN191" s="387"/>
      <c r="AVO191" s="387"/>
      <c r="AVP191" s="387"/>
      <c r="AVQ191" s="387"/>
      <c r="AVR191" s="387"/>
      <c r="AVS191" s="387"/>
      <c r="AVT191" s="387"/>
      <c r="AVU191" s="387"/>
      <c r="AVV191" s="387"/>
      <c r="AVW191" s="387"/>
      <c r="AVX191" s="387"/>
      <c r="AVY191" s="387"/>
      <c r="AVZ191" s="387"/>
      <c r="AWA191" s="387"/>
      <c r="AWB191" s="387"/>
      <c r="AWC191" s="387"/>
      <c r="AWD191" s="387"/>
      <c r="AWE191" s="387"/>
      <c r="AWF191" s="387"/>
      <c r="AWG191" s="387"/>
      <c r="AWH191" s="387"/>
      <c r="AWI191" s="387"/>
      <c r="AWJ191" s="387"/>
      <c r="AWK191" s="387"/>
      <c r="AWL191" s="387"/>
      <c r="AWM191" s="387"/>
      <c r="AWN191" s="387"/>
      <c r="AWO191" s="387"/>
      <c r="AWP191" s="387"/>
      <c r="AWQ191" s="387"/>
      <c r="AWR191" s="387"/>
      <c r="AWS191" s="387"/>
      <c r="AWT191" s="387"/>
      <c r="AWU191" s="387"/>
      <c r="AWV191" s="387"/>
      <c r="AWW191" s="387"/>
      <c r="AWX191" s="387"/>
      <c r="AWY191" s="387"/>
      <c r="AWZ191" s="387"/>
      <c r="AXA191" s="387"/>
      <c r="AXB191" s="387"/>
      <c r="AXC191" s="387"/>
      <c r="AXD191" s="387"/>
      <c r="AXE191" s="387"/>
      <c r="AXF191" s="387"/>
      <c r="AXG191" s="387"/>
      <c r="AXH191" s="387"/>
      <c r="AXI191" s="387"/>
      <c r="AXJ191" s="387"/>
      <c r="AXK191" s="387"/>
      <c r="AXL191" s="387"/>
      <c r="AXM191" s="387"/>
      <c r="AXN191" s="387"/>
      <c r="AXO191" s="387"/>
      <c r="AXP191" s="387"/>
      <c r="AXQ191" s="387"/>
      <c r="AXR191" s="387"/>
      <c r="AXS191" s="387"/>
      <c r="AXT191" s="387"/>
      <c r="AXU191" s="387"/>
      <c r="AXV191" s="387"/>
      <c r="AXW191" s="387"/>
      <c r="AXX191" s="387"/>
      <c r="AXY191" s="387"/>
      <c r="AXZ191" s="387"/>
      <c r="AYA191" s="387"/>
      <c r="AYB191" s="387"/>
      <c r="AYC191" s="387"/>
      <c r="AYD191" s="387"/>
      <c r="AYE191" s="387"/>
      <c r="AYF191" s="387"/>
      <c r="AYG191" s="387"/>
      <c r="AYH191" s="387"/>
      <c r="AYI191" s="387"/>
      <c r="AYJ191" s="387"/>
      <c r="AYK191" s="387"/>
      <c r="AYL191" s="387"/>
      <c r="AYM191" s="387"/>
      <c r="AYN191" s="387"/>
      <c r="AYO191" s="387"/>
      <c r="AYP191" s="387"/>
      <c r="AYQ191" s="387"/>
      <c r="AYR191" s="387"/>
      <c r="AYS191" s="387"/>
      <c r="AYT191" s="387"/>
      <c r="AYU191" s="387"/>
      <c r="AYV191" s="387"/>
      <c r="AYW191" s="387"/>
      <c r="AYX191" s="387"/>
      <c r="AYY191" s="387"/>
      <c r="AYZ191" s="387"/>
      <c r="AZA191" s="387"/>
      <c r="AZB191" s="387"/>
      <c r="AZC191" s="387"/>
      <c r="AZD191" s="387"/>
      <c r="AZE191" s="387"/>
      <c r="AZF191" s="387"/>
      <c r="AZG191" s="387"/>
      <c r="AZH191" s="387"/>
      <c r="AZI191" s="387"/>
      <c r="AZJ191" s="387"/>
      <c r="AZK191" s="387"/>
      <c r="AZL191" s="387"/>
      <c r="AZM191" s="387"/>
      <c r="AZN191" s="387"/>
      <c r="AZO191" s="387"/>
      <c r="AZP191" s="387"/>
      <c r="AZQ191" s="387"/>
      <c r="AZR191" s="387"/>
      <c r="AZS191" s="387"/>
      <c r="AZT191" s="387"/>
      <c r="AZU191" s="387"/>
      <c r="AZV191" s="387"/>
      <c r="AZW191" s="387"/>
      <c r="AZX191" s="387"/>
      <c r="AZY191" s="387"/>
      <c r="AZZ191" s="387"/>
      <c r="BAA191" s="387"/>
      <c r="BAB191" s="387"/>
      <c r="BAC191" s="387"/>
      <c r="BAD191" s="387"/>
      <c r="BAE191" s="387"/>
      <c r="BAF191" s="387"/>
      <c r="BAG191" s="387"/>
      <c r="BAH191" s="387"/>
      <c r="BAI191" s="387"/>
      <c r="BAJ191" s="387"/>
      <c r="BAK191" s="387"/>
      <c r="BAL191" s="387"/>
      <c r="BAM191" s="387"/>
      <c r="BAN191" s="387"/>
      <c r="BAO191" s="387"/>
      <c r="BAP191" s="387"/>
      <c r="BAQ191" s="387"/>
      <c r="BAR191" s="387"/>
      <c r="BAS191" s="387"/>
      <c r="BAT191" s="387"/>
      <c r="BAU191" s="387"/>
      <c r="BAV191" s="387"/>
      <c r="BAW191" s="387"/>
      <c r="BAX191" s="387"/>
      <c r="BAY191" s="387"/>
      <c r="BAZ191" s="387"/>
      <c r="BBA191" s="387"/>
      <c r="BBB191" s="387"/>
      <c r="BBC191" s="387"/>
      <c r="BBD191" s="387"/>
      <c r="BBE191" s="387"/>
      <c r="BBF191" s="387"/>
      <c r="BBG191" s="387"/>
      <c r="BBH191" s="387"/>
      <c r="BBI191" s="387"/>
      <c r="BBJ191" s="387"/>
      <c r="BBK191" s="387"/>
      <c r="BBL191" s="387"/>
      <c r="BBM191" s="387"/>
      <c r="BBN191" s="387"/>
      <c r="BBO191" s="387"/>
      <c r="BBP191" s="387"/>
      <c r="BBQ191" s="387"/>
      <c r="BBR191" s="387"/>
      <c r="BBS191" s="387"/>
      <c r="BBT191" s="387"/>
      <c r="BBU191" s="387"/>
      <c r="BBV191" s="387"/>
      <c r="BBW191" s="387"/>
      <c r="BBX191" s="387"/>
      <c r="BBY191" s="387"/>
      <c r="BBZ191" s="387"/>
      <c r="BCA191" s="387"/>
      <c r="BCB191" s="387"/>
      <c r="BCC191" s="387"/>
      <c r="BCD191" s="387"/>
      <c r="BCE191" s="387"/>
      <c r="BCF191" s="387"/>
      <c r="BCG191" s="387"/>
      <c r="BCH191" s="387"/>
      <c r="BCI191" s="387"/>
      <c r="BCJ191" s="387"/>
      <c r="BCK191" s="387"/>
      <c r="BCL191" s="387"/>
      <c r="BCM191" s="387"/>
      <c r="BCN191" s="387"/>
      <c r="BCO191" s="387"/>
      <c r="BCP191" s="387"/>
      <c r="BCQ191" s="387"/>
      <c r="BCR191" s="387"/>
      <c r="BCS191" s="387"/>
      <c r="BCT191" s="387"/>
      <c r="BCU191" s="387"/>
      <c r="BCV191" s="387"/>
      <c r="BCW191" s="387"/>
      <c r="BCX191" s="387"/>
      <c r="BCY191" s="387"/>
      <c r="BCZ191" s="387"/>
      <c r="BDA191" s="387"/>
      <c r="BDB191" s="387"/>
      <c r="BDC191" s="387"/>
      <c r="BDD191" s="387"/>
      <c r="BDE191" s="387"/>
      <c r="BDF191" s="387"/>
      <c r="BDG191" s="387"/>
      <c r="BDH191" s="387"/>
      <c r="BDI191" s="387"/>
      <c r="BDJ191" s="387"/>
      <c r="BDK191" s="387"/>
      <c r="BDL191" s="387"/>
      <c r="BDM191" s="387"/>
      <c r="BDN191" s="387"/>
      <c r="BDO191" s="387"/>
      <c r="BDP191" s="387"/>
      <c r="BDQ191" s="387"/>
      <c r="BDR191" s="387"/>
      <c r="BDS191" s="387"/>
      <c r="BDT191" s="387"/>
      <c r="BDU191" s="387"/>
      <c r="BDV191" s="387"/>
      <c r="BDW191" s="387"/>
      <c r="BDX191" s="387"/>
      <c r="BDY191" s="387"/>
      <c r="BDZ191" s="387"/>
      <c r="BEA191" s="387"/>
      <c r="BEB191" s="387"/>
      <c r="BEC191" s="387"/>
      <c r="BED191" s="387"/>
      <c r="BEE191" s="387"/>
      <c r="BEF191" s="387"/>
      <c r="BEG191" s="387"/>
      <c r="BEH191" s="387"/>
      <c r="BEI191" s="387"/>
      <c r="BEJ191" s="387"/>
      <c r="BEK191" s="387"/>
      <c r="BEL191" s="387"/>
      <c r="BEM191" s="387"/>
      <c r="BEN191" s="387"/>
      <c r="BEO191" s="387"/>
      <c r="BEP191" s="387"/>
      <c r="BEQ191" s="387"/>
      <c r="BER191" s="387"/>
      <c r="BES191" s="387"/>
      <c r="BET191" s="387"/>
      <c r="BEU191" s="387"/>
      <c r="BEV191" s="387"/>
      <c r="BEW191" s="387"/>
      <c r="BEX191" s="387"/>
      <c r="BEY191" s="387"/>
      <c r="BEZ191" s="387"/>
      <c r="BFA191" s="387"/>
      <c r="BFB191" s="387"/>
      <c r="BFC191" s="387"/>
      <c r="BFD191" s="387"/>
      <c r="BFE191" s="387"/>
      <c r="BFF191" s="387"/>
      <c r="BFG191" s="387"/>
      <c r="BFH191" s="387"/>
      <c r="BFI191" s="387"/>
      <c r="BFJ191" s="387"/>
      <c r="BFK191" s="387"/>
      <c r="BFL191" s="387"/>
      <c r="BFM191" s="387"/>
      <c r="BFN191" s="387"/>
      <c r="BFO191" s="387"/>
      <c r="BFP191" s="387"/>
      <c r="BFQ191" s="387"/>
      <c r="BFR191" s="387"/>
      <c r="BFS191" s="387"/>
      <c r="BFT191" s="387"/>
      <c r="BFU191" s="387"/>
      <c r="BFV191" s="387"/>
      <c r="BFW191" s="387"/>
      <c r="BFX191" s="387"/>
      <c r="BFY191" s="387"/>
      <c r="BFZ191" s="387"/>
      <c r="BGA191" s="387"/>
      <c r="BGB191" s="387"/>
      <c r="BGC191" s="387"/>
      <c r="BGD191" s="387"/>
      <c r="BGE191" s="387"/>
      <c r="BGF191" s="387"/>
      <c r="BGG191" s="387"/>
      <c r="BGH191" s="387"/>
      <c r="BGI191" s="387"/>
      <c r="BGJ191" s="387"/>
      <c r="BGK191" s="387"/>
      <c r="BGL191" s="387"/>
      <c r="BGM191" s="387"/>
      <c r="BGN191" s="387"/>
      <c r="BGO191" s="387"/>
      <c r="BGP191" s="387"/>
      <c r="BGQ191" s="387"/>
      <c r="BGR191" s="387"/>
      <c r="BGS191" s="387"/>
      <c r="BGT191" s="387"/>
      <c r="BGU191" s="387"/>
      <c r="BGV191" s="387"/>
      <c r="BGW191" s="387"/>
      <c r="BGX191" s="387"/>
      <c r="BGY191" s="387"/>
      <c r="BGZ191" s="387"/>
      <c r="BHA191" s="387"/>
      <c r="BHB191" s="387"/>
      <c r="BHC191" s="387"/>
      <c r="BHD191" s="387"/>
      <c r="BHE191" s="387"/>
      <c r="BHF191" s="387"/>
      <c r="BHG191" s="387"/>
      <c r="BHH191" s="387"/>
      <c r="BHI191" s="387"/>
      <c r="BHJ191" s="387"/>
      <c r="BHK191" s="387"/>
      <c r="BHL191" s="387"/>
      <c r="BHM191" s="387"/>
      <c r="BHN191" s="387"/>
      <c r="BHO191" s="387"/>
      <c r="BHP191" s="387"/>
      <c r="BHQ191" s="387"/>
      <c r="BHR191" s="387"/>
      <c r="BHS191" s="387"/>
      <c r="BHT191" s="387"/>
      <c r="BHU191" s="387"/>
      <c r="BHV191" s="387"/>
      <c r="BHW191" s="387"/>
      <c r="BHX191" s="387"/>
      <c r="BHY191" s="387"/>
      <c r="BHZ191" s="387"/>
      <c r="BIA191" s="387"/>
      <c r="BIB191" s="387"/>
      <c r="BIC191" s="387"/>
      <c r="BID191" s="387"/>
      <c r="BIE191" s="387"/>
      <c r="BIF191" s="387"/>
      <c r="BIG191" s="387"/>
      <c r="BIH191" s="387"/>
      <c r="BII191" s="387"/>
      <c r="BIJ191" s="387"/>
      <c r="BIK191" s="387"/>
      <c r="BIL191" s="387"/>
      <c r="BIM191" s="387"/>
      <c r="BIN191" s="387"/>
      <c r="BIO191" s="387"/>
      <c r="BIP191" s="387"/>
      <c r="BIQ191" s="387"/>
      <c r="BIR191" s="387"/>
      <c r="BIS191" s="387"/>
      <c r="BIT191" s="387"/>
      <c r="BIU191" s="387"/>
      <c r="BIV191" s="387"/>
      <c r="BIW191" s="387"/>
      <c r="BIX191" s="387"/>
      <c r="BIY191" s="387"/>
      <c r="BIZ191" s="387"/>
      <c r="BJA191" s="387"/>
      <c r="BJB191" s="387"/>
      <c r="BJC191" s="387"/>
      <c r="BJD191" s="387"/>
      <c r="BJE191" s="387"/>
      <c r="BJF191" s="387"/>
      <c r="BJG191" s="387"/>
      <c r="BJH191" s="387"/>
      <c r="BJI191" s="387"/>
      <c r="BJJ191" s="387"/>
      <c r="BJK191" s="387"/>
      <c r="BJL191" s="387"/>
      <c r="BJM191" s="387"/>
      <c r="BJN191" s="387"/>
      <c r="BJO191" s="387"/>
      <c r="BJP191" s="387"/>
      <c r="BJQ191" s="387"/>
      <c r="BJR191" s="387"/>
      <c r="BJS191" s="387"/>
      <c r="BJT191" s="387"/>
      <c r="BJU191" s="387"/>
      <c r="BJV191" s="387"/>
      <c r="BJW191" s="387"/>
      <c r="BJX191" s="387"/>
      <c r="BJY191" s="387"/>
      <c r="BJZ191" s="387"/>
      <c r="BKA191" s="387"/>
      <c r="BKB191" s="387"/>
      <c r="BKC191" s="387"/>
      <c r="BKD191" s="387"/>
      <c r="BKE191" s="387"/>
      <c r="BKF191" s="387"/>
      <c r="BKG191" s="387"/>
      <c r="BKH191" s="387"/>
      <c r="BKI191" s="387"/>
      <c r="BKJ191" s="387"/>
      <c r="BKK191" s="387"/>
      <c r="BKL191" s="387"/>
      <c r="BKM191" s="387"/>
      <c r="BKN191" s="387"/>
      <c r="BKO191" s="387"/>
      <c r="BKP191" s="387"/>
      <c r="BKQ191" s="387"/>
      <c r="BKR191" s="387"/>
      <c r="BKS191" s="387"/>
      <c r="BKT191" s="387"/>
      <c r="BKU191" s="387"/>
      <c r="BKV191" s="387"/>
      <c r="BKW191" s="387"/>
      <c r="BKX191" s="387"/>
      <c r="BKY191" s="387"/>
      <c r="BKZ191" s="387"/>
      <c r="BLA191" s="387"/>
      <c r="BLB191" s="387"/>
      <c r="BLC191" s="387"/>
      <c r="BLD191" s="387"/>
      <c r="BLE191" s="387"/>
      <c r="BLF191" s="387"/>
      <c r="BLG191" s="387"/>
      <c r="BLH191" s="387"/>
      <c r="BLI191" s="387"/>
      <c r="BLJ191" s="387"/>
      <c r="BLK191" s="387"/>
      <c r="BLL191" s="387"/>
      <c r="BLM191" s="387"/>
      <c r="BLN191" s="387"/>
      <c r="BLO191" s="387"/>
      <c r="BLP191" s="387"/>
      <c r="BLQ191" s="387"/>
      <c r="BLR191" s="387"/>
      <c r="BLS191" s="387"/>
      <c r="BLT191" s="387"/>
      <c r="BLU191" s="387"/>
      <c r="BLV191" s="387"/>
      <c r="BLW191" s="387"/>
      <c r="BLX191" s="387"/>
      <c r="BLY191" s="387"/>
      <c r="BLZ191" s="387"/>
      <c r="BMA191" s="387"/>
      <c r="BMB191" s="387"/>
      <c r="BMC191" s="387"/>
      <c r="BMD191" s="387"/>
      <c r="BME191" s="387"/>
      <c r="BMF191" s="387"/>
      <c r="BMG191" s="387"/>
      <c r="BMH191" s="387"/>
      <c r="BMI191" s="387"/>
      <c r="BMJ191" s="387"/>
      <c r="BMK191" s="387"/>
      <c r="BML191" s="387"/>
      <c r="BMM191" s="387"/>
      <c r="BMN191" s="387"/>
      <c r="BMO191" s="387"/>
      <c r="BMP191" s="387"/>
      <c r="BMQ191" s="387"/>
      <c r="BMR191" s="387"/>
      <c r="BMS191" s="387"/>
      <c r="BMT191" s="387"/>
      <c r="BMU191" s="387"/>
      <c r="BMV191" s="387"/>
      <c r="BMW191" s="387"/>
      <c r="BMX191" s="387"/>
      <c r="BMY191" s="387"/>
      <c r="BMZ191" s="387"/>
      <c r="BNA191" s="387"/>
      <c r="BNB191" s="387"/>
      <c r="BNC191" s="387"/>
      <c r="BND191" s="387"/>
      <c r="BNE191" s="387"/>
      <c r="BNF191" s="387"/>
      <c r="BNG191" s="387"/>
      <c r="BNH191" s="387"/>
      <c r="BNI191" s="387"/>
      <c r="BNJ191" s="387"/>
      <c r="BNK191" s="387"/>
      <c r="BNL191" s="387"/>
      <c r="BNM191" s="387"/>
      <c r="BNN191" s="387"/>
      <c r="BNO191" s="387"/>
      <c r="BNP191" s="387"/>
      <c r="BNQ191" s="387"/>
      <c r="BNR191" s="387"/>
      <c r="BNS191" s="387"/>
      <c r="BNT191" s="387"/>
      <c r="BNU191" s="387"/>
      <c r="BNV191" s="387"/>
      <c r="BNW191" s="387"/>
      <c r="BNX191" s="387"/>
      <c r="BNY191" s="387"/>
      <c r="BNZ191" s="387"/>
      <c r="BOA191" s="387"/>
      <c r="BOB191" s="387"/>
      <c r="BOC191" s="387"/>
      <c r="BOD191" s="387"/>
      <c r="BOE191" s="387"/>
      <c r="BOF191" s="387"/>
      <c r="BOG191" s="387"/>
      <c r="BOH191" s="387"/>
      <c r="BOI191" s="387"/>
      <c r="BOJ191" s="387"/>
      <c r="BOK191" s="387"/>
      <c r="BOL191" s="387"/>
      <c r="BOM191" s="387"/>
      <c r="BON191" s="387"/>
      <c r="BOO191" s="387"/>
      <c r="BOP191" s="387"/>
      <c r="BOQ191" s="387"/>
      <c r="BOR191" s="387"/>
      <c r="BOS191" s="387"/>
      <c r="BOT191" s="387"/>
      <c r="BOU191" s="387"/>
      <c r="BOV191" s="387"/>
      <c r="BOW191" s="387"/>
      <c r="BOX191" s="387"/>
      <c r="BOY191" s="387"/>
      <c r="BOZ191" s="387"/>
      <c r="BPA191" s="387"/>
      <c r="BPB191" s="387"/>
      <c r="BPC191" s="387"/>
      <c r="BPD191" s="387"/>
      <c r="BPE191" s="387"/>
      <c r="BPF191" s="387"/>
      <c r="BPG191" s="387"/>
      <c r="BPH191" s="387"/>
      <c r="BPI191" s="387"/>
      <c r="BPJ191" s="387"/>
      <c r="BPK191" s="387"/>
      <c r="BPL191" s="387"/>
      <c r="BPM191" s="387"/>
      <c r="BPN191" s="387"/>
      <c r="BPO191" s="387"/>
      <c r="BPP191" s="387"/>
      <c r="BPQ191" s="387"/>
      <c r="BPR191" s="387"/>
      <c r="BPS191" s="387"/>
      <c r="BPT191" s="387"/>
      <c r="BPU191" s="387"/>
      <c r="BPV191" s="387"/>
      <c r="BPW191" s="387"/>
      <c r="BPX191" s="387"/>
      <c r="BPY191" s="387"/>
      <c r="BPZ191" s="387"/>
      <c r="BQA191" s="387"/>
      <c r="BQB191" s="387"/>
      <c r="BQC191" s="387"/>
      <c r="BQD191" s="387"/>
      <c r="BQE191" s="387"/>
      <c r="BQF191" s="387"/>
      <c r="BQG191" s="387"/>
      <c r="BQH191" s="387"/>
      <c r="BQI191" s="387"/>
      <c r="BQJ191" s="387"/>
      <c r="BQK191" s="387"/>
      <c r="BQL191" s="387"/>
      <c r="BQM191" s="387"/>
      <c r="BQN191" s="387"/>
      <c r="BQO191" s="387"/>
      <c r="BQP191" s="387"/>
      <c r="BQQ191" s="387"/>
      <c r="BQR191" s="387"/>
      <c r="BQS191" s="387"/>
      <c r="BQT191" s="387"/>
      <c r="BQU191" s="387"/>
      <c r="BQV191" s="387"/>
      <c r="BQW191" s="387"/>
      <c r="BQX191" s="387"/>
      <c r="BQY191" s="387"/>
      <c r="BQZ191" s="387"/>
      <c r="BRA191" s="387"/>
      <c r="BRB191" s="387"/>
      <c r="BRC191" s="387"/>
      <c r="BRD191" s="387"/>
      <c r="BRE191" s="387"/>
      <c r="BRF191" s="387"/>
      <c r="BRG191" s="387"/>
      <c r="BRH191" s="387"/>
      <c r="BRI191" s="387"/>
      <c r="BRJ191" s="387"/>
      <c r="BRK191" s="387"/>
      <c r="BRL191" s="387"/>
      <c r="BRM191" s="387"/>
      <c r="BRN191" s="387"/>
      <c r="BRO191" s="387"/>
      <c r="BRP191" s="387"/>
      <c r="BRQ191" s="387"/>
      <c r="BRR191" s="387"/>
      <c r="BRS191" s="387"/>
      <c r="BRT191" s="387"/>
      <c r="BRU191" s="387"/>
      <c r="BRV191" s="387"/>
      <c r="BRW191" s="387"/>
      <c r="BRX191" s="387"/>
      <c r="BRY191" s="387"/>
      <c r="BRZ191" s="387"/>
      <c r="BSA191" s="387"/>
      <c r="BSB191" s="387"/>
      <c r="BSC191" s="387"/>
      <c r="BSD191" s="387"/>
      <c r="BSE191" s="387"/>
      <c r="BSF191" s="387"/>
      <c r="BSG191" s="387"/>
      <c r="BSH191" s="387"/>
      <c r="BSI191" s="387"/>
      <c r="BSJ191" s="387"/>
      <c r="BSK191" s="387"/>
      <c r="BSL191" s="387"/>
      <c r="BSM191" s="387"/>
      <c r="BSN191" s="387"/>
      <c r="BSO191" s="387"/>
      <c r="BSP191" s="387"/>
      <c r="BSQ191" s="387"/>
      <c r="BSR191" s="387"/>
      <c r="BSS191" s="387"/>
      <c r="BST191" s="387"/>
      <c r="BSU191" s="387"/>
      <c r="BSV191" s="387"/>
      <c r="BSW191" s="387"/>
      <c r="BSX191" s="387"/>
      <c r="BSY191" s="387"/>
      <c r="BSZ191" s="387"/>
      <c r="BTA191" s="387"/>
      <c r="BTB191" s="387"/>
      <c r="BTC191" s="387"/>
      <c r="BTD191" s="387"/>
      <c r="BTE191" s="387"/>
      <c r="BTF191" s="387"/>
      <c r="BTG191" s="387"/>
      <c r="BTH191" s="387"/>
      <c r="BTI191" s="387"/>
    </row>
    <row r="192" spans="1:1881" s="219" customFormat="1" ht="54.75" customHeight="1" x14ac:dyDescent="0.25">
      <c r="A192" s="186">
        <v>527</v>
      </c>
      <c r="B192" s="148" t="s">
        <v>81</v>
      </c>
      <c r="C192" s="180" t="s">
        <v>251</v>
      </c>
      <c r="D192" s="173" t="s">
        <v>246</v>
      </c>
      <c r="E192" s="683" t="e">
        <f>HLOOKUP('Unit Data from Audit Worksheet'!$D$2,'2019 Data(H)'!$D$1:$BB$202,134,FALSE)</f>
        <v>#N/A</v>
      </c>
      <c r="F192" s="560"/>
      <c r="G192" s="311"/>
      <c r="H192" s="14"/>
      <c r="I192" s="292"/>
      <c r="J192" s="387"/>
      <c r="K192" s="387"/>
      <c r="L192" s="387"/>
      <c r="M192" s="387"/>
      <c r="N192"/>
      <c r="O192" s="387"/>
      <c r="P192" s="387"/>
      <c r="Q192" s="387"/>
      <c r="R192"/>
      <c r="S192" s="682"/>
      <c r="T192" s="387"/>
      <c r="U192" s="387"/>
      <c r="V192" s="387"/>
      <c r="W192" s="387"/>
      <c r="X192" s="682"/>
      <c r="Y192" s="387"/>
      <c r="Z192" s="387"/>
      <c r="AA192" s="387"/>
      <c r="AB192" s="387"/>
      <c r="AC192" s="387"/>
      <c r="AD192" s="387"/>
      <c r="AE192" s="387"/>
      <c r="AF192" s="387"/>
      <c r="AG192" s="387"/>
      <c r="AH192" s="387"/>
      <c r="AI192" s="387"/>
      <c r="AJ192" s="387"/>
      <c r="AK192" s="387"/>
      <c r="AL192" s="387"/>
      <c r="AM192" s="387"/>
      <c r="AN192" s="387"/>
      <c r="AO192" s="387"/>
      <c r="AP192" s="387"/>
      <c r="AQ192" s="387"/>
      <c r="AR192" s="387"/>
      <c r="AS192" s="387"/>
      <c r="AT192" s="387"/>
      <c r="AU192" s="387"/>
      <c r="AV192" s="387"/>
      <c r="AW192" s="387"/>
      <c r="AX192" s="387"/>
      <c r="AY192" s="387"/>
      <c r="AZ192" s="387"/>
      <c r="BA192" s="387"/>
      <c r="BB192" s="387"/>
      <c r="BC192" s="387"/>
      <c r="BD192" s="387"/>
      <c r="BE192" s="387"/>
      <c r="BF192" s="387"/>
      <c r="BG192" s="387"/>
      <c r="BH192" s="387"/>
      <c r="BI192" s="387"/>
      <c r="BJ192" s="387"/>
      <c r="BK192" s="387"/>
      <c r="BL192" s="387"/>
      <c r="BM192" s="387"/>
      <c r="BN192" s="387"/>
      <c r="BO192" s="387"/>
      <c r="BP192" s="387"/>
      <c r="BQ192" s="387"/>
      <c r="BR192" s="387"/>
      <c r="BS192" s="387"/>
      <c r="BT192" s="387"/>
      <c r="BU192" s="387"/>
      <c r="BV192" s="387"/>
      <c r="BW192" s="387"/>
      <c r="BX192" s="387"/>
      <c r="BY192" s="387"/>
      <c r="BZ192" s="387"/>
      <c r="CA192" s="387"/>
      <c r="CB192" s="387"/>
      <c r="CC192" s="387"/>
      <c r="CD192" s="387"/>
      <c r="CE192" s="387"/>
      <c r="CF192" s="387"/>
      <c r="CG192" s="387"/>
      <c r="CH192" s="387"/>
      <c r="CI192" s="387"/>
      <c r="CJ192" s="387"/>
      <c r="CK192" s="387"/>
      <c r="CL192" s="387"/>
      <c r="CM192" s="387"/>
      <c r="CN192" s="387"/>
      <c r="CO192" s="387"/>
      <c r="CP192" s="387"/>
      <c r="CQ192" s="387"/>
      <c r="CR192" s="387"/>
      <c r="CS192" s="387"/>
      <c r="CT192" s="387"/>
      <c r="CU192" s="387"/>
      <c r="CV192" s="387"/>
      <c r="CW192" s="387"/>
      <c r="CX192" s="387"/>
      <c r="CY192" s="387"/>
      <c r="CZ192" s="387"/>
      <c r="DA192" s="387"/>
      <c r="DB192" s="387"/>
      <c r="DC192" s="387"/>
      <c r="DD192" s="387"/>
      <c r="DE192" s="387"/>
      <c r="DF192" s="387"/>
      <c r="DG192" s="387"/>
      <c r="DH192" s="387"/>
      <c r="DI192" s="387"/>
      <c r="DJ192" s="387"/>
      <c r="DK192" s="387"/>
      <c r="DL192" s="387"/>
      <c r="DM192" s="387"/>
      <c r="DN192" s="387"/>
      <c r="DO192" s="387"/>
      <c r="DP192" s="387"/>
      <c r="DQ192" s="387"/>
      <c r="DR192" s="387"/>
      <c r="DS192" s="387"/>
      <c r="DT192" s="387"/>
      <c r="DU192" s="387"/>
      <c r="DV192" s="387"/>
      <c r="DW192" s="387"/>
      <c r="DX192" s="387"/>
      <c r="DY192" s="387"/>
      <c r="DZ192" s="387"/>
      <c r="EA192" s="387"/>
      <c r="EB192" s="387"/>
      <c r="EC192" s="387"/>
      <c r="ED192" s="387"/>
      <c r="EE192" s="387"/>
      <c r="EF192" s="387"/>
      <c r="EG192" s="387"/>
      <c r="EH192" s="387"/>
      <c r="EI192" s="387"/>
      <c r="EJ192" s="387"/>
      <c r="EK192" s="387"/>
      <c r="EL192" s="387"/>
      <c r="EM192" s="387"/>
      <c r="EN192" s="387"/>
      <c r="EO192" s="387"/>
      <c r="EP192" s="387"/>
      <c r="EQ192" s="387"/>
      <c r="ER192" s="387"/>
      <c r="ES192" s="387"/>
      <c r="ET192" s="387"/>
      <c r="EU192" s="387"/>
      <c r="EV192" s="387"/>
      <c r="EW192" s="387"/>
      <c r="EX192" s="387"/>
      <c r="EY192" s="387"/>
      <c r="EZ192" s="387"/>
      <c r="FA192" s="387"/>
      <c r="FB192" s="387"/>
      <c r="FC192" s="387"/>
      <c r="FD192" s="387"/>
      <c r="FE192" s="387"/>
      <c r="FF192" s="387"/>
      <c r="FG192" s="387"/>
      <c r="FH192" s="387"/>
      <c r="FI192" s="387"/>
      <c r="FJ192" s="387"/>
      <c r="FK192" s="387"/>
      <c r="FL192" s="387"/>
      <c r="FM192" s="387"/>
      <c r="FN192" s="387"/>
      <c r="FO192" s="387"/>
      <c r="FP192" s="387"/>
      <c r="FQ192" s="387"/>
      <c r="FR192" s="387"/>
      <c r="FS192" s="387"/>
      <c r="FT192" s="387"/>
      <c r="FU192" s="387"/>
      <c r="FV192" s="387"/>
      <c r="FW192" s="387"/>
      <c r="FX192" s="387"/>
      <c r="FY192" s="387"/>
      <c r="FZ192" s="387"/>
      <c r="GA192" s="387"/>
      <c r="GB192" s="387"/>
      <c r="GC192" s="387"/>
      <c r="GD192" s="387"/>
      <c r="GE192" s="387"/>
      <c r="GF192" s="387"/>
      <c r="GG192" s="387"/>
      <c r="GH192" s="387"/>
      <c r="GI192" s="387"/>
      <c r="GJ192" s="387"/>
      <c r="GK192" s="387"/>
      <c r="GL192" s="387"/>
      <c r="GM192" s="387"/>
      <c r="GN192" s="387"/>
      <c r="GO192" s="387"/>
      <c r="GP192" s="387"/>
      <c r="GQ192" s="387"/>
      <c r="GR192" s="387"/>
      <c r="GS192" s="387"/>
      <c r="GT192" s="387"/>
      <c r="GU192" s="387"/>
      <c r="GV192" s="387"/>
      <c r="GW192" s="387"/>
      <c r="GX192" s="387"/>
      <c r="GY192" s="387"/>
      <c r="GZ192" s="387"/>
      <c r="HA192" s="387"/>
      <c r="HB192" s="387"/>
      <c r="HC192" s="387"/>
      <c r="HD192" s="387"/>
      <c r="HE192" s="387"/>
      <c r="HF192" s="387"/>
      <c r="HG192" s="387"/>
      <c r="HH192" s="387"/>
      <c r="HI192" s="387"/>
      <c r="HJ192" s="387"/>
      <c r="HK192" s="387"/>
      <c r="HL192" s="387"/>
      <c r="HM192" s="387"/>
      <c r="HN192" s="387"/>
      <c r="HO192" s="387"/>
      <c r="HP192" s="387"/>
      <c r="HQ192" s="387"/>
      <c r="HR192" s="387"/>
      <c r="HS192" s="387"/>
      <c r="HT192" s="387"/>
      <c r="HU192" s="387"/>
      <c r="HV192" s="387"/>
      <c r="HW192" s="387"/>
      <c r="HX192" s="387"/>
      <c r="HY192" s="387"/>
      <c r="HZ192" s="387"/>
      <c r="IA192" s="387"/>
      <c r="IB192" s="387"/>
      <c r="IC192" s="387"/>
      <c r="ID192" s="387"/>
      <c r="IE192" s="387"/>
      <c r="IF192" s="387"/>
      <c r="IG192" s="387"/>
      <c r="IH192" s="387"/>
      <c r="II192" s="387"/>
      <c r="IJ192" s="387"/>
      <c r="IK192" s="387"/>
      <c r="IL192" s="387"/>
      <c r="IM192" s="387"/>
      <c r="IN192" s="387"/>
      <c r="IO192" s="387"/>
      <c r="IP192" s="387"/>
      <c r="IQ192" s="387"/>
      <c r="IR192" s="387"/>
      <c r="IS192" s="387"/>
      <c r="IT192" s="387"/>
      <c r="IU192" s="387"/>
      <c r="IV192" s="387"/>
      <c r="IW192" s="387"/>
      <c r="IX192" s="387"/>
      <c r="IY192" s="387"/>
      <c r="IZ192" s="387"/>
      <c r="JA192" s="387"/>
      <c r="JB192" s="387"/>
      <c r="JC192" s="387"/>
      <c r="JD192" s="387"/>
      <c r="JE192" s="387"/>
      <c r="JF192" s="387"/>
      <c r="JG192" s="387"/>
      <c r="JH192" s="387"/>
      <c r="JI192" s="387"/>
      <c r="JJ192" s="387"/>
      <c r="JK192" s="387"/>
      <c r="JL192" s="387"/>
      <c r="JM192" s="387"/>
      <c r="JN192" s="387"/>
      <c r="JO192" s="387"/>
      <c r="JP192" s="387"/>
      <c r="JQ192" s="387"/>
      <c r="JR192" s="387"/>
      <c r="JS192" s="387"/>
      <c r="JT192" s="387"/>
      <c r="JU192" s="387"/>
      <c r="JV192" s="387"/>
      <c r="JW192" s="387"/>
      <c r="JX192" s="387"/>
      <c r="JY192" s="387"/>
      <c r="JZ192" s="387"/>
      <c r="KA192" s="387"/>
      <c r="KB192" s="387"/>
      <c r="KC192" s="387"/>
      <c r="KD192" s="387"/>
      <c r="KE192" s="387"/>
      <c r="KF192" s="387"/>
      <c r="KG192" s="387"/>
      <c r="KH192" s="387"/>
      <c r="KI192" s="387"/>
      <c r="KJ192" s="387"/>
      <c r="KK192" s="387"/>
      <c r="KL192" s="387"/>
      <c r="KM192" s="387"/>
      <c r="KN192" s="387"/>
      <c r="KO192" s="387"/>
      <c r="KP192" s="387"/>
      <c r="KQ192" s="387"/>
      <c r="KR192" s="387"/>
      <c r="KS192" s="387"/>
      <c r="KT192" s="387"/>
      <c r="KU192" s="387"/>
      <c r="KV192" s="387"/>
      <c r="KW192" s="387"/>
      <c r="KX192" s="387"/>
      <c r="KY192" s="387"/>
      <c r="KZ192" s="387"/>
      <c r="LA192" s="387"/>
      <c r="LB192" s="387"/>
      <c r="LC192" s="387"/>
      <c r="LD192" s="387"/>
      <c r="LE192" s="387"/>
      <c r="LF192" s="387"/>
      <c r="LG192" s="387"/>
      <c r="LH192" s="387"/>
      <c r="LI192" s="387"/>
      <c r="LJ192" s="387"/>
      <c r="LK192" s="387"/>
      <c r="LL192" s="387"/>
      <c r="LM192" s="387"/>
      <c r="LN192" s="387"/>
      <c r="LO192" s="387"/>
      <c r="LP192" s="387"/>
      <c r="LQ192" s="387"/>
      <c r="LR192" s="387"/>
      <c r="LS192" s="387"/>
      <c r="LT192" s="387"/>
      <c r="LU192" s="387"/>
      <c r="LV192" s="387"/>
      <c r="LW192" s="387"/>
      <c r="LX192" s="387"/>
      <c r="LY192" s="387"/>
      <c r="LZ192" s="387"/>
      <c r="MA192" s="387"/>
      <c r="MB192" s="387"/>
      <c r="MC192" s="387"/>
      <c r="MD192" s="387"/>
      <c r="ME192" s="387"/>
      <c r="MF192" s="387"/>
      <c r="MG192" s="387"/>
      <c r="MH192" s="387"/>
      <c r="MI192" s="387"/>
      <c r="MJ192" s="387"/>
      <c r="MK192" s="387"/>
      <c r="ML192" s="387"/>
      <c r="MM192" s="387"/>
      <c r="MN192" s="387"/>
      <c r="MO192" s="387"/>
      <c r="MP192" s="387"/>
      <c r="MQ192" s="387"/>
      <c r="MR192" s="387"/>
      <c r="MS192" s="387"/>
      <c r="MT192" s="387"/>
      <c r="MU192" s="387"/>
      <c r="MV192" s="387"/>
      <c r="MW192" s="387"/>
      <c r="MX192" s="387"/>
      <c r="MY192" s="387"/>
      <c r="MZ192" s="387"/>
      <c r="NA192" s="387"/>
      <c r="NB192" s="387"/>
      <c r="NC192" s="387"/>
      <c r="ND192" s="387"/>
      <c r="NE192" s="387"/>
      <c r="NF192" s="387"/>
      <c r="NG192" s="387"/>
      <c r="NH192" s="387"/>
      <c r="NI192" s="387"/>
      <c r="NJ192" s="387"/>
      <c r="NK192" s="387"/>
      <c r="NL192" s="387"/>
      <c r="NM192" s="387"/>
      <c r="NN192" s="387"/>
      <c r="NO192" s="387"/>
      <c r="NP192" s="387"/>
      <c r="NQ192" s="387"/>
      <c r="NR192" s="387"/>
      <c r="NS192" s="387"/>
      <c r="NT192" s="387"/>
      <c r="NU192" s="387"/>
      <c r="NV192" s="387"/>
      <c r="NW192" s="387"/>
      <c r="NX192" s="387"/>
      <c r="NY192" s="387"/>
      <c r="NZ192" s="387"/>
      <c r="OA192" s="387"/>
      <c r="OB192" s="387"/>
      <c r="OC192" s="387"/>
      <c r="OD192" s="387"/>
      <c r="OE192" s="387"/>
      <c r="OF192" s="387"/>
      <c r="OG192" s="387"/>
      <c r="OH192" s="387"/>
      <c r="OI192" s="387"/>
      <c r="OJ192" s="387"/>
      <c r="OK192" s="387"/>
      <c r="OL192" s="387"/>
      <c r="OM192" s="387"/>
      <c r="ON192" s="387"/>
      <c r="OO192" s="387"/>
      <c r="OP192" s="387"/>
      <c r="OQ192" s="387"/>
      <c r="OR192" s="387"/>
      <c r="OS192" s="387"/>
      <c r="OT192" s="387"/>
      <c r="OU192" s="387"/>
      <c r="OV192" s="387"/>
      <c r="OW192" s="387"/>
      <c r="OX192" s="387"/>
      <c r="OY192" s="387"/>
      <c r="OZ192" s="387"/>
      <c r="PA192" s="387"/>
      <c r="PB192" s="387"/>
      <c r="PC192" s="387"/>
      <c r="PD192" s="387"/>
      <c r="PE192" s="387"/>
      <c r="PF192" s="387"/>
      <c r="PG192" s="387"/>
      <c r="PH192" s="387"/>
      <c r="PI192" s="387"/>
      <c r="PJ192" s="387"/>
      <c r="PK192" s="387"/>
      <c r="PL192" s="387"/>
      <c r="PM192" s="387"/>
      <c r="PN192" s="387"/>
      <c r="PO192" s="387"/>
      <c r="PP192" s="387"/>
      <c r="PQ192" s="387"/>
      <c r="PR192" s="387"/>
      <c r="PS192" s="387"/>
      <c r="PT192" s="387"/>
      <c r="PU192" s="387"/>
      <c r="PV192" s="387"/>
      <c r="PW192" s="387"/>
      <c r="PX192" s="387"/>
      <c r="PY192" s="387"/>
      <c r="PZ192" s="387"/>
      <c r="QA192" s="387"/>
      <c r="QB192" s="387"/>
      <c r="QC192" s="387"/>
      <c r="QD192" s="387"/>
      <c r="QE192" s="387"/>
      <c r="QF192" s="387"/>
      <c r="QG192" s="387"/>
      <c r="QH192" s="387"/>
      <c r="QI192" s="387"/>
      <c r="QJ192" s="387"/>
      <c r="QK192" s="387"/>
      <c r="QL192" s="387"/>
      <c r="QM192" s="387"/>
      <c r="QN192" s="387"/>
      <c r="QO192" s="387"/>
      <c r="QP192" s="387"/>
      <c r="QQ192" s="387"/>
      <c r="QR192" s="387"/>
      <c r="QS192" s="387"/>
      <c r="QT192" s="387"/>
      <c r="QU192" s="387"/>
      <c r="QV192" s="387"/>
      <c r="QW192" s="387"/>
      <c r="QX192" s="387"/>
      <c r="QY192" s="387"/>
      <c r="QZ192" s="387"/>
      <c r="RA192" s="387"/>
      <c r="RB192" s="387"/>
      <c r="RC192" s="387"/>
      <c r="RD192" s="387"/>
      <c r="RE192" s="387"/>
      <c r="RF192" s="387"/>
      <c r="RG192" s="387"/>
      <c r="RH192" s="387"/>
      <c r="RI192" s="387"/>
      <c r="RJ192" s="387"/>
      <c r="RK192" s="387"/>
      <c r="RL192" s="387"/>
      <c r="RM192" s="387"/>
      <c r="RN192" s="387"/>
      <c r="RO192" s="387"/>
      <c r="RP192" s="387"/>
      <c r="RQ192" s="387"/>
      <c r="RR192" s="387"/>
      <c r="RS192" s="387"/>
      <c r="RT192" s="387"/>
      <c r="RU192" s="387"/>
      <c r="RV192" s="387"/>
      <c r="RW192" s="387"/>
      <c r="RX192" s="387"/>
      <c r="RY192" s="387"/>
      <c r="RZ192" s="387"/>
      <c r="SA192" s="387"/>
      <c r="SB192" s="387"/>
      <c r="SC192" s="387"/>
      <c r="SD192" s="387"/>
      <c r="SE192" s="387"/>
      <c r="SF192" s="387"/>
      <c r="SG192" s="387"/>
      <c r="SH192" s="387"/>
      <c r="SI192" s="387"/>
      <c r="SJ192" s="387"/>
      <c r="SK192" s="387"/>
      <c r="SL192" s="387"/>
      <c r="SM192" s="387"/>
      <c r="SN192" s="387"/>
      <c r="SO192" s="387"/>
      <c r="SP192" s="387"/>
      <c r="SQ192" s="387"/>
      <c r="SR192" s="387"/>
      <c r="SS192" s="387"/>
      <c r="ST192" s="387"/>
      <c r="SU192" s="387"/>
      <c r="SV192" s="387"/>
      <c r="SW192" s="387"/>
      <c r="SX192" s="387"/>
      <c r="SY192" s="387"/>
      <c r="SZ192" s="387"/>
      <c r="TA192" s="387"/>
      <c r="TB192" s="387"/>
      <c r="TC192" s="387"/>
      <c r="TD192" s="387"/>
      <c r="TE192" s="387"/>
      <c r="TF192" s="387"/>
      <c r="TG192" s="387"/>
      <c r="TH192" s="387"/>
      <c r="TI192" s="387"/>
      <c r="TJ192" s="387"/>
      <c r="TK192" s="387"/>
      <c r="TL192" s="387"/>
      <c r="TM192" s="387"/>
      <c r="TN192" s="387"/>
      <c r="TO192" s="387"/>
      <c r="TP192" s="387"/>
      <c r="TQ192" s="387"/>
      <c r="TR192" s="387"/>
      <c r="TS192" s="387"/>
      <c r="TT192" s="387"/>
      <c r="TU192" s="387"/>
      <c r="TV192" s="387"/>
      <c r="TW192" s="387"/>
      <c r="TX192" s="387"/>
      <c r="TY192" s="387"/>
      <c r="TZ192" s="387"/>
      <c r="UA192" s="387"/>
      <c r="UB192" s="387"/>
      <c r="UC192" s="387"/>
      <c r="UD192" s="387"/>
      <c r="UE192" s="387"/>
      <c r="UF192" s="387"/>
      <c r="UG192" s="387"/>
      <c r="UH192" s="387"/>
      <c r="UI192" s="387"/>
      <c r="UJ192" s="387"/>
      <c r="UK192" s="387"/>
      <c r="UL192" s="387"/>
      <c r="UM192" s="387"/>
      <c r="UN192" s="387"/>
      <c r="UO192" s="387"/>
      <c r="UP192" s="387"/>
      <c r="UQ192" s="387"/>
      <c r="UR192" s="387"/>
      <c r="US192" s="387"/>
      <c r="UT192" s="387"/>
      <c r="UU192" s="387"/>
      <c r="UV192" s="387"/>
      <c r="UW192" s="387"/>
      <c r="UX192" s="387"/>
      <c r="UY192" s="387"/>
      <c r="UZ192" s="387"/>
      <c r="VA192" s="387"/>
      <c r="VB192" s="387"/>
      <c r="VC192" s="387"/>
      <c r="VD192" s="387"/>
      <c r="VE192" s="387"/>
      <c r="VF192" s="387"/>
      <c r="VG192" s="387"/>
      <c r="VH192" s="387"/>
      <c r="VI192" s="387"/>
      <c r="VJ192" s="387"/>
      <c r="VK192" s="387"/>
      <c r="VL192" s="387"/>
      <c r="VM192" s="387"/>
      <c r="VN192" s="387"/>
      <c r="VO192" s="387"/>
      <c r="VP192" s="387"/>
      <c r="VQ192" s="387"/>
      <c r="VR192" s="387"/>
      <c r="VS192" s="387"/>
      <c r="VT192" s="387"/>
      <c r="VU192" s="387"/>
      <c r="VV192" s="387"/>
      <c r="VW192" s="387"/>
      <c r="VX192" s="387"/>
      <c r="VY192" s="387"/>
      <c r="VZ192" s="387"/>
      <c r="WA192" s="387"/>
      <c r="WB192" s="387"/>
      <c r="WC192" s="387"/>
      <c r="WD192" s="387"/>
      <c r="WE192" s="387"/>
      <c r="WF192" s="387"/>
      <c r="WG192" s="387"/>
      <c r="WH192" s="387"/>
      <c r="WI192" s="387"/>
      <c r="WJ192" s="387"/>
      <c r="WK192" s="387"/>
      <c r="WL192" s="387"/>
      <c r="WM192" s="387"/>
      <c r="WN192" s="387"/>
      <c r="WO192" s="387"/>
      <c r="WP192" s="387"/>
      <c r="WQ192" s="387"/>
      <c r="WR192" s="387"/>
      <c r="WS192" s="387"/>
      <c r="WT192" s="387"/>
      <c r="WU192" s="387"/>
      <c r="WV192" s="387"/>
      <c r="WW192" s="387"/>
      <c r="WX192" s="387"/>
      <c r="WY192" s="387"/>
      <c r="WZ192" s="387"/>
      <c r="XA192" s="387"/>
      <c r="XB192" s="387"/>
      <c r="XC192" s="387"/>
      <c r="XD192" s="387"/>
      <c r="XE192" s="387"/>
      <c r="XF192" s="387"/>
      <c r="XG192" s="387"/>
      <c r="XH192" s="387"/>
      <c r="XI192" s="387"/>
      <c r="XJ192" s="387"/>
      <c r="XK192" s="387"/>
      <c r="XL192" s="387"/>
      <c r="XM192" s="387"/>
      <c r="XN192" s="387"/>
      <c r="XO192" s="387"/>
      <c r="XP192" s="387"/>
      <c r="XQ192" s="387"/>
      <c r="XR192" s="387"/>
      <c r="XS192" s="387"/>
      <c r="XT192" s="387"/>
      <c r="XU192" s="387"/>
      <c r="XV192" s="387"/>
      <c r="XW192" s="387"/>
      <c r="XX192" s="387"/>
      <c r="XY192" s="387"/>
      <c r="XZ192" s="387"/>
      <c r="YA192" s="387"/>
      <c r="YB192" s="387"/>
      <c r="YC192" s="387"/>
      <c r="YD192" s="387"/>
      <c r="YE192" s="387"/>
      <c r="YF192" s="387"/>
      <c r="YG192" s="387"/>
      <c r="YH192" s="387"/>
      <c r="YI192" s="387"/>
      <c r="YJ192" s="387"/>
      <c r="YK192" s="387"/>
      <c r="YL192" s="387"/>
      <c r="YM192" s="387"/>
      <c r="YN192" s="387"/>
      <c r="YO192" s="387"/>
      <c r="YP192" s="387"/>
      <c r="YQ192" s="387"/>
      <c r="YR192" s="387"/>
      <c r="YS192" s="387"/>
      <c r="YT192" s="387"/>
      <c r="YU192" s="387"/>
      <c r="YV192" s="387"/>
      <c r="YW192" s="387"/>
      <c r="YX192" s="387"/>
      <c r="YY192" s="387"/>
      <c r="YZ192" s="387"/>
      <c r="ZA192" s="387"/>
      <c r="ZB192" s="387"/>
      <c r="ZC192" s="387"/>
      <c r="ZD192" s="387"/>
      <c r="ZE192" s="387"/>
      <c r="ZF192" s="387"/>
      <c r="ZG192" s="387"/>
      <c r="ZH192" s="387"/>
      <c r="ZI192" s="387"/>
      <c r="ZJ192" s="387"/>
      <c r="ZK192" s="387"/>
      <c r="ZL192" s="387"/>
      <c r="ZM192" s="387"/>
      <c r="ZN192" s="387"/>
      <c r="ZO192" s="387"/>
      <c r="ZP192" s="387"/>
      <c r="ZQ192" s="387"/>
      <c r="ZR192" s="387"/>
      <c r="ZS192" s="387"/>
      <c r="ZT192" s="387"/>
      <c r="ZU192" s="387"/>
      <c r="ZV192" s="387"/>
      <c r="ZW192" s="387"/>
      <c r="ZX192" s="387"/>
      <c r="ZY192" s="387"/>
      <c r="ZZ192" s="387"/>
      <c r="AAA192" s="387"/>
      <c r="AAB192" s="387"/>
      <c r="AAC192" s="387"/>
      <c r="AAD192" s="387"/>
      <c r="AAE192" s="387"/>
      <c r="AAF192" s="387"/>
      <c r="AAG192" s="387"/>
      <c r="AAH192" s="387"/>
      <c r="AAI192" s="387"/>
      <c r="AAJ192" s="387"/>
      <c r="AAK192" s="387"/>
      <c r="AAL192" s="387"/>
      <c r="AAM192" s="387"/>
      <c r="AAN192" s="387"/>
      <c r="AAO192" s="387"/>
      <c r="AAP192" s="387"/>
      <c r="AAQ192" s="387"/>
      <c r="AAR192" s="387"/>
      <c r="AAS192" s="387"/>
      <c r="AAT192" s="387"/>
      <c r="AAU192" s="387"/>
      <c r="AAV192" s="387"/>
      <c r="AAW192" s="387"/>
      <c r="AAX192" s="387"/>
      <c r="AAY192" s="387"/>
      <c r="AAZ192" s="387"/>
      <c r="ABA192" s="387"/>
      <c r="ABB192" s="387"/>
      <c r="ABC192" s="387"/>
      <c r="ABD192" s="387"/>
      <c r="ABE192" s="387"/>
      <c r="ABF192" s="387"/>
      <c r="ABG192" s="387"/>
      <c r="ABH192" s="387"/>
      <c r="ABI192" s="387"/>
      <c r="ABJ192" s="387"/>
      <c r="ABK192" s="387"/>
      <c r="ABL192" s="387"/>
      <c r="ABM192" s="387"/>
      <c r="ABN192" s="387"/>
      <c r="ABO192" s="387"/>
      <c r="ABP192" s="387"/>
      <c r="ABQ192" s="387"/>
      <c r="ABR192" s="387"/>
      <c r="ABS192" s="387"/>
      <c r="ABT192" s="387"/>
      <c r="ABU192" s="387"/>
      <c r="ABV192" s="387"/>
      <c r="ABW192" s="387"/>
      <c r="ABX192" s="387"/>
      <c r="ABY192" s="387"/>
      <c r="ABZ192" s="387"/>
      <c r="ACA192" s="387"/>
      <c r="ACB192" s="387"/>
      <c r="ACC192" s="387"/>
      <c r="ACD192" s="387"/>
      <c r="ACE192" s="387"/>
      <c r="ACF192" s="387"/>
      <c r="ACG192" s="387"/>
      <c r="ACH192" s="387"/>
      <c r="ACI192" s="387"/>
      <c r="ACJ192" s="387"/>
      <c r="ACK192" s="387"/>
      <c r="ACL192" s="387"/>
      <c r="ACM192" s="387"/>
      <c r="ACN192" s="387"/>
      <c r="ACO192" s="387"/>
      <c r="ACP192" s="387"/>
      <c r="ACQ192" s="387"/>
      <c r="ACR192" s="387"/>
      <c r="ACS192" s="387"/>
      <c r="ACT192" s="387"/>
      <c r="ACU192" s="387"/>
      <c r="ACV192" s="387"/>
      <c r="ACW192" s="387"/>
      <c r="ACX192" s="387"/>
      <c r="ACY192" s="387"/>
      <c r="ACZ192" s="387"/>
      <c r="ADA192" s="387"/>
      <c r="ADB192" s="387"/>
      <c r="ADC192" s="387"/>
      <c r="ADD192" s="387"/>
      <c r="ADE192" s="387"/>
      <c r="ADF192" s="387"/>
      <c r="ADG192" s="387"/>
      <c r="ADH192" s="387"/>
      <c r="ADI192" s="387"/>
      <c r="ADJ192" s="387"/>
      <c r="ADK192" s="387"/>
      <c r="ADL192" s="387"/>
      <c r="ADM192" s="387"/>
      <c r="ADN192" s="387"/>
      <c r="ADO192" s="387"/>
      <c r="ADP192" s="387"/>
      <c r="ADQ192" s="387"/>
      <c r="ADR192" s="387"/>
      <c r="ADS192" s="387"/>
      <c r="ADT192" s="387"/>
      <c r="ADU192" s="387"/>
      <c r="ADV192" s="387"/>
      <c r="ADW192" s="387"/>
      <c r="ADX192" s="387"/>
      <c r="ADY192" s="387"/>
      <c r="ADZ192" s="387"/>
      <c r="AEA192" s="387"/>
      <c r="AEB192" s="387"/>
      <c r="AEC192" s="387"/>
      <c r="AED192" s="387"/>
      <c r="AEE192" s="387"/>
      <c r="AEF192" s="387"/>
      <c r="AEG192" s="387"/>
      <c r="AEH192" s="387"/>
      <c r="AEI192" s="387"/>
      <c r="AEJ192" s="387"/>
      <c r="AEK192" s="387"/>
      <c r="AEL192" s="387"/>
      <c r="AEM192" s="387"/>
      <c r="AEN192" s="387"/>
      <c r="AEO192" s="387"/>
      <c r="AEP192" s="387"/>
      <c r="AEQ192" s="387"/>
      <c r="AER192" s="387"/>
      <c r="AES192" s="387"/>
      <c r="AET192" s="387"/>
      <c r="AEU192" s="387"/>
      <c r="AEV192" s="387"/>
      <c r="AEW192" s="387"/>
      <c r="AEX192" s="387"/>
      <c r="AEY192" s="387"/>
      <c r="AEZ192" s="387"/>
      <c r="AFA192" s="387"/>
      <c r="AFB192" s="387"/>
      <c r="AFC192" s="387"/>
      <c r="AFD192" s="387"/>
      <c r="AFE192" s="387"/>
      <c r="AFF192" s="387"/>
      <c r="AFG192" s="387"/>
      <c r="AFH192" s="387"/>
      <c r="AFI192" s="387"/>
      <c r="AFJ192" s="387"/>
      <c r="AFK192" s="387"/>
      <c r="AFL192" s="387"/>
      <c r="AFM192" s="387"/>
      <c r="AFN192" s="387"/>
      <c r="AFO192" s="387"/>
      <c r="AFP192" s="387"/>
      <c r="AFQ192" s="387"/>
      <c r="AFR192" s="387"/>
      <c r="AFS192" s="387"/>
      <c r="AFT192" s="387"/>
      <c r="AFU192" s="387"/>
      <c r="AFV192" s="387"/>
      <c r="AFW192" s="387"/>
      <c r="AFX192" s="387"/>
      <c r="AFY192" s="387"/>
      <c r="AFZ192" s="387"/>
      <c r="AGA192" s="387"/>
      <c r="AGB192" s="387"/>
      <c r="AGC192" s="387"/>
      <c r="AGD192" s="387"/>
      <c r="AGE192" s="387"/>
      <c r="AGF192" s="387"/>
      <c r="AGG192" s="387"/>
      <c r="AGH192" s="387"/>
      <c r="AGI192" s="387"/>
      <c r="AGJ192" s="387"/>
      <c r="AGK192" s="387"/>
      <c r="AGL192" s="387"/>
      <c r="AGM192" s="387"/>
      <c r="AGN192" s="387"/>
      <c r="AGO192" s="387"/>
      <c r="AGP192" s="387"/>
      <c r="AGQ192" s="387"/>
      <c r="AGR192" s="387"/>
      <c r="AGS192" s="387"/>
      <c r="AGT192" s="387"/>
      <c r="AGU192" s="387"/>
      <c r="AGV192" s="387"/>
      <c r="AGW192" s="387"/>
      <c r="AGX192" s="387"/>
      <c r="AGY192" s="387"/>
      <c r="AGZ192" s="387"/>
      <c r="AHA192" s="387"/>
      <c r="AHB192" s="387"/>
      <c r="AHC192" s="387"/>
      <c r="AHD192" s="387"/>
      <c r="AHE192" s="387"/>
      <c r="AHF192" s="387"/>
      <c r="AHG192" s="387"/>
      <c r="AHH192" s="387"/>
      <c r="AHI192" s="387"/>
      <c r="AHJ192" s="387"/>
      <c r="AHK192" s="387"/>
      <c r="AHL192" s="387"/>
      <c r="AHM192" s="387"/>
      <c r="AHN192" s="387"/>
      <c r="AHO192" s="387"/>
      <c r="AHP192" s="387"/>
      <c r="AHQ192" s="387"/>
      <c r="AHR192" s="387"/>
      <c r="AHS192" s="387"/>
      <c r="AHT192" s="387"/>
      <c r="AHU192" s="387"/>
      <c r="AHV192" s="387"/>
      <c r="AHW192" s="387"/>
      <c r="AHX192" s="387"/>
      <c r="AHY192" s="387"/>
      <c r="AHZ192" s="387"/>
      <c r="AIA192" s="387"/>
      <c r="AIB192" s="387"/>
      <c r="AIC192" s="387"/>
      <c r="AID192" s="387"/>
      <c r="AIE192" s="387"/>
      <c r="AIF192" s="387"/>
      <c r="AIG192" s="387"/>
      <c r="AIH192" s="387"/>
      <c r="AII192" s="387"/>
      <c r="AIJ192" s="387"/>
      <c r="AIK192" s="387"/>
      <c r="AIL192" s="387"/>
      <c r="AIM192" s="387"/>
      <c r="AIN192" s="387"/>
      <c r="AIO192" s="387"/>
      <c r="AIP192" s="387"/>
      <c r="AIQ192" s="387"/>
      <c r="AIR192" s="387"/>
      <c r="AIS192" s="387"/>
      <c r="AIT192" s="387"/>
      <c r="AIU192" s="387"/>
      <c r="AIV192" s="387"/>
      <c r="AIW192" s="387"/>
      <c r="AIX192" s="387"/>
      <c r="AIY192" s="387"/>
      <c r="AIZ192" s="387"/>
      <c r="AJA192" s="387"/>
      <c r="AJB192" s="387"/>
      <c r="AJC192" s="387"/>
      <c r="AJD192" s="387"/>
      <c r="AJE192" s="387"/>
      <c r="AJF192" s="387"/>
      <c r="AJG192" s="387"/>
      <c r="AJH192" s="387"/>
      <c r="AJI192" s="387"/>
      <c r="AJJ192" s="387"/>
      <c r="AJK192" s="387"/>
      <c r="AJL192" s="387"/>
      <c r="AJM192" s="387"/>
      <c r="AJN192" s="387"/>
      <c r="AJO192" s="387"/>
      <c r="AJP192" s="387"/>
      <c r="AJQ192" s="387"/>
      <c r="AJR192" s="387"/>
      <c r="AJS192" s="387"/>
      <c r="AJT192" s="387"/>
      <c r="AJU192" s="387"/>
      <c r="AJV192" s="387"/>
      <c r="AJW192" s="387"/>
      <c r="AJX192" s="387"/>
      <c r="AJY192" s="387"/>
      <c r="AJZ192" s="387"/>
      <c r="AKA192" s="387"/>
      <c r="AKB192" s="387"/>
      <c r="AKC192" s="387"/>
      <c r="AKD192" s="387"/>
      <c r="AKE192" s="387"/>
      <c r="AKF192" s="387"/>
      <c r="AKG192" s="387"/>
      <c r="AKH192" s="387"/>
      <c r="AKI192" s="387"/>
      <c r="AKJ192" s="387"/>
      <c r="AKK192" s="387"/>
      <c r="AKL192" s="387"/>
      <c r="AKM192" s="387"/>
      <c r="AKN192" s="387"/>
      <c r="AKO192" s="387"/>
      <c r="AKP192" s="387"/>
      <c r="AKQ192" s="387"/>
      <c r="AKR192" s="387"/>
      <c r="AKS192" s="387"/>
      <c r="AKT192" s="387"/>
      <c r="AKU192" s="387"/>
      <c r="AKV192" s="387"/>
      <c r="AKW192" s="387"/>
      <c r="AKX192" s="387"/>
      <c r="AKY192" s="387"/>
      <c r="AKZ192" s="387"/>
      <c r="ALA192" s="387"/>
      <c r="ALB192" s="387"/>
      <c r="ALC192" s="387"/>
      <c r="ALD192" s="387"/>
      <c r="ALE192" s="387"/>
      <c r="ALF192" s="387"/>
      <c r="ALG192" s="387"/>
      <c r="ALH192" s="387"/>
      <c r="ALI192" s="387"/>
      <c r="ALJ192" s="387"/>
      <c r="ALK192" s="387"/>
      <c r="ALL192" s="387"/>
      <c r="ALM192" s="387"/>
      <c r="ALN192" s="387"/>
      <c r="ALO192" s="387"/>
      <c r="ALP192" s="387"/>
      <c r="ALQ192" s="387"/>
      <c r="ALR192" s="387"/>
      <c r="ALS192" s="387"/>
      <c r="ALT192" s="387"/>
      <c r="ALU192" s="387"/>
      <c r="ALV192" s="387"/>
      <c r="ALW192" s="387"/>
      <c r="ALX192" s="387"/>
      <c r="ALY192" s="387"/>
      <c r="ALZ192" s="387"/>
      <c r="AMA192" s="387"/>
      <c r="AMB192" s="387"/>
      <c r="AMC192" s="387"/>
      <c r="AMD192" s="387"/>
      <c r="AME192" s="387"/>
      <c r="AMF192" s="387"/>
      <c r="AMG192" s="387"/>
      <c r="AMH192" s="387"/>
      <c r="AMI192" s="387"/>
      <c r="AMJ192" s="387"/>
      <c r="AMK192" s="387"/>
      <c r="AML192" s="387"/>
      <c r="AMM192" s="387"/>
      <c r="AMN192" s="387"/>
      <c r="AMO192" s="387"/>
      <c r="AMP192" s="387"/>
      <c r="AMQ192" s="387"/>
      <c r="AMR192" s="387"/>
      <c r="AMS192" s="387"/>
      <c r="AMT192" s="387"/>
      <c r="AMU192" s="387"/>
      <c r="AMV192" s="387"/>
      <c r="AMW192" s="387"/>
      <c r="AMX192" s="387"/>
      <c r="AMY192" s="387"/>
      <c r="AMZ192" s="387"/>
      <c r="ANA192" s="387"/>
      <c r="ANB192" s="387"/>
      <c r="ANC192" s="387"/>
      <c r="AND192" s="387"/>
      <c r="ANE192" s="387"/>
      <c r="ANF192" s="387"/>
      <c r="ANG192" s="387"/>
      <c r="ANH192" s="387"/>
      <c r="ANI192" s="387"/>
      <c r="ANJ192" s="387"/>
      <c r="ANK192" s="387"/>
      <c r="ANL192" s="387"/>
      <c r="ANM192" s="387"/>
      <c r="ANN192" s="387"/>
      <c r="ANO192" s="387"/>
      <c r="ANP192" s="387"/>
      <c r="ANQ192" s="387"/>
      <c r="ANR192" s="387"/>
      <c r="ANS192" s="387"/>
      <c r="ANT192" s="387"/>
      <c r="ANU192" s="387"/>
      <c r="ANV192" s="387"/>
      <c r="ANW192" s="387"/>
      <c r="ANX192" s="387"/>
      <c r="ANY192" s="387"/>
      <c r="ANZ192" s="387"/>
      <c r="AOA192" s="387"/>
      <c r="AOB192" s="387"/>
      <c r="AOC192" s="387"/>
      <c r="AOD192" s="387"/>
      <c r="AOE192" s="387"/>
      <c r="AOF192" s="387"/>
      <c r="AOG192" s="387"/>
      <c r="AOH192" s="387"/>
      <c r="AOI192" s="387"/>
      <c r="AOJ192" s="387"/>
      <c r="AOK192" s="387"/>
      <c r="AOL192" s="387"/>
      <c r="AOM192" s="387"/>
      <c r="AON192" s="387"/>
      <c r="AOO192" s="387"/>
      <c r="AOP192" s="387"/>
      <c r="AOQ192" s="387"/>
      <c r="AOR192" s="387"/>
      <c r="AOS192" s="387"/>
      <c r="AOT192" s="387"/>
      <c r="AOU192" s="387"/>
      <c r="AOV192" s="387"/>
      <c r="AOW192" s="387"/>
      <c r="AOX192" s="387"/>
      <c r="AOY192" s="387"/>
      <c r="AOZ192" s="387"/>
      <c r="APA192" s="387"/>
      <c r="APB192" s="387"/>
      <c r="APC192" s="387"/>
      <c r="APD192" s="387"/>
      <c r="APE192" s="387"/>
      <c r="APF192" s="387"/>
      <c r="APG192" s="387"/>
      <c r="APH192" s="387"/>
      <c r="API192" s="387"/>
      <c r="APJ192" s="387"/>
      <c r="APK192" s="387"/>
      <c r="APL192" s="387"/>
      <c r="APM192" s="387"/>
      <c r="APN192" s="387"/>
      <c r="APO192" s="387"/>
      <c r="APP192" s="387"/>
      <c r="APQ192" s="387"/>
      <c r="APR192" s="387"/>
      <c r="APS192" s="387"/>
      <c r="APT192" s="387"/>
      <c r="APU192" s="387"/>
      <c r="APV192" s="387"/>
      <c r="APW192" s="387"/>
      <c r="APX192" s="387"/>
      <c r="APY192" s="387"/>
      <c r="APZ192" s="387"/>
      <c r="AQA192" s="387"/>
      <c r="AQB192" s="387"/>
      <c r="AQC192" s="387"/>
      <c r="AQD192" s="387"/>
      <c r="AQE192" s="387"/>
      <c r="AQF192" s="387"/>
      <c r="AQG192" s="387"/>
      <c r="AQH192" s="387"/>
      <c r="AQI192" s="387"/>
      <c r="AQJ192" s="387"/>
      <c r="AQK192" s="387"/>
      <c r="AQL192" s="387"/>
      <c r="AQM192" s="387"/>
      <c r="AQN192" s="387"/>
      <c r="AQO192" s="387"/>
      <c r="AQP192" s="387"/>
      <c r="AQQ192" s="387"/>
      <c r="AQR192" s="387"/>
      <c r="AQS192" s="387"/>
      <c r="AQT192" s="387"/>
      <c r="AQU192" s="387"/>
      <c r="AQV192" s="387"/>
      <c r="AQW192" s="387"/>
      <c r="AQX192" s="387"/>
      <c r="AQY192" s="387"/>
      <c r="AQZ192" s="387"/>
      <c r="ARA192" s="387"/>
      <c r="ARB192" s="387"/>
      <c r="ARC192" s="387"/>
      <c r="ARD192" s="387"/>
      <c r="ARE192" s="387"/>
      <c r="ARF192" s="387"/>
      <c r="ARG192" s="387"/>
      <c r="ARH192" s="387"/>
      <c r="ARI192" s="387"/>
      <c r="ARJ192" s="387"/>
      <c r="ARK192" s="387"/>
      <c r="ARL192" s="387"/>
      <c r="ARM192" s="387"/>
      <c r="ARN192" s="387"/>
      <c r="ARO192" s="387"/>
      <c r="ARP192" s="387"/>
      <c r="ARQ192" s="387"/>
      <c r="ARR192" s="387"/>
      <c r="ARS192" s="387"/>
      <c r="ART192" s="387"/>
      <c r="ARU192" s="387"/>
      <c r="ARV192" s="387"/>
      <c r="ARW192" s="387"/>
      <c r="ARX192" s="387"/>
      <c r="ARY192" s="387"/>
      <c r="ARZ192" s="387"/>
      <c r="ASA192" s="387"/>
      <c r="ASB192" s="387"/>
      <c r="ASC192" s="387"/>
      <c r="ASD192" s="387"/>
      <c r="ASE192" s="387"/>
      <c r="ASF192" s="387"/>
      <c r="ASG192" s="387"/>
      <c r="ASH192" s="387"/>
      <c r="ASI192" s="387"/>
      <c r="ASJ192" s="387"/>
      <c r="ASK192" s="387"/>
      <c r="ASL192" s="387"/>
      <c r="ASM192" s="387"/>
      <c r="ASN192" s="387"/>
      <c r="ASO192" s="387"/>
      <c r="ASP192" s="387"/>
      <c r="ASQ192" s="387"/>
      <c r="ASR192" s="387"/>
      <c r="ASS192" s="387"/>
      <c r="AST192" s="387"/>
      <c r="ASU192" s="387"/>
      <c r="ASV192" s="387"/>
      <c r="ASW192" s="387"/>
      <c r="ASX192" s="387"/>
      <c r="ASY192" s="387"/>
      <c r="ASZ192" s="387"/>
      <c r="ATA192" s="387"/>
      <c r="ATB192" s="387"/>
      <c r="ATC192" s="387"/>
      <c r="ATD192" s="387"/>
      <c r="ATE192" s="387"/>
      <c r="ATF192" s="387"/>
      <c r="ATG192" s="387"/>
      <c r="ATH192" s="387"/>
      <c r="ATI192" s="387"/>
      <c r="ATJ192" s="387"/>
      <c r="ATK192" s="387"/>
      <c r="ATL192" s="387"/>
      <c r="ATM192" s="387"/>
      <c r="ATN192" s="387"/>
      <c r="ATO192" s="387"/>
      <c r="ATP192" s="387"/>
      <c r="ATQ192" s="387"/>
      <c r="ATR192" s="387"/>
      <c r="ATS192" s="387"/>
      <c r="ATT192" s="387"/>
      <c r="ATU192" s="387"/>
      <c r="ATV192" s="387"/>
      <c r="ATW192" s="387"/>
      <c r="ATX192" s="387"/>
      <c r="ATY192" s="387"/>
      <c r="ATZ192" s="387"/>
      <c r="AUA192" s="387"/>
      <c r="AUB192" s="387"/>
      <c r="AUC192" s="387"/>
      <c r="AUD192" s="387"/>
      <c r="AUE192" s="387"/>
      <c r="AUF192" s="387"/>
      <c r="AUG192" s="387"/>
      <c r="AUH192" s="387"/>
      <c r="AUI192" s="387"/>
      <c r="AUJ192" s="387"/>
      <c r="AUK192" s="387"/>
      <c r="AUL192" s="387"/>
      <c r="AUM192" s="387"/>
      <c r="AUN192" s="387"/>
      <c r="AUO192" s="387"/>
      <c r="AUP192" s="387"/>
      <c r="AUQ192" s="387"/>
      <c r="AUR192" s="387"/>
      <c r="AUS192" s="387"/>
      <c r="AUT192" s="387"/>
      <c r="AUU192" s="387"/>
      <c r="AUV192" s="387"/>
      <c r="AUW192" s="387"/>
      <c r="AUX192" s="387"/>
      <c r="AUY192" s="387"/>
      <c r="AUZ192" s="387"/>
      <c r="AVA192" s="387"/>
      <c r="AVB192" s="387"/>
      <c r="AVC192" s="387"/>
      <c r="AVD192" s="387"/>
      <c r="AVE192" s="387"/>
      <c r="AVF192" s="387"/>
      <c r="AVG192" s="387"/>
      <c r="AVH192" s="387"/>
      <c r="AVI192" s="387"/>
      <c r="AVJ192" s="387"/>
      <c r="AVK192" s="387"/>
      <c r="AVL192" s="387"/>
      <c r="AVM192" s="387"/>
      <c r="AVN192" s="387"/>
      <c r="AVO192" s="387"/>
      <c r="AVP192" s="387"/>
      <c r="AVQ192" s="387"/>
      <c r="AVR192" s="387"/>
      <c r="AVS192" s="387"/>
      <c r="AVT192" s="387"/>
      <c r="AVU192" s="387"/>
      <c r="AVV192" s="387"/>
      <c r="AVW192" s="387"/>
      <c r="AVX192" s="387"/>
      <c r="AVY192" s="387"/>
      <c r="AVZ192" s="387"/>
      <c r="AWA192" s="387"/>
      <c r="AWB192" s="387"/>
      <c r="AWC192" s="387"/>
      <c r="AWD192" s="387"/>
      <c r="AWE192" s="387"/>
      <c r="AWF192" s="387"/>
      <c r="AWG192" s="387"/>
      <c r="AWH192" s="387"/>
      <c r="AWI192" s="387"/>
      <c r="AWJ192" s="387"/>
      <c r="AWK192" s="387"/>
      <c r="AWL192" s="387"/>
      <c r="AWM192" s="387"/>
      <c r="AWN192" s="387"/>
      <c r="AWO192" s="387"/>
      <c r="AWP192" s="387"/>
      <c r="AWQ192" s="387"/>
      <c r="AWR192" s="387"/>
      <c r="AWS192" s="387"/>
      <c r="AWT192" s="387"/>
      <c r="AWU192" s="387"/>
      <c r="AWV192" s="387"/>
      <c r="AWW192" s="387"/>
      <c r="AWX192" s="387"/>
      <c r="AWY192" s="387"/>
      <c r="AWZ192" s="387"/>
      <c r="AXA192" s="387"/>
      <c r="AXB192" s="387"/>
      <c r="AXC192" s="387"/>
      <c r="AXD192" s="387"/>
      <c r="AXE192" s="387"/>
      <c r="AXF192" s="387"/>
      <c r="AXG192" s="387"/>
      <c r="AXH192" s="387"/>
      <c r="AXI192" s="387"/>
      <c r="AXJ192" s="387"/>
      <c r="AXK192" s="387"/>
      <c r="AXL192" s="387"/>
      <c r="AXM192" s="387"/>
      <c r="AXN192" s="387"/>
      <c r="AXO192" s="387"/>
      <c r="AXP192" s="387"/>
      <c r="AXQ192" s="387"/>
      <c r="AXR192" s="387"/>
      <c r="AXS192" s="387"/>
      <c r="AXT192" s="387"/>
      <c r="AXU192" s="387"/>
      <c r="AXV192" s="387"/>
      <c r="AXW192" s="387"/>
      <c r="AXX192" s="387"/>
      <c r="AXY192" s="387"/>
      <c r="AXZ192" s="387"/>
      <c r="AYA192" s="387"/>
      <c r="AYB192" s="387"/>
      <c r="AYC192" s="387"/>
      <c r="AYD192" s="387"/>
      <c r="AYE192" s="387"/>
      <c r="AYF192" s="387"/>
      <c r="AYG192" s="387"/>
      <c r="AYH192" s="387"/>
      <c r="AYI192" s="387"/>
      <c r="AYJ192" s="387"/>
      <c r="AYK192" s="387"/>
      <c r="AYL192" s="387"/>
      <c r="AYM192" s="387"/>
      <c r="AYN192" s="387"/>
      <c r="AYO192" s="387"/>
      <c r="AYP192" s="387"/>
      <c r="AYQ192" s="387"/>
      <c r="AYR192" s="387"/>
      <c r="AYS192" s="387"/>
      <c r="AYT192" s="387"/>
      <c r="AYU192" s="387"/>
      <c r="AYV192" s="387"/>
      <c r="AYW192" s="387"/>
      <c r="AYX192" s="387"/>
      <c r="AYY192" s="387"/>
      <c r="AYZ192" s="387"/>
      <c r="AZA192" s="387"/>
      <c r="AZB192" s="387"/>
      <c r="AZC192" s="387"/>
      <c r="AZD192" s="387"/>
      <c r="AZE192" s="387"/>
      <c r="AZF192" s="387"/>
      <c r="AZG192" s="387"/>
      <c r="AZH192" s="387"/>
      <c r="AZI192" s="387"/>
      <c r="AZJ192" s="387"/>
      <c r="AZK192" s="387"/>
      <c r="AZL192" s="387"/>
      <c r="AZM192" s="387"/>
      <c r="AZN192" s="387"/>
      <c r="AZO192" s="387"/>
      <c r="AZP192" s="387"/>
      <c r="AZQ192" s="387"/>
      <c r="AZR192" s="387"/>
      <c r="AZS192" s="387"/>
      <c r="AZT192" s="387"/>
      <c r="AZU192" s="387"/>
      <c r="AZV192" s="387"/>
      <c r="AZW192" s="387"/>
      <c r="AZX192" s="387"/>
      <c r="AZY192" s="387"/>
      <c r="AZZ192" s="387"/>
      <c r="BAA192" s="387"/>
      <c r="BAB192" s="387"/>
      <c r="BAC192" s="387"/>
      <c r="BAD192" s="387"/>
      <c r="BAE192" s="387"/>
      <c r="BAF192" s="387"/>
      <c r="BAG192" s="387"/>
      <c r="BAH192" s="387"/>
      <c r="BAI192" s="387"/>
      <c r="BAJ192" s="387"/>
      <c r="BAK192" s="387"/>
      <c r="BAL192" s="387"/>
      <c r="BAM192" s="387"/>
      <c r="BAN192" s="387"/>
      <c r="BAO192" s="387"/>
      <c r="BAP192" s="387"/>
      <c r="BAQ192" s="387"/>
      <c r="BAR192" s="387"/>
      <c r="BAS192" s="387"/>
      <c r="BAT192" s="387"/>
      <c r="BAU192" s="387"/>
      <c r="BAV192" s="387"/>
      <c r="BAW192" s="387"/>
      <c r="BAX192" s="387"/>
      <c r="BAY192" s="387"/>
      <c r="BAZ192" s="387"/>
      <c r="BBA192" s="387"/>
      <c r="BBB192" s="387"/>
      <c r="BBC192" s="387"/>
      <c r="BBD192" s="387"/>
      <c r="BBE192" s="387"/>
      <c r="BBF192" s="387"/>
      <c r="BBG192" s="387"/>
      <c r="BBH192" s="387"/>
      <c r="BBI192" s="387"/>
      <c r="BBJ192" s="387"/>
      <c r="BBK192" s="387"/>
      <c r="BBL192" s="387"/>
      <c r="BBM192" s="387"/>
      <c r="BBN192" s="387"/>
      <c r="BBO192" s="387"/>
      <c r="BBP192" s="387"/>
      <c r="BBQ192" s="387"/>
      <c r="BBR192" s="387"/>
      <c r="BBS192" s="387"/>
      <c r="BBT192" s="387"/>
      <c r="BBU192" s="387"/>
      <c r="BBV192" s="387"/>
      <c r="BBW192" s="387"/>
      <c r="BBX192" s="387"/>
      <c r="BBY192" s="387"/>
      <c r="BBZ192" s="387"/>
      <c r="BCA192" s="387"/>
      <c r="BCB192" s="387"/>
      <c r="BCC192" s="387"/>
      <c r="BCD192" s="387"/>
      <c r="BCE192" s="387"/>
      <c r="BCF192" s="387"/>
      <c r="BCG192" s="387"/>
      <c r="BCH192" s="387"/>
      <c r="BCI192" s="387"/>
      <c r="BCJ192" s="387"/>
      <c r="BCK192" s="387"/>
      <c r="BCL192" s="387"/>
      <c r="BCM192" s="387"/>
      <c r="BCN192" s="387"/>
      <c r="BCO192" s="387"/>
      <c r="BCP192" s="387"/>
      <c r="BCQ192" s="387"/>
      <c r="BCR192" s="387"/>
      <c r="BCS192" s="387"/>
      <c r="BCT192" s="387"/>
      <c r="BCU192" s="387"/>
      <c r="BCV192" s="387"/>
      <c r="BCW192" s="387"/>
      <c r="BCX192" s="387"/>
      <c r="BCY192" s="387"/>
      <c r="BCZ192" s="387"/>
      <c r="BDA192" s="387"/>
      <c r="BDB192" s="387"/>
      <c r="BDC192" s="387"/>
      <c r="BDD192" s="387"/>
      <c r="BDE192" s="387"/>
      <c r="BDF192" s="387"/>
      <c r="BDG192" s="387"/>
      <c r="BDH192" s="387"/>
      <c r="BDI192" s="387"/>
      <c r="BDJ192" s="387"/>
      <c r="BDK192" s="387"/>
      <c r="BDL192" s="387"/>
      <c r="BDM192" s="387"/>
      <c r="BDN192" s="387"/>
      <c r="BDO192" s="387"/>
      <c r="BDP192" s="387"/>
      <c r="BDQ192" s="387"/>
      <c r="BDR192" s="387"/>
      <c r="BDS192" s="387"/>
      <c r="BDT192" s="387"/>
      <c r="BDU192" s="387"/>
      <c r="BDV192" s="387"/>
      <c r="BDW192" s="387"/>
      <c r="BDX192" s="387"/>
      <c r="BDY192" s="387"/>
      <c r="BDZ192" s="387"/>
      <c r="BEA192" s="387"/>
      <c r="BEB192" s="387"/>
      <c r="BEC192" s="387"/>
      <c r="BED192" s="387"/>
      <c r="BEE192" s="387"/>
      <c r="BEF192" s="387"/>
      <c r="BEG192" s="387"/>
      <c r="BEH192" s="387"/>
      <c r="BEI192" s="387"/>
      <c r="BEJ192" s="387"/>
      <c r="BEK192" s="387"/>
      <c r="BEL192" s="387"/>
      <c r="BEM192" s="387"/>
      <c r="BEN192" s="387"/>
      <c r="BEO192" s="387"/>
      <c r="BEP192" s="387"/>
      <c r="BEQ192" s="387"/>
      <c r="BER192" s="387"/>
      <c r="BES192" s="387"/>
      <c r="BET192" s="387"/>
      <c r="BEU192" s="387"/>
      <c r="BEV192" s="387"/>
      <c r="BEW192" s="387"/>
      <c r="BEX192" s="387"/>
      <c r="BEY192" s="387"/>
      <c r="BEZ192" s="387"/>
      <c r="BFA192" s="387"/>
      <c r="BFB192" s="387"/>
      <c r="BFC192" s="387"/>
      <c r="BFD192" s="387"/>
      <c r="BFE192" s="387"/>
      <c r="BFF192" s="387"/>
      <c r="BFG192" s="387"/>
      <c r="BFH192" s="387"/>
      <c r="BFI192" s="387"/>
      <c r="BFJ192" s="387"/>
      <c r="BFK192" s="387"/>
      <c r="BFL192" s="387"/>
      <c r="BFM192" s="387"/>
      <c r="BFN192" s="387"/>
      <c r="BFO192" s="387"/>
      <c r="BFP192" s="387"/>
      <c r="BFQ192" s="387"/>
      <c r="BFR192" s="387"/>
      <c r="BFS192" s="387"/>
      <c r="BFT192" s="387"/>
      <c r="BFU192" s="387"/>
      <c r="BFV192" s="387"/>
      <c r="BFW192" s="387"/>
      <c r="BFX192" s="387"/>
      <c r="BFY192" s="387"/>
      <c r="BFZ192" s="387"/>
      <c r="BGA192" s="387"/>
      <c r="BGB192" s="387"/>
      <c r="BGC192" s="387"/>
      <c r="BGD192" s="387"/>
      <c r="BGE192" s="387"/>
      <c r="BGF192" s="387"/>
      <c r="BGG192" s="387"/>
      <c r="BGH192" s="387"/>
      <c r="BGI192" s="387"/>
      <c r="BGJ192" s="387"/>
      <c r="BGK192" s="387"/>
      <c r="BGL192" s="387"/>
      <c r="BGM192" s="387"/>
      <c r="BGN192" s="387"/>
      <c r="BGO192" s="387"/>
      <c r="BGP192" s="387"/>
      <c r="BGQ192" s="387"/>
      <c r="BGR192" s="387"/>
      <c r="BGS192" s="387"/>
      <c r="BGT192" s="387"/>
      <c r="BGU192" s="387"/>
      <c r="BGV192" s="387"/>
      <c r="BGW192" s="387"/>
      <c r="BGX192" s="387"/>
      <c r="BGY192" s="387"/>
      <c r="BGZ192" s="387"/>
      <c r="BHA192" s="387"/>
      <c r="BHB192" s="387"/>
      <c r="BHC192" s="387"/>
      <c r="BHD192" s="387"/>
      <c r="BHE192" s="387"/>
      <c r="BHF192" s="387"/>
      <c r="BHG192" s="387"/>
      <c r="BHH192" s="387"/>
      <c r="BHI192" s="387"/>
      <c r="BHJ192" s="387"/>
      <c r="BHK192" s="387"/>
      <c r="BHL192" s="387"/>
      <c r="BHM192" s="387"/>
      <c r="BHN192" s="387"/>
      <c r="BHO192" s="387"/>
      <c r="BHP192" s="387"/>
      <c r="BHQ192" s="387"/>
      <c r="BHR192" s="387"/>
      <c r="BHS192" s="387"/>
      <c r="BHT192" s="387"/>
      <c r="BHU192" s="387"/>
      <c r="BHV192" s="387"/>
      <c r="BHW192" s="387"/>
      <c r="BHX192" s="387"/>
      <c r="BHY192" s="387"/>
      <c r="BHZ192" s="387"/>
      <c r="BIA192" s="387"/>
      <c r="BIB192" s="387"/>
      <c r="BIC192" s="387"/>
      <c r="BID192" s="387"/>
      <c r="BIE192" s="387"/>
      <c r="BIF192" s="387"/>
      <c r="BIG192" s="387"/>
      <c r="BIH192" s="387"/>
      <c r="BII192" s="387"/>
      <c r="BIJ192" s="387"/>
      <c r="BIK192" s="387"/>
      <c r="BIL192" s="387"/>
      <c r="BIM192" s="387"/>
      <c r="BIN192" s="387"/>
      <c r="BIO192" s="387"/>
      <c r="BIP192" s="387"/>
      <c r="BIQ192" s="387"/>
      <c r="BIR192" s="387"/>
      <c r="BIS192" s="387"/>
      <c r="BIT192" s="387"/>
      <c r="BIU192" s="387"/>
      <c r="BIV192" s="387"/>
      <c r="BIW192" s="387"/>
      <c r="BIX192" s="387"/>
      <c r="BIY192" s="387"/>
      <c r="BIZ192" s="387"/>
      <c r="BJA192" s="387"/>
      <c r="BJB192" s="387"/>
      <c r="BJC192" s="387"/>
      <c r="BJD192" s="387"/>
      <c r="BJE192" s="387"/>
      <c r="BJF192" s="387"/>
      <c r="BJG192" s="387"/>
      <c r="BJH192" s="387"/>
      <c r="BJI192" s="387"/>
      <c r="BJJ192" s="387"/>
      <c r="BJK192" s="387"/>
      <c r="BJL192" s="387"/>
      <c r="BJM192" s="387"/>
      <c r="BJN192" s="387"/>
      <c r="BJO192" s="387"/>
      <c r="BJP192" s="387"/>
      <c r="BJQ192" s="387"/>
      <c r="BJR192" s="387"/>
      <c r="BJS192" s="387"/>
      <c r="BJT192" s="387"/>
      <c r="BJU192" s="387"/>
      <c r="BJV192" s="387"/>
      <c r="BJW192" s="387"/>
      <c r="BJX192" s="387"/>
      <c r="BJY192" s="387"/>
      <c r="BJZ192" s="387"/>
      <c r="BKA192" s="387"/>
      <c r="BKB192" s="387"/>
      <c r="BKC192" s="387"/>
      <c r="BKD192" s="387"/>
      <c r="BKE192" s="387"/>
      <c r="BKF192" s="387"/>
      <c r="BKG192" s="387"/>
      <c r="BKH192" s="387"/>
      <c r="BKI192" s="387"/>
      <c r="BKJ192" s="387"/>
      <c r="BKK192" s="387"/>
      <c r="BKL192" s="387"/>
      <c r="BKM192" s="387"/>
      <c r="BKN192" s="387"/>
      <c r="BKO192" s="387"/>
      <c r="BKP192" s="387"/>
      <c r="BKQ192" s="387"/>
      <c r="BKR192" s="387"/>
      <c r="BKS192" s="387"/>
      <c r="BKT192" s="387"/>
      <c r="BKU192" s="387"/>
      <c r="BKV192" s="387"/>
      <c r="BKW192" s="387"/>
      <c r="BKX192" s="387"/>
      <c r="BKY192" s="387"/>
      <c r="BKZ192" s="387"/>
      <c r="BLA192" s="387"/>
      <c r="BLB192" s="387"/>
      <c r="BLC192" s="387"/>
      <c r="BLD192" s="387"/>
      <c r="BLE192" s="387"/>
      <c r="BLF192" s="387"/>
      <c r="BLG192" s="387"/>
      <c r="BLH192" s="387"/>
      <c r="BLI192" s="387"/>
      <c r="BLJ192" s="387"/>
      <c r="BLK192" s="387"/>
      <c r="BLL192" s="387"/>
      <c r="BLM192" s="387"/>
      <c r="BLN192" s="387"/>
      <c r="BLO192" s="387"/>
      <c r="BLP192" s="387"/>
      <c r="BLQ192" s="387"/>
      <c r="BLR192" s="387"/>
      <c r="BLS192" s="387"/>
      <c r="BLT192" s="387"/>
      <c r="BLU192" s="387"/>
      <c r="BLV192" s="387"/>
      <c r="BLW192" s="387"/>
      <c r="BLX192" s="387"/>
      <c r="BLY192" s="387"/>
      <c r="BLZ192" s="387"/>
      <c r="BMA192" s="387"/>
      <c r="BMB192" s="387"/>
      <c r="BMC192" s="387"/>
      <c r="BMD192" s="387"/>
      <c r="BME192" s="387"/>
      <c r="BMF192" s="387"/>
      <c r="BMG192" s="387"/>
      <c r="BMH192" s="387"/>
      <c r="BMI192" s="387"/>
      <c r="BMJ192" s="387"/>
      <c r="BMK192" s="387"/>
      <c r="BML192" s="387"/>
      <c r="BMM192" s="387"/>
      <c r="BMN192" s="387"/>
      <c r="BMO192" s="387"/>
      <c r="BMP192" s="387"/>
      <c r="BMQ192" s="387"/>
      <c r="BMR192" s="387"/>
      <c r="BMS192" s="387"/>
      <c r="BMT192" s="387"/>
      <c r="BMU192" s="387"/>
      <c r="BMV192" s="387"/>
      <c r="BMW192" s="387"/>
      <c r="BMX192" s="387"/>
      <c r="BMY192" s="387"/>
      <c r="BMZ192" s="387"/>
      <c r="BNA192" s="387"/>
      <c r="BNB192" s="387"/>
      <c r="BNC192" s="387"/>
      <c r="BND192" s="387"/>
      <c r="BNE192" s="387"/>
      <c r="BNF192" s="387"/>
      <c r="BNG192" s="387"/>
      <c r="BNH192" s="387"/>
      <c r="BNI192" s="387"/>
      <c r="BNJ192" s="387"/>
      <c r="BNK192" s="387"/>
      <c r="BNL192" s="387"/>
      <c r="BNM192" s="387"/>
      <c r="BNN192" s="387"/>
      <c r="BNO192" s="387"/>
      <c r="BNP192" s="387"/>
      <c r="BNQ192" s="387"/>
      <c r="BNR192" s="387"/>
      <c r="BNS192" s="387"/>
      <c r="BNT192" s="387"/>
      <c r="BNU192" s="387"/>
      <c r="BNV192" s="387"/>
      <c r="BNW192" s="387"/>
      <c r="BNX192" s="387"/>
      <c r="BNY192" s="387"/>
      <c r="BNZ192" s="387"/>
      <c r="BOA192" s="387"/>
      <c r="BOB192" s="387"/>
      <c r="BOC192" s="387"/>
      <c r="BOD192" s="387"/>
      <c r="BOE192" s="387"/>
      <c r="BOF192" s="387"/>
      <c r="BOG192" s="387"/>
      <c r="BOH192" s="387"/>
      <c r="BOI192" s="387"/>
      <c r="BOJ192" s="387"/>
      <c r="BOK192" s="387"/>
      <c r="BOL192" s="387"/>
      <c r="BOM192" s="387"/>
      <c r="BON192" s="387"/>
      <c r="BOO192" s="387"/>
      <c r="BOP192" s="387"/>
      <c r="BOQ192" s="387"/>
      <c r="BOR192" s="387"/>
      <c r="BOS192" s="387"/>
      <c r="BOT192" s="387"/>
      <c r="BOU192" s="387"/>
      <c r="BOV192" s="387"/>
      <c r="BOW192" s="387"/>
      <c r="BOX192" s="387"/>
      <c r="BOY192" s="387"/>
      <c r="BOZ192" s="387"/>
      <c r="BPA192" s="387"/>
      <c r="BPB192" s="387"/>
      <c r="BPC192" s="387"/>
      <c r="BPD192" s="387"/>
      <c r="BPE192" s="387"/>
      <c r="BPF192" s="387"/>
      <c r="BPG192" s="387"/>
      <c r="BPH192" s="387"/>
      <c r="BPI192" s="387"/>
      <c r="BPJ192" s="387"/>
      <c r="BPK192" s="387"/>
      <c r="BPL192" s="387"/>
      <c r="BPM192" s="387"/>
      <c r="BPN192" s="387"/>
      <c r="BPO192" s="387"/>
      <c r="BPP192" s="387"/>
      <c r="BPQ192" s="387"/>
      <c r="BPR192" s="387"/>
      <c r="BPS192" s="387"/>
      <c r="BPT192" s="387"/>
      <c r="BPU192" s="387"/>
      <c r="BPV192" s="387"/>
      <c r="BPW192" s="387"/>
      <c r="BPX192" s="387"/>
      <c r="BPY192" s="387"/>
      <c r="BPZ192" s="387"/>
      <c r="BQA192" s="387"/>
      <c r="BQB192" s="387"/>
      <c r="BQC192" s="387"/>
      <c r="BQD192" s="387"/>
      <c r="BQE192" s="387"/>
      <c r="BQF192" s="387"/>
      <c r="BQG192" s="387"/>
      <c r="BQH192" s="387"/>
      <c r="BQI192" s="387"/>
      <c r="BQJ192" s="387"/>
      <c r="BQK192" s="387"/>
      <c r="BQL192" s="387"/>
      <c r="BQM192" s="387"/>
      <c r="BQN192" s="387"/>
      <c r="BQO192" s="387"/>
      <c r="BQP192" s="387"/>
      <c r="BQQ192" s="387"/>
      <c r="BQR192" s="387"/>
      <c r="BQS192" s="387"/>
      <c r="BQT192" s="387"/>
      <c r="BQU192" s="387"/>
      <c r="BQV192" s="387"/>
      <c r="BQW192" s="387"/>
      <c r="BQX192" s="387"/>
      <c r="BQY192" s="387"/>
      <c r="BQZ192" s="387"/>
      <c r="BRA192" s="387"/>
      <c r="BRB192" s="387"/>
      <c r="BRC192" s="387"/>
      <c r="BRD192" s="387"/>
      <c r="BRE192" s="387"/>
      <c r="BRF192" s="387"/>
      <c r="BRG192" s="387"/>
      <c r="BRH192" s="387"/>
      <c r="BRI192" s="387"/>
      <c r="BRJ192" s="387"/>
      <c r="BRK192" s="387"/>
      <c r="BRL192" s="387"/>
      <c r="BRM192" s="387"/>
      <c r="BRN192" s="387"/>
      <c r="BRO192" s="387"/>
      <c r="BRP192" s="387"/>
      <c r="BRQ192" s="387"/>
      <c r="BRR192" s="387"/>
      <c r="BRS192" s="387"/>
      <c r="BRT192" s="387"/>
      <c r="BRU192" s="387"/>
      <c r="BRV192" s="387"/>
      <c r="BRW192" s="387"/>
      <c r="BRX192" s="387"/>
      <c r="BRY192" s="387"/>
      <c r="BRZ192" s="387"/>
      <c r="BSA192" s="387"/>
      <c r="BSB192" s="387"/>
      <c r="BSC192" s="387"/>
      <c r="BSD192" s="387"/>
      <c r="BSE192" s="387"/>
      <c r="BSF192" s="387"/>
      <c r="BSG192" s="387"/>
      <c r="BSH192" s="387"/>
      <c r="BSI192" s="387"/>
      <c r="BSJ192" s="387"/>
      <c r="BSK192" s="387"/>
      <c r="BSL192" s="387"/>
      <c r="BSM192" s="387"/>
      <c r="BSN192" s="387"/>
      <c r="BSO192" s="387"/>
      <c r="BSP192" s="387"/>
      <c r="BSQ192" s="387"/>
      <c r="BSR192" s="387"/>
      <c r="BSS192" s="387"/>
      <c r="BST192" s="387"/>
      <c r="BSU192" s="387"/>
      <c r="BSV192" s="387"/>
      <c r="BSW192" s="387"/>
      <c r="BSX192" s="387"/>
      <c r="BSY192" s="387"/>
      <c r="BSZ192" s="387"/>
      <c r="BTA192" s="387"/>
      <c r="BTB192" s="387"/>
      <c r="BTC192" s="387"/>
      <c r="BTD192" s="387"/>
      <c r="BTE192" s="387"/>
      <c r="BTF192" s="387"/>
      <c r="BTG192" s="387"/>
      <c r="BTH192" s="387"/>
      <c r="BTI192" s="387"/>
    </row>
    <row r="193" spans="1:1881" s="312" customFormat="1" ht="65.25" customHeight="1" x14ac:dyDescent="0.25">
      <c r="A193" s="186">
        <v>356</v>
      </c>
      <c r="B193" s="148" t="s">
        <v>89</v>
      </c>
      <c r="C193" s="180" t="s">
        <v>251</v>
      </c>
      <c r="D193" s="172" t="s">
        <v>21</v>
      </c>
      <c r="E193" s="683" t="e">
        <f>HLOOKUP('Unit Data from Audit Worksheet'!$D$2,'2019 Data(H)'!$D$1:$BB$202,77,FALSE)</f>
        <v>#N/A</v>
      </c>
      <c r="F193" s="560"/>
      <c r="G193" s="311"/>
      <c r="H193" s="14"/>
      <c r="I193" s="292"/>
      <c r="J193" s="387"/>
      <c r="K193" s="387"/>
      <c r="L193" s="387"/>
      <c r="M193" s="387"/>
      <c r="N193"/>
      <c r="O193" s="387"/>
      <c r="P193" s="387"/>
      <c r="Q193" s="387"/>
      <c r="R193"/>
      <c r="S193" s="682"/>
      <c r="T193" s="387"/>
      <c r="U193" s="387"/>
      <c r="V193" s="387"/>
      <c r="W193" s="387"/>
      <c r="X193" s="682"/>
      <c r="Y193" s="387"/>
      <c r="Z193" s="387"/>
      <c r="AA193" s="387"/>
      <c r="AB193" s="387"/>
      <c r="AC193" s="387"/>
      <c r="AD193" s="387"/>
      <c r="AE193" s="387"/>
      <c r="AF193" s="387"/>
      <c r="AG193" s="387"/>
      <c r="AH193" s="387"/>
      <c r="AI193" s="387"/>
      <c r="AJ193" s="387"/>
      <c r="AK193" s="387"/>
      <c r="AL193" s="387"/>
      <c r="AM193" s="387"/>
      <c r="AN193" s="387"/>
      <c r="AO193" s="387"/>
      <c r="AP193" s="387"/>
      <c r="AQ193" s="387"/>
      <c r="AR193" s="387"/>
      <c r="AS193" s="387"/>
      <c r="AT193" s="387"/>
      <c r="AU193" s="387"/>
      <c r="AV193" s="387"/>
      <c r="AW193" s="387"/>
      <c r="AX193" s="387"/>
      <c r="AY193" s="387"/>
      <c r="AZ193" s="387"/>
      <c r="BA193" s="387"/>
      <c r="BB193" s="387"/>
      <c r="BC193" s="387"/>
      <c r="BD193" s="387"/>
      <c r="BE193" s="387"/>
      <c r="BF193" s="387"/>
      <c r="BG193" s="387"/>
      <c r="BH193" s="387"/>
      <c r="BI193" s="387"/>
      <c r="BJ193" s="387"/>
      <c r="BK193" s="387"/>
      <c r="BL193" s="387"/>
      <c r="BM193" s="387"/>
      <c r="BN193" s="387"/>
      <c r="BO193" s="387"/>
      <c r="BP193" s="387"/>
      <c r="BQ193" s="387"/>
      <c r="BR193" s="387"/>
      <c r="BS193" s="387"/>
      <c r="BT193" s="387"/>
      <c r="BU193" s="387"/>
      <c r="BV193" s="387"/>
      <c r="BW193" s="387"/>
      <c r="BX193" s="387"/>
      <c r="BY193" s="387"/>
      <c r="BZ193" s="387"/>
      <c r="CA193" s="387"/>
      <c r="CB193" s="387"/>
      <c r="CC193" s="387"/>
      <c r="CD193" s="387"/>
      <c r="CE193" s="387"/>
      <c r="CF193" s="387"/>
      <c r="CG193" s="387"/>
      <c r="CH193" s="387"/>
      <c r="CI193" s="387"/>
      <c r="CJ193" s="387"/>
      <c r="CK193" s="387"/>
      <c r="CL193" s="387"/>
      <c r="CM193" s="387"/>
      <c r="CN193" s="387"/>
      <c r="CO193" s="387"/>
      <c r="CP193" s="387"/>
      <c r="CQ193" s="387"/>
      <c r="CR193" s="387"/>
      <c r="CS193" s="387"/>
      <c r="CT193" s="387"/>
      <c r="CU193" s="387"/>
      <c r="CV193" s="387"/>
      <c r="CW193" s="387"/>
      <c r="CX193" s="387"/>
      <c r="CY193" s="387"/>
      <c r="CZ193" s="387"/>
      <c r="DA193" s="387"/>
      <c r="DB193" s="387"/>
      <c r="DC193" s="387"/>
      <c r="DD193" s="387"/>
      <c r="DE193" s="387"/>
      <c r="DF193" s="387"/>
      <c r="DG193" s="387"/>
      <c r="DH193" s="387"/>
      <c r="DI193" s="387"/>
      <c r="DJ193" s="387"/>
      <c r="DK193" s="387"/>
      <c r="DL193" s="387"/>
      <c r="DM193" s="387"/>
      <c r="DN193" s="387"/>
      <c r="DO193" s="387"/>
      <c r="DP193" s="387"/>
      <c r="DQ193" s="387"/>
      <c r="DR193" s="387"/>
      <c r="DS193" s="387"/>
      <c r="DT193" s="387"/>
      <c r="DU193" s="387"/>
      <c r="DV193" s="387"/>
      <c r="DW193" s="387"/>
      <c r="DX193" s="387"/>
      <c r="DY193" s="387"/>
      <c r="DZ193" s="387"/>
      <c r="EA193" s="387"/>
      <c r="EB193" s="387"/>
      <c r="EC193" s="387"/>
      <c r="ED193" s="387"/>
      <c r="EE193" s="387"/>
      <c r="EF193" s="387"/>
      <c r="EG193" s="387"/>
      <c r="EH193" s="387"/>
      <c r="EI193" s="387"/>
      <c r="EJ193" s="387"/>
      <c r="EK193" s="387"/>
      <c r="EL193" s="387"/>
      <c r="EM193" s="387"/>
      <c r="EN193" s="387"/>
      <c r="EO193" s="387"/>
      <c r="EP193" s="387"/>
      <c r="EQ193" s="387"/>
      <c r="ER193" s="387"/>
      <c r="ES193" s="387"/>
      <c r="ET193" s="387"/>
      <c r="EU193" s="387"/>
      <c r="EV193" s="387"/>
      <c r="EW193" s="387"/>
      <c r="EX193" s="387"/>
      <c r="EY193" s="387"/>
      <c r="EZ193" s="387"/>
      <c r="FA193" s="387"/>
      <c r="FB193" s="387"/>
      <c r="FC193" s="387"/>
      <c r="FD193" s="387"/>
      <c r="FE193" s="387"/>
      <c r="FF193" s="387"/>
      <c r="FG193" s="387"/>
      <c r="FH193" s="387"/>
      <c r="FI193" s="387"/>
      <c r="FJ193" s="387"/>
      <c r="FK193" s="387"/>
      <c r="FL193" s="387"/>
      <c r="FM193" s="387"/>
      <c r="FN193" s="387"/>
      <c r="FO193" s="387"/>
      <c r="FP193" s="387"/>
      <c r="FQ193" s="387"/>
      <c r="FR193" s="387"/>
      <c r="FS193" s="387"/>
      <c r="FT193" s="387"/>
      <c r="FU193" s="387"/>
      <c r="FV193" s="387"/>
      <c r="FW193" s="387"/>
      <c r="FX193" s="387"/>
      <c r="FY193" s="387"/>
      <c r="FZ193" s="387"/>
      <c r="GA193" s="387"/>
      <c r="GB193" s="387"/>
      <c r="GC193" s="387"/>
      <c r="GD193" s="387"/>
      <c r="GE193" s="387"/>
      <c r="GF193" s="387"/>
      <c r="GG193" s="387"/>
      <c r="GH193" s="387"/>
      <c r="GI193" s="387"/>
      <c r="GJ193" s="387"/>
      <c r="GK193" s="387"/>
      <c r="GL193" s="387"/>
      <c r="GM193" s="387"/>
      <c r="GN193" s="387"/>
      <c r="GO193" s="387"/>
      <c r="GP193" s="387"/>
      <c r="GQ193" s="387"/>
      <c r="GR193" s="387"/>
      <c r="GS193" s="387"/>
      <c r="GT193" s="387"/>
      <c r="GU193" s="387"/>
      <c r="GV193" s="387"/>
      <c r="GW193" s="387"/>
      <c r="GX193" s="387"/>
      <c r="GY193" s="387"/>
      <c r="GZ193" s="387"/>
      <c r="HA193" s="387"/>
      <c r="HB193" s="387"/>
      <c r="HC193" s="387"/>
      <c r="HD193" s="387"/>
      <c r="HE193" s="387"/>
      <c r="HF193" s="387"/>
      <c r="HG193" s="387"/>
      <c r="HH193" s="387"/>
      <c r="HI193" s="387"/>
      <c r="HJ193" s="387"/>
      <c r="HK193" s="387"/>
      <c r="HL193" s="387"/>
      <c r="HM193" s="387"/>
      <c r="HN193" s="387"/>
      <c r="HO193" s="387"/>
      <c r="HP193" s="387"/>
      <c r="HQ193" s="387"/>
      <c r="HR193" s="387"/>
      <c r="HS193" s="387"/>
      <c r="HT193" s="387"/>
      <c r="HU193" s="387"/>
      <c r="HV193" s="387"/>
      <c r="HW193" s="387"/>
      <c r="HX193" s="387"/>
      <c r="HY193" s="387"/>
      <c r="HZ193" s="387"/>
      <c r="IA193" s="387"/>
      <c r="IB193" s="387"/>
      <c r="IC193" s="387"/>
      <c r="ID193" s="387"/>
      <c r="IE193" s="387"/>
      <c r="IF193" s="387"/>
      <c r="IG193" s="387"/>
      <c r="IH193" s="387"/>
      <c r="II193" s="387"/>
      <c r="IJ193" s="387"/>
      <c r="IK193" s="387"/>
      <c r="IL193" s="387"/>
      <c r="IM193" s="387"/>
      <c r="IN193" s="387"/>
      <c r="IO193" s="387"/>
      <c r="IP193" s="387"/>
      <c r="IQ193" s="387"/>
      <c r="IR193" s="387"/>
      <c r="IS193" s="387"/>
      <c r="IT193" s="387"/>
      <c r="IU193" s="387"/>
      <c r="IV193" s="387"/>
      <c r="IW193" s="387"/>
      <c r="IX193" s="387"/>
      <c r="IY193" s="387"/>
      <c r="IZ193" s="387"/>
      <c r="JA193" s="387"/>
      <c r="JB193" s="387"/>
      <c r="JC193" s="387"/>
      <c r="JD193" s="387"/>
      <c r="JE193" s="387"/>
      <c r="JF193" s="387"/>
      <c r="JG193" s="387"/>
      <c r="JH193" s="387"/>
      <c r="JI193" s="387"/>
      <c r="JJ193" s="387"/>
      <c r="JK193" s="387"/>
      <c r="JL193" s="387"/>
      <c r="JM193" s="387"/>
      <c r="JN193" s="387"/>
      <c r="JO193" s="387"/>
      <c r="JP193" s="387"/>
      <c r="JQ193" s="387"/>
      <c r="JR193" s="387"/>
      <c r="JS193" s="387"/>
      <c r="JT193" s="387"/>
      <c r="JU193" s="387"/>
      <c r="JV193" s="387"/>
      <c r="JW193" s="387"/>
      <c r="JX193" s="387"/>
      <c r="JY193" s="387"/>
      <c r="JZ193" s="387"/>
      <c r="KA193" s="387"/>
      <c r="KB193" s="387"/>
      <c r="KC193" s="387"/>
      <c r="KD193" s="387"/>
      <c r="KE193" s="387"/>
      <c r="KF193" s="387"/>
      <c r="KG193" s="387"/>
      <c r="KH193" s="387"/>
      <c r="KI193" s="387"/>
      <c r="KJ193" s="387"/>
      <c r="KK193" s="387"/>
      <c r="KL193" s="387"/>
      <c r="KM193" s="387"/>
      <c r="KN193" s="387"/>
      <c r="KO193" s="387"/>
      <c r="KP193" s="387"/>
      <c r="KQ193" s="387"/>
      <c r="KR193" s="387"/>
      <c r="KS193" s="387"/>
      <c r="KT193" s="387"/>
      <c r="KU193" s="387"/>
      <c r="KV193" s="387"/>
      <c r="KW193" s="387"/>
      <c r="KX193" s="387"/>
      <c r="KY193" s="387"/>
      <c r="KZ193" s="387"/>
      <c r="LA193" s="387"/>
      <c r="LB193" s="387"/>
      <c r="LC193" s="387"/>
      <c r="LD193" s="387"/>
      <c r="LE193" s="387"/>
      <c r="LF193" s="387"/>
      <c r="LG193" s="387"/>
      <c r="LH193" s="387"/>
      <c r="LI193" s="387"/>
      <c r="LJ193" s="387"/>
      <c r="LK193" s="387"/>
      <c r="LL193" s="387"/>
      <c r="LM193" s="387"/>
      <c r="LN193" s="387"/>
      <c r="LO193" s="387"/>
      <c r="LP193" s="387"/>
      <c r="LQ193" s="387"/>
      <c r="LR193" s="387"/>
      <c r="LS193" s="387"/>
      <c r="LT193" s="387"/>
      <c r="LU193" s="387"/>
      <c r="LV193" s="387"/>
      <c r="LW193" s="387"/>
      <c r="LX193" s="387"/>
      <c r="LY193" s="387"/>
      <c r="LZ193" s="387"/>
      <c r="MA193" s="387"/>
      <c r="MB193" s="387"/>
      <c r="MC193" s="387"/>
      <c r="MD193" s="387"/>
      <c r="ME193" s="387"/>
      <c r="MF193" s="387"/>
      <c r="MG193" s="387"/>
      <c r="MH193" s="387"/>
      <c r="MI193" s="387"/>
      <c r="MJ193" s="387"/>
      <c r="MK193" s="387"/>
      <c r="ML193" s="387"/>
      <c r="MM193" s="387"/>
      <c r="MN193" s="387"/>
      <c r="MO193" s="387"/>
      <c r="MP193" s="387"/>
      <c r="MQ193" s="387"/>
      <c r="MR193" s="387"/>
      <c r="MS193" s="387"/>
      <c r="MT193" s="387"/>
      <c r="MU193" s="387"/>
      <c r="MV193" s="387"/>
      <c r="MW193" s="387"/>
      <c r="MX193" s="387"/>
      <c r="MY193" s="387"/>
      <c r="MZ193" s="387"/>
      <c r="NA193" s="387"/>
      <c r="NB193" s="387"/>
      <c r="NC193" s="387"/>
      <c r="ND193" s="387"/>
      <c r="NE193" s="387"/>
      <c r="NF193" s="387"/>
      <c r="NG193" s="387"/>
      <c r="NH193" s="387"/>
      <c r="NI193" s="387"/>
      <c r="NJ193" s="387"/>
      <c r="NK193" s="387"/>
      <c r="NL193" s="387"/>
      <c r="NM193" s="387"/>
      <c r="NN193" s="387"/>
      <c r="NO193" s="387"/>
      <c r="NP193" s="387"/>
      <c r="NQ193" s="387"/>
      <c r="NR193" s="387"/>
      <c r="NS193" s="387"/>
      <c r="NT193" s="387"/>
      <c r="NU193" s="387"/>
      <c r="NV193" s="387"/>
      <c r="NW193" s="387"/>
      <c r="NX193" s="387"/>
      <c r="NY193" s="387"/>
      <c r="NZ193" s="387"/>
      <c r="OA193" s="387"/>
      <c r="OB193" s="387"/>
      <c r="OC193" s="387"/>
      <c r="OD193" s="387"/>
      <c r="OE193" s="387"/>
      <c r="OF193" s="387"/>
      <c r="OG193" s="387"/>
      <c r="OH193" s="387"/>
      <c r="OI193" s="387"/>
      <c r="OJ193" s="387"/>
      <c r="OK193" s="387"/>
      <c r="OL193" s="387"/>
      <c r="OM193" s="387"/>
      <c r="ON193" s="387"/>
      <c r="OO193" s="387"/>
      <c r="OP193" s="387"/>
      <c r="OQ193" s="387"/>
      <c r="OR193" s="387"/>
      <c r="OS193" s="387"/>
      <c r="OT193" s="387"/>
      <c r="OU193" s="387"/>
      <c r="OV193" s="387"/>
      <c r="OW193" s="387"/>
      <c r="OX193" s="387"/>
      <c r="OY193" s="387"/>
      <c r="OZ193" s="387"/>
      <c r="PA193" s="387"/>
      <c r="PB193" s="387"/>
      <c r="PC193" s="387"/>
      <c r="PD193" s="387"/>
      <c r="PE193" s="387"/>
      <c r="PF193" s="387"/>
      <c r="PG193" s="387"/>
      <c r="PH193" s="387"/>
      <c r="PI193" s="387"/>
      <c r="PJ193" s="387"/>
      <c r="PK193" s="387"/>
      <c r="PL193" s="387"/>
      <c r="PM193" s="387"/>
      <c r="PN193" s="387"/>
      <c r="PO193" s="387"/>
      <c r="PP193" s="387"/>
      <c r="PQ193" s="387"/>
      <c r="PR193" s="387"/>
      <c r="PS193" s="387"/>
      <c r="PT193" s="387"/>
      <c r="PU193" s="387"/>
      <c r="PV193" s="387"/>
      <c r="PW193" s="387"/>
      <c r="PX193" s="387"/>
      <c r="PY193" s="387"/>
      <c r="PZ193" s="387"/>
      <c r="QA193" s="387"/>
      <c r="QB193" s="387"/>
      <c r="QC193" s="387"/>
      <c r="QD193" s="387"/>
      <c r="QE193" s="387"/>
      <c r="QF193" s="387"/>
      <c r="QG193" s="387"/>
      <c r="QH193" s="387"/>
      <c r="QI193" s="387"/>
      <c r="QJ193" s="387"/>
      <c r="QK193" s="387"/>
      <c r="QL193" s="387"/>
      <c r="QM193" s="387"/>
      <c r="QN193" s="387"/>
      <c r="QO193" s="387"/>
      <c r="QP193" s="387"/>
      <c r="QQ193" s="387"/>
      <c r="QR193" s="387"/>
      <c r="QS193" s="387"/>
      <c r="QT193" s="387"/>
      <c r="QU193" s="387"/>
      <c r="QV193" s="387"/>
      <c r="QW193" s="387"/>
      <c r="QX193" s="387"/>
      <c r="QY193" s="387"/>
      <c r="QZ193" s="387"/>
      <c r="RA193" s="387"/>
      <c r="RB193" s="387"/>
      <c r="RC193" s="387"/>
      <c r="RD193" s="387"/>
      <c r="RE193" s="387"/>
      <c r="RF193" s="387"/>
      <c r="RG193" s="387"/>
      <c r="RH193" s="387"/>
      <c r="RI193" s="387"/>
      <c r="RJ193" s="387"/>
      <c r="RK193" s="387"/>
      <c r="RL193" s="387"/>
      <c r="RM193" s="387"/>
      <c r="RN193" s="387"/>
      <c r="RO193" s="387"/>
      <c r="RP193" s="387"/>
      <c r="RQ193" s="387"/>
      <c r="RR193" s="387"/>
      <c r="RS193" s="387"/>
      <c r="RT193" s="387"/>
      <c r="RU193" s="387"/>
      <c r="RV193" s="387"/>
      <c r="RW193" s="387"/>
      <c r="RX193" s="387"/>
      <c r="RY193" s="387"/>
      <c r="RZ193" s="387"/>
      <c r="SA193" s="387"/>
      <c r="SB193" s="387"/>
      <c r="SC193" s="387"/>
      <c r="SD193" s="387"/>
      <c r="SE193" s="387"/>
      <c r="SF193" s="387"/>
      <c r="SG193" s="387"/>
      <c r="SH193" s="387"/>
      <c r="SI193" s="387"/>
      <c r="SJ193" s="387"/>
      <c r="SK193" s="387"/>
      <c r="SL193" s="387"/>
      <c r="SM193" s="387"/>
      <c r="SN193" s="387"/>
      <c r="SO193" s="387"/>
      <c r="SP193" s="387"/>
      <c r="SQ193" s="387"/>
      <c r="SR193" s="387"/>
      <c r="SS193" s="387"/>
      <c r="ST193" s="387"/>
      <c r="SU193" s="387"/>
      <c r="SV193" s="387"/>
      <c r="SW193" s="387"/>
      <c r="SX193" s="387"/>
      <c r="SY193" s="387"/>
      <c r="SZ193" s="387"/>
      <c r="TA193" s="387"/>
      <c r="TB193" s="387"/>
      <c r="TC193" s="387"/>
      <c r="TD193" s="387"/>
      <c r="TE193" s="387"/>
      <c r="TF193" s="387"/>
      <c r="TG193" s="387"/>
      <c r="TH193" s="387"/>
      <c r="TI193" s="387"/>
      <c r="TJ193" s="387"/>
      <c r="TK193" s="387"/>
      <c r="TL193" s="387"/>
      <c r="TM193" s="387"/>
      <c r="TN193" s="387"/>
      <c r="TO193" s="387"/>
      <c r="TP193" s="387"/>
      <c r="TQ193" s="387"/>
      <c r="TR193" s="387"/>
      <c r="TS193" s="387"/>
      <c r="TT193" s="387"/>
      <c r="TU193" s="387"/>
      <c r="TV193" s="387"/>
      <c r="TW193" s="387"/>
      <c r="TX193" s="387"/>
      <c r="TY193" s="387"/>
      <c r="TZ193" s="387"/>
      <c r="UA193" s="387"/>
      <c r="UB193" s="387"/>
      <c r="UC193" s="387"/>
      <c r="UD193" s="387"/>
      <c r="UE193" s="387"/>
      <c r="UF193" s="387"/>
      <c r="UG193" s="387"/>
      <c r="UH193" s="387"/>
      <c r="UI193" s="387"/>
      <c r="UJ193" s="387"/>
      <c r="UK193" s="387"/>
      <c r="UL193" s="387"/>
      <c r="UM193" s="387"/>
      <c r="UN193" s="387"/>
      <c r="UO193" s="387"/>
      <c r="UP193" s="387"/>
      <c r="UQ193" s="387"/>
      <c r="UR193" s="387"/>
      <c r="US193" s="387"/>
      <c r="UT193" s="387"/>
      <c r="UU193" s="387"/>
      <c r="UV193" s="387"/>
      <c r="UW193" s="387"/>
      <c r="UX193" s="387"/>
      <c r="UY193" s="387"/>
      <c r="UZ193" s="387"/>
      <c r="VA193" s="387"/>
      <c r="VB193" s="387"/>
      <c r="VC193" s="387"/>
      <c r="VD193" s="387"/>
      <c r="VE193" s="387"/>
      <c r="VF193" s="387"/>
      <c r="VG193" s="387"/>
      <c r="VH193" s="387"/>
      <c r="VI193" s="387"/>
      <c r="VJ193" s="387"/>
      <c r="VK193" s="387"/>
      <c r="VL193" s="387"/>
      <c r="VM193" s="387"/>
      <c r="VN193" s="387"/>
      <c r="VO193" s="387"/>
      <c r="VP193" s="387"/>
      <c r="VQ193" s="387"/>
      <c r="VR193" s="387"/>
      <c r="VS193" s="387"/>
      <c r="VT193" s="387"/>
      <c r="VU193" s="387"/>
      <c r="VV193" s="387"/>
      <c r="VW193" s="387"/>
      <c r="VX193" s="387"/>
      <c r="VY193" s="387"/>
      <c r="VZ193" s="387"/>
      <c r="WA193" s="387"/>
      <c r="WB193" s="387"/>
      <c r="WC193" s="387"/>
      <c r="WD193" s="387"/>
      <c r="WE193" s="387"/>
      <c r="WF193" s="387"/>
      <c r="WG193" s="387"/>
      <c r="WH193" s="387"/>
      <c r="WI193" s="387"/>
      <c r="WJ193" s="387"/>
      <c r="WK193" s="387"/>
      <c r="WL193" s="387"/>
      <c r="WM193" s="387"/>
      <c r="WN193" s="387"/>
      <c r="WO193" s="387"/>
      <c r="WP193" s="387"/>
      <c r="WQ193" s="387"/>
      <c r="WR193" s="387"/>
      <c r="WS193" s="387"/>
      <c r="WT193" s="387"/>
      <c r="WU193" s="387"/>
      <c r="WV193" s="387"/>
      <c r="WW193" s="387"/>
      <c r="WX193" s="387"/>
      <c r="WY193" s="387"/>
      <c r="WZ193" s="387"/>
      <c r="XA193" s="387"/>
      <c r="XB193" s="387"/>
      <c r="XC193" s="387"/>
      <c r="XD193" s="387"/>
      <c r="XE193" s="387"/>
      <c r="XF193" s="387"/>
      <c r="XG193" s="387"/>
      <c r="XH193" s="387"/>
      <c r="XI193" s="387"/>
      <c r="XJ193" s="387"/>
      <c r="XK193" s="387"/>
      <c r="XL193" s="387"/>
      <c r="XM193" s="387"/>
      <c r="XN193" s="387"/>
      <c r="XO193" s="387"/>
      <c r="XP193" s="387"/>
      <c r="XQ193" s="387"/>
      <c r="XR193" s="387"/>
      <c r="XS193" s="387"/>
      <c r="XT193" s="387"/>
      <c r="XU193" s="387"/>
      <c r="XV193" s="387"/>
      <c r="XW193" s="387"/>
      <c r="XX193" s="387"/>
      <c r="XY193" s="387"/>
      <c r="XZ193" s="387"/>
      <c r="YA193" s="387"/>
      <c r="YB193" s="387"/>
      <c r="YC193" s="387"/>
      <c r="YD193" s="387"/>
      <c r="YE193" s="387"/>
      <c r="YF193" s="387"/>
      <c r="YG193" s="387"/>
      <c r="YH193" s="387"/>
      <c r="YI193" s="387"/>
      <c r="YJ193" s="387"/>
      <c r="YK193" s="387"/>
      <c r="YL193" s="387"/>
      <c r="YM193" s="387"/>
      <c r="YN193" s="387"/>
      <c r="YO193" s="387"/>
      <c r="YP193" s="387"/>
      <c r="YQ193" s="387"/>
      <c r="YR193" s="387"/>
      <c r="YS193" s="387"/>
      <c r="YT193" s="387"/>
      <c r="YU193" s="387"/>
      <c r="YV193" s="387"/>
      <c r="YW193" s="387"/>
      <c r="YX193" s="387"/>
      <c r="YY193" s="387"/>
      <c r="YZ193" s="387"/>
      <c r="ZA193" s="387"/>
      <c r="ZB193" s="387"/>
      <c r="ZC193" s="387"/>
      <c r="ZD193" s="387"/>
      <c r="ZE193" s="387"/>
      <c r="ZF193" s="387"/>
      <c r="ZG193" s="387"/>
      <c r="ZH193" s="387"/>
      <c r="ZI193" s="387"/>
      <c r="ZJ193" s="387"/>
      <c r="ZK193" s="387"/>
      <c r="ZL193" s="387"/>
      <c r="ZM193" s="387"/>
      <c r="ZN193" s="387"/>
      <c r="ZO193" s="387"/>
      <c r="ZP193" s="387"/>
      <c r="ZQ193" s="387"/>
      <c r="ZR193" s="387"/>
      <c r="ZS193" s="387"/>
      <c r="ZT193" s="387"/>
      <c r="ZU193" s="387"/>
      <c r="ZV193" s="387"/>
      <c r="ZW193" s="387"/>
      <c r="ZX193" s="387"/>
      <c r="ZY193" s="387"/>
      <c r="ZZ193" s="387"/>
      <c r="AAA193" s="387"/>
      <c r="AAB193" s="387"/>
      <c r="AAC193" s="387"/>
      <c r="AAD193" s="387"/>
      <c r="AAE193" s="387"/>
      <c r="AAF193" s="387"/>
      <c r="AAG193" s="387"/>
      <c r="AAH193" s="387"/>
      <c r="AAI193" s="387"/>
      <c r="AAJ193" s="387"/>
      <c r="AAK193" s="387"/>
      <c r="AAL193" s="387"/>
      <c r="AAM193" s="387"/>
      <c r="AAN193" s="387"/>
      <c r="AAO193" s="387"/>
      <c r="AAP193" s="387"/>
      <c r="AAQ193" s="387"/>
      <c r="AAR193" s="387"/>
      <c r="AAS193" s="387"/>
      <c r="AAT193" s="387"/>
      <c r="AAU193" s="387"/>
      <c r="AAV193" s="387"/>
      <c r="AAW193" s="387"/>
      <c r="AAX193" s="387"/>
      <c r="AAY193" s="387"/>
      <c r="AAZ193" s="387"/>
      <c r="ABA193" s="387"/>
      <c r="ABB193" s="387"/>
      <c r="ABC193" s="387"/>
      <c r="ABD193" s="387"/>
      <c r="ABE193" s="387"/>
      <c r="ABF193" s="387"/>
      <c r="ABG193" s="387"/>
      <c r="ABH193" s="387"/>
      <c r="ABI193" s="387"/>
      <c r="ABJ193" s="387"/>
      <c r="ABK193" s="387"/>
      <c r="ABL193" s="387"/>
      <c r="ABM193" s="387"/>
      <c r="ABN193" s="387"/>
      <c r="ABO193" s="387"/>
      <c r="ABP193" s="387"/>
      <c r="ABQ193" s="387"/>
      <c r="ABR193" s="387"/>
      <c r="ABS193" s="387"/>
      <c r="ABT193" s="387"/>
      <c r="ABU193" s="387"/>
      <c r="ABV193" s="387"/>
      <c r="ABW193" s="387"/>
      <c r="ABX193" s="387"/>
      <c r="ABY193" s="387"/>
      <c r="ABZ193" s="387"/>
      <c r="ACA193" s="387"/>
      <c r="ACB193" s="387"/>
      <c r="ACC193" s="387"/>
      <c r="ACD193" s="387"/>
      <c r="ACE193" s="387"/>
      <c r="ACF193" s="387"/>
      <c r="ACG193" s="387"/>
      <c r="ACH193" s="387"/>
      <c r="ACI193" s="387"/>
      <c r="ACJ193" s="387"/>
      <c r="ACK193" s="387"/>
      <c r="ACL193" s="387"/>
      <c r="ACM193" s="387"/>
      <c r="ACN193" s="387"/>
      <c r="ACO193" s="387"/>
      <c r="ACP193" s="387"/>
      <c r="ACQ193" s="387"/>
      <c r="ACR193" s="387"/>
      <c r="ACS193" s="387"/>
      <c r="ACT193" s="387"/>
      <c r="ACU193" s="387"/>
      <c r="ACV193" s="387"/>
      <c r="ACW193" s="387"/>
      <c r="ACX193" s="387"/>
      <c r="ACY193" s="387"/>
      <c r="ACZ193" s="387"/>
      <c r="ADA193" s="387"/>
      <c r="ADB193" s="387"/>
      <c r="ADC193" s="387"/>
      <c r="ADD193" s="387"/>
      <c r="ADE193" s="387"/>
      <c r="ADF193" s="387"/>
      <c r="ADG193" s="387"/>
      <c r="ADH193" s="387"/>
      <c r="ADI193" s="387"/>
      <c r="ADJ193" s="387"/>
      <c r="ADK193" s="387"/>
      <c r="ADL193" s="387"/>
      <c r="ADM193" s="387"/>
      <c r="ADN193" s="387"/>
      <c r="ADO193" s="387"/>
      <c r="ADP193" s="387"/>
      <c r="ADQ193" s="387"/>
      <c r="ADR193" s="387"/>
      <c r="ADS193" s="387"/>
      <c r="ADT193" s="387"/>
      <c r="ADU193" s="387"/>
      <c r="ADV193" s="387"/>
      <c r="ADW193" s="387"/>
      <c r="ADX193" s="387"/>
      <c r="ADY193" s="387"/>
      <c r="ADZ193" s="387"/>
      <c r="AEA193" s="387"/>
      <c r="AEB193" s="387"/>
      <c r="AEC193" s="387"/>
      <c r="AED193" s="387"/>
      <c r="AEE193" s="387"/>
      <c r="AEF193" s="387"/>
      <c r="AEG193" s="387"/>
      <c r="AEH193" s="387"/>
      <c r="AEI193" s="387"/>
      <c r="AEJ193" s="387"/>
      <c r="AEK193" s="387"/>
      <c r="AEL193" s="387"/>
      <c r="AEM193" s="387"/>
      <c r="AEN193" s="387"/>
      <c r="AEO193" s="387"/>
      <c r="AEP193" s="387"/>
      <c r="AEQ193" s="387"/>
      <c r="AER193" s="387"/>
      <c r="AES193" s="387"/>
      <c r="AET193" s="387"/>
      <c r="AEU193" s="387"/>
      <c r="AEV193" s="387"/>
      <c r="AEW193" s="387"/>
      <c r="AEX193" s="387"/>
      <c r="AEY193" s="387"/>
      <c r="AEZ193" s="387"/>
      <c r="AFA193" s="387"/>
      <c r="AFB193" s="387"/>
      <c r="AFC193" s="387"/>
      <c r="AFD193" s="387"/>
      <c r="AFE193" s="387"/>
      <c r="AFF193" s="387"/>
      <c r="AFG193" s="387"/>
      <c r="AFH193" s="387"/>
      <c r="AFI193" s="387"/>
      <c r="AFJ193" s="387"/>
      <c r="AFK193" s="387"/>
      <c r="AFL193" s="387"/>
      <c r="AFM193" s="387"/>
      <c r="AFN193" s="387"/>
      <c r="AFO193" s="387"/>
      <c r="AFP193" s="387"/>
      <c r="AFQ193" s="387"/>
      <c r="AFR193" s="387"/>
      <c r="AFS193" s="387"/>
      <c r="AFT193" s="387"/>
      <c r="AFU193" s="387"/>
      <c r="AFV193" s="387"/>
      <c r="AFW193" s="387"/>
      <c r="AFX193" s="387"/>
      <c r="AFY193" s="387"/>
      <c r="AFZ193" s="387"/>
      <c r="AGA193" s="387"/>
      <c r="AGB193" s="387"/>
      <c r="AGC193" s="387"/>
      <c r="AGD193" s="387"/>
      <c r="AGE193" s="387"/>
      <c r="AGF193" s="387"/>
      <c r="AGG193" s="387"/>
      <c r="AGH193" s="387"/>
      <c r="AGI193" s="387"/>
      <c r="AGJ193" s="387"/>
      <c r="AGK193" s="387"/>
      <c r="AGL193" s="387"/>
      <c r="AGM193" s="387"/>
      <c r="AGN193" s="387"/>
      <c r="AGO193" s="387"/>
      <c r="AGP193" s="387"/>
      <c r="AGQ193" s="387"/>
      <c r="AGR193" s="387"/>
      <c r="AGS193" s="387"/>
      <c r="AGT193" s="387"/>
      <c r="AGU193" s="387"/>
      <c r="AGV193" s="387"/>
      <c r="AGW193" s="387"/>
      <c r="AGX193" s="387"/>
      <c r="AGY193" s="387"/>
      <c r="AGZ193" s="387"/>
      <c r="AHA193" s="387"/>
      <c r="AHB193" s="387"/>
      <c r="AHC193" s="387"/>
      <c r="AHD193" s="387"/>
      <c r="AHE193" s="387"/>
      <c r="AHF193" s="387"/>
      <c r="AHG193" s="387"/>
      <c r="AHH193" s="387"/>
      <c r="AHI193" s="387"/>
      <c r="AHJ193" s="387"/>
      <c r="AHK193" s="387"/>
      <c r="AHL193" s="387"/>
      <c r="AHM193" s="387"/>
      <c r="AHN193" s="387"/>
      <c r="AHO193" s="387"/>
      <c r="AHP193" s="387"/>
      <c r="AHQ193" s="387"/>
      <c r="AHR193" s="387"/>
      <c r="AHS193" s="387"/>
      <c r="AHT193" s="387"/>
      <c r="AHU193" s="387"/>
      <c r="AHV193" s="387"/>
      <c r="AHW193" s="387"/>
      <c r="AHX193" s="387"/>
      <c r="AHY193" s="387"/>
      <c r="AHZ193" s="387"/>
      <c r="AIA193" s="387"/>
      <c r="AIB193" s="387"/>
      <c r="AIC193" s="387"/>
      <c r="AID193" s="387"/>
      <c r="AIE193" s="387"/>
      <c r="AIF193" s="387"/>
      <c r="AIG193" s="387"/>
      <c r="AIH193" s="387"/>
      <c r="AII193" s="387"/>
      <c r="AIJ193" s="387"/>
      <c r="AIK193" s="387"/>
      <c r="AIL193" s="387"/>
      <c r="AIM193" s="387"/>
      <c r="AIN193" s="387"/>
      <c r="AIO193" s="387"/>
      <c r="AIP193" s="387"/>
      <c r="AIQ193" s="387"/>
      <c r="AIR193" s="387"/>
      <c r="AIS193" s="387"/>
      <c r="AIT193" s="387"/>
      <c r="AIU193" s="387"/>
      <c r="AIV193" s="387"/>
      <c r="AIW193" s="387"/>
      <c r="AIX193" s="387"/>
      <c r="AIY193" s="387"/>
      <c r="AIZ193" s="387"/>
      <c r="AJA193" s="387"/>
      <c r="AJB193" s="387"/>
      <c r="AJC193" s="387"/>
      <c r="AJD193" s="387"/>
      <c r="AJE193" s="387"/>
      <c r="AJF193" s="387"/>
      <c r="AJG193" s="387"/>
      <c r="AJH193" s="387"/>
      <c r="AJI193" s="387"/>
      <c r="AJJ193" s="387"/>
      <c r="AJK193" s="387"/>
      <c r="AJL193" s="387"/>
      <c r="AJM193" s="387"/>
      <c r="AJN193" s="387"/>
      <c r="AJO193" s="387"/>
      <c r="AJP193" s="387"/>
      <c r="AJQ193" s="387"/>
      <c r="AJR193" s="387"/>
      <c r="AJS193" s="387"/>
      <c r="AJT193" s="387"/>
      <c r="AJU193" s="387"/>
      <c r="AJV193" s="387"/>
      <c r="AJW193" s="387"/>
      <c r="AJX193" s="387"/>
      <c r="AJY193" s="387"/>
      <c r="AJZ193" s="387"/>
      <c r="AKA193" s="387"/>
      <c r="AKB193" s="387"/>
      <c r="AKC193" s="387"/>
      <c r="AKD193" s="387"/>
      <c r="AKE193" s="387"/>
      <c r="AKF193" s="387"/>
      <c r="AKG193" s="387"/>
      <c r="AKH193" s="387"/>
      <c r="AKI193" s="387"/>
      <c r="AKJ193" s="387"/>
      <c r="AKK193" s="387"/>
      <c r="AKL193" s="387"/>
      <c r="AKM193" s="387"/>
      <c r="AKN193" s="387"/>
      <c r="AKO193" s="387"/>
      <c r="AKP193" s="387"/>
      <c r="AKQ193" s="387"/>
      <c r="AKR193" s="387"/>
      <c r="AKS193" s="387"/>
      <c r="AKT193" s="387"/>
      <c r="AKU193" s="387"/>
      <c r="AKV193" s="387"/>
      <c r="AKW193" s="387"/>
      <c r="AKX193" s="387"/>
      <c r="AKY193" s="387"/>
      <c r="AKZ193" s="387"/>
      <c r="ALA193" s="387"/>
      <c r="ALB193" s="387"/>
      <c r="ALC193" s="387"/>
      <c r="ALD193" s="387"/>
      <c r="ALE193" s="387"/>
      <c r="ALF193" s="387"/>
      <c r="ALG193" s="387"/>
      <c r="ALH193" s="387"/>
      <c r="ALI193" s="387"/>
      <c r="ALJ193" s="387"/>
      <c r="ALK193" s="387"/>
      <c r="ALL193" s="387"/>
      <c r="ALM193" s="387"/>
      <c r="ALN193" s="387"/>
      <c r="ALO193" s="387"/>
      <c r="ALP193" s="387"/>
      <c r="ALQ193" s="387"/>
      <c r="ALR193" s="387"/>
      <c r="ALS193" s="387"/>
      <c r="ALT193" s="387"/>
      <c r="ALU193" s="387"/>
      <c r="ALV193" s="387"/>
      <c r="ALW193" s="387"/>
      <c r="ALX193" s="387"/>
      <c r="ALY193" s="387"/>
      <c r="ALZ193" s="387"/>
      <c r="AMA193" s="387"/>
      <c r="AMB193" s="387"/>
      <c r="AMC193" s="387"/>
      <c r="AMD193" s="387"/>
      <c r="AME193" s="387"/>
      <c r="AMF193" s="387"/>
      <c r="AMG193" s="387"/>
      <c r="AMH193" s="387"/>
      <c r="AMI193" s="387"/>
      <c r="AMJ193" s="387"/>
      <c r="AMK193" s="387"/>
      <c r="AML193" s="387"/>
      <c r="AMM193" s="387"/>
      <c r="AMN193" s="387"/>
      <c r="AMO193" s="387"/>
      <c r="AMP193" s="387"/>
      <c r="AMQ193" s="387"/>
      <c r="AMR193" s="387"/>
      <c r="AMS193" s="387"/>
      <c r="AMT193" s="387"/>
      <c r="AMU193" s="387"/>
      <c r="AMV193" s="387"/>
      <c r="AMW193" s="387"/>
      <c r="AMX193" s="387"/>
      <c r="AMY193" s="387"/>
      <c r="AMZ193" s="387"/>
      <c r="ANA193" s="387"/>
      <c r="ANB193" s="387"/>
      <c r="ANC193" s="387"/>
      <c r="AND193" s="387"/>
      <c r="ANE193" s="387"/>
      <c r="ANF193" s="387"/>
      <c r="ANG193" s="387"/>
      <c r="ANH193" s="387"/>
      <c r="ANI193" s="387"/>
      <c r="ANJ193" s="387"/>
      <c r="ANK193" s="387"/>
      <c r="ANL193" s="387"/>
      <c r="ANM193" s="387"/>
      <c r="ANN193" s="387"/>
      <c r="ANO193" s="387"/>
      <c r="ANP193" s="387"/>
      <c r="ANQ193" s="387"/>
      <c r="ANR193" s="387"/>
      <c r="ANS193" s="387"/>
      <c r="ANT193" s="387"/>
      <c r="ANU193" s="387"/>
      <c r="ANV193" s="387"/>
      <c r="ANW193" s="387"/>
      <c r="ANX193" s="387"/>
      <c r="ANY193" s="387"/>
      <c r="ANZ193" s="387"/>
      <c r="AOA193" s="387"/>
      <c r="AOB193" s="387"/>
      <c r="AOC193" s="387"/>
      <c r="AOD193" s="387"/>
      <c r="AOE193" s="387"/>
      <c r="AOF193" s="387"/>
      <c r="AOG193" s="387"/>
      <c r="AOH193" s="387"/>
      <c r="AOI193" s="387"/>
      <c r="AOJ193" s="387"/>
      <c r="AOK193" s="387"/>
      <c r="AOL193" s="387"/>
      <c r="AOM193" s="387"/>
      <c r="AON193" s="387"/>
      <c r="AOO193" s="387"/>
      <c r="AOP193" s="387"/>
      <c r="AOQ193" s="387"/>
      <c r="AOR193" s="387"/>
      <c r="AOS193" s="387"/>
      <c r="AOT193" s="387"/>
      <c r="AOU193" s="387"/>
      <c r="AOV193" s="387"/>
      <c r="AOW193" s="387"/>
      <c r="AOX193" s="387"/>
      <c r="AOY193" s="387"/>
      <c r="AOZ193" s="387"/>
      <c r="APA193" s="387"/>
      <c r="APB193" s="387"/>
      <c r="APC193" s="387"/>
      <c r="APD193" s="387"/>
      <c r="APE193" s="387"/>
      <c r="APF193" s="387"/>
      <c r="APG193" s="387"/>
      <c r="APH193" s="387"/>
      <c r="API193" s="387"/>
      <c r="APJ193" s="387"/>
      <c r="APK193" s="387"/>
      <c r="APL193" s="387"/>
      <c r="APM193" s="387"/>
      <c r="APN193" s="387"/>
      <c r="APO193" s="387"/>
      <c r="APP193" s="387"/>
      <c r="APQ193" s="387"/>
      <c r="APR193" s="387"/>
      <c r="APS193" s="387"/>
      <c r="APT193" s="387"/>
      <c r="APU193" s="387"/>
      <c r="APV193" s="387"/>
      <c r="APW193" s="387"/>
      <c r="APX193" s="387"/>
      <c r="APY193" s="387"/>
      <c r="APZ193" s="387"/>
      <c r="AQA193" s="387"/>
      <c r="AQB193" s="387"/>
      <c r="AQC193" s="387"/>
      <c r="AQD193" s="387"/>
      <c r="AQE193" s="387"/>
      <c r="AQF193" s="387"/>
      <c r="AQG193" s="387"/>
      <c r="AQH193" s="387"/>
      <c r="AQI193" s="387"/>
      <c r="AQJ193" s="387"/>
      <c r="AQK193" s="387"/>
      <c r="AQL193" s="387"/>
      <c r="AQM193" s="387"/>
      <c r="AQN193" s="387"/>
      <c r="AQO193" s="387"/>
      <c r="AQP193" s="387"/>
      <c r="AQQ193" s="387"/>
      <c r="AQR193" s="387"/>
      <c r="AQS193" s="387"/>
      <c r="AQT193" s="387"/>
      <c r="AQU193" s="387"/>
      <c r="AQV193" s="387"/>
      <c r="AQW193" s="387"/>
      <c r="AQX193" s="387"/>
      <c r="AQY193" s="387"/>
      <c r="AQZ193" s="387"/>
      <c r="ARA193" s="387"/>
      <c r="ARB193" s="387"/>
      <c r="ARC193" s="387"/>
      <c r="ARD193" s="387"/>
      <c r="ARE193" s="387"/>
      <c r="ARF193" s="387"/>
      <c r="ARG193" s="387"/>
      <c r="ARH193" s="387"/>
      <c r="ARI193" s="387"/>
      <c r="ARJ193" s="387"/>
      <c r="ARK193" s="387"/>
      <c r="ARL193" s="387"/>
      <c r="ARM193" s="387"/>
      <c r="ARN193" s="387"/>
      <c r="ARO193" s="387"/>
      <c r="ARP193" s="387"/>
      <c r="ARQ193" s="387"/>
      <c r="ARR193" s="387"/>
      <c r="ARS193" s="387"/>
      <c r="ART193" s="387"/>
      <c r="ARU193" s="387"/>
      <c r="ARV193" s="387"/>
      <c r="ARW193" s="387"/>
      <c r="ARX193" s="387"/>
      <c r="ARY193" s="387"/>
      <c r="ARZ193" s="387"/>
      <c r="ASA193" s="387"/>
      <c r="ASB193" s="387"/>
      <c r="ASC193" s="387"/>
      <c r="ASD193" s="387"/>
      <c r="ASE193" s="387"/>
      <c r="ASF193" s="387"/>
      <c r="ASG193" s="387"/>
      <c r="ASH193" s="387"/>
      <c r="ASI193" s="387"/>
      <c r="ASJ193" s="387"/>
      <c r="ASK193" s="387"/>
      <c r="ASL193" s="387"/>
      <c r="ASM193" s="387"/>
      <c r="ASN193" s="387"/>
      <c r="ASO193" s="387"/>
      <c r="ASP193" s="387"/>
      <c r="ASQ193" s="387"/>
      <c r="ASR193" s="387"/>
      <c r="ASS193" s="387"/>
      <c r="AST193" s="387"/>
      <c r="ASU193" s="387"/>
      <c r="ASV193" s="387"/>
      <c r="ASW193" s="387"/>
      <c r="ASX193" s="387"/>
      <c r="ASY193" s="387"/>
      <c r="ASZ193" s="387"/>
      <c r="ATA193" s="387"/>
      <c r="ATB193" s="387"/>
      <c r="ATC193" s="387"/>
      <c r="ATD193" s="387"/>
      <c r="ATE193" s="387"/>
      <c r="ATF193" s="387"/>
      <c r="ATG193" s="387"/>
      <c r="ATH193" s="387"/>
      <c r="ATI193" s="387"/>
      <c r="ATJ193" s="387"/>
      <c r="ATK193" s="387"/>
      <c r="ATL193" s="387"/>
      <c r="ATM193" s="387"/>
      <c r="ATN193" s="387"/>
      <c r="ATO193" s="387"/>
      <c r="ATP193" s="387"/>
      <c r="ATQ193" s="387"/>
      <c r="ATR193" s="387"/>
      <c r="ATS193" s="387"/>
      <c r="ATT193" s="387"/>
      <c r="ATU193" s="387"/>
      <c r="ATV193" s="387"/>
      <c r="ATW193" s="387"/>
      <c r="ATX193" s="387"/>
      <c r="ATY193" s="387"/>
      <c r="ATZ193" s="387"/>
      <c r="AUA193" s="387"/>
      <c r="AUB193" s="387"/>
      <c r="AUC193" s="387"/>
      <c r="AUD193" s="387"/>
      <c r="AUE193" s="387"/>
      <c r="AUF193" s="387"/>
      <c r="AUG193" s="387"/>
      <c r="AUH193" s="387"/>
      <c r="AUI193" s="387"/>
      <c r="AUJ193" s="387"/>
      <c r="AUK193" s="387"/>
      <c r="AUL193" s="387"/>
      <c r="AUM193" s="387"/>
      <c r="AUN193" s="387"/>
      <c r="AUO193" s="387"/>
      <c r="AUP193" s="387"/>
      <c r="AUQ193" s="387"/>
      <c r="AUR193" s="387"/>
      <c r="AUS193" s="387"/>
      <c r="AUT193" s="387"/>
      <c r="AUU193" s="387"/>
      <c r="AUV193" s="387"/>
      <c r="AUW193" s="387"/>
      <c r="AUX193" s="387"/>
      <c r="AUY193" s="387"/>
      <c r="AUZ193" s="387"/>
      <c r="AVA193" s="387"/>
      <c r="AVB193" s="387"/>
      <c r="AVC193" s="387"/>
      <c r="AVD193" s="387"/>
      <c r="AVE193" s="387"/>
      <c r="AVF193" s="387"/>
      <c r="AVG193" s="387"/>
      <c r="AVH193" s="387"/>
      <c r="AVI193" s="387"/>
      <c r="AVJ193" s="387"/>
      <c r="AVK193" s="387"/>
      <c r="AVL193" s="387"/>
      <c r="AVM193" s="387"/>
      <c r="AVN193" s="387"/>
      <c r="AVO193" s="387"/>
      <c r="AVP193" s="387"/>
      <c r="AVQ193" s="387"/>
      <c r="AVR193" s="387"/>
      <c r="AVS193" s="387"/>
      <c r="AVT193" s="387"/>
      <c r="AVU193" s="387"/>
      <c r="AVV193" s="387"/>
      <c r="AVW193" s="387"/>
      <c r="AVX193" s="387"/>
      <c r="AVY193" s="387"/>
      <c r="AVZ193" s="387"/>
      <c r="AWA193" s="387"/>
      <c r="AWB193" s="387"/>
      <c r="AWC193" s="387"/>
      <c r="AWD193" s="387"/>
      <c r="AWE193" s="387"/>
      <c r="AWF193" s="387"/>
      <c r="AWG193" s="387"/>
      <c r="AWH193" s="387"/>
      <c r="AWI193" s="387"/>
      <c r="AWJ193" s="387"/>
      <c r="AWK193" s="387"/>
      <c r="AWL193" s="387"/>
      <c r="AWM193" s="387"/>
      <c r="AWN193" s="387"/>
      <c r="AWO193" s="387"/>
      <c r="AWP193" s="387"/>
      <c r="AWQ193" s="387"/>
      <c r="AWR193" s="387"/>
      <c r="AWS193" s="387"/>
      <c r="AWT193" s="387"/>
      <c r="AWU193" s="387"/>
      <c r="AWV193" s="387"/>
      <c r="AWW193" s="387"/>
      <c r="AWX193" s="387"/>
      <c r="AWY193" s="387"/>
      <c r="AWZ193" s="387"/>
      <c r="AXA193" s="387"/>
      <c r="AXB193" s="387"/>
      <c r="AXC193" s="387"/>
      <c r="AXD193" s="387"/>
      <c r="AXE193" s="387"/>
      <c r="AXF193" s="387"/>
      <c r="AXG193" s="387"/>
      <c r="AXH193" s="387"/>
      <c r="AXI193" s="387"/>
      <c r="AXJ193" s="387"/>
      <c r="AXK193" s="387"/>
      <c r="AXL193" s="387"/>
      <c r="AXM193" s="387"/>
      <c r="AXN193" s="387"/>
      <c r="AXO193" s="387"/>
      <c r="AXP193" s="387"/>
      <c r="AXQ193" s="387"/>
      <c r="AXR193" s="387"/>
      <c r="AXS193" s="387"/>
      <c r="AXT193" s="387"/>
      <c r="AXU193" s="387"/>
      <c r="AXV193" s="387"/>
      <c r="AXW193" s="387"/>
      <c r="AXX193" s="387"/>
      <c r="AXY193" s="387"/>
      <c r="AXZ193" s="387"/>
      <c r="AYA193" s="387"/>
      <c r="AYB193" s="387"/>
      <c r="AYC193" s="387"/>
      <c r="AYD193" s="387"/>
      <c r="AYE193" s="387"/>
      <c r="AYF193" s="387"/>
      <c r="AYG193" s="387"/>
      <c r="AYH193" s="387"/>
      <c r="AYI193" s="387"/>
      <c r="AYJ193" s="387"/>
      <c r="AYK193" s="387"/>
      <c r="AYL193" s="387"/>
      <c r="AYM193" s="387"/>
      <c r="AYN193" s="387"/>
      <c r="AYO193" s="387"/>
      <c r="AYP193" s="387"/>
      <c r="AYQ193" s="387"/>
      <c r="AYR193" s="387"/>
      <c r="AYS193" s="387"/>
      <c r="AYT193" s="387"/>
      <c r="AYU193" s="387"/>
      <c r="AYV193" s="387"/>
      <c r="AYW193" s="387"/>
      <c r="AYX193" s="387"/>
      <c r="AYY193" s="387"/>
      <c r="AYZ193" s="387"/>
      <c r="AZA193" s="387"/>
      <c r="AZB193" s="387"/>
      <c r="AZC193" s="387"/>
      <c r="AZD193" s="387"/>
      <c r="AZE193" s="387"/>
      <c r="AZF193" s="387"/>
      <c r="AZG193" s="387"/>
      <c r="AZH193" s="387"/>
      <c r="AZI193" s="387"/>
      <c r="AZJ193" s="387"/>
      <c r="AZK193" s="387"/>
      <c r="AZL193" s="387"/>
      <c r="AZM193" s="387"/>
      <c r="AZN193" s="387"/>
      <c r="AZO193" s="387"/>
      <c r="AZP193" s="387"/>
      <c r="AZQ193" s="387"/>
      <c r="AZR193" s="387"/>
      <c r="AZS193" s="387"/>
      <c r="AZT193" s="387"/>
      <c r="AZU193" s="387"/>
      <c r="AZV193" s="387"/>
      <c r="AZW193" s="387"/>
      <c r="AZX193" s="387"/>
      <c r="AZY193" s="387"/>
      <c r="AZZ193" s="387"/>
      <c r="BAA193" s="387"/>
      <c r="BAB193" s="387"/>
      <c r="BAC193" s="387"/>
      <c r="BAD193" s="387"/>
      <c r="BAE193" s="387"/>
      <c r="BAF193" s="387"/>
      <c r="BAG193" s="387"/>
      <c r="BAH193" s="387"/>
      <c r="BAI193" s="387"/>
      <c r="BAJ193" s="387"/>
      <c r="BAK193" s="387"/>
      <c r="BAL193" s="387"/>
      <c r="BAM193" s="387"/>
      <c r="BAN193" s="387"/>
      <c r="BAO193" s="387"/>
      <c r="BAP193" s="387"/>
      <c r="BAQ193" s="387"/>
      <c r="BAR193" s="387"/>
      <c r="BAS193" s="387"/>
      <c r="BAT193" s="387"/>
      <c r="BAU193" s="387"/>
      <c r="BAV193" s="387"/>
      <c r="BAW193" s="387"/>
      <c r="BAX193" s="387"/>
      <c r="BAY193" s="387"/>
      <c r="BAZ193" s="387"/>
      <c r="BBA193" s="387"/>
      <c r="BBB193" s="387"/>
      <c r="BBC193" s="387"/>
      <c r="BBD193" s="387"/>
      <c r="BBE193" s="387"/>
      <c r="BBF193" s="387"/>
      <c r="BBG193" s="387"/>
      <c r="BBH193" s="387"/>
      <c r="BBI193" s="387"/>
      <c r="BBJ193" s="387"/>
      <c r="BBK193" s="387"/>
      <c r="BBL193" s="387"/>
      <c r="BBM193" s="387"/>
      <c r="BBN193" s="387"/>
      <c r="BBO193" s="387"/>
      <c r="BBP193" s="387"/>
      <c r="BBQ193" s="387"/>
      <c r="BBR193" s="387"/>
      <c r="BBS193" s="387"/>
      <c r="BBT193" s="387"/>
      <c r="BBU193" s="387"/>
      <c r="BBV193" s="387"/>
      <c r="BBW193" s="387"/>
      <c r="BBX193" s="387"/>
      <c r="BBY193" s="387"/>
      <c r="BBZ193" s="387"/>
      <c r="BCA193" s="387"/>
      <c r="BCB193" s="387"/>
      <c r="BCC193" s="387"/>
      <c r="BCD193" s="387"/>
      <c r="BCE193" s="387"/>
      <c r="BCF193" s="387"/>
      <c r="BCG193" s="387"/>
      <c r="BCH193" s="387"/>
      <c r="BCI193" s="387"/>
      <c r="BCJ193" s="387"/>
      <c r="BCK193" s="387"/>
      <c r="BCL193" s="387"/>
      <c r="BCM193" s="387"/>
      <c r="BCN193" s="387"/>
      <c r="BCO193" s="387"/>
      <c r="BCP193" s="387"/>
      <c r="BCQ193" s="387"/>
      <c r="BCR193" s="387"/>
      <c r="BCS193" s="387"/>
      <c r="BCT193" s="387"/>
      <c r="BCU193" s="387"/>
      <c r="BCV193" s="387"/>
      <c r="BCW193" s="387"/>
      <c r="BCX193" s="387"/>
      <c r="BCY193" s="387"/>
      <c r="BCZ193" s="387"/>
      <c r="BDA193" s="387"/>
      <c r="BDB193" s="387"/>
      <c r="BDC193" s="387"/>
      <c r="BDD193" s="387"/>
      <c r="BDE193" s="387"/>
      <c r="BDF193" s="387"/>
      <c r="BDG193" s="387"/>
      <c r="BDH193" s="387"/>
      <c r="BDI193" s="387"/>
      <c r="BDJ193" s="387"/>
      <c r="BDK193" s="387"/>
      <c r="BDL193" s="387"/>
      <c r="BDM193" s="387"/>
      <c r="BDN193" s="387"/>
      <c r="BDO193" s="387"/>
      <c r="BDP193" s="387"/>
      <c r="BDQ193" s="387"/>
      <c r="BDR193" s="387"/>
      <c r="BDS193" s="387"/>
      <c r="BDT193" s="387"/>
      <c r="BDU193" s="387"/>
      <c r="BDV193" s="387"/>
      <c r="BDW193" s="387"/>
      <c r="BDX193" s="387"/>
      <c r="BDY193" s="387"/>
      <c r="BDZ193" s="387"/>
      <c r="BEA193" s="387"/>
      <c r="BEB193" s="387"/>
      <c r="BEC193" s="387"/>
      <c r="BED193" s="387"/>
      <c r="BEE193" s="387"/>
      <c r="BEF193" s="387"/>
      <c r="BEG193" s="387"/>
      <c r="BEH193" s="387"/>
      <c r="BEI193" s="387"/>
      <c r="BEJ193" s="387"/>
      <c r="BEK193" s="387"/>
      <c r="BEL193" s="387"/>
      <c r="BEM193" s="387"/>
      <c r="BEN193" s="387"/>
      <c r="BEO193" s="387"/>
      <c r="BEP193" s="387"/>
      <c r="BEQ193" s="387"/>
      <c r="BER193" s="387"/>
      <c r="BES193" s="387"/>
      <c r="BET193" s="387"/>
      <c r="BEU193" s="387"/>
      <c r="BEV193" s="387"/>
      <c r="BEW193" s="387"/>
      <c r="BEX193" s="387"/>
      <c r="BEY193" s="387"/>
      <c r="BEZ193" s="387"/>
      <c r="BFA193" s="387"/>
      <c r="BFB193" s="387"/>
      <c r="BFC193" s="387"/>
      <c r="BFD193" s="387"/>
      <c r="BFE193" s="387"/>
      <c r="BFF193" s="387"/>
      <c r="BFG193" s="387"/>
      <c r="BFH193" s="387"/>
      <c r="BFI193" s="387"/>
      <c r="BFJ193" s="387"/>
      <c r="BFK193" s="387"/>
      <c r="BFL193" s="387"/>
      <c r="BFM193" s="387"/>
      <c r="BFN193" s="387"/>
      <c r="BFO193" s="387"/>
      <c r="BFP193" s="387"/>
      <c r="BFQ193" s="387"/>
      <c r="BFR193" s="387"/>
      <c r="BFS193" s="387"/>
      <c r="BFT193" s="387"/>
      <c r="BFU193" s="387"/>
      <c r="BFV193" s="387"/>
      <c r="BFW193" s="387"/>
      <c r="BFX193" s="387"/>
      <c r="BFY193" s="387"/>
      <c r="BFZ193" s="387"/>
      <c r="BGA193" s="387"/>
      <c r="BGB193" s="387"/>
      <c r="BGC193" s="387"/>
      <c r="BGD193" s="387"/>
      <c r="BGE193" s="387"/>
      <c r="BGF193" s="387"/>
      <c r="BGG193" s="387"/>
      <c r="BGH193" s="387"/>
      <c r="BGI193" s="387"/>
      <c r="BGJ193" s="387"/>
      <c r="BGK193" s="387"/>
      <c r="BGL193" s="387"/>
      <c r="BGM193" s="387"/>
      <c r="BGN193" s="387"/>
      <c r="BGO193" s="387"/>
      <c r="BGP193" s="387"/>
      <c r="BGQ193" s="387"/>
      <c r="BGR193" s="387"/>
      <c r="BGS193" s="387"/>
      <c r="BGT193" s="387"/>
      <c r="BGU193" s="387"/>
      <c r="BGV193" s="387"/>
      <c r="BGW193" s="387"/>
      <c r="BGX193" s="387"/>
      <c r="BGY193" s="387"/>
      <c r="BGZ193" s="387"/>
      <c r="BHA193" s="387"/>
      <c r="BHB193" s="387"/>
      <c r="BHC193" s="387"/>
      <c r="BHD193" s="387"/>
      <c r="BHE193" s="387"/>
      <c r="BHF193" s="387"/>
      <c r="BHG193" s="387"/>
      <c r="BHH193" s="387"/>
      <c r="BHI193" s="387"/>
      <c r="BHJ193" s="387"/>
      <c r="BHK193" s="387"/>
      <c r="BHL193" s="387"/>
      <c r="BHM193" s="387"/>
      <c r="BHN193" s="387"/>
      <c r="BHO193" s="387"/>
      <c r="BHP193" s="387"/>
      <c r="BHQ193" s="387"/>
      <c r="BHR193" s="387"/>
      <c r="BHS193" s="387"/>
      <c r="BHT193" s="387"/>
      <c r="BHU193" s="387"/>
      <c r="BHV193" s="387"/>
      <c r="BHW193" s="387"/>
      <c r="BHX193" s="387"/>
      <c r="BHY193" s="387"/>
      <c r="BHZ193" s="387"/>
      <c r="BIA193" s="387"/>
      <c r="BIB193" s="387"/>
      <c r="BIC193" s="387"/>
      <c r="BID193" s="387"/>
      <c r="BIE193" s="387"/>
      <c r="BIF193" s="387"/>
      <c r="BIG193" s="387"/>
      <c r="BIH193" s="387"/>
      <c r="BII193" s="387"/>
      <c r="BIJ193" s="387"/>
      <c r="BIK193" s="387"/>
      <c r="BIL193" s="387"/>
      <c r="BIM193" s="387"/>
      <c r="BIN193" s="387"/>
      <c r="BIO193" s="387"/>
      <c r="BIP193" s="387"/>
      <c r="BIQ193" s="387"/>
      <c r="BIR193" s="387"/>
      <c r="BIS193" s="387"/>
      <c r="BIT193" s="387"/>
      <c r="BIU193" s="387"/>
      <c r="BIV193" s="387"/>
      <c r="BIW193" s="387"/>
      <c r="BIX193" s="387"/>
      <c r="BIY193" s="387"/>
      <c r="BIZ193" s="387"/>
      <c r="BJA193" s="387"/>
      <c r="BJB193" s="387"/>
      <c r="BJC193" s="387"/>
      <c r="BJD193" s="387"/>
      <c r="BJE193" s="387"/>
      <c r="BJF193" s="387"/>
      <c r="BJG193" s="387"/>
      <c r="BJH193" s="387"/>
      <c r="BJI193" s="387"/>
      <c r="BJJ193" s="387"/>
      <c r="BJK193" s="387"/>
      <c r="BJL193" s="387"/>
      <c r="BJM193" s="387"/>
      <c r="BJN193" s="387"/>
      <c r="BJO193" s="387"/>
      <c r="BJP193" s="387"/>
      <c r="BJQ193" s="387"/>
      <c r="BJR193" s="387"/>
      <c r="BJS193" s="387"/>
      <c r="BJT193" s="387"/>
      <c r="BJU193" s="387"/>
      <c r="BJV193" s="387"/>
      <c r="BJW193" s="387"/>
      <c r="BJX193" s="387"/>
      <c r="BJY193" s="387"/>
      <c r="BJZ193" s="387"/>
      <c r="BKA193" s="387"/>
      <c r="BKB193" s="387"/>
      <c r="BKC193" s="387"/>
      <c r="BKD193" s="387"/>
      <c r="BKE193" s="387"/>
      <c r="BKF193" s="387"/>
      <c r="BKG193" s="387"/>
      <c r="BKH193" s="387"/>
      <c r="BKI193" s="387"/>
      <c r="BKJ193" s="387"/>
      <c r="BKK193" s="387"/>
      <c r="BKL193" s="387"/>
      <c r="BKM193" s="387"/>
      <c r="BKN193" s="387"/>
      <c r="BKO193" s="387"/>
      <c r="BKP193" s="387"/>
      <c r="BKQ193" s="387"/>
      <c r="BKR193" s="387"/>
      <c r="BKS193" s="387"/>
      <c r="BKT193" s="387"/>
      <c r="BKU193" s="387"/>
      <c r="BKV193" s="387"/>
      <c r="BKW193" s="387"/>
      <c r="BKX193" s="387"/>
      <c r="BKY193" s="387"/>
      <c r="BKZ193" s="387"/>
      <c r="BLA193" s="387"/>
      <c r="BLB193" s="387"/>
      <c r="BLC193" s="387"/>
      <c r="BLD193" s="387"/>
      <c r="BLE193" s="387"/>
      <c r="BLF193" s="387"/>
      <c r="BLG193" s="387"/>
      <c r="BLH193" s="387"/>
      <c r="BLI193" s="387"/>
      <c r="BLJ193" s="387"/>
      <c r="BLK193" s="387"/>
      <c r="BLL193" s="387"/>
      <c r="BLM193" s="387"/>
      <c r="BLN193" s="387"/>
      <c r="BLO193" s="387"/>
      <c r="BLP193" s="387"/>
      <c r="BLQ193" s="387"/>
      <c r="BLR193" s="387"/>
      <c r="BLS193" s="387"/>
      <c r="BLT193" s="387"/>
      <c r="BLU193" s="387"/>
      <c r="BLV193" s="387"/>
      <c r="BLW193" s="387"/>
      <c r="BLX193" s="387"/>
      <c r="BLY193" s="387"/>
      <c r="BLZ193" s="387"/>
      <c r="BMA193" s="387"/>
      <c r="BMB193" s="387"/>
      <c r="BMC193" s="387"/>
      <c r="BMD193" s="387"/>
      <c r="BME193" s="387"/>
      <c r="BMF193" s="387"/>
      <c r="BMG193" s="387"/>
      <c r="BMH193" s="387"/>
      <c r="BMI193" s="387"/>
      <c r="BMJ193" s="387"/>
      <c r="BMK193" s="387"/>
      <c r="BML193" s="387"/>
      <c r="BMM193" s="387"/>
      <c r="BMN193" s="387"/>
      <c r="BMO193" s="387"/>
      <c r="BMP193" s="387"/>
      <c r="BMQ193" s="387"/>
      <c r="BMR193" s="387"/>
      <c r="BMS193" s="387"/>
      <c r="BMT193" s="387"/>
      <c r="BMU193" s="387"/>
      <c r="BMV193" s="387"/>
      <c r="BMW193" s="387"/>
      <c r="BMX193" s="387"/>
      <c r="BMY193" s="387"/>
      <c r="BMZ193" s="387"/>
      <c r="BNA193" s="387"/>
      <c r="BNB193" s="387"/>
      <c r="BNC193" s="387"/>
      <c r="BND193" s="387"/>
      <c r="BNE193" s="387"/>
      <c r="BNF193" s="387"/>
      <c r="BNG193" s="387"/>
      <c r="BNH193" s="387"/>
      <c r="BNI193" s="387"/>
      <c r="BNJ193" s="387"/>
      <c r="BNK193" s="387"/>
      <c r="BNL193" s="387"/>
      <c r="BNM193" s="387"/>
      <c r="BNN193" s="387"/>
      <c r="BNO193" s="387"/>
      <c r="BNP193" s="387"/>
      <c r="BNQ193" s="387"/>
      <c r="BNR193" s="387"/>
      <c r="BNS193" s="387"/>
      <c r="BNT193" s="387"/>
      <c r="BNU193" s="387"/>
      <c r="BNV193" s="387"/>
      <c r="BNW193" s="387"/>
      <c r="BNX193" s="387"/>
      <c r="BNY193" s="387"/>
      <c r="BNZ193" s="387"/>
      <c r="BOA193" s="387"/>
      <c r="BOB193" s="387"/>
      <c r="BOC193" s="387"/>
      <c r="BOD193" s="387"/>
      <c r="BOE193" s="387"/>
      <c r="BOF193" s="387"/>
      <c r="BOG193" s="387"/>
      <c r="BOH193" s="387"/>
      <c r="BOI193" s="387"/>
      <c r="BOJ193" s="387"/>
      <c r="BOK193" s="387"/>
      <c r="BOL193" s="387"/>
      <c r="BOM193" s="387"/>
      <c r="BON193" s="387"/>
      <c r="BOO193" s="387"/>
      <c r="BOP193" s="387"/>
      <c r="BOQ193" s="387"/>
      <c r="BOR193" s="387"/>
      <c r="BOS193" s="387"/>
      <c r="BOT193" s="387"/>
      <c r="BOU193" s="387"/>
      <c r="BOV193" s="387"/>
      <c r="BOW193" s="387"/>
      <c r="BOX193" s="387"/>
      <c r="BOY193" s="387"/>
      <c r="BOZ193" s="387"/>
      <c r="BPA193" s="387"/>
      <c r="BPB193" s="387"/>
      <c r="BPC193" s="387"/>
      <c r="BPD193" s="387"/>
      <c r="BPE193" s="387"/>
      <c r="BPF193" s="387"/>
      <c r="BPG193" s="387"/>
      <c r="BPH193" s="387"/>
      <c r="BPI193" s="387"/>
      <c r="BPJ193" s="387"/>
      <c r="BPK193" s="387"/>
      <c r="BPL193" s="387"/>
      <c r="BPM193" s="387"/>
      <c r="BPN193" s="387"/>
      <c r="BPO193" s="387"/>
      <c r="BPP193" s="387"/>
      <c r="BPQ193" s="387"/>
      <c r="BPR193" s="387"/>
      <c r="BPS193" s="387"/>
      <c r="BPT193" s="387"/>
      <c r="BPU193" s="387"/>
      <c r="BPV193" s="387"/>
      <c r="BPW193" s="387"/>
      <c r="BPX193" s="387"/>
      <c r="BPY193" s="387"/>
      <c r="BPZ193" s="387"/>
      <c r="BQA193" s="387"/>
      <c r="BQB193" s="387"/>
      <c r="BQC193" s="387"/>
      <c r="BQD193" s="387"/>
      <c r="BQE193" s="387"/>
      <c r="BQF193" s="387"/>
      <c r="BQG193" s="387"/>
      <c r="BQH193" s="387"/>
      <c r="BQI193" s="387"/>
      <c r="BQJ193" s="387"/>
      <c r="BQK193" s="387"/>
      <c r="BQL193" s="387"/>
      <c r="BQM193" s="387"/>
      <c r="BQN193" s="387"/>
      <c r="BQO193" s="387"/>
      <c r="BQP193" s="387"/>
      <c r="BQQ193" s="387"/>
      <c r="BQR193" s="387"/>
      <c r="BQS193" s="387"/>
      <c r="BQT193" s="387"/>
      <c r="BQU193" s="387"/>
      <c r="BQV193" s="387"/>
      <c r="BQW193" s="387"/>
      <c r="BQX193" s="387"/>
      <c r="BQY193" s="387"/>
      <c r="BQZ193" s="387"/>
      <c r="BRA193" s="387"/>
      <c r="BRB193" s="387"/>
      <c r="BRC193" s="387"/>
      <c r="BRD193" s="387"/>
      <c r="BRE193" s="387"/>
      <c r="BRF193" s="387"/>
      <c r="BRG193" s="387"/>
      <c r="BRH193" s="387"/>
      <c r="BRI193" s="387"/>
      <c r="BRJ193" s="387"/>
      <c r="BRK193" s="387"/>
      <c r="BRL193" s="387"/>
      <c r="BRM193" s="387"/>
      <c r="BRN193" s="387"/>
      <c r="BRO193" s="387"/>
      <c r="BRP193" s="387"/>
      <c r="BRQ193" s="387"/>
      <c r="BRR193" s="387"/>
      <c r="BRS193" s="387"/>
      <c r="BRT193" s="387"/>
      <c r="BRU193" s="387"/>
      <c r="BRV193" s="387"/>
      <c r="BRW193" s="387"/>
      <c r="BRX193" s="387"/>
      <c r="BRY193" s="387"/>
      <c r="BRZ193" s="387"/>
      <c r="BSA193" s="387"/>
      <c r="BSB193" s="387"/>
      <c r="BSC193" s="387"/>
      <c r="BSD193" s="387"/>
      <c r="BSE193" s="387"/>
      <c r="BSF193" s="387"/>
      <c r="BSG193" s="387"/>
      <c r="BSH193" s="387"/>
      <c r="BSI193" s="387"/>
      <c r="BSJ193" s="387"/>
      <c r="BSK193" s="387"/>
      <c r="BSL193" s="387"/>
      <c r="BSM193" s="387"/>
      <c r="BSN193" s="387"/>
      <c r="BSO193" s="387"/>
      <c r="BSP193" s="387"/>
      <c r="BSQ193" s="387"/>
      <c r="BSR193" s="387"/>
      <c r="BSS193" s="387"/>
      <c r="BST193" s="387"/>
      <c r="BSU193" s="387"/>
      <c r="BSV193" s="387"/>
      <c r="BSW193" s="387"/>
      <c r="BSX193" s="387"/>
      <c r="BSY193" s="387"/>
      <c r="BSZ193" s="387"/>
      <c r="BTA193" s="387"/>
      <c r="BTB193" s="387"/>
      <c r="BTC193" s="387"/>
      <c r="BTD193" s="387"/>
      <c r="BTE193" s="387"/>
      <c r="BTF193" s="387"/>
      <c r="BTG193" s="387"/>
      <c r="BTH193" s="387"/>
      <c r="BTI193" s="387"/>
    </row>
    <row r="194" spans="1:1881" ht="46.5" customHeight="1" x14ac:dyDescent="0.25">
      <c r="A194" s="186">
        <v>357</v>
      </c>
      <c r="B194" s="148" t="s">
        <v>79</v>
      </c>
      <c r="C194" s="180" t="s">
        <v>252</v>
      </c>
      <c r="D194" s="172" t="s">
        <v>22</v>
      </c>
      <c r="E194" s="683" t="e">
        <f>HLOOKUP('Unit Data from Audit Worksheet'!$D$2,'2019 Data(H)'!$D$1:$BB$202,78,FALSE)</f>
        <v>#N/A</v>
      </c>
      <c r="F194" s="560"/>
      <c r="G194" s="552">
        <f>IF(F194&lt;0,"Error: Enter as positive.",)</f>
        <v>0</v>
      </c>
      <c r="H194" s="14"/>
      <c r="I194" s="292"/>
      <c r="S194" s="682"/>
      <c r="X194" s="682"/>
    </row>
    <row r="195" spans="1:1881" s="313" customFormat="1" ht="27.75" customHeight="1" x14ac:dyDescent="0.3">
      <c r="A195" s="187"/>
      <c r="B195" s="159" t="s">
        <v>11</v>
      </c>
      <c r="C195" s="158"/>
      <c r="D195" s="153"/>
      <c r="E195" s="160"/>
      <c r="F195" s="751"/>
      <c r="G195" s="528"/>
      <c r="H195" s="14"/>
      <c r="I195" s="31"/>
      <c r="J195" s="387"/>
      <c r="K195" s="387"/>
      <c r="L195" s="387"/>
      <c r="M195" s="387"/>
      <c r="N195"/>
      <c r="O195" s="387"/>
      <c r="P195" s="387"/>
      <c r="Q195" s="387"/>
      <c r="R195"/>
      <c r="S195" s="682"/>
      <c r="T195" s="387"/>
      <c r="U195" s="387"/>
      <c r="V195" s="387"/>
      <c r="W195" s="387"/>
      <c r="X195" s="682"/>
      <c r="Y195" s="387"/>
      <c r="Z195" s="387"/>
      <c r="AA195" s="387"/>
      <c r="AB195" s="387"/>
      <c r="AC195" s="387"/>
      <c r="AD195" s="387"/>
      <c r="AE195" s="387"/>
      <c r="AF195" s="387"/>
      <c r="AG195" s="387"/>
      <c r="AH195" s="387"/>
      <c r="AI195" s="387"/>
      <c r="AJ195" s="387"/>
      <c r="AK195" s="387"/>
      <c r="AL195" s="387"/>
      <c r="AM195" s="387"/>
      <c r="AN195" s="387"/>
      <c r="AO195" s="387"/>
      <c r="AP195" s="387"/>
      <c r="AQ195" s="387"/>
      <c r="AR195" s="387"/>
      <c r="AS195" s="387"/>
      <c r="AT195" s="387"/>
      <c r="AU195" s="387"/>
      <c r="AV195" s="387"/>
      <c r="AW195" s="387"/>
      <c r="AX195" s="387"/>
      <c r="AY195" s="387"/>
      <c r="AZ195" s="387"/>
      <c r="BA195" s="387"/>
      <c r="BB195" s="387"/>
      <c r="BC195" s="387"/>
      <c r="BD195" s="387"/>
      <c r="BE195" s="387"/>
      <c r="BF195" s="387"/>
      <c r="BG195" s="387"/>
      <c r="BH195" s="387"/>
      <c r="BI195" s="387"/>
      <c r="BJ195" s="387"/>
      <c r="BK195" s="387"/>
      <c r="BL195" s="387"/>
      <c r="BM195" s="387"/>
      <c r="BN195" s="387"/>
      <c r="BO195" s="387"/>
      <c r="BP195" s="387"/>
      <c r="BQ195" s="387"/>
      <c r="BR195" s="387"/>
      <c r="BS195" s="387"/>
      <c r="BT195" s="387"/>
      <c r="BU195" s="387"/>
      <c r="BV195" s="387"/>
      <c r="BW195" s="387"/>
      <c r="BX195" s="387"/>
      <c r="BY195" s="387"/>
      <c r="BZ195" s="387"/>
      <c r="CA195" s="387"/>
      <c r="CB195" s="387"/>
      <c r="CC195" s="387"/>
      <c r="CD195" s="387"/>
      <c r="CE195" s="387"/>
      <c r="CF195" s="387"/>
      <c r="CG195" s="387"/>
      <c r="CH195" s="387"/>
      <c r="CI195" s="387"/>
      <c r="CJ195" s="387"/>
      <c r="CK195" s="387"/>
      <c r="CL195" s="387"/>
      <c r="CM195" s="387"/>
      <c r="CN195" s="387"/>
      <c r="CO195" s="387"/>
      <c r="CP195" s="387"/>
      <c r="CQ195" s="387"/>
      <c r="CR195" s="387"/>
      <c r="CS195" s="387"/>
      <c r="CT195" s="387"/>
      <c r="CU195" s="387"/>
      <c r="CV195" s="387"/>
      <c r="CW195" s="387"/>
      <c r="CX195" s="387"/>
      <c r="CY195" s="387"/>
      <c r="CZ195" s="387"/>
      <c r="DA195" s="387"/>
      <c r="DB195" s="387"/>
      <c r="DC195" s="387"/>
      <c r="DD195" s="387"/>
      <c r="DE195" s="387"/>
      <c r="DF195" s="387"/>
      <c r="DG195" s="387"/>
      <c r="DH195" s="387"/>
      <c r="DI195" s="387"/>
      <c r="DJ195" s="387"/>
      <c r="DK195" s="387"/>
      <c r="DL195" s="387"/>
      <c r="DM195" s="387"/>
      <c r="DN195" s="387"/>
      <c r="DO195" s="387"/>
      <c r="DP195" s="387"/>
      <c r="DQ195" s="387"/>
      <c r="DR195" s="387"/>
      <c r="DS195" s="387"/>
      <c r="DT195" s="387"/>
      <c r="DU195" s="387"/>
      <c r="DV195" s="387"/>
      <c r="DW195" s="387"/>
      <c r="DX195" s="387"/>
      <c r="DY195" s="387"/>
      <c r="DZ195" s="387"/>
      <c r="EA195" s="387"/>
      <c r="EB195" s="387"/>
      <c r="EC195" s="387"/>
      <c r="ED195" s="387"/>
      <c r="EE195" s="387"/>
      <c r="EF195" s="387"/>
      <c r="EG195" s="387"/>
      <c r="EH195" s="387"/>
      <c r="EI195" s="387"/>
      <c r="EJ195" s="387"/>
      <c r="EK195" s="387"/>
      <c r="EL195" s="387"/>
      <c r="EM195" s="387"/>
      <c r="EN195" s="387"/>
      <c r="EO195" s="387"/>
      <c r="EP195" s="387"/>
      <c r="EQ195" s="387"/>
      <c r="ER195" s="387"/>
      <c r="ES195" s="387"/>
      <c r="ET195" s="387"/>
      <c r="EU195" s="387"/>
      <c r="EV195" s="387"/>
      <c r="EW195" s="387"/>
      <c r="EX195" s="387"/>
      <c r="EY195" s="387"/>
      <c r="EZ195" s="387"/>
      <c r="FA195" s="387"/>
      <c r="FB195" s="387"/>
      <c r="FC195" s="387"/>
      <c r="FD195" s="387"/>
      <c r="FE195" s="387"/>
      <c r="FF195" s="387"/>
      <c r="FG195" s="387"/>
      <c r="FH195" s="387"/>
      <c r="FI195" s="387"/>
      <c r="FJ195" s="387"/>
      <c r="FK195" s="387"/>
      <c r="FL195" s="387"/>
      <c r="FM195" s="387"/>
      <c r="FN195" s="387"/>
      <c r="FO195" s="387"/>
      <c r="FP195" s="387"/>
      <c r="FQ195" s="387"/>
      <c r="FR195" s="387"/>
      <c r="FS195" s="387"/>
      <c r="FT195" s="387"/>
      <c r="FU195" s="387"/>
      <c r="FV195" s="387"/>
      <c r="FW195" s="387"/>
      <c r="FX195" s="387"/>
      <c r="FY195" s="387"/>
      <c r="FZ195" s="387"/>
      <c r="GA195" s="387"/>
      <c r="GB195" s="387"/>
      <c r="GC195" s="387"/>
      <c r="GD195" s="387"/>
      <c r="GE195" s="387"/>
      <c r="GF195" s="387"/>
      <c r="GG195" s="387"/>
      <c r="GH195" s="387"/>
      <c r="GI195" s="387"/>
      <c r="GJ195" s="387"/>
      <c r="GK195" s="387"/>
      <c r="GL195" s="387"/>
      <c r="GM195" s="387"/>
      <c r="GN195" s="387"/>
      <c r="GO195" s="387"/>
      <c r="GP195" s="387"/>
      <c r="GQ195" s="387"/>
      <c r="GR195" s="387"/>
      <c r="GS195" s="387"/>
      <c r="GT195" s="387"/>
      <c r="GU195" s="387"/>
      <c r="GV195" s="387"/>
      <c r="GW195" s="387"/>
      <c r="GX195" s="387"/>
      <c r="GY195" s="387"/>
      <c r="GZ195" s="387"/>
      <c r="HA195" s="387"/>
      <c r="HB195" s="387"/>
      <c r="HC195" s="387"/>
      <c r="HD195" s="387"/>
      <c r="HE195" s="387"/>
      <c r="HF195" s="387"/>
      <c r="HG195" s="387"/>
      <c r="HH195" s="387"/>
      <c r="HI195" s="387"/>
      <c r="HJ195" s="387"/>
      <c r="HK195" s="387"/>
      <c r="HL195" s="387"/>
      <c r="HM195" s="387"/>
      <c r="HN195" s="387"/>
      <c r="HO195" s="387"/>
      <c r="HP195" s="387"/>
      <c r="HQ195" s="387"/>
      <c r="HR195" s="387"/>
      <c r="HS195" s="387"/>
      <c r="HT195" s="387"/>
      <c r="HU195" s="387"/>
      <c r="HV195" s="387"/>
      <c r="HW195" s="387"/>
      <c r="HX195" s="387"/>
      <c r="HY195" s="387"/>
      <c r="HZ195" s="387"/>
      <c r="IA195" s="387"/>
      <c r="IB195" s="387"/>
      <c r="IC195" s="387"/>
      <c r="ID195" s="387"/>
      <c r="IE195" s="387"/>
      <c r="IF195" s="387"/>
      <c r="IG195" s="387"/>
      <c r="IH195" s="387"/>
      <c r="II195" s="387"/>
      <c r="IJ195" s="387"/>
      <c r="IK195" s="387"/>
      <c r="IL195" s="387"/>
      <c r="IM195" s="387"/>
      <c r="IN195" s="387"/>
      <c r="IO195" s="387"/>
      <c r="IP195" s="387"/>
      <c r="IQ195" s="387"/>
      <c r="IR195" s="387"/>
      <c r="IS195" s="387"/>
      <c r="IT195" s="387"/>
      <c r="IU195" s="387"/>
      <c r="IV195" s="387"/>
      <c r="IW195" s="387"/>
      <c r="IX195" s="387"/>
      <c r="IY195" s="387"/>
      <c r="IZ195" s="387"/>
      <c r="JA195" s="387"/>
      <c r="JB195" s="387"/>
      <c r="JC195" s="387"/>
      <c r="JD195" s="387"/>
      <c r="JE195" s="387"/>
      <c r="JF195" s="387"/>
      <c r="JG195" s="387"/>
      <c r="JH195" s="387"/>
      <c r="JI195" s="387"/>
      <c r="JJ195" s="387"/>
      <c r="JK195" s="387"/>
      <c r="JL195" s="387"/>
      <c r="JM195" s="387"/>
      <c r="JN195" s="387"/>
      <c r="JO195" s="387"/>
      <c r="JP195" s="387"/>
      <c r="JQ195" s="387"/>
      <c r="JR195" s="387"/>
      <c r="JS195" s="387"/>
      <c r="JT195" s="387"/>
      <c r="JU195" s="387"/>
      <c r="JV195" s="387"/>
      <c r="JW195" s="387"/>
      <c r="JX195" s="387"/>
      <c r="JY195" s="387"/>
      <c r="JZ195" s="387"/>
      <c r="KA195" s="387"/>
      <c r="KB195" s="387"/>
      <c r="KC195" s="387"/>
      <c r="KD195" s="387"/>
      <c r="KE195" s="387"/>
      <c r="KF195" s="387"/>
      <c r="KG195" s="387"/>
      <c r="KH195" s="387"/>
      <c r="KI195" s="387"/>
      <c r="KJ195" s="387"/>
      <c r="KK195" s="387"/>
      <c r="KL195" s="387"/>
      <c r="KM195" s="387"/>
      <c r="KN195" s="387"/>
      <c r="KO195" s="387"/>
      <c r="KP195" s="387"/>
      <c r="KQ195" s="387"/>
      <c r="KR195" s="387"/>
      <c r="KS195" s="387"/>
      <c r="KT195" s="387"/>
      <c r="KU195" s="387"/>
      <c r="KV195" s="387"/>
      <c r="KW195" s="387"/>
      <c r="KX195" s="387"/>
      <c r="KY195" s="387"/>
      <c r="KZ195" s="387"/>
      <c r="LA195" s="387"/>
      <c r="LB195" s="387"/>
      <c r="LC195" s="387"/>
      <c r="LD195" s="387"/>
      <c r="LE195" s="387"/>
      <c r="LF195" s="387"/>
      <c r="LG195" s="387"/>
      <c r="LH195" s="387"/>
      <c r="LI195" s="387"/>
      <c r="LJ195" s="387"/>
      <c r="LK195" s="387"/>
      <c r="LL195" s="387"/>
      <c r="LM195" s="387"/>
      <c r="LN195" s="387"/>
      <c r="LO195" s="387"/>
      <c r="LP195" s="387"/>
      <c r="LQ195" s="387"/>
      <c r="LR195" s="387"/>
      <c r="LS195" s="387"/>
      <c r="LT195" s="387"/>
      <c r="LU195" s="387"/>
      <c r="LV195" s="387"/>
      <c r="LW195" s="387"/>
      <c r="LX195" s="387"/>
      <c r="LY195" s="387"/>
      <c r="LZ195" s="387"/>
      <c r="MA195" s="387"/>
      <c r="MB195" s="387"/>
      <c r="MC195" s="387"/>
      <c r="MD195" s="387"/>
      <c r="ME195" s="387"/>
      <c r="MF195" s="387"/>
      <c r="MG195" s="387"/>
      <c r="MH195" s="387"/>
      <c r="MI195" s="387"/>
      <c r="MJ195" s="387"/>
      <c r="MK195" s="387"/>
      <c r="ML195" s="387"/>
      <c r="MM195" s="387"/>
      <c r="MN195" s="387"/>
      <c r="MO195" s="387"/>
      <c r="MP195" s="387"/>
      <c r="MQ195" s="387"/>
      <c r="MR195" s="387"/>
      <c r="MS195" s="387"/>
      <c r="MT195" s="387"/>
      <c r="MU195" s="387"/>
      <c r="MV195" s="387"/>
      <c r="MW195" s="387"/>
      <c r="MX195" s="387"/>
      <c r="MY195" s="387"/>
      <c r="MZ195" s="387"/>
      <c r="NA195" s="387"/>
      <c r="NB195" s="387"/>
      <c r="NC195" s="387"/>
      <c r="ND195" s="387"/>
      <c r="NE195" s="387"/>
      <c r="NF195" s="387"/>
      <c r="NG195" s="387"/>
      <c r="NH195" s="387"/>
      <c r="NI195" s="387"/>
      <c r="NJ195" s="387"/>
      <c r="NK195" s="387"/>
      <c r="NL195" s="387"/>
      <c r="NM195" s="387"/>
      <c r="NN195" s="387"/>
      <c r="NO195" s="387"/>
      <c r="NP195" s="387"/>
      <c r="NQ195" s="387"/>
      <c r="NR195" s="387"/>
      <c r="NS195" s="387"/>
      <c r="NT195" s="387"/>
      <c r="NU195" s="387"/>
      <c r="NV195" s="387"/>
      <c r="NW195" s="387"/>
      <c r="NX195" s="387"/>
      <c r="NY195" s="387"/>
      <c r="NZ195" s="387"/>
      <c r="OA195" s="387"/>
      <c r="OB195" s="387"/>
      <c r="OC195" s="387"/>
      <c r="OD195" s="387"/>
      <c r="OE195" s="387"/>
      <c r="OF195" s="387"/>
      <c r="OG195" s="387"/>
      <c r="OH195" s="387"/>
      <c r="OI195" s="387"/>
      <c r="OJ195" s="387"/>
      <c r="OK195" s="387"/>
      <c r="OL195" s="387"/>
      <c r="OM195" s="387"/>
      <c r="ON195" s="387"/>
      <c r="OO195" s="387"/>
      <c r="OP195" s="387"/>
      <c r="OQ195" s="387"/>
      <c r="OR195" s="387"/>
      <c r="OS195" s="387"/>
      <c r="OT195" s="387"/>
      <c r="OU195" s="387"/>
      <c r="OV195" s="387"/>
      <c r="OW195" s="387"/>
      <c r="OX195" s="387"/>
      <c r="OY195" s="387"/>
      <c r="OZ195" s="387"/>
      <c r="PA195" s="387"/>
      <c r="PB195" s="387"/>
      <c r="PC195" s="387"/>
      <c r="PD195" s="387"/>
      <c r="PE195" s="387"/>
      <c r="PF195" s="387"/>
      <c r="PG195" s="387"/>
      <c r="PH195" s="387"/>
      <c r="PI195" s="387"/>
      <c r="PJ195" s="387"/>
      <c r="PK195" s="387"/>
      <c r="PL195" s="387"/>
      <c r="PM195" s="387"/>
      <c r="PN195" s="387"/>
      <c r="PO195" s="387"/>
      <c r="PP195" s="387"/>
      <c r="PQ195" s="387"/>
      <c r="PR195" s="387"/>
      <c r="PS195" s="387"/>
      <c r="PT195" s="387"/>
      <c r="PU195" s="387"/>
      <c r="PV195" s="387"/>
      <c r="PW195" s="387"/>
      <c r="PX195" s="387"/>
      <c r="PY195" s="387"/>
      <c r="PZ195" s="387"/>
      <c r="QA195" s="387"/>
      <c r="QB195" s="387"/>
      <c r="QC195" s="387"/>
      <c r="QD195" s="387"/>
      <c r="QE195" s="387"/>
      <c r="QF195" s="387"/>
      <c r="QG195" s="387"/>
      <c r="QH195" s="387"/>
      <c r="QI195" s="387"/>
      <c r="QJ195" s="387"/>
      <c r="QK195" s="387"/>
      <c r="QL195" s="387"/>
      <c r="QM195" s="387"/>
      <c r="QN195" s="387"/>
      <c r="QO195" s="387"/>
      <c r="QP195" s="387"/>
      <c r="QQ195" s="387"/>
      <c r="QR195" s="387"/>
      <c r="QS195" s="387"/>
      <c r="QT195" s="387"/>
      <c r="QU195" s="387"/>
      <c r="QV195" s="387"/>
      <c r="QW195" s="387"/>
      <c r="QX195" s="387"/>
      <c r="QY195" s="387"/>
      <c r="QZ195" s="387"/>
      <c r="RA195" s="387"/>
      <c r="RB195" s="387"/>
      <c r="RC195" s="387"/>
      <c r="RD195" s="387"/>
      <c r="RE195" s="387"/>
      <c r="RF195" s="387"/>
      <c r="RG195" s="387"/>
      <c r="RH195" s="387"/>
      <c r="RI195" s="387"/>
      <c r="RJ195" s="387"/>
      <c r="RK195" s="387"/>
      <c r="RL195" s="387"/>
      <c r="RM195" s="387"/>
      <c r="RN195" s="387"/>
      <c r="RO195" s="387"/>
      <c r="RP195" s="387"/>
      <c r="RQ195" s="387"/>
      <c r="RR195" s="387"/>
      <c r="RS195" s="387"/>
      <c r="RT195" s="387"/>
      <c r="RU195" s="387"/>
      <c r="RV195" s="387"/>
      <c r="RW195" s="387"/>
      <c r="RX195" s="387"/>
      <c r="RY195" s="387"/>
      <c r="RZ195" s="387"/>
      <c r="SA195" s="387"/>
      <c r="SB195" s="387"/>
      <c r="SC195" s="387"/>
      <c r="SD195" s="387"/>
      <c r="SE195" s="387"/>
      <c r="SF195" s="387"/>
      <c r="SG195" s="387"/>
      <c r="SH195" s="387"/>
      <c r="SI195" s="387"/>
      <c r="SJ195" s="387"/>
      <c r="SK195" s="387"/>
      <c r="SL195" s="387"/>
      <c r="SM195" s="387"/>
      <c r="SN195" s="387"/>
      <c r="SO195" s="387"/>
      <c r="SP195" s="387"/>
      <c r="SQ195" s="387"/>
      <c r="SR195" s="387"/>
      <c r="SS195" s="387"/>
      <c r="ST195" s="387"/>
      <c r="SU195" s="387"/>
      <c r="SV195" s="387"/>
      <c r="SW195" s="387"/>
      <c r="SX195" s="387"/>
      <c r="SY195" s="387"/>
      <c r="SZ195" s="387"/>
      <c r="TA195" s="387"/>
      <c r="TB195" s="387"/>
      <c r="TC195" s="387"/>
      <c r="TD195" s="387"/>
      <c r="TE195" s="387"/>
      <c r="TF195" s="387"/>
      <c r="TG195" s="387"/>
      <c r="TH195" s="387"/>
      <c r="TI195" s="387"/>
      <c r="TJ195" s="387"/>
      <c r="TK195" s="387"/>
      <c r="TL195" s="387"/>
      <c r="TM195" s="387"/>
      <c r="TN195" s="387"/>
      <c r="TO195" s="387"/>
      <c r="TP195" s="387"/>
      <c r="TQ195" s="387"/>
      <c r="TR195" s="387"/>
      <c r="TS195" s="387"/>
      <c r="TT195" s="387"/>
      <c r="TU195" s="387"/>
      <c r="TV195" s="387"/>
      <c r="TW195" s="387"/>
      <c r="TX195" s="387"/>
      <c r="TY195" s="387"/>
      <c r="TZ195" s="387"/>
      <c r="UA195" s="387"/>
      <c r="UB195" s="387"/>
      <c r="UC195" s="387"/>
      <c r="UD195" s="387"/>
      <c r="UE195" s="387"/>
      <c r="UF195" s="387"/>
      <c r="UG195" s="387"/>
      <c r="UH195" s="387"/>
      <c r="UI195" s="387"/>
      <c r="UJ195" s="387"/>
      <c r="UK195" s="387"/>
      <c r="UL195" s="387"/>
      <c r="UM195" s="387"/>
      <c r="UN195" s="387"/>
      <c r="UO195" s="387"/>
      <c r="UP195" s="387"/>
      <c r="UQ195" s="387"/>
      <c r="UR195" s="387"/>
      <c r="US195" s="387"/>
      <c r="UT195" s="387"/>
      <c r="UU195" s="387"/>
      <c r="UV195" s="387"/>
      <c r="UW195" s="387"/>
      <c r="UX195" s="387"/>
      <c r="UY195" s="387"/>
      <c r="UZ195" s="387"/>
      <c r="VA195" s="387"/>
      <c r="VB195" s="387"/>
      <c r="VC195" s="387"/>
      <c r="VD195" s="387"/>
      <c r="VE195" s="387"/>
      <c r="VF195" s="387"/>
      <c r="VG195" s="387"/>
      <c r="VH195" s="387"/>
      <c r="VI195" s="387"/>
      <c r="VJ195" s="387"/>
      <c r="VK195" s="387"/>
      <c r="VL195" s="387"/>
      <c r="VM195" s="387"/>
      <c r="VN195" s="387"/>
      <c r="VO195" s="387"/>
      <c r="VP195" s="387"/>
      <c r="VQ195" s="387"/>
      <c r="VR195" s="387"/>
      <c r="VS195" s="387"/>
      <c r="VT195" s="387"/>
      <c r="VU195" s="387"/>
      <c r="VV195" s="387"/>
      <c r="VW195" s="387"/>
      <c r="VX195" s="387"/>
      <c r="VY195" s="387"/>
      <c r="VZ195" s="387"/>
      <c r="WA195" s="387"/>
      <c r="WB195" s="387"/>
      <c r="WC195" s="387"/>
      <c r="WD195" s="387"/>
      <c r="WE195" s="387"/>
      <c r="WF195" s="387"/>
      <c r="WG195" s="387"/>
      <c r="WH195" s="387"/>
      <c r="WI195" s="387"/>
      <c r="WJ195" s="387"/>
      <c r="WK195" s="387"/>
      <c r="WL195" s="387"/>
      <c r="WM195" s="387"/>
      <c r="WN195" s="387"/>
      <c r="WO195" s="387"/>
      <c r="WP195" s="387"/>
      <c r="WQ195" s="387"/>
      <c r="WR195" s="387"/>
      <c r="WS195" s="387"/>
      <c r="WT195" s="387"/>
      <c r="WU195" s="387"/>
      <c r="WV195" s="387"/>
      <c r="WW195" s="387"/>
      <c r="WX195" s="387"/>
      <c r="WY195" s="387"/>
      <c r="WZ195" s="387"/>
      <c r="XA195" s="387"/>
      <c r="XB195" s="387"/>
      <c r="XC195" s="387"/>
      <c r="XD195" s="387"/>
      <c r="XE195" s="387"/>
      <c r="XF195" s="387"/>
      <c r="XG195" s="387"/>
      <c r="XH195" s="387"/>
      <c r="XI195" s="387"/>
      <c r="XJ195" s="387"/>
      <c r="XK195" s="387"/>
      <c r="XL195" s="387"/>
      <c r="XM195" s="387"/>
      <c r="XN195" s="387"/>
      <c r="XO195" s="387"/>
      <c r="XP195" s="387"/>
      <c r="XQ195" s="387"/>
      <c r="XR195" s="387"/>
      <c r="XS195" s="387"/>
      <c r="XT195" s="387"/>
      <c r="XU195" s="387"/>
      <c r="XV195" s="387"/>
      <c r="XW195" s="387"/>
      <c r="XX195" s="387"/>
      <c r="XY195" s="387"/>
      <c r="XZ195" s="387"/>
      <c r="YA195" s="387"/>
      <c r="YB195" s="387"/>
      <c r="YC195" s="387"/>
      <c r="YD195" s="387"/>
      <c r="YE195" s="387"/>
      <c r="YF195" s="387"/>
      <c r="YG195" s="387"/>
      <c r="YH195" s="387"/>
      <c r="YI195" s="387"/>
      <c r="YJ195" s="387"/>
      <c r="YK195" s="387"/>
      <c r="YL195" s="387"/>
      <c r="YM195" s="387"/>
      <c r="YN195" s="387"/>
      <c r="YO195" s="387"/>
      <c r="YP195" s="387"/>
      <c r="YQ195" s="387"/>
      <c r="YR195" s="387"/>
      <c r="YS195" s="387"/>
      <c r="YT195" s="387"/>
      <c r="YU195" s="387"/>
      <c r="YV195" s="387"/>
      <c r="YW195" s="387"/>
      <c r="YX195" s="387"/>
      <c r="YY195" s="387"/>
      <c r="YZ195" s="387"/>
      <c r="ZA195" s="387"/>
      <c r="ZB195" s="387"/>
      <c r="ZC195" s="387"/>
      <c r="ZD195" s="387"/>
      <c r="ZE195" s="387"/>
      <c r="ZF195" s="387"/>
      <c r="ZG195" s="387"/>
      <c r="ZH195" s="387"/>
      <c r="ZI195" s="387"/>
      <c r="ZJ195" s="387"/>
      <c r="ZK195" s="387"/>
      <c r="ZL195" s="387"/>
      <c r="ZM195" s="387"/>
      <c r="ZN195" s="387"/>
      <c r="ZO195" s="387"/>
      <c r="ZP195" s="387"/>
      <c r="ZQ195" s="387"/>
      <c r="ZR195" s="387"/>
      <c r="ZS195" s="387"/>
      <c r="ZT195" s="387"/>
      <c r="ZU195" s="387"/>
      <c r="ZV195" s="387"/>
      <c r="ZW195" s="387"/>
      <c r="ZX195" s="387"/>
      <c r="ZY195" s="387"/>
      <c r="ZZ195" s="387"/>
      <c r="AAA195" s="387"/>
      <c r="AAB195" s="387"/>
      <c r="AAC195" s="387"/>
      <c r="AAD195" s="387"/>
      <c r="AAE195" s="387"/>
      <c r="AAF195" s="387"/>
      <c r="AAG195" s="387"/>
      <c r="AAH195" s="387"/>
      <c r="AAI195" s="387"/>
      <c r="AAJ195" s="387"/>
      <c r="AAK195" s="387"/>
      <c r="AAL195" s="387"/>
      <c r="AAM195" s="387"/>
      <c r="AAN195" s="387"/>
      <c r="AAO195" s="387"/>
      <c r="AAP195" s="387"/>
      <c r="AAQ195" s="387"/>
      <c r="AAR195" s="387"/>
      <c r="AAS195" s="387"/>
      <c r="AAT195" s="387"/>
      <c r="AAU195" s="387"/>
      <c r="AAV195" s="387"/>
      <c r="AAW195" s="387"/>
      <c r="AAX195" s="387"/>
      <c r="AAY195" s="387"/>
      <c r="AAZ195" s="387"/>
      <c r="ABA195" s="387"/>
      <c r="ABB195" s="387"/>
      <c r="ABC195" s="387"/>
      <c r="ABD195" s="387"/>
      <c r="ABE195" s="387"/>
      <c r="ABF195" s="387"/>
      <c r="ABG195" s="387"/>
      <c r="ABH195" s="387"/>
      <c r="ABI195" s="387"/>
      <c r="ABJ195" s="387"/>
      <c r="ABK195" s="387"/>
      <c r="ABL195" s="387"/>
      <c r="ABM195" s="387"/>
      <c r="ABN195" s="387"/>
      <c r="ABO195" s="387"/>
      <c r="ABP195" s="387"/>
      <c r="ABQ195" s="387"/>
      <c r="ABR195" s="387"/>
      <c r="ABS195" s="387"/>
      <c r="ABT195" s="387"/>
      <c r="ABU195" s="387"/>
      <c r="ABV195" s="387"/>
      <c r="ABW195" s="387"/>
      <c r="ABX195" s="387"/>
      <c r="ABY195" s="387"/>
      <c r="ABZ195" s="387"/>
      <c r="ACA195" s="387"/>
      <c r="ACB195" s="387"/>
      <c r="ACC195" s="387"/>
      <c r="ACD195" s="387"/>
      <c r="ACE195" s="387"/>
      <c r="ACF195" s="387"/>
      <c r="ACG195" s="387"/>
      <c r="ACH195" s="387"/>
      <c r="ACI195" s="387"/>
      <c r="ACJ195" s="387"/>
      <c r="ACK195" s="387"/>
      <c r="ACL195" s="387"/>
      <c r="ACM195" s="387"/>
      <c r="ACN195" s="387"/>
      <c r="ACO195" s="387"/>
      <c r="ACP195" s="387"/>
      <c r="ACQ195" s="387"/>
      <c r="ACR195" s="387"/>
      <c r="ACS195" s="387"/>
      <c r="ACT195" s="387"/>
      <c r="ACU195" s="387"/>
      <c r="ACV195" s="387"/>
      <c r="ACW195" s="387"/>
      <c r="ACX195" s="387"/>
      <c r="ACY195" s="387"/>
      <c r="ACZ195" s="387"/>
      <c r="ADA195" s="387"/>
      <c r="ADB195" s="387"/>
      <c r="ADC195" s="387"/>
      <c r="ADD195" s="387"/>
      <c r="ADE195" s="387"/>
      <c r="ADF195" s="387"/>
      <c r="ADG195" s="387"/>
      <c r="ADH195" s="387"/>
      <c r="ADI195" s="387"/>
      <c r="ADJ195" s="387"/>
      <c r="ADK195" s="387"/>
      <c r="ADL195" s="387"/>
      <c r="ADM195" s="387"/>
      <c r="ADN195" s="387"/>
      <c r="ADO195" s="387"/>
      <c r="ADP195" s="387"/>
      <c r="ADQ195" s="387"/>
      <c r="ADR195" s="387"/>
      <c r="ADS195" s="387"/>
      <c r="ADT195" s="387"/>
      <c r="ADU195" s="387"/>
      <c r="ADV195" s="387"/>
      <c r="ADW195" s="387"/>
      <c r="ADX195" s="387"/>
      <c r="ADY195" s="387"/>
      <c r="ADZ195" s="387"/>
      <c r="AEA195" s="387"/>
      <c r="AEB195" s="387"/>
      <c r="AEC195" s="387"/>
      <c r="AED195" s="387"/>
      <c r="AEE195" s="387"/>
      <c r="AEF195" s="387"/>
      <c r="AEG195" s="387"/>
      <c r="AEH195" s="387"/>
      <c r="AEI195" s="387"/>
      <c r="AEJ195" s="387"/>
      <c r="AEK195" s="387"/>
      <c r="AEL195" s="387"/>
      <c r="AEM195" s="387"/>
      <c r="AEN195" s="387"/>
      <c r="AEO195" s="387"/>
      <c r="AEP195" s="387"/>
      <c r="AEQ195" s="387"/>
      <c r="AER195" s="387"/>
      <c r="AES195" s="387"/>
      <c r="AET195" s="387"/>
      <c r="AEU195" s="387"/>
      <c r="AEV195" s="387"/>
      <c r="AEW195" s="387"/>
      <c r="AEX195" s="387"/>
      <c r="AEY195" s="387"/>
      <c r="AEZ195" s="387"/>
      <c r="AFA195" s="387"/>
      <c r="AFB195" s="387"/>
      <c r="AFC195" s="387"/>
      <c r="AFD195" s="387"/>
      <c r="AFE195" s="387"/>
      <c r="AFF195" s="387"/>
      <c r="AFG195" s="387"/>
      <c r="AFH195" s="387"/>
      <c r="AFI195" s="387"/>
      <c r="AFJ195" s="387"/>
      <c r="AFK195" s="387"/>
      <c r="AFL195" s="387"/>
      <c r="AFM195" s="387"/>
      <c r="AFN195" s="387"/>
      <c r="AFO195" s="387"/>
      <c r="AFP195" s="387"/>
      <c r="AFQ195" s="387"/>
      <c r="AFR195" s="387"/>
      <c r="AFS195" s="387"/>
      <c r="AFT195" s="387"/>
      <c r="AFU195" s="387"/>
      <c r="AFV195" s="387"/>
      <c r="AFW195" s="387"/>
      <c r="AFX195" s="387"/>
      <c r="AFY195" s="387"/>
      <c r="AFZ195" s="387"/>
      <c r="AGA195" s="387"/>
      <c r="AGB195" s="387"/>
      <c r="AGC195" s="387"/>
      <c r="AGD195" s="387"/>
      <c r="AGE195" s="387"/>
      <c r="AGF195" s="387"/>
      <c r="AGG195" s="387"/>
      <c r="AGH195" s="387"/>
      <c r="AGI195" s="387"/>
      <c r="AGJ195" s="387"/>
      <c r="AGK195" s="387"/>
      <c r="AGL195" s="387"/>
      <c r="AGM195" s="387"/>
      <c r="AGN195" s="387"/>
      <c r="AGO195" s="387"/>
      <c r="AGP195" s="387"/>
      <c r="AGQ195" s="387"/>
      <c r="AGR195" s="387"/>
      <c r="AGS195" s="387"/>
      <c r="AGT195" s="387"/>
      <c r="AGU195" s="387"/>
      <c r="AGV195" s="387"/>
      <c r="AGW195" s="387"/>
      <c r="AGX195" s="387"/>
      <c r="AGY195" s="387"/>
      <c r="AGZ195" s="387"/>
      <c r="AHA195" s="387"/>
      <c r="AHB195" s="387"/>
      <c r="AHC195" s="387"/>
      <c r="AHD195" s="387"/>
      <c r="AHE195" s="387"/>
      <c r="AHF195" s="387"/>
      <c r="AHG195" s="387"/>
      <c r="AHH195" s="387"/>
      <c r="AHI195" s="387"/>
      <c r="AHJ195" s="387"/>
      <c r="AHK195" s="387"/>
      <c r="AHL195" s="387"/>
      <c r="AHM195" s="387"/>
      <c r="AHN195" s="387"/>
      <c r="AHO195" s="387"/>
      <c r="AHP195" s="387"/>
      <c r="AHQ195" s="387"/>
      <c r="AHR195" s="387"/>
      <c r="AHS195" s="387"/>
      <c r="AHT195" s="387"/>
      <c r="AHU195" s="387"/>
      <c r="AHV195" s="387"/>
      <c r="AHW195" s="387"/>
      <c r="AHX195" s="387"/>
      <c r="AHY195" s="387"/>
      <c r="AHZ195" s="387"/>
      <c r="AIA195" s="387"/>
      <c r="AIB195" s="387"/>
      <c r="AIC195" s="387"/>
      <c r="AID195" s="387"/>
      <c r="AIE195" s="387"/>
      <c r="AIF195" s="387"/>
      <c r="AIG195" s="387"/>
      <c r="AIH195" s="387"/>
      <c r="AII195" s="387"/>
      <c r="AIJ195" s="387"/>
      <c r="AIK195" s="387"/>
      <c r="AIL195" s="387"/>
      <c r="AIM195" s="387"/>
      <c r="AIN195" s="387"/>
      <c r="AIO195" s="387"/>
      <c r="AIP195" s="387"/>
      <c r="AIQ195" s="387"/>
      <c r="AIR195" s="387"/>
      <c r="AIS195" s="387"/>
      <c r="AIT195" s="387"/>
      <c r="AIU195" s="387"/>
      <c r="AIV195" s="387"/>
      <c r="AIW195" s="387"/>
      <c r="AIX195" s="387"/>
      <c r="AIY195" s="387"/>
      <c r="AIZ195" s="387"/>
      <c r="AJA195" s="387"/>
      <c r="AJB195" s="387"/>
      <c r="AJC195" s="387"/>
      <c r="AJD195" s="387"/>
      <c r="AJE195" s="387"/>
      <c r="AJF195" s="387"/>
      <c r="AJG195" s="387"/>
      <c r="AJH195" s="387"/>
      <c r="AJI195" s="387"/>
      <c r="AJJ195" s="387"/>
      <c r="AJK195" s="387"/>
      <c r="AJL195" s="387"/>
      <c r="AJM195" s="387"/>
      <c r="AJN195" s="387"/>
      <c r="AJO195" s="387"/>
      <c r="AJP195" s="387"/>
      <c r="AJQ195" s="387"/>
      <c r="AJR195" s="387"/>
      <c r="AJS195" s="387"/>
      <c r="AJT195" s="387"/>
      <c r="AJU195" s="387"/>
      <c r="AJV195" s="387"/>
      <c r="AJW195" s="387"/>
      <c r="AJX195" s="387"/>
      <c r="AJY195" s="387"/>
      <c r="AJZ195" s="387"/>
      <c r="AKA195" s="387"/>
      <c r="AKB195" s="387"/>
      <c r="AKC195" s="387"/>
      <c r="AKD195" s="387"/>
      <c r="AKE195" s="387"/>
      <c r="AKF195" s="387"/>
      <c r="AKG195" s="387"/>
      <c r="AKH195" s="387"/>
      <c r="AKI195" s="387"/>
      <c r="AKJ195" s="387"/>
      <c r="AKK195" s="387"/>
      <c r="AKL195" s="387"/>
      <c r="AKM195" s="387"/>
      <c r="AKN195" s="387"/>
      <c r="AKO195" s="387"/>
      <c r="AKP195" s="387"/>
      <c r="AKQ195" s="387"/>
      <c r="AKR195" s="387"/>
      <c r="AKS195" s="387"/>
      <c r="AKT195" s="387"/>
      <c r="AKU195" s="387"/>
      <c r="AKV195" s="387"/>
      <c r="AKW195" s="387"/>
      <c r="AKX195" s="387"/>
      <c r="AKY195" s="387"/>
      <c r="AKZ195" s="387"/>
      <c r="ALA195" s="387"/>
      <c r="ALB195" s="387"/>
      <c r="ALC195" s="387"/>
      <c r="ALD195" s="387"/>
      <c r="ALE195" s="387"/>
      <c r="ALF195" s="387"/>
      <c r="ALG195" s="387"/>
      <c r="ALH195" s="387"/>
      <c r="ALI195" s="387"/>
      <c r="ALJ195" s="387"/>
      <c r="ALK195" s="387"/>
      <c r="ALL195" s="387"/>
      <c r="ALM195" s="387"/>
      <c r="ALN195" s="387"/>
      <c r="ALO195" s="387"/>
      <c r="ALP195" s="387"/>
      <c r="ALQ195" s="387"/>
      <c r="ALR195" s="387"/>
      <c r="ALS195" s="387"/>
      <c r="ALT195" s="387"/>
      <c r="ALU195" s="387"/>
      <c r="ALV195" s="387"/>
      <c r="ALW195" s="387"/>
      <c r="ALX195" s="387"/>
      <c r="ALY195" s="387"/>
      <c r="ALZ195" s="387"/>
      <c r="AMA195" s="387"/>
      <c r="AMB195" s="387"/>
      <c r="AMC195" s="387"/>
      <c r="AMD195" s="387"/>
      <c r="AME195" s="387"/>
      <c r="AMF195" s="387"/>
      <c r="AMG195" s="387"/>
      <c r="AMH195" s="387"/>
      <c r="AMI195" s="387"/>
      <c r="AMJ195" s="387"/>
      <c r="AMK195" s="387"/>
      <c r="AML195" s="387"/>
      <c r="AMM195" s="387"/>
      <c r="AMN195" s="387"/>
      <c r="AMO195" s="387"/>
      <c r="AMP195" s="387"/>
      <c r="AMQ195" s="387"/>
      <c r="AMR195" s="387"/>
      <c r="AMS195" s="387"/>
      <c r="AMT195" s="387"/>
      <c r="AMU195" s="387"/>
      <c r="AMV195" s="387"/>
      <c r="AMW195" s="387"/>
      <c r="AMX195" s="387"/>
      <c r="AMY195" s="387"/>
      <c r="AMZ195" s="387"/>
      <c r="ANA195" s="387"/>
      <c r="ANB195" s="387"/>
      <c r="ANC195" s="387"/>
      <c r="AND195" s="387"/>
      <c r="ANE195" s="387"/>
      <c r="ANF195" s="387"/>
      <c r="ANG195" s="387"/>
      <c r="ANH195" s="387"/>
      <c r="ANI195" s="387"/>
      <c r="ANJ195" s="387"/>
      <c r="ANK195" s="387"/>
      <c r="ANL195" s="387"/>
      <c r="ANM195" s="387"/>
      <c r="ANN195" s="387"/>
      <c r="ANO195" s="387"/>
      <c r="ANP195" s="387"/>
      <c r="ANQ195" s="387"/>
      <c r="ANR195" s="387"/>
      <c r="ANS195" s="387"/>
      <c r="ANT195" s="387"/>
      <c r="ANU195" s="387"/>
      <c r="ANV195" s="387"/>
      <c r="ANW195" s="387"/>
      <c r="ANX195" s="387"/>
      <c r="ANY195" s="387"/>
      <c r="ANZ195" s="387"/>
      <c r="AOA195" s="387"/>
      <c r="AOB195" s="387"/>
      <c r="AOC195" s="387"/>
      <c r="AOD195" s="387"/>
      <c r="AOE195" s="387"/>
      <c r="AOF195" s="387"/>
      <c r="AOG195" s="387"/>
      <c r="AOH195" s="387"/>
      <c r="AOI195" s="387"/>
      <c r="AOJ195" s="387"/>
      <c r="AOK195" s="387"/>
      <c r="AOL195" s="387"/>
      <c r="AOM195" s="387"/>
      <c r="AON195" s="387"/>
      <c r="AOO195" s="387"/>
      <c r="AOP195" s="387"/>
      <c r="AOQ195" s="387"/>
      <c r="AOR195" s="387"/>
      <c r="AOS195" s="387"/>
      <c r="AOT195" s="387"/>
      <c r="AOU195" s="387"/>
      <c r="AOV195" s="387"/>
      <c r="AOW195" s="387"/>
      <c r="AOX195" s="387"/>
      <c r="AOY195" s="387"/>
      <c r="AOZ195" s="387"/>
      <c r="APA195" s="387"/>
      <c r="APB195" s="387"/>
      <c r="APC195" s="387"/>
      <c r="APD195" s="387"/>
      <c r="APE195" s="387"/>
      <c r="APF195" s="387"/>
      <c r="APG195" s="387"/>
      <c r="APH195" s="387"/>
      <c r="API195" s="387"/>
      <c r="APJ195" s="387"/>
      <c r="APK195" s="387"/>
      <c r="APL195" s="387"/>
      <c r="APM195" s="387"/>
      <c r="APN195" s="387"/>
      <c r="APO195" s="387"/>
      <c r="APP195" s="387"/>
      <c r="APQ195" s="387"/>
      <c r="APR195" s="387"/>
      <c r="APS195" s="387"/>
      <c r="APT195" s="387"/>
      <c r="APU195" s="387"/>
      <c r="APV195" s="387"/>
      <c r="APW195" s="387"/>
      <c r="APX195" s="387"/>
      <c r="APY195" s="387"/>
      <c r="APZ195" s="387"/>
      <c r="AQA195" s="387"/>
      <c r="AQB195" s="387"/>
      <c r="AQC195" s="387"/>
      <c r="AQD195" s="387"/>
      <c r="AQE195" s="387"/>
      <c r="AQF195" s="387"/>
      <c r="AQG195" s="387"/>
      <c r="AQH195" s="387"/>
      <c r="AQI195" s="387"/>
      <c r="AQJ195" s="387"/>
      <c r="AQK195" s="387"/>
      <c r="AQL195" s="387"/>
      <c r="AQM195" s="387"/>
      <c r="AQN195" s="387"/>
      <c r="AQO195" s="387"/>
      <c r="AQP195" s="387"/>
      <c r="AQQ195" s="387"/>
      <c r="AQR195" s="387"/>
      <c r="AQS195" s="387"/>
      <c r="AQT195" s="387"/>
      <c r="AQU195" s="387"/>
      <c r="AQV195" s="387"/>
      <c r="AQW195" s="387"/>
      <c r="AQX195" s="387"/>
      <c r="AQY195" s="387"/>
      <c r="AQZ195" s="387"/>
      <c r="ARA195" s="387"/>
      <c r="ARB195" s="387"/>
      <c r="ARC195" s="387"/>
      <c r="ARD195" s="387"/>
      <c r="ARE195" s="387"/>
      <c r="ARF195" s="387"/>
      <c r="ARG195" s="387"/>
      <c r="ARH195" s="387"/>
      <c r="ARI195" s="387"/>
      <c r="ARJ195" s="387"/>
      <c r="ARK195" s="387"/>
      <c r="ARL195" s="387"/>
      <c r="ARM195" s="387"/>
      <c r="ARN195" s="387"/>
      <c r="ARO195" s="387"/>
      <c r="ARP195" s="387"/>
      <c r="ARQ195" s="387"/>
      <c r="ARR195" s="387"/>
      <c r="ARS195" s="387"/>
      <c r="ART195" s="387"/>
      <c r="ARU195" s="387"/>
      <c r="ARV195" s="387"/>
      <c r="ARW195" s="387"/>
      <c r="ARX195" s="387"/>
      <c r="ARY195" s="387"/>
      <c r="ARZ195" s="387"/>
      <c r="ASA195" s="387"/>
      <c r="ASB195" s="387"/>
      <c r="ASC195" s="387"/>
      <c r="ASD195" s="387"/>
      <c r="ASE195" s="387"/>
      <c r="ASF195" s="387"/>
      <c r="ASG195" s="387"/>
      <c r="ASH195" s="387"/>
      <c r="ASI195" s="387"/>
      <c r="ASJ195" s="387"/>
      <c r="ASK195" s="387"/>
      <c r="ASL195" s="387"/>
      <c r="ASM195" s="387"/>
      <c r="ASN195" s="387"/>
      <c r="ASO195" s="387"/>
      <c r="ASP195" s="387"/>
      <c r="ASQ195" s="387"/>
      <c r="ASR195" s="387"/>
      <c r="ASS195" s="387"/>
      <c r="AST195" s="387"/>
      <c r="ASU195" s="387"/>
      <c r="ASV195" s="387"/>
      <c r="ASW195" s="387"/>
      <c r="ASX195" s="387"/>
      <c r="ASY195" s="387"/>
      <c r="ASZ195" s="387"/>
      <c r="ATA195" s="387"/>
      <c r="ATB195" s="387"/>
      <c r="ATC195" s="387"/>
      <c r="ATD195" s="387"/>
      <c r="ATE195" s="387"/>
      <c r="ATF195" s="387"/>
      <c r="ATG195" s="387"/>
      <c r="ATH195" s="387"/>
      <c r="ATI195" s="387"/>
      <c r="ATJ195" s="387"/>
      <c r="ATK195" s="387"/>
      <c r="ATL195" s="387"/>
      <c r="ATM195" s="387"/>
      <c r="ATN195" s="387"/>
      <c r="ATO195" s="387"/>
      <c r="ATP195" s="387"/>
      <c r="ATQ195" s="387"/>
      <c r="ATR195" s="387"/>
      <c r="ATS195" s="387"/>
      <c r="ATT195" s="387"/>
      <c r="ATU195" s="387"/>
      <c r="ATV195" s="387"/>
      <c r="ATW195" s="387"/>
      <c r="ATX195" s="387"/>
      <c r="ATY195" s="387"/>
      <c r="ATZ195" s="387"/>
      <c r="AUA195" s="387"/>
      <c r="AUB195" s="387"/>
      <c r="AUC195" s="387"/>
      <c r="AUD195" s="387"/>
      <c r="AUE195" s="387"/>
      <c r="AUF195" s="387"/>
      <c r="AUG195" s="387"/>
      <c r="AUH195" s="387"/>
      <c r="AUI195" s="387"/>
      <c r="AUJ195" s="387"/>
      <c r="AUK195" s="387"/>
      <c r="AUL195" s="387"/>
      <c r="AUM195" s="387"/>
      <c r="AUN195" s="387"/>
      <c r="AUO195" s="387"/>
      <c r="AUP195" s="387"/>
      <c r="AUQ195" s="387"/>
      <c r="AUR195" s="387"/>
      <c r="AUS195" s="387"/>
      <c r="AUT195" s="387"/>
      <c r="AUU195" s="387"/>
      <c r="AUV195" s="387"/>
      <c r="AUW195" s="387"/>
      <c r="AUX195" s="387"/>
      <c r="AUY195" s="387"/>
      <c r="AUZ195" s="387"/>
      <c r="AVA195" s="387"/>
      <c r="AVB195" s="387"/>
      <c r="AVC195" s="387"/>
      <c r="AVD195" s="387"/>
      <c r="AVE195" s="387"/>
      <c r="AVF195" s="387"/>
      <c r="AVG195" s="387"/>
      <c r="AVH195" s="387"/>
      <c r="AVI195" s="387"/>
      <c r="AVJ195" s="387"/>
      <c r="AVK195" s="387"/>
      <c r="AVL195" s="387"/>
      <c r="AVM195" s="387"/>
      <c r="AVN195" s="387"/>
      <c r="AVO195" s="387"/>
      <c r="AVP195" s="387"/>
      <c r="AVQ195" s="387"/>
      <c r="AVR195" s="387"/>
      <c r="AVS195" s="387"/>
      <c r="AVT195" s="387"/>
      <c r="AVU195" s="387"/>
      <c r="AVV195" s="387"/>
      <c r="AVW195" s="387"/>
      <c r="AVX195" s="387"/>
      <c r="AVY195" s="387"/>
      <c r="AVZ195" s="387"/>
      <c r="AWA195" s="387"/>
      <c r="AWB195" s="387"/>
      <c r="AWC195" s="387"/>
      <c r="AWD195" s="387"/>
      <c r="AWE195" s="387"/>
      <c r="AWF195" s="387"/>
      <c r="AWG195" s="387"/>
      <c r="AWH195" s="387"/>
      <c r="AWI195" s="387"/>
      <c r="AWJ195" s="387"/>
      <c r="AWK195" s="387"/>
      <c r="AWL195" s="387"/>
      <c r="AWM195" s="387"/>
      <c r="AWN195" s="387"/>
      <c r="AWO195" s="387"/>
      <c r="AWP195" s="387"/>
      <c r="AWQ195" s="387"/>
      <c r="AWR195" s="387"/>
      <c r="AWS195" s="387"/>
      <c r="AWT195" s="387"/>
      <c r="AWU195" s="387"/>
      <c r="AWV195" s="387"/>
      <c r="AWW195" s="387"/>
      <c r="AWX195" s="387"/>
      <c r="AWY195" s="387"/>
      <c r="AWZ195" s="387"/>
      <c r="AXA195" s="387"/>
      <c r="AXB195" s="387"/>
      <c r="AXC195" s="387"/>
      <c r="AXD195" s="387"/>
      <c r="AXE195" s="387"/>
      <c r="AXF195" s="387"/>
      <c r="AXG195" s="387"/>
      <c r="AXH195" s="387"/>
      <c r="AXI195" s="387"/>
      <c r="AXJ195" s="387"/>
      <c r="AXK195" s="387"/>
      <c r="AXL195" s="387"/>
      <c r="AXM195" s="387"/>
      <c r="AXN195" s="387"/>
      <c r="AXO195" s="387"/>
      <c r="AXP195" s="387"/>
      <c r="AXQ195" s="387"/>
      <c r="AXR195" s="387"/>
      <c r="AXS195" s="387"/>
      <c r="AXT195" s="387"/>
      <c r="AXU195" s="387"/>
      <c r="AXV195" s="387"/>
      <c r="AXW195" s="387"/>
      <c r="AXX195" s="387"/>
      <c r="AXY195" s="387"/>
      <c r="AXZ195" s="387"/>
      <c r="AYA195" s="387"/>
      <c r="AYB195" s="387"/>
      <c r="AYC195" s="387"/>
      <c r="AYD195" s="387"/>
      <c r="AYE195" s="387"/>
      <c r="AYF195" s="387"/>
      <c r="AYG195" s="387"/>
      <c r="AYH195" s="387"/>
      <c r="AYI195" s="387"/>
      <c r="AYJ195" s="387"/>
      <c r="AYK195" s="387"/>
      <c r="AYL195" s="387"/>
      <c r="AYM195" s="387"/>
      <c r="AYN195" s="387"/>
      <c r="AYO195" s="387"/>
      <c r="AYP195" s="387"/>
      <c r="AYQ195" s="387"/>
      <c r="AYR195" s="387"/>
      <c r="AYS195" s="387"/>
      <c r="AYT195" s="387"/>
      <c r="AYU195" s="387"/>
      <c r="AYV195" s="387"/>
      <c r="AYW195" s="387"/>
      <c r="AYX195" s="387"/>
      <c r="AYY195" s="387"/>
      <c r="AYZ195" s="387"/>
      <c r="AZA195" s="387"/>
      <c r="AZB195" s="387"/>
      <c r="AZC195" s="387"/>
      <c r="AZD195" s="387"/>
      <c r="AZE195" s="387"/>
      <c r="AZF195" s="387"/>
      <c r="AZG195" s="387"/>
      <c r="AZH195" s="387"/>
      <c r="AZI195" s="387"/>
      <c r="AZJ195" s="387"/>
      <c r="AZK195" s="387"/>
      <c r="AZL195" s="387"/>
      <c r="AZM195" s="387"/>
      <c r="AZN195" s="387"/>
      <c r="AZO195" s="387"/>
      <c r="AZP195" s="387"/>
      <c r="AZQ195" s="387"/>
      <c r="AZR195" s="387"/>
      <c r="AZS195" s="387"/>
      <c r="AZT195" s="387"/>
      <c r="AZU195" s="387"/>
      <c r="AZV195" s="387"/>
      <c r="AZW195" s="387"/>
      <c r="AZX195" s="387"/>
      <c r="AZY195" s="387"/>
      <c r="AZZ195" s="387"/>
      <c r="BAA195" s="387"/>
      <c r="BAB195" s="387"/>
      <c r="BAC195" s="387"/>
      <c r="BAD195" s="387"/>
      <c r="BAE195" s="387"/>
      <c r="BAF195" s="387"/>
      <c r="BAG195" s="387"/>
      <c r="BAH195" s="387"/>
      <c r="BAI195" s="387"/>
      <c r="BAJ195" s="387"/>
      <c r="BAK195" s="387"/>
      <c r="BAL195" s="387"/>
      <c r="BAM195" s="387"/>
      <c r="BAN195" s="387"/>
      <c r="BAO195" s="387"/>
      <c r="BAP195" s="387"/>
      <c r="BAQ195" s="387"/>
      <c r="BAR195" s="387"/>
      <c r="BAS195" s="387"/>
      <c r="BAT195" s="387"/>
      <c r="BAU195" s="387"/>
      <c r="BAV195" s="387"/>
      <c r="BAW195" s="387"/>
      <c r="BAX195" s="387"/>
      <c r="BAY195" s="387"/>
      <c r="BAZ195" s="387"/>
      <c r="BBA195" s="387"/>
      <c r="BBB195" s="387"/>
      <c r="BBC195" s="387"/>
      <c r="BBD195" s="387"/>
      <c r="BBE195" s="387"/>
      <c r="BBF195" s="387"/>
      <c r="BBG195" s="387"/>
      <c r="BBH195" s="387"/>
      <c r="BBI195" s="387"/>
      <c r="BBJ195" s="387"/>
      <c r="BBK195" s="387"/>
      <c r="BBL195" s="387"/>
      <c r="BBM195" s="387"/>
      <c r="BBN195" s="387"/>
      <c r="BBO195" s="387"/>
      <c r="BBP195" s="387"/>
      <c r="BBQ195" s="387"/>
      <c r="BBR195" s="387"/>
      <c r="BBS195" s="387"/>
      <c r="BBT195" s="387"/>
      <c r="BBU195" s="387"/>
      <c r="BBV195" s="387"/>
      <c r="BBW195" s="387"/>
      <c r="BBX195" s="387"/>
      <c r="BBY195" s="387"/>
      <c r="BBZ195" s="387"/>
      <c r="BCA195" s="387"/>
      <c r="BCB195" s="387"/>
      <c r="BCC195" s="387"/>
      <c r="BCD195" s="387"/>
      <c r="BCE195" s="387"/>
      <c r="BCF195" s="387"/>
      <c r="BCG195" s="387"/>
      <c r="BCH195" s="387"/>
      <c r="BCI195" s="387"/>
      <c r="BCJ195" s="387"/>
      <c r="BCK195" s="387"/>
      <c r="BCL195" s="387"/>
      <c r="BCM195" s="387"/>
      <c r="BCN195" s="387"/>
      <c r="BCO195" s="387"/>
      <c r="BCP195" s="387"/>
      <c r="BCQ195" s="387"/>
      <c r="BCR195" s="387"/>
      <c r="BCS195" s="387"/>
      <c r="BCT195" s="387"/>
      <c r="BCU195" s="387"/>
      <c r="BCV195" s="387"/>
      <c r="BCW195" s="387"/>
      <c r="BCX195" s="387"/>
      <c r="BCY195" s="387"/>
      <c r="BCZ195" s="387"/>
      <c r="BDA195" s="387"/>
      <c r="BDB195" s="387"/>
      <c r="BDC195" s="387"/>
      <c r="BDD195" s="387"/>
      <c r="BDE195" s="387"/>
      <c r="BDF195" s="387"/>
      <c r="BDG195" s="387"/>
      <c r="BDH195" s="387"/>
      <c r="BDI195" s="387"/>
      <c r="BDJ195" s="387"/>
      <c r="BDK195" s="387"/>
      <c r="BDL195" s="387"/>
      <c r="BDM195" s="387"/>
      <c r="BDN195" s="387"/>
      <c r="BDO195" s="387"/>
      <c r="BDP195" s="387"/>
      <c r="BDQ195" s="387"/>
      <c r="BDR195" s="387"/>
      <c r="BDS195" s="387"/>
      <c r="BDT195" s="387"/>
      <c r="BDU195" s="387"/>
      <c r="BDV195" s="387"/>
      <c r="BDW195" s="387"/>
      <c r="BDX195" s="387"/>
      <c r="BDY195" s="387"/>
      <c r="BDZ195" s="387"/>
      <c r="BEA195" s="387"/>
      <c r="BEB195" s="387"/>
      <c r="BEC195" s="387"/>
      <c r="BED195" s="387"/>
      <c r="BEE195" s="387"/>
      <c r="BEF195" s="387"/>
      <c r="BEG195" s="387"/>
      <c r="BEH195" s="387"/>
      <c r="BEI195" s="387"/>
      <c r="BEJ195" s="387"/>
      <c r="BEK195" s="387"/>
      <c r="BEL195" s="387"/>
      <c r="BEM195" s="387"/>
      <c r="BEN195" s="387"/>
      <c r="BEO195" s="387"/>
      <c r="BEP195" s="387"/>
      <c r="BEQ195" s="387"/>
      <c r="BER195" s="387"/>
      <c r="BES195" s="387"/>
      <c r="BET195" s="387"/>
      <c r="BEU195" s="387"/>
      <c r="BEV195" s="387"/>
      <c r="BEW195" s="387"/>
      <c r="BEX195" s="387"/>
      <c r="BEY195" s="387"/>
      <c r="BEZ195" s="387"/>
      <c r="BFA195" s="387"/>
      <c r="BFB195" s="387"/>
      <c r="BFC195" s="387"/>
      <c r="BFD195" s="387"/>
      <c r="BFE195" s="387"/>
      <c r="BFF195" s="387"/>
      <c r="BFG195" s="387"/>
      <c r="BFH195" s="387"/>
      <c r="BFI195" s="387"/>
      <c r="BFJ195" s="387"/>
      <c r="BFK195" s="387"/>
      <c r="BFL195" s="387"/>
      <c r="BFM195" s="387"/>
      <c r="BFN195" s="387"/>
      <c r="BFO195" s="387"/>
      <c r="BFP195" s="387"/>
      <c r="BFQ195" s="387"/>
      <c r="BFR195" s="387"/>
      <c r="BFS195" s="387"/>
      <c r="BFT195" s="387"/>
      <c r="BFU195" s="387"/>
      <c r="BFV195" s="387"/>
      <c r="BFW195" s="387"/>
      <c r="BFX195" s="387"/>
      <c r="BFY195" s="387"/>
      <c r="BFZ195" s="387"/>
      <c r="BGA195" s="387"/>
      <c r="BGB195" s="387"/>
      <c r="BGC195" s="387"/>
      <c r="BGD195" s="387"/>
      <c r="BGE195" s="387"/>
      <c r="BGF195" s="387"/>
      <c r="BGG195" s="387"/>
      <c r="BGH195" s="387"/>
      <c r="BGI195" s="387"/>
      <c r="BGJ195" s="387"/>
      <c r="BGK195" s="387"/>
      <c r="BGL195" s="387"/>
      <c r="BGM195" s="387"/>
      <c r="BGN195" s="387"/>
      <c r="BGO195" s="387"/>
      <c r="BGP195" s="387"/>
      <c r="BGQ195" s="387"/>
      <c r="BGR195" s="387"/>
      <c r="BGS195" s="387"/>
      <c r="BGT195" s="387"/>
      <c r="BGU195" s="387"/>
      <c r="BGV195" s="387"/>
      <c r="BGW195" s="387"/>
      <c r="BGX195" s="387"/>
      <c r="BGY195" s="387"/>
      <c r="BGZ195" s="387"/>
      <c r="BHA195" s="387"/>
      <c r="BHB195" s="387"/>
      <c r="BHC195" s="387"/>
      <c r="BHD195" s="387"/>
      <c r="BHE195" s="387"/>
      <c r="BHF195" s="387"/>
      <c r="BHG195" s="387"/>
      <c r="BHH195" s="387"/>
      <c r="BHI195" s="387"/>
      <c r="BHJ195" s="387"/>
      <c r="BHK195" s="387"/>
      <c r="BHL195" s="387"/>
      <c r="BHM195" s="387"/>
      <c r="BHN195" s="387"/>
      <c r="BHO195" s="387"/>
      <c r="BHP195" s="387"/>
      <c r="BHQ195" s="387"/>
      <c r="BHR195" s="387"/>
      <c r="BHS195" s="387"/>
      <c r="BHT195" s="387"/>
      <c r="BHU195" s="387"/>
      <c r="BHV195" s="387"/>
      <c r="BHW195" s="387"/>
      <c r="BHX195" s="387"/>
      <c r="BHY195" s="387"/>
      <c r="BHZ195" s="387"/>
      <c r="BIA195" s="387"/>
      <c r="BIB195" s="387"/>
      <c r="BIC195" s="387"/>
      <c r="BID195" s="387"/>
      <c r="BIE195" s="387"/>
      <c r="BIF195" s="387"/>
      <c r="BIG195" s="387"/>
      <c r="BIH195" s="387"/>
      <c r="BII195" s="387"/>
      <c r="BIJ195" s="387"/>
      <c r="BIK195" s="387"/>
      <c r="BIL195" s="387"/>
      <c r="BIM195" s="387"/>
      <c r="BIN195" s="387"/>
      <c r="BIO195" s="387"/>
      <c r="BIP195" s="387"/>
      <c r="BIQ195" s="387"/>
      <c r="BIR195" s="387"/>
      <c r="BIS195" s="387"/>
      <c r="BIT195" s="387"/>
      <c r="BIU195" s="387"/>
      <c r="BIV195" s="387"/>
      <c r="BIW195" s="387"/>
      <c r="BIX195" s="387"/>
      <c r="BIY195" s="387"/>
      <c r="BIZ195" s="387"/>
      <c r="BJA195" s="387"/>
      <c r="BJB195" s="387"/>
      <c r="BJC195" s="387"/>
      <c r="BJD195" s="387"/>
      <c r="BJE195" s="387"/>
      <c r="BJF195" s="387"/>
      <c r="BJG195" s="387"/>
      <c r="BJH195" s="387"/>
      <c r="BJI195" s="387"/>
      <c r="BJJ195" s="387"/>
      <c r="BJK195" s="387"/>
      <c r="BJL195" s="387"/>
      <c r="BJM195" s="387"/>
      <c r="BJN195" s="387"/>
      <c r="BJO195" s="387"/>
      <c r="BJP195" s="387"/>
      <c r="BJQ195" s="387"/>
      <c r="BJR195" s="387"/>
      <c r="BJS195" s="387"/>
      <c r="BJT195" s="387"/>
      <c r="BJU195" s="387"/>
      <c r="BJV195" s="387"/>
      <c r="BJW195" s="387"/>
      <c r="BJX195" s="387"/>
      <c r="BJY195" s="387"/>
      <c r="BJZ195" s="387"/>
      <c r="BKA195" s="387"/>
      <c r="BKB195" s="387"/>
      <c r="BKC195" s="387"/>
      <c r="BKD195" s="387"/>
      <c r="BKE195" s="387"/>
      <c r="BKF195" s="387"/>
      <c r="BKG195" s="387"/>
      <c r="BKH195" s="387"/>
      <c r="BKI195" s="387"/>
      <c r="BKJ195" s="387"/>
      <c r="BKK195" s="387"/>
      <c r="BKL195" s="387"/>
      <c r="BKM195" s="387"/>
      <c r="BKN195" s="387"/>
      <c r="BKO195" s="387"/>
      <c r="BKP195" s="387"/>
      <c r="BKQ195" s="387"/>
      <c r="BKR195" s="387"/>
      <c r="BKS195" s="387"/>
      <c r="BKT195" s="387"/>
      <c r="BKU195" s="387"/>
      <c r="BKV195" s="387"/>
      <c r="BKW195" s="387"/>
      <c r="BKX195" s="387"/>
      <c r="BKY195" s="387"/>
      <c r="BKZ195" s="387"/>
      <c r="BLA195" s="387"/>
      <c r="BLB195" s="387"/>
      <c r="BLC195" s="387"/>
      <c r="BLD195" s="387"/>
      <c r="BLE195" s="387"/>
      <c r="BLF195" s="387"/>
      <c r="BLG195" s="387"/>
      <c r="BLH195" s="387"/>
      <c r="BLI195" s="387"/>
      <c r="BLJ195" s="387"/>
      <c r="BLK195" s="387"/>
      <c r="BLL195" s="387"/>
      <c r="BLM195" s="387"/>
      <c r="BLN195" s="387"/>
      <c r="BLO195" s="387"/>
      <c r="BLP195" s="387"/>
      <c r="BLQ195" s="387"/>
      <c r="BLR195" s="387"/>
      <c r="BLS195" s="387"/>
      <c r="BLT195" s="387"/>
      <c r="BLU195" s="387"/>
      <c r="BLV195" s="387"/>
      <c r="BLW195" s="387"/>
      <c r="BLX195" s="387"/>
      <c r="BLY195" s="387"/>
      <c r="BLZ195" s="387"/>
      <c r="BMA195" s="387"/>
      <c r="BMB195" s="387"/>
      <c r="BMC195" s="387"/>
      <c r="BMD195" s="387"/>
      <c r="BME195" s="387"/>
      <c r="BMF195" s="387"/>
      <c r="BMG195" s="387"/>
      <c r="BMH195" s="387"/>
      <c r="BMI195" s="387"/>
      <c r="BMJ195" s="387"/>
      <c r="BMK195" s="387"/>
      <c r="BML195" s="387"/>
      <c r="BMM195" s="387"/>
      <c r="BMN195" s="387"/>
      <c r="BMO195" s="387"/>
      <c r="BMP195" s="387"/>
      <c r="BMQ195" s="387"/>
      <c r="BMR195" s="387"/>
      <c r="BMS195" s="387"/>
      <c r="BMT195" s="387"/>
      <c r="BMU195" s="387"/>
      <c r="BMV195" s="387"/>
      <c r="BMW195" s="387"/>
      <c r="BMX195" s="387"/>
      <c r="BMY195" s="387"/>
      <c r="BMZ195" s="387"/>
      <c r="BNA195" s="387"/>
      <c r="BNB195" s="387"/>
      <c r="BNC195" s="387"/>
      <c r="BND195" s="387"/>
      <c r="BNE195" s="387"/>
      <c r="BNF195" s="387"/>
      <c r="BNG195" s="387"/>
      <c r="BNH195" s="387"/>
      <c r="BNI195" s="387"/>
      <c r="BNJ195" s="387"/>
      <c r="BNK195" s="387"/>
      <c r="BNL195" s="387"/>
      <c r="BNM195" s="387"/>
      <c r="BNN195" s="387"/>
      <c r="BNO195" s="387"/>
      <c r="BNP195" s="387"/>
      <c r="BNQ195" s="387"/>
      <c r="BNR195" s="387"/>
      <c r="BNS195" s="387"/>
      <c r="BNT195" s="387"/>
      <c r="BNU195" s="387"/>
      <c r="BNV195" s="387"/>
      <c r="BNW195" s="387"/>
      <c r="BNX195" s="387"/>
      <c r="BNY195" s="387"/>
      <c r="BNZ195" s="387"/>
      <c r="BOA195" s="387"/>
      <c r="BOB195" s="387"/>
      <c r="BOC195" s="387"/>
      <c r="BOD195" s="387"/>
      <c r="BOE195" s="387"/>
      <c r="BOF195" s="387"/>
      <c r="BOG195" s="387"/>
      <c r="BOH195" s="387"/>
      <c r="BOI195" s="387"/>
      <c r="BOJ195" s="387"/>
      <c r="BOK195" s="387"/>
      <c r="BOL195" s="387"/>
      <c r="BOM195" s="387"/>
      <c r="BON195" s="387"/>
      <c r="BOO195" s="387"/>
      <c r="BOP195" s="387"/>
      <c r="BOQ195" s="387"/>
      <c r="BOR195" s="387"/>
      <c r="BOS195" s="387"/>
      <c r="BOT195" s="387"/>
      <c r="BOU195" s="387"/>
      <c r="BOV195" s="387"/>
      <c r="BOW195" s="387"/>
      <c r="BOX195" s="387"/>
      <c r="BOY195" s="387"/>
      <c r="BOZ195" s="387"/>
      <c r="BPA195" s="387"/>
      <c r="BPB195" s="387"/>
      <c r="BPC195" s="387"/>
      <c r="BPD195" s="387"/>
      <c r="BPE195" s="387"/>
      <c r="BPF195" s="387"/>
      <c r="BPG195" s="387"/>
      <c r="BPH195" s="387"/>
      <c r="BPI195" s="387"/>
      <c r="BPJ195" s="387"/>
      <c r="BPK195" s="387"/>
      <c r="BPL195" s="387"/>
      <c r="BPM195" s="387"/>
      <c r="BPN195" s="387"/>
      <c r="BPO195" s="387"/>
      <c r="BPP195" s="387"/>
      <c r="BPQ195" s="387"/>
      <c r="BPR195" s="387"/>
      <c r="BPS195" s="387"/>
      <c r="BPT195" s="387"/>
      <c r="BPU195" s="387"/>
      <c r="BPV195" s="387"/>
      <c r="BPW195" s="387"/>
      <c r="BPX195" s="387"/>
      <c r="BPY195" s="387"/>
      <c r="BPZ195" s="387"/>
      <c r="BQA195" s="387"/>
      <c r="BQB195" s="387"/>
      <c r="BQC195" s="387"/>
      <c r="BQD195" s="387"/>
      <c r="BQE195" s="387"/>
      <c r="BQF195" s="387"/>
      <c r="BQG195" s="387"/>
      <c r="BQH195" s="387"/>
      <c r="BQI195" s="387"/>
      <c r="BQJ195" s="387"/>
      <c r="BQK195" s="387"/>
      <c r="BQL195" s="387"/>
      <c r="BQM195" s="387"/>
      <c r="BQN195" s="387"/>
      <c r="BQO195" s="387"/>
      <c r="BQP195" s="387"/>
      <c r="BQQ195" s="387"/>
      <c r="BQR195" s="387"/>
      <c r="BQS195" s="387"/>
      <c r="BQT195" s="387"/>
      <c r="BQU195" s="387"/>
      <c r="BQV195" s="387"/>
      <c r="BQW195" s="387"/>
      <c r="BQX195" s="387"/>
      <c r="BQY195" s="387"/>
      <c r="BQZ195" s="387"/>
      <c r="BRA195" s="387"/>
      <c r="BRB195" s="387"/>
      <c r="BRC195" s="387"/>
      <c r="BRD195" s="387"/>
      <c r="BRE195" s="387"/>
      <c r="BRF195" s="387"/>
      <c r="BRG195" s="387"/>
      <c r="BRH195" s="387"/>
      <c r="BRI195" s="387"/>
      <c r="BRJ195" s="387"/>
      <c r="BRK195" s="387"/>
      <c r="BRL195" s="387"/>
      <c r="BRM195" s="387"/>
      <c r="BRN195" s="387"/>
      <c r="BRO195" s="387"/>
      <c r="BRP195" s="387"/>
      <c r="BRQ195" s="387"/>
      <c r="BRR195" s="387"/>
      <c r="BRS195" s="387"/>
      <c r="BRT195" s="387"/>
      <c r="BRU195" s="387"/>
      <c r="BRV195" s="387"/>
      <c r="BRW195" s="387"/>
      <c r="BRX195" s="387"/>
      <c r="BRY195" s="387"/>
      <c r="BRZ195" s="387"/>
      <c r="BSA195" s="387"/>
      <c r="BSB195" s="387"/>
      <c r="BSC195" s="387"/>
      <c r="BSD195" s="387"/>
      <c r="BSE195" s="387"/>
      <c r="BSF195" s="387"/>
      <c r="BSG195" s="387"/>
      <c r="BSH195" s="387"/>
      <c r="BSI195" s="387"/>
      <c r="BSJ195" s="387"/>
      <c r="BSK195" s="387"/>
      <c r="BSL195" s="387"/>
      <c r="BSM195" s="387"/>
      <c r="BSN195" s="387"/>
      <c r="BSO195" s="387"/>
      <c r="BSP195" s="387"/>
      <c r="BSQ195" s="387"/>
      <c r="BSR195" s="387"/>
      <c r="BSS195" s="387"/>
      <c r="BST195" s="387"/>
      <c r="BSU195" s="387"/>
      <c r="BSV195" s="387"/>
      <c r="BSW195" s="387"/>
      <c r="BSX195" s="387"/>
      <c r="BSY195" s="387"/>
      <c r="BSZ195" s="387"/>
      <c r="BTA195" s="387"/>
      <c r="BTB195" s="387"/>
      <c r="BTC195" s="387"/>
      <c r="BTD195" s="387"/>
      <c r="BTE195" s="387"/>
      <c r="BTF195" s="387"/>
      <c r="BTG195" s="387"/>
      <c r="BTH195" s="387"/>
      <c r="BTI195" s="387"/>
    </row>
    <row r="196" spans="1:1881" s="4" customFormat="1" ht="237" customHeight="1" x14ac:dyDescent="0.25">
      <c r="A196" s="186">
        <v>337</v>
      </c>
      <c r="B196" s="62" t="s">
        <v>79</v>
      </c>
      <c r="C196" s="157" t="s">
        <v>634</v>
      </c>
      <c r="D196" s="163" t="s">
        <v>533</v>
      </c>
      <c r="E196" s="683" t="e">
        <f>HLOOKUP('Unit Data from Audit Worksheet'!$D$2,'2019 Data(H)'!$D$1:$BB$202,66,FALSE)</f>
        <v>#N/A</v>
      </c>
      <c r="F196" s="560"/>
      <c r="G196" s="552">
        <f>IF(F196&lt;0,"Error: Enter as positive.",)</f>
        <v>0</v>
      </c>
      <c r="H196" s="14"/>
      <c r="I196" s="31"/>
      <c r="J196" s="387"/>
      <c r="K196" s="387"/>
      <c r="L196" s="387"/>
      <c r="M196" s="387"/>
      <c r="N196"/>
      <c r="O196" s="387"/>
      <c r="P196" s="387"/>
      <c r="Q196" s="387"/>
      <c r="R196"/>
      <c r="S196" s="682"/>
      <c r="T196" s="387"/>
      <c r="U196" s="387"/>
      <c r="V196" s="387"/>
      <c r="W196" s="387"/>
      <c r="X196" s="682"/>
      <c r="Y196" s="387"/>
      <c r="Z196" s="387"/>
      <c r="AA196" s="387"/>
      <c r="AB196" s="387"/>
      <c r="AC196" s="387"/>
      <c r="AD196" s="387"/>
      <c r="AE196" s="387"/>
      <c r="AF196" s="387"/>
      <c r="AG196" s="387"/>
      <c r="AH196" s="387"/>
      <c r="AI196" s="387"/>
      <c r="AJ196" s="387"/>
      <c r="AK196" s="387"/>
      <c r="AL196" s="387"/>
      <c r="AM196" s="387"/>
      <c r="AN196" s="387"/>
      <c r="AO196" s="387"/>
      <c r="AP196" s="387"/>
      <c r="AQ196" s="387"/>
      <c r="AR196" s="387"/>
      <c r="AS196" s="387"/>
      <c r="AT196" s="387"/>
      <c r="AU196" s="387"/>
      <c r="AV196" s="387"/>
      <c r="AW196" s="387"/>
      <c r="AX196" s="387"/>
      <c r="AY196" s="387"/>
      <c r="AZ196" s="387"/>
      <c r="BA196" s="387"/>
      <c r="BB196" s="387"/>
      <c r="BC196" s="387"/>
      <c r="BD196" s="387"/>
      <c r="BE196" s="387"/>
      <c r="BF196" s="387"/>
      <c r="BG196" s="387"/>
      <c r="BH196" s="387"/>
      <c r="BI196" s="387"/>
      <c r="BJ196" s="387"/>
      <c r="BK196" s="387"/>
      <c r="BL196" s="387"/>
      <c r="BM196" s="387"/>
      <c r="BN196" s="387"/>
      <c r="BO196" s="387"/>
      <c r="BP196" s="387"/>
      <c r="BQ196" s="387"/>
      <c r="BR196" s="387"/>
      <c r="BS196" s="387"/>
      <c r="BT196" s="387"/>
      <c r="BU196" s="387"/>
      <c r="BV196" s="387"/>
      <c r="BW196" s="387"/>
      <c r="BX196" s="387"/>
      <c r="BY196" s="387"/>
      <c r="BZ196" s="387"/>
      <c r="CA196" s="387"/>
      <c r="CB196" s="387"/>
      <c r="CC196" s="387"/>
      <c r="CD196" s="387"/>
      <c r="CE196" s="387"/>
      <c r="CF196" s="387"/>
      <c r="CG196" s="387"/>
      <c r="CH196" s="387"/>
      <c r="CI196" s="387"/>
      <c r="CJ196" s="387"/>
      <c r="CK196" s="387"/>
      <c r="CL196" s="387"/>
      <c r="CM196" s="387"/>
      <c r="CN196" s="387"/>
      <c r="CO196" s="387"/>
      <c r="CP196" s="387"/>
      <c r="CQ196" s="387"/>
      <c r="CR196" s="387"/>
      <c r="CS196" s="387"/>
      <c r="CT196" s="387"/>
      <c r="CU196" s="387"/>
      <c r="CV196" s="387"/>
      <c r="CW196" s="387"/>
      <c r="CX196" s="387"/>
      <c r="CY196" s="387"/>
      <c r="CZ196" s="387"/>
      <c r="DA196" s="387"/>
      <c r="DB196" s="387"/>
      <c r="DC196" s="387"/>
      <c r="DD196" s="387"/>
      <c r="DE196" s="387"/>
      <c r="DF196" s="387"/>
      <c r="DG196" s="387"/>
      <c r="DH196" s="387"/>
      <c r="DI196" s="387"/>
      <c r="DJ196" s="387"/>
      <c r="DK196" s="387"/>
      <c r="DL196" s="387"/>
      <c r="DM196" s="387"/>
      <c r="DN196" s="387"/>
      <c r="DO196" s="387"/>
      <c r="DP196" s="387"/>
      <c r="DQ196" s="387"/>
      <c r="DR196" s="387"/>
      <c r="DS196" s="387"/>
      <c r="DT196" s="387"/>
      <c r="DU196" s="387"/>
      <c r="DV196" s="387"/>
      <c r="DW196" s="387"/>
      <c r="DX196" s="387"/>
      <c r="DY196" s="387"/>
      <c r="DZ196" s="387"/>
      <c r="EA196" s="387"/>
      <c r="EB196" s="387"/>
      <c r="EC196" s="387"/>
      <c r="ED196" s="387"/>
      <c r="EE196" s="387"/>
      <c r="EF196" s="387"/>
      <c r="EG196" s="387"/>
      <c r="EH196" s="387"/>
      <c r="EI196" s="387"/>
      <c r="EJ196" s="387"/>
      <c r="EK196" s="387"/>
      <c r="EL196" s="387"/>
      <c r="EM196" s="387"/>
      <c r="EN196" s="387"/>
      <c r="EO196" s="387"/>
      <c r="EP196" s="387"/>
      <c r="EQ196" s="387"/>
      <c r="ER196" s="387"/>
      <c r="ES196" s="387"/>
      <c r="ET196" s="387"/>
      <c r="EU196" s="387"/>
      <c r="EV196" s="387"/>
      <c r="EW196" s="387"/>
      <c r="EX196" s="387"/>
      <c r="EY196" s="387"/>
      <c r="EZ196" s="387"/>
      <c r="FA196" s="387"/>
      <c r="FB196" s="387"/>
      <c r="FC196" s="387"/>
      <c r="FD196" s="387"/>
      <c r="FE196" s="387"/>
      <c r="FF196" s="387"/>
      <c r="FG196" s="387"/>
      <c r="FH196" s="387"/>
      <c r="FI196" s="387"/>
      <c r="FJ196" s="387"/>
      <c r="FK196" s="387"/>
      <c r="FL196" s="387"/>
      <c r="FM196" s="387"/>
      <c r="FN196" s="387"/>
      <c r="FO196" s="387"/>
      <c r="FP196" s="387"/>
      <c r="FQ196" s="387"/>
      <c r="FR196" s="387"/>
      <c r="FS196" s="387"/>
      <c r="FT196" s="387"/>
      <c r="FU196" s="387"/>
      <c r="FV196" s="387"/>
      <c r="FW196" s="387"/>
      <c r="FX196" s="387"/>
      <c r="FY196" s="387"/>
      <c r="FZ196" s="387"/>
      <c r="GA196" s="387"/>
      <c r="GB196" s="387"/>
      <c r="GC196" s="387"/>
      <c r="GD196" s="387"/>
      <c r="GE196" s="387"/>
      <c r="GF196" s="387"/>
      <c r="GG196" s="387"/>
      <c r="GH196" s="387"/>
      <c r="GI196" s="387"/>
      <c r="GJ196" s="387"/>
      <c r="GK196" s="387"/>
      <c r="GL196" s="387"/>
      <c r="GM196" s="387"/>
      <c r="GN196" s="387"/>
      <c r="GO196" s="387"/>
      <c r="GP196" s="387"/>
      <c r="GQ196" s="387"/>
      <c r="GR196" s="387"/>
      <c r="GS196" s="387"/>
      <c r="GT196" s="387"/>
      <c r="GU196" s="387"/>
      <c r="GV196" s="387"/>
      <c r="GW196" s="387"/>
      <c r="GX196" s="387"/>
      <c r="GY196" s="387"/>
      <c r="GZ196" s="387"/>
      <c r="HA196" s="387"/>
      <c r="HB196" s="387"/>
      <c r="HC196" s="387"/>
      <c r="HD196" s="387"/>
      <c r="HE196" s="387"/>
      <c r="HF196" s="387"/>
      <c r="HG196" s="387"/>
      <c r="HH196" s="387"/>
      <c r="HI196" s="387"/>
      <c r="HJ196" s="387"/>
      <c r="HK196" s="387"/>
      <c r="HL196" s="387"/>
      <c r="HM196" s="387"/>
      <c r="HN196" s="387"/>
      <c r="HO196" s="387"/>
      <c r="HP196" s="387"/>
      <c r="HQ196" s="387"/>
      <c r="HR196" s="387"/>
      <c r="HS196" s="387"/>
      <c r="HT196" s="387"/>
      <c r="HU196" s="387"/>
      <c r="HV196" s="387"/>
      <c r="HW196" s="387"/>
      <c r="HX196" s="387"/>
      <c r="HY196" s="387"/>
      <c r="HZ196" s="387"/>
      <c r="IA196" s="387"/>
      <c r="IB196" s="387"/>
      <c r="IC196" s="387"/>
      <c r="ID196" s="387"/>
      <c r="IE196" s="387"/>
      <c r="IF196" s="387"/>
      <c r="IG196" s="387"/>
      <c r="IH196" s="387"/>
      <c r="II196" s="387"/>
      <c r="IJ196" s="387"/>
      <c r="IK196" s="387"/>
      <c r="IL196" s="387"/>
      <c r="IM196" s="387"/>
      <c r="IN196" s="387"/>
      <c r="IO196" s="387"/>
      <c r="IP196" s="387"/>
      <c r="IQ196" s="387"/>
      <c r="IR196" s="387"/>
      <c r="IS196" s="387"/>
      <c r="IT196" s="387"/>
      <c r="IU196" s="387"/>
      <c r="IV196" s="387"/>
      <c r="IW196" s="387"/>
      <c r="IX196" s="387"/>
      <c r="IY196" s="387"/>
      <c r="IZ196" s="387"/>
      <c r="JA196" s="387"/>
      <c r="JB196" s="387"/>
      <c r="JC196" s="387"/>
      <c r="JD196" s="387"/>
      <c r="JE196" s="387"/>
      <c r="JF196" s="387"/>
      <c r="JG196" s="387"/>
      <c r="JH196" s="387"/>
      <c r="JI196" s="387"/>
      <c r="JJ196" s="387"/>
      <c r="JK196" s="387"/>
      <c r="JL196" s="387"/>
      <c r="JM196" s="387"/>
      <c r="JN196" s="387"/>
      <c r="JO196" s="387"/>
      <c r="JP196" s="387"/>
      <c r="JQ196" s="387"/>
      <c r="JR196" s="387"/>
      <c r="JS196" s="387"/>
      <c r="JT196" s="387"/>
      <c r="JU196" s="387"/>
      <c r="JV196" s="387"/>
      <c r="JW196" s="387"/>
      <c r="JX196" s="387"/>
      <c r="JY196" s="387"/>
      <c r="JZ196" s="387"/>
      <c r="KA196" s="387"/>
      <c r="KB196" s="387"/>
      <c r="KC196" s="387"/>
      <c r="KD196" s="387"/>
      <c r="KE196" s="387"/>
      <c r="KF196" s="387"/>
      <c r="KG196" s="387"/>
      <c r="KH196" s="387"/>
      <c r="KI196" s="387"/>
      <c r="KJ196" s="387"/>
      <c r="KK196" s="387"/>
      <c r="KL196" s="387"/>
      <c r="KM196" s="387"/>
      <c r="KN196" s="387"/>
      <c r="KO196" s="387"/>
      <c r="KP196" s="387"/>
      <c r="KQ196" s="387"/>
      <c r="KR196" s="387"/>
      <c r="KS196" s="387"/>
      <c r="KT196" s="387"/>
      <c r="KU196" s="387"/>
      <c r="KV196" s="387"/>
      <c r="KW196" s="387"/>
      <c r="KX196" s="387"/>
      <c r="KY196" s="387"/>
      <c r="KZ196" s="387"/>
      <c r="LA196" s="387"/>
      <c r="LB196" s="387"/>
      <c r="LC196" s="387"/>
      <c r="LD196" s="387"/>
      <c r="LE196" s="387"/>
      <c r="LF196" s="387"/>
      <c r="LG196" s="387"/>
      <c r="LH196" s="387"/>
      <c r="LI196" s="387"/>
      <c r="LJ196" s="387"/>
      <c r="LK196" s="387"/>
      <c r="LL196" s="387"/>
      <c r="LM196" s="387"/>
      <c r="LN196" s="387"/>
      <c r="LO196" s="387"/>
      <c r="LP196" s="387"/>
      <c r="LQ196" s="387"/>
      <c r="LR196" s="387"/>
      <c r="LS196" s="387"/>
      <c r="LT196" s="387"/>
      <c r="LU196" s="387"/>
      <c r="LV196" s="387"/>
      <c r="LW196" s="387"/>
      <c r="LX196" s="387"/>
      <c r="LY196" s="387"/>
      <c r="LZ196" s="387"/>
      <c r="MA196" s="387"/>
      <c r="MB196" s="387"/>
      <c r="MC196" s="387"/>
      <c r="MD196" s="387"/>
      <c r="ME196" s="387"/>
      <c r="MF196" s="387"/>
      <c r="MG196" s="387"/>
      <c r="MH196" s="387"/>
      <c r="MI196" s="387"/>
      <c r="MJ196" s="387"/>
      <c r="MK196" s="387"/>
      <c r="ML196" s="387"/>
      <c r="MM196" s="387"/>
      <c r="MN196" s="387"/>
      <c r="MO196" s="387"/>
      <c r="MP196" s="387"/>
      <c r="MQ196" s="387"/>
      <c r="MR196" s="387"/>
      <c r="MS196" s="387"/>
      <c r="MT196" s="387"/>
      <c r="MU196" s="387"/>
      <c r="MV196" s="387"/>
      <c r="MW196" s="387"/>
      <c r="MX196" s="387"/>
      <c r="MY196" s="387"/>
      <c r="MZ196" s="387"/>
      <c r="NA196" s="387"/>
      <c r="NB196" s="387"/>
      <c r="NC196" s="387"/>
      <c r="ND196" s="387"/>
      <c r="NE196" s="387"/>
      <c r="NF196" s="387"/>
      <c r="NG196" s="387"/>
      <c r="NH196" s="387"/>
      <c r="NI196" s="387"/>
      <c r="NJ196" s="387"/>
      <c r="NK196" s="387"/>
      <c r="NL196" s="387"/>
      <c r="NM196" s="387"/>
      <c r="NN196" s="387"/>
      <c r="NO196" s="387"/>
      <c r="NP196" s="387"/>
      <c r="NQ196" s="387"/>
      <c r="NR196" s="387"/>
      <c r="NS196" s="387"/>
      <c r="NT196" s="387"/>
      <c r="NU196" s="387"/>
      <c r="NV196" s="387"/>
      <c r="NW196" s="387"/>
      <c r="NX196" s="387"/>
      <c r="NY196" s="387"/>
      <c r="NZ196" s="387"/>
      <c r="OA196" s="387"/>
      <c r="OB196" s="387"/>
      <c r="OC196" s="387"/>
      <c r="OD196" s="387"/>
      <c r="OE196" s="387"/>
      <c r="OF196" s="387"/>
      <c r="OG196" s="387"/>
      <c r="OH196" s="387"/>
      <c r="OI196" s="387"/>
      <c r="OJ196" s="387"/>
      <c r="OK196" s="387"/>
      <c r="OL196" s="387"/>
      <c r="OM196" s="387"/>
      <c r="ON196" s="387"/>
      <c r="OO196" s="387"/>
      <c r="OP196" s="387"/>
      <c r="OQ196" s="387"/>
      <c r="OR196" s="387"/>
      <c r="OS196" s="387"/>
      <c r="OT196" s="387"/>
      <c r="OU196" s="387"/>
      <c r="OV196" s="387"/>
      <c r="OW196" s="387"/>
      <c r="OX196" s="387"/>
      <c r="OY196" s="387"/>
      <c r="OZ196" s="387"/>
      <c r="PA196" s="387"/>
      <c r="PB196" s="387"/>
      <c r="PC196" s="387"/>
      <c r="PD196" s="387"/>
      <c r="PE196" s="387"/>
      <c r="PF196" s="387"/>
      <c r="PG196" s="387"/>
      <c r="PH196" s="387"/>
      <c r="PI196" s="387"/>
      <c r="PJ196" s="387"/>
      <c r="PK196" s="387"/>
      <c r="PL196" s="387"/>
      <c r="PM196" s="387"/>
      <c r="PN196" s="387"/>
      <c r="PO196" s="387"/>
      <c r="PP196" s="387"/>
      <c r="PQ196" s="387"/>
      <c r="PR196" s="387"/>
      <c r="PS196" s="387"/>
      <c r="PT196" s="387"/>
      <c r="PU196" s="387"/>
      <c r="PV196" s="387"/>
      <c r="PW196" s="387"/>
      <c r="PX196" s="387"/>
      <c r="PY196" s="387"/>
      <c r="PZ196" s="387"/>
      <c r="QA196" s="387"/>
      <c r="QB196" s="387"/>
      <c r="QC196" s="387"/>
      <c r="QD196" s="387"/>
      <c r="QE196" s="387"/>
      <c r="QF196" s="387"/>
      <c r="QG196" s="387"/>
      <c r="QH196" s="387"/>
      <c r="QI196" s="387"/>
      <c r="QJ196" s="387"/>
      <c r="QK196" s="387"/>
      <c r="QL196" s="387"/>
      <c r="QM196" s="387"/>
      <c r="QN196" s="387"/>
      <c r="QO196" s="387"/>
      <c r="QP196" s="387"/>
      <c r="QQ196" s="387"/>
      <c r="QR196" s="387"/>
      <c r="QS196" s="387"/>
      <c r="QT196" s="387"/>
      <c r="QU196" s="387"/>
      <c r="QV196" s="387"/>
      <c r="QW196" s="387"/>
      <c r="QX196" s="387"/>
      <c r="QY196" s="387"/>
      <c r="QZ196" s="387"/>
      <c r="RA196" s="387"/>
      <c r="RB196" s="387"/>
      <c r="RC196" s="387"/>
      <c r="RD196" s="387"/>
      <c r="RE196" s="387"/>
      <c r="RF196" s="387"/>
      <c r="RG196" s="387"/>
      <c r="RH196" s="387"/>
      <c r="RI196" s="387"/>
      <c r="RJ196" s="387"/>
      <c r="RK196" s="387"/>
      <c r="RL196" s="387"/>
      <c r="RM196" s="387"/>
      <c r="RN196" s="387"/>
      <c r="RO196" s="387"/>
      <c r="RP196" s="387"/>
      <c r="RQ196" s="387"/>
      <c r="RR196" s="387"/>
      <c r="RS196" s="387"/>
      <c r="RT196" s="387"/>
      <c r="RU196" s="387"/>
      <c r="RV196" s="387"/>
      <c r="RW196" s="387"/>
      <c r="RX196" s="387"/>
      <c r="RY196" s="387"/>
      <c r="RZ196" s="387"/>
      <c r="SA196" s="387"/>
      <c r="SB196" s="387"/>
      <c r="SC196" s="387"/>
      <c r="SD196" s="387"/>
      <c r="SE196" s="387"/>
      <c r="SF196" s="387"/>
      <c r="SG196" s="387"/>
      <c r="SH196" s="387"/>
      <c r="SI196" s="387"/>
      <c r="SJ196" s="387"/>
      <c r="SK196" s="387"/>
      <c r="SL196" s="387"/>
      <c r="SM196" s="387"/>
      <c r="SN196" s="387"/>
      <c r="SO196" s="387"/>
      <c r="SP196" s="387"/>
      <c r="SQ196" s="387"/>
      <c r="SR196" s="387"/>
      <c r="SS196" s="387"/>
      <c r="ST196" s="387"/>
      <c r="SU196" s="387"/>
      <c r="SV196" s="387"/>
      <c r="SW196" s="387"/>
      <c r="SX196" s="387"/>
      <c r="SY196" s="387"/>
      <c r="SZ196" s="387"/>
      <c r="TA196" s="387"/>
      <c r="TB196" s="387"/>
      <c r="TC196" s="387"/>
      <c r="TD196" s="387"/>
      <c r="TE196" s="387"/>
      <c r="TF196" s="387"/>
      <c r="TG196" s="387"/>
      <c r="TH196" s="387"/>
      <c r="TI196" s="387"/>
      <c r="TJ196" s="387"/>
      <c r="TK196" s="387"/>
      <c r="TL196" s="387"/>
      <c r="TM196" s="387"/>
      <c r="TN196" s="387"/>
      <c r="TO196" s="387"/>
      <c r="TP196" s="387"/>
      <c r="TQ196" s="387"/>
      <c r="TR196" s="387"/>
      <c r="TS196" s="387"/>
      <c r="TT196" s="387"/>
      <c r="TU196" s="387"/>
      <c r="TV196" s="387"/>
      <c r="TW196" s="387"/>
      <c r="TX196" s="387"/>
      <c r="TY196" s="387"/>
      <c r="TZ196" s="387"/>
      <c r="UA196" s="387"/>
      <c r="UB196" s="387"/>
      <c r="UC196" s="387"/>
      <c r="UD196" s="387"/>
      <c r="UE196" s="387"/>
      <c r="UF196" s="387"/>
      <c r="UG196" s="387"/>
      <c r="UH196" s="387"/>
      <c r="UI196" s="387"/>
      <c r="UJ196" s="387"/>
      <c r="UK196" s="387"/>
      <c r="UL196" s="387"/>
      <c r="UM196" s="387"/>
      <c r="UN196" s="387"/>
      <c r="UO196" s="387"/>
      <c r="UP196" s="387"/>
      <c r="UQ196" s="387"/>
      <c r="UR196" s="387"/>
      <c r="US196" s="387"/>
      <c r="UT196" s="387"/>
      <c r="UU196" s="387"/>
      <c r="UV196" s="387"/>
      <c r="UW196" s="387"/>
      <c r="UX196" s="387"/>
      <c r="UY196" s="387"/>
      <c r="UZ196" s="387"/>
      <c r="VA196" s="387"/>
      <c r="VB196" s="387"/>
      <c r="VC196" s="387"/>
      <c r="VD196" s="387"/>
      <c r="VE196" s="387"/>
      <c r="VF196" s="387"/>
      <c r="VG196" s="387"/>
      <c r="VH196" s="387"/>
      <c r="VI196" s="387"/>
      <c r="VJ196" s="387"/>
      <c r="VK196" s="387"/>
      <c r="VL196" s="387"/>
      <c r="VM196" s="387"/>
      <c r="VN196" s="387"/>
      <c r="VO196" s="387"/>
      <c r="VP196" s="387"/>
      <c r="VQ196" s="387"/>
      <c r="VR196" s="387"/>
      <c r="VS196" s="387"/>
      <c r="VT196" s="387"/>
      <c r="VU196" s="387"/>
      <c r="VV196" s="387"/>
      <c r="VW196" s="387"/>
      <c r="VX196" s="387"/>
      <c r="VY196" s="387"/>
      <c r="VZ196" s="387"/>
      <c r="WA196" s="387"/>
      <c r="WB196" s="387"/>
      <c r="WC196" s="387"/>
      <c r="WD196" s="387"/>
      <c r="WE196" s="387"/>
      <c r="WF196" s="387"/>
      <c r="WG196" s="387"/>
      <c r="WH196" s="387"/>
      <c r="WI196" s="387"/>
      <c r="WJ196" s="387"/>
      <c r="WK196" s="387"/>
      <c r="WL196" s="387"/>
      <c r="WM196" s="387"/>
      <c r="WN196" s="387"/>
      <c r="WO196" s="387"/>
      <c r="WP196" s="387"/>
      <c r="WQ196" s="387"/>
      <c r="WR196" s="387"/>
      <c r="WS196" s="387"/>
      <c r="WT196" s="387"/>
      <c r="WU196" s="387"/>
      <c r="WV196" s="387"/>
      <c r="WW196" s="387"/>
      <c r="WX196" s="387"/>
      <c r="WY196" s="387"/>
      <c r="WZ196" s="387"/>
      <c r="XA196" s="387"/>
      <c r="XB196" s="387"/>
      <c r="XC196" s="387"/>
      <c r="XD196" s="387"/>
      <c r="XE196" s="387"/>
      <c r="XF196" s="387"/>
      <c r="XG196" s="387"/>
      <c r="XH196" s="387"/>
      <c r="XI196" s="387"/>
      <c r="XJ196" s="387"/>
      <c r="XK196" s="387"/>
      <c r="XL196" s="387"/>
      <c r="XM196" s="387"/>
      <c r="XN196" s="387"/>
      <c r="XO196" s="387"/>
      <c r="XP196" s="387"/>
      <c r="XQ196" s="387"/>
      <c r="XR196" s="387"/>
      <c r="XS196" s="387"/>
      <c r="XT196" s="387"/>
      <c r="XU196" s="387"/>
      <c r="XV196" s="387"/>
      <c r="XW196" s="387"/>
      <c r="XX196" s="387"/>
      <c r="XY196" s="387"/>
      <c r="XZ196" s="387"/>
      <c r="YA196" s="387"/>
      <c r="YB196" s="387"/>
      <c r="YC196" s="387"/>
      <c r="YD196" s="387"/>
      <c r="YE196" s="387"/>
      <c r="YF196" s="387"/>
      <c r="YG196" s="387"/>
      <c r="YH196" s="387"/>
      <c r="YI196" s="387"/>
      <c r="YJ196" s="387"/>
      <c r="YK196" s="387"/>
      <c r="YL196" s="387"/>
      <c r="YM196" s="387"/>
      <c r="YN196" s="387"/>
      <c r="YO196" s="387"/>
      <c r="YP196" s="387"/>
      <c r="YQ196" s="387"/>
      <c r="YR196" s="387"/>
      <c r="YS196" s="387"/>
      <c r="YT196" s="387"/>
      <c r="YU196" s="387"/>
      <c r="YV196" s="387"/>
      <c r="YW196" s="387"/>
      <c r="YX196" s="387"/>
      <c r="YY196" s="387"/>
      <c r="YZ196" s="387"/>
      <c r="ZA196" s="387"/>
      <c r="ZB196" s="387"/>
      <c r="ZC196" s="387"/>
      <c r="ZD196" s="387"/>
      <c r="ZE196" s="387"/>
      <c r="ZF196" s="387"/>
      <c r="ZG196" s="387"/>
      <c r="ZH196" s="387"/>
      <c r="ZI196" s="387"/>
      <c r="ZJ196" s="387"/>
      <c r="ZK196" s="387"/>
      <c r="ZL196" s="387"/>
      <c r="ZM196" s="387"/>
      <c r="ZN196" s="387"/>
      <c r="ZO196" s="387"/>
      <c r="ZP196" s="387"/>
      <c r="ZQ196" s="387"/>
      <c r="ZR196" s="387"/>
      <c r="ZS196" s="387"/>
      <c r="ZT196" s="387"/>
      <c r="ZU196" s="387"/>
      <c r="ZV196" s="387"/>
      <c r="ZW196" s="387"/>
      <c r="ZX196" s="387"/>
      <c r="ZY196" s="387"/>
      <c r="ZZ196" s="387"/>
      <c r="AAA196" s="387"/>
      <c r="AAB196" s="387"/>
      <c r="AAC196" s="387"/>
      <c r="AAD196" s="387"/>
      <c r="AAE196" s="387"/>
      <c r="AAF196" s="387"/>
      <c r="AAG196" s="387"/>
      <c r="AAH196" s="387"/>
      <c r="AAI196" s="387"/>
      <c r="AAJ196" s="387"/>
      <c r="AAK196" s="387"/>
      <c r="AAL196" s="387"/>
      <c r="AAM196" s="387"/>
      <c r="AAN196" s="387"/>
      <c r="AAO196" s="387"/>
      <c r="AAP196" s="387"/>
      <c r="AAQ196" s="387"/>
      <c r="AAR196" s="387"/>
      <c r="AAS196" s="387"/>
      <c r="AAT196" s="387"/>
      <c r="AAU196" s="387"/>
      <c r="AAV196" s="387"/>
      <c r="AAW196" s="387"/>
      <c r="AAX196" s="387"/>
      <c r="AAY196" s="387"/>
      <c r="AAZ196" s="387"/>
      <c r="ABA196" s="387"/>
      <c r="ABB196" s="387"/>
      <c r="ABC196" s="387"/>
      <c r="ABD196" s="387"/>
      <c r="ABE196" s="387"/>
      <c r="ABF196" s="387"/>
      <c r="ABG196" s="387"/>
      <c r="ABH196" s="387"/>
      <c r="ABI196" s="387"/>
      <c r="ABJ196" s="387"/>
      <c r="ABK196" s="387"/>
      <c r="ABL196" s="387"/>
      <c r="ABM196" s="387"/>
      <c r="ABN196" s="387"/>
      <c r="ABO196" s="387"/>
      <c r="ABP196" s="387"/>
      <c r="ABQ196" s="387"/>
      <c r="ABR196" s="387"/>
      <c r="ABS196" s="387"/>
      <c r="ABT196" s="387"/>
      <c r="ABU196" s="387"/>
      <c r="ABV196" s="387"/>
      <c r="ABW196" s="387"/>
      <c r="ABX196" s="387"/>
      <c r="ABY196" s="387"/>
      <c r="ABZ196" s="387"/>
      <c r="ACA196" s="387"/>
      <c r="ACB196" s="387"/>
      <c r="ACC196" s="387"/>
      <c r="ACD196" s="387"/>
      <c r="ACE196" s="387"/>
      <c r="ACF196" s="387"/>
      <c r="ACG196" s="387"/>
      <c r="ACH196" s="387"/>
      <c r="ACI196" s="387"/>
      <c r="ACJ196" s="387"/>
      <c r="ACK196" s="387"/>
      <c r="ACL196" s="387"/>
      <c r="ACM196" s="387"/>
      <c r="ACN196" s="387"/>
      <c r="ACO196" s="387"/>
      <c r="ACP196" s="387"/>
      <c r="ACQ196" s="387"/>
      <c r="ACR196" s="387"/>
      <c r="ACS196" s="387"/>
      <c r="ACT196" s="387"/>
      <c r="ACU196" s="387"/>
      <c r="ACV196" s="387"/>
      <c r="ACW196" s="387"/>
      <c r="ACX196" s="387"/>
      <c r="ACY196" s="387"/>
      <c r="ACZ196" s="387"/>
      <c r="ADA196" s="387"/>
      <c r="ADB196" s="387"/>
      <c r="ADC196" s="387"/>
      <c r="ADD196" s="387"/>
      <c r="ADE196" s="387"/>
      <c r="ADF196" s="387"/>
      <c r="ADG196" s="387"/>
      <c r="ADH196" s="387"/>
      <c r="ADI196" s="387"/>
      <c r="ADJ196" s="387"/>
      <c r="ADK196" s="387"/>
      <c r="ADL196" s="387"/>
      <c r="ADM196" s="387"/>
      <c r="ADN196" s="387"/>
      <c r="ADO196" s="387"/>
      <c r="ADP196" s="387"/>
      <c r="ADQ196" s="387"/>
      <c r="ADR196" s="387"/>
      <c r="ADS196" s="387"/>
      <c r="ADT196" s="387"/>
      <c r="ADU196" s="387"/>
      <c r="ADV196" s="387"/>
      <c r="ADW196" s="387"/>
      <c r="ADX196" s="387"/>
      <c r="ADY196" s="387"/>
      <c r="ADZ196" s="387"/>
      <c r="AEA196" s="387"/>
      <c r="AEB196" s="387"/>
      <c r="AEC196" s="387"/>
      <c r="AED196" s="387"/>
      <c r="AEE196" s="387"/>
      <c r="AEF196" s="387"/>
      <c r="AEG196" s="387"/>
      <c r="AEH196" s="387"/>
      <c r="AEI196" s="387"/>
      <c r="AEJ196" s="387"/>
      <c r="AEK196" s="387"/>
      <c r="AEL196" s="387"/>
      <c r="AEM196" s="387"/>
      <c r="AEN196" s="387"/>
      <c r="AEO196" s="387"/>
      <c r="AEP196" s="387"/>
      <c r="AEQ196" s="387"/>
      <c r="AER196" s="387"/>
      <c r="AES196" s="387"/>
      <c r="AET196" s="387"/>
      <c r="AEU196" s="387"/>
      <c r="AEV196" s="387"/>
      <c r="AEW196" s="387"/>
      <c r="AEX196" s="387"/>
      <c r="AEY196" s="387"/>
      <c r="AEZ196" s="387"/>
      <c r="AFA196" s="387"/>
      <c r="AFB196" s="387"/>
      <c r="AFC196" s="387"/>
      <c r="AFD196" s="387"/>
      <c r="AFE196" s="387"/>
      <c r="AFF196" s="387"/>
      <c r="AFG196" s="387"/>
      <c r="AFH196" s="387"/>
      <c r="AFI196" s="387"/>
      <c r="AFJ196" s="387"/>
      <c r="AFK196" s="387"/>
      <c r="AFL196" s="387"/>
      <c r="AFM196" s="387"/>
      <c r="AFN196" s="387"/>
      <c r="AFO196" s="387"/>
      <c r="AFP196" s="387"/>
      <c r="AFQ196" s="387"/>
      <c r="AFR196" s="387"/>
      <c r="AFS196" s="387"/>
      <c r="AFT196" s="387"/>
      <c r="AFU196" s="387"/>
      <c r="AFV196" s="387"/>
      <c r="AFW196" s="387"/>
      <c r="AFX196" s="387"/>
      <c r="AFY196" s="387"/>
      <c r="AFZ196" s="387"/>
      <c r="AGA196" s="387"/>
      <c r="AGB196" s="387"/>
      <c r="AGC196" s="387"/>
      <c r="AGD196" s="387"/>
      <c r="AGE196" s="387"/>
      <c r="AGF196" s="387"/>
      <c r="AGG196" s="387"/>
      <c r="AGH196" s="387"/>
      <c r="AGI196" s="387"/>
      <c r="AGJ196" s="387"/>
      <c r="AGK196" s="387"/>
      <c r="AGL196" s="387"/>
      <c r="AGM196" s="387"/>
      <c r="AGN196" s="387"/>
      <c r="AGO196" s="387"/>
      <c r="AGP196" s="387"/>
      <c r="AGQ196" s="387"/>
      <c r="AGR196" s="387"/>
      <c r="AGS196" s="387"/>
      <c r="AGT196" s="387"/>
      <c r="AGU196" s="387"/>
      <c r="AGV196" s="387"/>
      <c r="AGW196" s="387"/>
      <c r="AGX196" s="387"/>
      <c r="AGY196" s="387"/>
      <c r="AGZ196" s="387"/>
      <c r="AHA196" s="387"/>
      <c r="AHB196" s="387"/>
      <c r="AHC196" s="387"/>
      <c r="AHD196" s="387"/>
      <c r="AHE196" s="387"/>
      <c r="AHF196" s="387"/>
      <c r="AHG196" s="387"/>
      <c r="AHH196" s="387"/>
      <c r="AHI196" s="387"/>
      <c r="AHJ196" s="387"/>
      <c r="AHK196" s="387"/>
      <c r="AHL196" s="387"/>
      <c r="AHM196" s="387"/>
      <c r="AHN196" s="387"/>
      <c r="AHO196" s="387"/>
      <c r="AHP196" s="387"/>
      <c r="AHQ196" s="387"/>
      <c r="AHR196" s="387"/>
      <c r="AHS196" s="387"/>
      <c r="AHT196" s="387"/>
      <c r="AHU196" s="387"/>
      <c r="AHV196" s="387"/>
      <c r="AHW196" s="387"/>
      <c r="AHX196" s="387"/>
      <c r="AHY196" s="387"/>
      <c r="AHZ196" s="387"/>
      <c r="AIA196" s="387"/>
      <c r="AIB196" s="387"/>
      <c r="AIC196" s="387"/>
      <c r="AID196" s="387"/>
      <c r="AIE196" s="387"/>
      <c r="AIF196" s="387"/>
      <c r="AIG196" s="387"/>
      <c r="AIH196" s="387"/>
      <c r="AII196" s="387"/>
      <c r="AIJ196" s="387"/>
      <c r="AIK196" s="387"/>
      <c r="AIL196" s="387"/>
      <c r="AIM196" s="387"/>
      <c r="AIN196" s="387"/>
      <c r="AIO196" s="387"/>
      <c r="AIP196" s="387"/>
      <c r="AIQ196" s="387"/>
      <c r="AIR196" s="387"/>
      <c r="AIS196" s="387"/>
      <c r="AIT196" s="387"/>
      <c r="AIU196" s="387"/>
      <c r="AIV196" s="387"/>
      <c r="AIW196" s="387"/>
      <c r="AIX196" s="387"/>
      <c r="AIY196" s="387"/>
      <c r="AIZ196" s="387"/>
      <c r="AJA196" s="387"/>
      <c r="AJB196" s="387"/>
      <c r="AJC196" s="387"/>
      <c r="AJD196" s="387"/>
      <c r="AJE196" s="387"/>
      <c r="AJF196" s="387"/>
      <c r="AJG196" s="387"/>
      <c r="AJH196" s="387"/>
      <c r="AJI196" s="387"/>
      <c r="AJJ196" s="387"/>
      <c r="AJK196" s="387"/>
      <c r="AJL196" s="387"/>
      <c r="AJM196" s="387"/>
      <c r="AJN196" s="387"/>
      <c r="AJO196" s="387"/>
      <c r="AJP196" s="387"/>
      <c r="AJQ196" s="387"/>
      <c r="AJR196" s="387"/>
      <c r="AJS196" s="387"/>
      <c r="AJT196" s="387"/>
      <c r="AJU196" s="387"/>
      <c r="AJV196" s="387"/>
      <c r="AJW196" s="387"/>
      <c r="AJX196" s="387"/>
      <c r="AJY196" s="387"/>
      <c r="AJZ196" s="387"/>
      <c r="AKA196" s="387"/>
      <c r="AKB196" s="387"/>
      <c r="AKC196" s="387"/>
      <c r="AKD196" s="387"/>
      <c r="AKE196" s="387"/>
      <c r="AKF196" s="387"/>
      <c r="AKG196" s="387"/>
      <c r="AKH196" s="387"/>
      <c r="AKI196" s="387"/>
      <c r="AKJ196" s="387"/>
      <c r="AKK196" s="387"/>
      <c r="AKL196" s="387"/>
      <c r="AKM196" s="387"/>
      <c r="AKN196" s="387"/>
      <c r="AKO196" s="387"/>
      <c r="AKP196" s="387"/>
      <c r="AKQ196" s="387"/>
      <c r="AKR196" s="387"/>
      <c r="AKS196" s="387"/>
      <c r="AKT196" s="387"/>
      <c r="AKU196" s="387"/>
      <c r="AKV196" s="387"/>
      <c r="AKW196" s="387"/>
      <c r="AKX196" s="387"/>
      <c r="AKY196" s="387"/>
      <c r="AKZ196" s="387"/>
      <c r="ALA196" s="387"/>
      <c r="ALB196" s="387"/>
      <c r="ALC196" s="387"/>
      <c r="ALD196" s="387"/>
      <c r="ALE196" s="387"/>
      <c r="ALF196" s="387"/>
      <c r="ALG196" s="387"/>
      <c r="ALH196" s="387"/>
      <c r="ALI196" s="387"/>
      <c r="ALJ196" s="387"/>
      <c r="ALK196" s="387"/>
      <c r="ALL196" s="387"/>
      <c r="ALM196" s="387"/>
      <c r="ALN196" s="387"/>
      <c r="ALO196" s="387"/>
      <c r="ALP196" s="387"/>
      <c r="ALQ196" s="387"/>
      <c r="ALR196" s="387"/>
      <c r="ALS196" s="387"/>
      <c r="ALT196" s="387"/>
      <c r="ALU196" s="387"/>
      <c r="ALV196" s="387"/>
      <c r="ALW196" s="387"/>
      <c r="ALX196" s="387"/>
      <c r="ALY196" s="387"/>
      <c r="ALZ196" s="387"/>
      <c r="AMA196" s="387"/>
      <c r="AMB196" s="387"/>
      <c r="AMC196" s="387"/>
      <c r="AMD196" s="387"/>
      <c r="AME196" s="387"/>
      <c r="AMF196" s="387"/>
      <c r="AMG196" s="387"/>
      <c r="AMH196" s="387"/>
      <c r="AMI196" s="387"/>
      <c r="AMJ196" s="387"/>
      <c r="AMK196" s="387"/>
      <c r="AML196" s="387"/>
      <c r="AMM196" s="387"/>
      <c r="AMN196" s="387"/>
      <c r="AMO196" s="387"/>
      <c r="AMP196" s="387"/>
      <c r="AMQ196" s="387"/>
      <c r="AMR196" s="387"/>
      <c r="AMS196" s="387"/>
      <c r="AMT196" s="387"/>
      <c r="AMU196" s="387"/>
      <c r="AMV196" s="387"/>
      <c r="AMW196" s="387"/>
      <c r="AMX196" s="387"/>
      <c r="AMY196" s="387"/>
      <c r="AMZ196" s="387"/>
      <c r="ANA196" s="387"/>
      <c r="ANB196" s="387"/>
      <c r="ANC196" s="387"/>
      <c r="AND196" s="387"/>
      <c r="ANE196" s="387"/>
      <c r="ANF196" s="387"/>
      <c r="ANG196" s="387"/>
      <c r="ANH196" s="387"/>
      <c r="ANI196" s="387"/>
      <c r="ANJ196" s="387"/>
      <c r="ANK196" s="387"/>
      <c r="ANL196" s="387"/>
      <c r="ANM196" s="387"/>
      <c r="ANN196" s="387"/>
      <c r="ANO196" s="387"/>
      <c r="ANP196" s="387"/>
      <c r="ANQ196" s="387"/>
      <c r="ANR196" s="387"/>
      <c r="ANS196" s="387"/>
      <c r="ANT196" s="387"/>
      <c r="ANU196" s="387"/>
      <c r="ANV196" s="387"/>
      <c r="ANW196" s="387"/>
      <c r="ANX196" s="387"/>
      <c r="ANY196" s="387"/>
      <c r="ANZ196" s="387"/>
      <c r="AOA196" s="387"/>
      <c r="AOB196" s="387"/>
      <c r="AOC196" s="387"/>
      <c r="AOD196" s="387"/>
      <c r="AOE196" s="387"/>
      <c r="AOF196" s="387"/>
      <c r="AOG196" s="387"/>
      <c r="AOH196" s="387"/>
      <c r="AOI196" s="387"/>
      <c r="AOJ196" s="387"/>
      <c r="AOK196" s="387"/>
      <c r="AOL196" s="387"/>
      <c r="AOM196" s="387"/>
      <c r="AON196" s="387"/>
      <c r="AOO196" s="387"/>
      <c r="AOP196" s="387"/>
      <c r="AOQ196" s="387"/>
      <c r="AOR196" s="387"/>
      <c r="AOS196" s="387"/>
      <c r="AOT196" s="387"/>
      <c r="AOU196" s="387"/>
      <c r="AOV196" s="387"/>
      <c r="AOW196" s="387"/>
      <c r="AOX196" s="387"/>
      <c r="AOY196" s="387"/>
      <c r="AOZ196" s="387"/>
      <c r="APA196" s="387"/>
      <c r="APB196" s="387"/>
      <c r="APC196" s="387"/>
      <c r="APD196" s="387"/>
      <c r="APE196" s="387"/>
      <c r="APF196" s="387"/>
      <c r="APG196" s="387"/>
      <c r="APH196" s="387"/>
      <c r="API196" s="387"/>
      <c r="APJ196" s="387"/>
      <c r="APK196" s="387"/>
      <c r="APL196" s="387"/>
      <c r="APM196" s="387"/>
      <c r="APN196" s="387"/>
      <c r="APO196" s="387"/>
      <c r="APP196" s="387"/>
      <c r="APQ196" s="387"/>
      <c r="APR196" s="387"/>
      <c r="APS196" s="387"/>
      <c r="APT196" s="387"/>
      <c r="APU196" s="387"/>
      <c r="APV196" s="387"/>
      <c r="APW196" s="387"/>
      <c r="APX196" s="387"/>
      <c r="APY196" s="387"/>
      <c r="APZ196" s="387"/>
      <c r="AQA196" s="387"/>
      <c r="AQB196" s="387"/>
      <c r="AQC196" s="387"/>
      <c r="AQD196" s="387"/>
      <c r="AQE196" s="387"/>
      <c r="AQF196" s="387"/>
      <c r="AQG196" s="387"/>
      <c r="AQH196" s="387"/>
      <c r="AQI196" s="387"/>
      <c r="AQJ196" s="387"/>
      <c r="AQK196" s="387"/>
      <c r="AQL196" s="387"/>
      <c r="AQM196" s="387"/>
      <c r="AQN196" s="387"/>
      <c r="AQO196" s="387"/>
      <c r="AQP196" s="387"/>
      <c r="AQQ196" s="387"/>
      <c r="AQR196" s="387"/>
      <c r="AQS196" s="387"/>
      <c r="AQT196" s="387"/>
      <c r="AQU196" s="387"/>
      <c r="AQV196" s="387"/>
      <c r="AQW196" s="387"/>
      <c r="AQX196" s="387"/>
      <c r="AQY196" s="387"/>
      <c r="AQZ196" s="387"/>
      <c r="ARA196" s="387"/>
      <c r="ARB196" s="387"/>
      <c r="ARC196" s="387"/>
      <c r="ARD196" s="387"/>
      <c r="ARE196" s="387"/>
      <c r="ARF196" s="387"/>
      <c r="ARG196" s="387"/>
      <c r="ARH196" s="387"/>
      <c r="ARI196" s="387"/>
      <c r="ARJ196" s="387"/>
      <c r="ARK196" s="387"/>
      <c r="ARL196" s="387"/>
      <c r="ARM196" s="387"/>
      <c r="ARN196" s="387"/>
      <c r="ARO196" s="387"/>
      <c r="ARP196" s="387"/>
      <c r="ARQ196" s="387"/>
      <c r="ARR196" s="387"/>
      <c r="ARS196" s="387"/>
      <c r="ART196" s="387"/>
      <c r="ARU196" s="387"/>
      <c r="ARV196" s="387"/>
      <c r="ARW196" s="387"/>
      <c r="ARX196" s="387"/>
      <c r="ARY196" s="387"/>
      <c r="ARZ196" s="387"/>
      <c r="ASA196" s="387"/>
      <c r="ASB196" s="387"/>
      <c r="ASC196" s="387"/>
      <c r="ASD196" s="387"/>
      <c r="ASE196" s="387"/>
      <c r="ASF196" s="387"/>
      <c r="ASG196" s="387"/>
      <c r="ASH196" s="387"/>
      <c r="ASI196" s="387"/>
      <c r="ASJ196" s="387"/>
      <c r="ASK196" s="387"/>
      <c r="ASL196" s="387"/>
      <c r="ASM196" s="387"/>
      <c r="ASN196" s="387"/>
      <c r="ASO196" s="387"/>
      <c r="ASP196" s="387"/>
      <c r="ASQ196" s="387"/>
      <c r="ASR196" s="387"/>
      <c r="ASS196" s="387"/>
      <c r="AST196" s="387"/>
      <c r="ASU196" s="387"/>
      <c r="ASV196" s="387"/>
      <c r="ASW196" s="387"/>
      <c r="ASX196" s="387"/>
      <c r="ASY196" s="387"/>
      <c r="ASZ196" s="387"/>
      <c r="ATA196" s="387"/>
      <c r="ATB196" s="387"/>
      <c r="ATC196" s="387"/>
      <c r="ATD196" s="387"/>
      <c r="ATE196" s="387"/>
      <c r="ATF196" s="387"/>
      <c r="ATG196" s="387"/>
      <c r="ATH196" s="387"/>
      <c r="ATI196" s="387"/>
      <c r="ATJ196" s="387"/>
      <c r="ATK196" s="387"/>
      <c r="ATL196" s="387"/>
      <c r="ATM196" s="387"/>
      <c r="ATN196" s="387"/>
      <c r="ATO196" s="387"/>
      <c r="ATP196" s="387"/>
      <c r="ATQ196" s="387"/>
      <c r="ATR196" s="387"/>
      <c r="ATS196" s="387"/>
      <c r="ATT196" s="387"/>
      <c r="ATU196" s="387"/>
      <c r="ATV196" s="387"/>
      <c r="ATW196" s="387"/>
      <c r="ATX196" s="387"/>
      <c r="ATY196" s="387"/>
      <c r="ATZ196" s="387"/>
      <c r="AUA196" s="387"/>
      <c r="AUB196" s="387"/>
      <c r="AUC196" s="387"/>
      <c r="AUD196" s="387"/>
      <c r="AUE196" s="387"/>
      <c r="AUF196" s="387"/>
      <c r="AUG196" s="387"/>
      <c r="AUH196" s="387"/>
      <c r="AUI196" s="387"/>
      <c r="AUJ196" s="387"/>
      <c r="AUK196" s="387"/>
      <c r="AUL196" s="387"/>
      <c r="AUM196" s="387"/>
      <c r="AUN196" s="387"/>
      <c r="AUO196" s="387"/>
      <c r="AUP196" s="387"/>
      <c r="AUQ196" s="387"/>
      <c r="AUR196" s="387"/>
      <c r="AUS196" s="387"/>
      <c r="AUT196" s="387"/>
      <c r="AUU196" s="387"/>
      <c r="AUV196" s="387"/>
      <c r="AUW196" s="387"/>
      <c r="AUX196" s="387"/>
      <c r="AUY196" s="387"/>
      <c r="AUZ196" s="387"/>
      <c r="AVA196" s="387"/>
      <c r="AVB196" s="387"/>
      <c r="AVC196" s="387"/>
      <c r="AVD196" s="387"/>
      <c r="AVE196" s="387"/>
      <c r="AVF196" s="387"/>
      <c r="AVG196" s="387"/>
      <c r="AVH196" s="387"/>
      <c r="AVI196" s="387"/>
      <c r="AVJ196" s="387"/>
      <c r="AVK196" s="387"/>
      <c r="AVL196" s="387"/>
      <c r="AVM196" s="387"/>
      <c r="AVN196" s="387"/>
      <c r="AVO196" s="387"/>
      <c r="AVP196" s="387"/>
      <c r="AVQ196" s="387"/>
      <c r="AVR196" s="387"/>
      <c r="AVS196" s="387"/>
      <c r="AVT196" s="387"/>
      <c r="AVU196" s="387"/>
      <c r="AVV196" s="387"/>
      <c r="AVW196" s="387"/>
      <c r="AVX196" s="387"/>
      <c r="AVY196" s="387"/>
      <c r="AVZ196" s="387"/>
      <c r="AWA196" s="387"/>
      <c r="AWB196" s="387"/>
      <c r="AWC196" s="387"/>
      <c r="AWD196" s="387"/>
      <c r="AWE196" s="387"/>
      <c r="AWF196" s="387"/>
      <c r="AWG196" s="387"/>
      <c r="AWH196" s="387"/>
      <c r="AWI196" s="387"/>
      <c r="AWJ196" s="387"/>
      <c r="AWK196" s="387"/>
      <c r="AWL196" s="387"/>
      <c r="AWM196" s="387"/>
      <c r="AWN196" s="387"/>
      <c r="AWO196" s="387"/>
      <c r="AWP196" s="387"/>
      <c r="AWQ196" s="387"/>
      <c r="AWR196" s="387"/>
      <c r="AWS196" s="387"/>
      <c r="AWT196" s="387"/>
      <c r="AWU196" s="387"/>
      <c r="AWV196" s="387"/>
      <c r="AWW196" s="387"/>
      <c r="AWX196" s="387"/>
      <c r="AWY196" s="387"/>
      <c r="AWZ196" s="387"/>
      <c r="AXA196" s="387"/>
      <c r="AXB196" s="387"/>
      <c r="AXC196" s="387"/>
      <c r="AXD196" s="387"/>
      <c r="AXE196" s="387"/>
      <c r="AXF196" s="387"/>
      <c r="AXG196" s="387"/>
      <c r="AXH196" s="387"/>
      <c r="AXI196" s="387"/>
      <c r="AXJ196" s="387"/>
      <c r="AXK196" s="387"/>
      <c r="AXL196" s="387"/>
      <c r="AXM196" s="387"/>
      <c r="AXN196" s="387"/>
      <c r="AXO196" s="387"/>
      <c r="AXP196" s="387"/>
      <c r="AXQ196" s="387"/>
      <c r="AXR196" s="387"/>
      <c r="AXS196" s="387"/>
      <c r="AXT196" s="387"/>
      <c r="AXU196" s="387"/>
      <c r="AXV196" s="387"/>
      <c r="AXW196" s="387"/>
      <c r="AXX196" s="387"/>
      <c r="AXY196" s="387"/>
      <c r="AXZ196" s="387"/>
      <c r="AYA196" s="387"/>
      <c r="AYB196" s="387"/>
      <c r="AYC196" s="387"/>
      <c r="AYD196" s="387"/>
      <c r="AYE196" s="387"/>
      <c r="AYF196" s="387"/>
      <c r="AYG196" s="387"/>
      <c r="AYH196" s="387"/>
      <c r="AYI196" s="387"/>
      <c r="AYJ196" s="387"/>
      <c r="AYK196" s="387"/>
      <c r="AYL196" s="387"/>
      <c r="AYM196" s="387"/>
      <c r="AYN196" s="387"/>
      <c r="AYO196" s="387"/>
      <c r="AYP196" s="387"/>
      <c r="AYQ196" s="387"/>
      <c r="AYR196" s="387"/>
      <c r="AYS196" s="387"/>
      <c r="AYT196" s="387"/>
      <c r="AYU196" s="387"/>
      <c r="AYV196" s="387"/>
      <c r="AYW196" s="387"/>
      <c r="AYX196" s="387"/>
      <c r="AYY196" s="387"/>
      <c r="AYZ196" s="387"/>
      <c r="AZA196" s="387"/>
      <c r="AZB196" s="387"/>
      <c r="AZC196" s="387"/>
      <c r="AZD196" s="387"/>
      <c r="AZE196" s="387"/>
      <c r="AZF196" s="387"/>
      <c r="AZG196" s="387"/>
      <c r="AZH196" s="387"/>
      <c r="AZI196" s="387"/>
      <c r="AZJ196" s="387"/>
      <c r="AZK196" s="387"/>
      <c r="AZL196" s="387"/>
      <c r="AZM196" s="387"/>
      <c r="AZN196" s="387"/>
      <c r="AZO196" s="387"/>
      <c r="AZP196" s="387"/>
      <c r="AZQ196" s="387"/>
      <c r="AZR196" s="387"/>
      <c r="AZS196" s="387"/>
      <c r="AZT196" s="387"/>
      <c r="AZU196" s="387"/>
      <c r="AZV196" s="387"/>
      <c r="AZW196" s="387"/>
      <c r="AZX196" s="387"/>
      <c r="AZY196" s="387"/>
      <c r="AZZ196" s="387"/>
      <c r="BAA196" s="387"/>
      <c r="BAB196" s="387"/>
      <c r="BAC196" s="387"/>
      <c r="BAD196" s="387"/>
      <c r="BAE196" s="387"/>
      <c r="BAF196" s="387"/>
      <c r="BAG196" s="387"/>
      <c r="BAH196" s="387"/>
      <c r="BAI196" s="387"/>
      <c r="BAJ196" s="387"/>
      <c r="BAK196" s="387"/>
      <c r="BAL196" s="387"/>
      <c r="BAM196" s="387"/>
      <c r="BAN196" s="387"/>
      <c r="BAO196" s="387"/>
      <c r="BAP196" s="387"/>
      <c r="BAQ196" s="387"/>
      <c r="BAR196" s="387"/>
      <c r="BAS196" s="387"/>
      <c r="BAT196" s="387"/>
      <c r="BAU196" s="387"/>
      <c r="BAV196" s="387"/>
      <c r="BAW196" s="387"/>
      <c r="BAX196" s="387"/>
      <c r="BAY196" s="387"/>
      <c r="BAZ196" s="387"/>
      <c r="BBA196" s="387"/>
      <c r="BBB196" s="387"/>
      <c r="BBC196" s="387"/>
      <c r="BBD196" s="387"/>
      <c r="BBE196" s="387"/>
      <c r="BBF196" s="387"/>
      <c r="BBG196" s="387"/>
      <c r="BBH196" s="387"/>
      <c r="BBI196" s="387"/>
      <c r="BBJ196" s="387"/>
      <c r="BBK196" s="387"/>
      <c r="BBL196" s="387"/>
      <c r="BBM196" s="387"/>
      <c r="BBN196" s="387"/>
      <c r="BBO196" s="387"/>
      <c r="BBP196" s="387"/>
      <c r="BBQ196" s="387"/>
      <c r="BBR196" s="387"/>
      <c r="BBS196" s="387"/>
      <c r="BBT196" s="387"/>
      <c r="BBU196" s="387"/>
      <c r="BBV196" s="387"/>
      <c r="BBW196" s="387"/>
      <c r="BBX196" s="387"/>
      <c r="BBY196" s="387"/>
      <c r="BBZ196" s="387"/>
      <c r="BCA196" s="387"/>
      <c r="BCB196" s="387"/>
      <c r="BCC196" s="387"/>
      <c r="BCD196" s="387"/>
      <c r="BCE196" s="387"/>
      <c r="BCF196" s="387"/>
      <c r="BCG196" s="387"/>
      <c r="BCH196" s="387"/>
      <c r="BCI196" s="387"/>
      <c r="BCJ196" s="387"/>
      <c r="BCK196" s="387"/>
      <c r="BCL196" s="387"/>
      <c r="BCM196" s="387"/>
      <c r="BCN196" s="387"/>
      <c r="BCO196" s="387"/>
      <c r="BCP196" s="387"/>
      <c r="BCQ196" s="387"/>
      <c r="BCR196" s="387"/>
      <c r="BCS196" s="387"/>
      <c r="BCT196" s="387"/>
      <c r="BCU196" s="387"/>
      <c r="BCV196" s="387"/>
      <c r="BCW196" s="387"/>
      <c r="BCX196" s="387"/>
      <c r="BCY196" s="387"/>
      <c r="BCZ196" s="387"/>
      <c r="BDA196" s="387"/>
      <c r="BDB196" s="387"/>
      <c r="BDC196" s="387"/>
      <c r="BDD196" s="387"/>
      <c r="BDE196" s="387"/>
      <c r="BDF196" s="387"/>
      <c r="BDG196" s="387"/>
      <c r="BDH196" s="387"/>
      <c r="BDI196" s="387"/>
      <c r="BDJ196" s="387"/>
      <c r="BDK196" s="387"/>
      <c r="BDL196" s="387"/>
      <c r="BDM196" s="387"/>
      <c r="BDN196" s="387"/>
      <c r="BDO196" s="387"/>
      <c r="BDP196" s="387"/>
      <c r="BDQ196" s="387"/>
      <c r="BDR196" s="387"/>
      <c r="BDS196" s="387"/>
      <c r="BDT196" s="387"/>
      <c r="BDU196" s="387"/>
      <c r="BDV196" s="387"/>
      <c r="BDW196" s="387"/>
      <c r="BDX196" s="387"/>
      <c r="BDY196" s="387"/>
      <c r="BDZ196" s="387"/>
      <c r="BEA196" s="387"/>
      <c r="BEB196" s="387"/>
      <c r="BEC196" s="387"/>
      <c r="BED196" s="387"/>
      <c r="BEE196" s="387"/>
      <c r="BEF196" s="387"/>
      <c r="BEG196" s="387"/>
      <c r="BEH196" s="387"/>
      <c r="BEI196" s="387"/>
      <c r="BEJ196" s="387"/>
      <c r="BEK196" s="387"/>
      <c r="BEL196" s="387"/>
      <c r="BEM196" s="387"/>
      <c r="BEN196" s="387"/>
      <c r="BEO196" s="387"/>
      <c r="BEP196" s="387"/>
      <c r="BEQ196" s="387"/>
      <c r="BER196" s="387"/>
      <c r="BES196" s="387"/>
      <c r="BET196" s="387"/>
      <c r="BEU196" s="387"/>
      <c r="BEV196" s="387"/>
      <c r="BEW196" s="387"/>
      <c r="BEX196" s="387"/>
      <c r="BEY196" s="387"/>
      <c r="BEZ196" s="387"/>
      <c r="BFA196" s="387"/>
      <c r="BFB196" s="387"/>
      <c r="BFC196" s="387"/>
      <c r="BFD196" s="387"/>
      <c r="BFE196" s="387"/>
      <c r="BFF196" s="387"/>
      <c r="BFG196" s="387"/>
      <c r="BFH196" s="387"/>
      <c r="BFI196" s="387"/>
      <c r="BFJ196" s="387"/>
      <c r="BFK196" s="387"/>
      <c r="BFL196" s="387"/>
      <c r="BFM196" s="387"/>
      <c r="BFN196" s="387"/>
      <c r="BFO196" s="387"/>
      <c r="BFP196" s="387"/>
      <c r="BFQ196" s="387"/>
      <c r="BFR196" s="387"/>
      <c r="BFS196" s="387"/>
      <c r="BFT196" s="387"/>
      <c r="BFU196" s="387"/>
      <c r="BFV196" s="387"/>
      <c r="BFW196" s="387"/>
      <c r="BFX196" s="387"/>
      <c r="BFY196" s="387"/>
      <c r="BFZ196" s="387"/>
      <c r="BGA196" s="387"/>
      <c r="BGB196" s="387"/>
      <c r="BGC196" s="387"/>
      <c r="BGD196" s="387"/>
      <c r="BGE196" s="387"/>
      <c r="BGF196" s="387"/>
      <c r="BGG196" s="387"/>
      <c r="BGH196" s="387"/>
      <c r="BGI196" s="387"/>
      <c r="BGJ196" s="387"/>
      <c r="BGK196" s="387"/>
      <c r="BGL196" s="387"/>
      <c r="BGM196" s="387"/>
      <c r="BGN196" s="387"/>
      <c r="BGO196" s="387"/>
      <c r="BGP196" s="387"/>
      <c r="BGQ196" s="387"/>
      <c r="BGR196" s="387"/>
      <c r="BGS196" s="387"/>
      <c r="BGT196" s="387"/>
      <c r="BGU196" s="387"/>
      <c r="BGV196" s="387"/>
      <c r="BGW196" s="387"/>
      <c r="BGX196" s="387"/>
      <c r="BGY196" s="387"/>
      <c r="BGZ196" s="387"/>
      <c r="BHA196" s="387"/>
      <c r="BHB196" s="387"/>
      <c r="BHC196" s="387"/>
      <c r="BHD196" s="387"/>
      <c r="BHE196" s="387"/>
      <c r="BHF196" s="387"/>
      <c r="BHG196" s="387"/>
      <c r="BHH196" s="387"/>
      <c r="BHI196" s="387"/>
      <c r="BHJ196" s="387"/>
      <c r="BHK196" s="387"/>
      <c r="BHL196" s="387"/>
      <c r="BHM196" s="387"/>
      <c r="BHN196" s="387"/>
      <c r="BHO196" s="387"/>
      <c r="BHP196" s="387"/>
      <c r="BHQ196" s="387"/>
      <c r="BHR196" s="387"/>
      <c r="BHS196" s="387"/>
      <c r="BHT196" s="387"/>
      <c r="BHU196" s="387"/>
      <c r="BHV196" s="387"/>
      <c r="BHW196" s="387"/>
      <c r="BHX196" s="387"/>
      <c r="BHY196" s="387"/>
      <c r="BHZ196" s="387"/>
      <c r="BIA196" s="387"/>
      <c r="BIB196" s="387"/>
      <c r="BIC196" s="387"/>
      <c r="BID196" s="387"/>
      <c r="BIE196" s="387"/>
      <c r="BIF196" s="387"/>
      <c r="BIG196" s="387"/>
      <c r="BIH196" s="387"/>
      <c r="BII196" s="387"/>
      <c r="BIJ196" s="387"/>
      <c r="BIK196" s="387"/>
      <c r="BIL196" s="387"/>
      <c r="BIM196" s="387"/>
      <c r="BIN196" s="387"/>
      <c r="BIO196" s="387"/>
      <c r="BIP196" s="387"/>
      <c r="BIQ196" s="387"/>
      <c r="BIR196" s="387"/>
      <c r="BIS196" s="387"/>
      <c r="BIT196" s="387"/>
      <c r="BIU196" s="387"/>
      <c r="BIV196" s="387"/>
      <c r="BIW196" s="387"/>
      <c r="BIX196" s="387"/>
      <c r="BIY196" s="387"/>
      <c r="BIZ196" s="387"/>
      <c r="BJA196" s="387"/>
      <c r="BJB196" s="387"/>
      <c r="BJC196" s="387"/>
      <c r="BJD196" s="387"/>
      <c r="BJE196" s="387"/>
      <c r="BJF196" s="387"/>
      <c r="BJG196" s="387"/>
      <c r="BJH196" s="387"/>
      <c r="BJI196" s="387"/>
      <c r="BJJ196" s="387"/>
      <c r="BJK196" s="387"/>
      <c r="BJL196" s="387"/>
      <c r="BJM196" s="387"/>
      <c r="BJN196" s="387"/>
      <c r="BJO196" s="387"/>
      <c r="BJP196" s="387"/>
      <c r="BJQ196" s="387"/>
      <c r="BJR196" s="387"/>
      <c r="BJS196" s="387"/>
      <c r="BJT196" s="387"/>
      <c r="BJU196" s="387"/>
      <c r="BJV196" s="387"/>
      <c r="BJW196" s="387"/>
      <c r="BJX196" s="387"/>
      <c r="BJY196" s="387"/>
      <c r="BJZ196" s="387"/>
      <c r="BKA196" s="387"/>
      <c r="BKB196" s="387"/>
      <c r="BKC196" s="387"/>
      <c r="BKD196" s="387"/>
      <c r="BKE196" s="387"/>
      <c r="BKF196" s="387"/>
      <c r="BKG196" s="387"/>
      <c r="BKH196" s="387"/>
      <c r="BKI196" s="387"/>
      <c r="BKJ196" s="387"/>
      <c r="BKK196" s="387"/>
      <c r="BKL196" s="387"/>
      <c r="BKM196" s="387"/>
      <c r="BKN196" s="387"/>
      <c r="BKO196" s="387"/>
      <c r="BKP196" s="387"/>
      <c r="BKQ196" s="387"/>
      <c r="BKR196" s="387"/>
      <c r="BKS196" s="387"/>
      <c r="BKT196" s="387"/>
      <c r="BKU196" s="387"/>
      <c r="BKV196" s="387"/>
      <c r="BKW196" s="387"/>
      <c r="BKX196" s="387"/>
      <c r="BKY196" s="387"/>
      <c r="BKZ196" s="387"/>
      <c r="BLA196" s="387"/>
      <c r="BLB196" s="387"/>
      <c r="BLC196" s="387"/>
      <c r="BLD196" s="387"/>
      <c r="BLE196" s="387"/>
      <c r="BLF196" s="387"/>
      <c r="BLG196" s="387"/>
      <c r="BLH196" s="387"/>
      <c r="BLI196" s="387"/>
      <c r="BLJ196" s="387"/>
      <c r="BLK196" s="387"/>
      <c r="BLL196" s="387"/>
      <c r="BLM196" s="387"/>
      <c r="BLN196" s="387"/>
      <c r="BLO196" s="387"/>
      <c r="BLP196" s="387"/>
      <c r="BLQ196" s="387"/>
      <c r="BLR196" s="387"/>
      <c r="BLS196" s="387"/>
      <c r="BLT196" s="387"/>
      <c r="BLU196" s="387"/>
      <c r="BLV196" s="387"/>
      <c r="BLW196" s="387"/>
      <c r="BLX196" s="387"/>
      <c r="BLY196" s="387"/>
      <c r="BLZ196" s="387"/>
      <c r="BMA196" s="387"/>
      <c r="BMB196" s="387"/>
      <c r="BMC196" s="387"/>
      <c r="BMD196" s="387"/>
      <c r="BME196" s="387"/>
      <c r="BMF196" s="387"/>
      <c r="BMG196" s="387"/>
      <c r="BMH196" s="387"/>
      <c r="BMI196" s="387"/>
      <c r="BMJ196" s="387"/>
      <c r="BMK196" s="387"/>
      <c r="BML196" s="387"/>
      <c r="BMM196" s="387"/>
      <c r="BMN196" s="387"/>
      <c r="BMO196" s="387"/>
      <c r="BMP196" s="387"/>
      <c r="BMQ196" s="387"/>
      <c r="BMR196" s="387"/>
      <c r="BMS196" s="387"/>
      <c r="BMT196" s="387"/>
      <c r="BMU196" s="387"/>
      <c r="BMV196" s="387"/>
      <c r="BMW196" s="387"/>
      <c r="BMX196" s="387"/>
      <c r="BMY196" s="387"/>
      <c r="BMZ196" s="387"/>
      <c r="BNA196" s="387"/>
      <c r="BNB196" s="387"/>
      <c r="BNC196" s="387"/>
      <c r="BND196" s="387"/>
      <c r="BNE196" s="387"/>
      <c r="BNF196" s="387"/>
      <c r="BNG196" s="387"/>
      <c r="BNH196" s="387"/>
      <c r="BNI196" s="387"/>
      <c r="BNJ196" s="387"/>
      <c r="BNK196" s="387"/>
      <c r="BNL196" s="387"/>
      <c r="BNM196" s="387"/>
      <c r="BNN196" s="387"/>
      <c r="BNO196" s="387"/>
      <c r="BNP196" s="387"/>
      <c r="BNQ196" s="387"/>
      <c r="BNR196" s="387"/>
      <c r="BNS196" s="387"/>
      <c r="BNT196" s="387"/>
      <c r="BNU196" s="387"/>
      <c r="BNV196" s="387"/>
      <c r="BNW196" s="387"/>
      <c r="BNX196" s="387"/>
      <c r="BNY196" s="387"/>
      <c r="BNZ196" s="387"/>
      <c r="BOA196" s="387"/>
      <c r="BOB196" s="387"/>
      <c r="BOC196" s="387"/>
      <c r="BOD196" s="387"/>
      <c r="BOE196" s="387"/>
      <c r="BOF196" s="387"/>
      <c r="BOG196" s="387"/>
      <c r="BOH196" s="387"/>
      <c r="BOI196" s="387"/>
      <c r="BOJ196" s="387"/>
      <c r="BOK196" s="387"/>
      <c r="BOL196" s="387"/>
      <c r="BOM196" s="387"/>
      <c r="BON196" s="387"/>
      <c r="BOO196" s="387"/>
      <c r="BOP196" s="387"/>
      <c r="BOQ196" s="387"/>
      <c r="BOR196" s="387"/>
      <c r="BOS196" s="387"/>
      <c r="BOT196" s="387"/>
      <c r="BOU196" s="387"/>
      <c r="BOV196" s="387"/>
      <c r="BOW196" s="387"/>
      <c r="BOX196" s="387"/>
      <c r="BOY196" s="387"/>
      <c r="BOZ196" s="387"/>
      <c r="BPA196" s="387"/>
      <c r="BPB196" s="387"/>
      <c r="BPC196" s="387"/>
      <c r="BPD196" s="387"/>
      <c r="BPE196" s="387"/>
      <c r="BPF196" s="387"/>
      <c r="BPG196" s="387"/>
      <c r="BPH196" s="387"/>
      <c r="BPI196" s="387"/>
      <c r="BPJ196" s="387"/>
      <c r="BPK196" s="387"/>
      <c r="BPL196" s="387"/>
      <c r="BPM196" s="387"/>
      <c r="BPN196" s="387"/>
      <c r="BPO196" s="387"/>
      <c r="BPP196" s="387"/>
      <c r="BPQ196" s="387"/>
      <c r="BPR196" s="387"/>
      <c r="BPS196" s="387"/>
      <c r="BPT196" s="387"/>
      <c r="BPU196" s="387"/>
      <c r="BPV196" s="387"/>
      <c r="BPW196" s="387"/>
      <c r="BPX196" s="387"/>
      <c r="BPY196" s="387"/>
      <c r="BPZ196" s="387"/>
      <c r="BQA196" s="387"/>
      <c r="BQB196" s="387"/>
      <c r="BQC196" s="387"/>
      <c r="BQD196" s="387"/>
      <c r="BQE196" s="387"/>
      <c r="BQF196" s="387"/>
      <c r="BQG196" s="387"/>
      <c r="BQH196" s="387"/>
      <c r="BQI196" s="387"/>
      <c r="BQJ196" s="387"/>
      <c r="BQK196" s="387"/>
      <c r="BQL196" s="387"/>
      <c r="BQM196" s="387"/>
      <c r="BQN196" s="387"/>
      <c r="BQO196" s="387"/>
      <c r="BQP196" s="387"/>
      <c r="BQQ196" s="387"/>
      <c r="BQR196" s="387"/>
      <c r="BQS196" s="387"/>
      <c r="BQT196" s="387"/>
      <c r="BQU196" s="387"/>
      <c r="BQV196" s="387"/>
      <c r="BQW196" s="387"/>
      <c r="BQX196" s="387"/>
      <c r="BQY196" s="387"/>
      <c r="BQZ196" s="387"/>
      <c r="BRA196" s="387"/>
      <c r="BRB196" s="387"/>
      <c r="BRC196" s="387"/>
      <c r="BRD196" s="387"/>
      <c r="BRE196" s="387"/>
      <c r="BRF196" s="387"/>
      <c r="BRG196" s="387"/>
      <c r="BRH196" s="387"/>
      <c r="BRI196" s="387"/>
      <c r="BRJ196" s="387"/>
      <c r="BRK196" s="387"/>
      <c r="BRL196" s="387"/>
      <c r="BRM196" s="387"/>
      <c r="BRN196" s="387"/>
      <c r="BRO196" s="387"/>
      <c r="BRP196" s="387"/>
      <c r="BRQ196" s="387"/>
      <c r="BRR196" s="387"/>
      <c r="BRS196" s="387"/>
      <c r="BRT196" s="387"/>
      <c r="BRU196" s="387"/>
      <c r="BRV196" s="387"/>
      <c r="BRW196" s="387"/>
      <c r="BRX196" s="387"/>
      <c r="BRY196" s="387"/>
      <c r="BRZ196" s="387"/>
      <c r="BSA196" s="387"/>
      <c r="BSB196" s="387"/>
      <c r="BSC196" s="387"/>
      <c r="BSD196" s="387"/>
      <c r="BSE196" s="387"/>
      <c r="BSF196" s="387"/>
      <c r="BSG196" s="387"/>
      <c r="BSH196" s="387"/>
      <c r="BSI196" s="387"/>
      <c r="BSJ196" s="387"/>
      <c r="BSK196" s="387"/>
      <c r="BSL196" s="387"/>
      <c r="BSM196" s="387"/>
      <c r="BSN196" s="387"/>
      <c r="BSO196" s="387"/>
      <c r="BSP196" s="387"/>
      <c r="BSQ196" s="387"/>
      <c r="BSR196" s="387"/>
      <c r="BSS196" s="387"/>
      <c r="BST196" s="387"/>
      <c r="BSU196" s="387"/>
      <c r="BSV196" s="387"/>
      <c r="BSW196" s="387"/>
      <c r="BSX196" s="387"/>
      <c r="BSY196" s="387"/>
      <c r="BSZ196" s="387"/>
      <c r="BTA196" s="387"/>
      <c r="BTB196" s="387"/>
      <c r="BTC196" s="387"/>
      <c r="BTD196" s="387"/>
      <c r="BTE196" s="387"/>
      <c r="BTF196" s="387"/>
      <c r="BTG196" s="387"/>
      <c r="BTH196" s="387"/>
      <c r="BTI196" s="387"/>
    </row>
    <row r="197" spans="1:1881" s="61" customFormat="1" ht="74.25" customHeight="1" x14ac:dyDescent="0.25">
      <c r="A197" s="186">
        <v>343</v>
      </c>
      <c r="B197" s="62" t="s">
        <v>79</v>
      </c>
      <c r="C197" s="157" t="s">
        <v>636</v>
      </c>
      <c r="D197" s="173" t="s">
        <v>230</v>
      </c>
      <c r="E197" s="683" t="e">
        <f>HLOOKUP('Unit Data from Audit Worksheet'!$D$2,'2019 Data(H)'!$D$1:$BB$202,70,FALSE)</f>
        <v>#N/A</v>
      </c>
      <c r="F197" s="560"/>
      <c r="G197" s="552">
        <f>IF(F197&lt;0,"Error: Enter as positive.",)</f>
        <v>0</v>
      </c>
      <c r="H197" s="14"/>
      <c r="I197" s="31"/>
      <c r="J197" s="387"/>
      <c r="K197" s="387"/>
      <c r="M197" s="358"/>
      <c r="N197"/>
      <c r="R197"/>
      <c r="S197" s="682"/>
      <c r="X197" s="684"/>
    </row>
    <row r="198" spans="1:1881" ht="231.75" customHeight="1" x14ac:dyDescent="0.25">
      <c r="A198" s="186">
        <v>82</v>
      </c>
      <c r="B198" s="62" t="s">
        <v>84</v>
      </c>
      <c r="C198" s="157" t="s">
        <v>523</v>
      </c>
      <c r="D198" s="163" t="s">
        <v>534</v>
      </c>
      <c r="E198" s="683" t="e">
        <f>HLOOKUP('Unit Data from Audit Worksheet'!$D$2,'2019 Data(H)'!$D$1:$BB$202,27,FALSE)</f>
        <v>#N/A</v>
      </c>
      <c r="F198" s="560"/>
      <c r="G198" s="552">
        <f>IF(F198&lt;0,"Error: Enter as positive.",)</f>
        <v>0</v>
      </c>
      <c r="H198" s="14"/>
      <c r="I198" s="16"/>
      <c r="S198" s="682"/>
      <c r="X198" s="682"/>
    </row>
    <row r="199" spans="1:1881" s="312" customFormat="1" ht="239.25" customHeight="1" x14ac:dyDescent="0.25">
      <c r="A199" s="186">
        <v>359</v>
      </c>
      <c r="B199" s="62" t="s">
        <v>79</v>
      </c>
      <c r="C199" s="157" t="s">
        <v>524</v>
      </c>
      <c r="D199" s="163" t="s">
        <v>532</v>
      </c>
      <c r="E199" s="683" t="e">
        <f>HLOOKUP('Unit Data from Audit Worksheet'!$D$2,'2019 Data(H)'!$D$1:$BB$202,79,FALSE)</f>
        <v>#N/A</v>
      </c>
      <c r="F199" s="560"/>
      <c r="G199" s="552">
        <f>IF(F199&lt;0,"Error: Enter as positive.",)</f>
        <v>0</v>
      </c>
      <c r="H199" s="14"/>
      <c r="I199" s="16"/>
      <c r="J199" s="362"/>
      <c r="K199" s="387"/>
      <c r="L199" s="356" t="str">
        <f>IF(ISBLANK(K197),"",IF(ISBLANK(K198),"",IF(K199=M199,"","Please review percentage")))</f>
        <v/>
      </c>
      <c r="M199" s="387"/>
      <c r="N199"/>
      <c r="O199" s="387"/>
      <c r="P199" s="387"/>
      <c r="Q199" s="387"/>
      <c r="R199"/>
      <c r="S199" s="682"/>
      <c r="T199" s="387"/>
      <c r="U199" s="387"/>
      <c r="V199" s="387"/>
      <c r="W199" s="387"/>
      <c r="X199" s="682"/>
      <c r="Y199" s="387"/>
      <c r="Z199" s="387"/>
      <c r="AA199" s="387"/>
      <c r="AB199" s="387"/>
      <c r="AC199" s="387"/>
      <c r="AD199" s="387"/>
      <c r="AE199" s="387"/>
      <c r="AF199" s="387"/>
      <c r="AG199" s="387"/>
      <c r="AH199" s="387"/>
      <c r="AI199" s="387"/>
      <c r="AJ199" s="387"/>
      <c r="AK199" s="387"/>
      <c r="AL199" s="387"/>
      <c r="AM199" s="387"/>
      <c r="AN199" s="387"/>
      <c r="AO199" s="387"/>
      <c r="AP199" s="387"/>
      <c r="AQ199" s="387"/>
      <c r="AR199" s="387"/>
      <c r="AS199" s="387"/>
      <c r="AT199" s="387"/>
      <c r="AU199" s="387"/>
      <c r="AV199" s="387"/>
      <c r="AW199" s="387"/>
      <c r="AX199" s="387"/>
      <c r="AY199" s="387"/>
      <c r="AZ199" s="387"/>
      <c r="BA199" s="387"/>
      <c r="BB199" s="387"/>
      <c r="BC199" s="387"/>
      <c r="BD199" s="387"/>
      <c r="BE199" s="387"/>
      <c r="BF199" s="387"/>
      <c r="BG199" s="387"/>
      <c r="BH199" s="387"/>
      <c r="BI199" s="387"/>
      <c r="BJ199" s="387"/>
      <c r="BK199" s="387"/>
      <c r="BL199" s="387"/>
      <c r="BM199" s="387"/>
      <c r="BN199" s="387"/>
      <c r="BO199" s="387"/>
      <c r="BP199" s="387"/>
      <c r="BQ199" s="387"/>
      <c r="BR199" s="387"/>
      <c r="BS199" s="387"/>
      <c r="BT199" s="387"/>
      <c r="BU199" s="387"/>
      <c r="BV199" s="387"/>
      <c r="BW199" s="387"/>
      <c r="BX199" s="387"/>
      <c r="BY199" s="387"/>
      <c r="BZ199" s="387"/>
      <c r="CA199" s="387"/>
      <c r="CB199" s="387"/>
      <c r="CC199" s="387"/>
      <c r="CD199" s="387"/>
      <c r="CE199" s="387"/>
      <c r="CF199" s="387"/>
      <c r="CG199" s="387"/>
      <c r="CH199" s="387"/>
      <c r="CI199" s="387"/>
      <c r="CJ199" s="387"/>
      <c r="CK199" s="387"/>
      <c r="CL199" s="387"/>
      <c r="CM199" s="387"/>
      <c r="CN199" s="387"/>
      <c r="CO199" s="387"/>
      <c r="CP199" s="387"/>
      <c r="CQ199" s="387"/>
      <c r="CR199" s="387"/>
      <c r="CS199" s="387"/>
      <c r="CT199" s="387"/>
      <c r="CU199" s="387"/>
      <c r="CV199" s="387"/>
      <c r="CW199" s="387"/>
      <c r="CX199" s="387"/>
      <c r="CY199" s="387"/>
      <c r="CZ199" s="387"/>
      <c r="DA199" s="387"/>
      <c r="DB199" s="387"/>
      <c r="DC199" s="387"/>
      <c r="DD199" s="387"/>
      <c r="DE199" s="387"/>
      <c r="DF199" s="387"/>
      <c r="DG199" s="387"/>
      <c r="DH199" s="387"/>
      <c r="DI199" s="387"/>
      <c r="DJ199" s="387"/>
      <c r="DK199" s="387"/>
      <c r="DL199" s="387"/>
      <c r="DM199" s="387"/>
      <c r="DN199" s="387"/>
      <c r="DO199" s="387"/>
      <c r="DP199" s="387"/>
      <c r="DQ199" s="387"/>
      <c r="DR199" s="387"/>
      <c r="DS199" s="387"/>
      <c r="DT199" s="387"/>
      <c r="DU199" s="387"/>
      <c r="DV199" s="387"/>
      <c r="DW199" s="387"/>
      <c r="DX199" s="387"/>
      <c r="DY199" s="387"/>
      <c r="DZ199" s="387"/>
      <c r="EA199" s="387"/>
      <c r="EB199" s="387"/>
      <c r="EC199" s="387"/>
      <c r="ED199" s="387"/>
      <c r="EE199" s="387"/>
      <c r="EF199" s="387"/>
      <c r="EG199" s="387"/>
      <c r="EH199" s="387"/>
      <c r="EI199" s="387"/>
      <c r="EJ199" s="387"/>
      <c r="EK199" s="387"/>
      <c r="EL199" s="387"/>
      <c r="EM199" s="387"/>
      <c r="EN199" s="387"/>
      <c r="EO199" s="387"/>
      <c r="EP199" s="387"/>
      <c r="EQ199" s="387"/>
      <c r="ER199" s="387"/>
      <c r="ES199" s="387"/>
      <c r="ET199" s="387"/>
      <c r="EU199" s="387"/>
      <c r="EV199" s="387"/>
      <c r="EW199" s="387"/>
      <c r="EX199" s="387"/>
      <c r="EY199" s="387"/>
      <c r="EZ199" s="387"/>
      <c r="FA199" s="387"/>
      <c r="FB199" s="387"/>
      <c r="FC199" s="387"/>
      <c r="FD199" s="387"/>
      <c r="FE199" s="387"/>
      <c r="FF199" s="387"/>
      <c r="FG199" s="387"/>
      <c r="FH199" s="387"/>
      <c r="FI199" s="387"/>
      <c r="FJ199" s="387"/>
      <c r="FK199" s="387"/>
      <c r="FL199" s="387"/>
      <c r="FM199" s="387"/>
      <c r="FN199" s="387"/>
      <c r="FO199" s="387"/>
      <c r="FP199" s="387"/>
      <c r="FQ199" s="387"/>
      <c r="FR199" s="387"/>
      <c r="FS199" s="387"/>
      <c r="FT199" s="387"/>
      <c r="FU199" s="387"/>
      <c r="FV199" s="387"/>
      <c r="FW199" s="387"/>
      <c r="FX199" s="387"/>
      <c r="FY199" s="387"/>
      <c r="FZ199" s="387"/>
      <c r="GA199" s="387"/>
      <c r="GB199" s="387"/>
      <c r="GC199" s="387"/>
      <c r="GD199" s="387"/>
      <c r="GE199" s="387"/>
      <c r="GF199" s="387"/>
      <c r="GG199" s="387"/>
      <c r="GH199" s="387"/>
      <c r="GI199" s="387"/>
      <c r="GJ199" s="387"/>
      <c r="GK199" s="387"/>
      <c r="GL199" s="387"/>
      <c r="GM199" s="387"/>
      <c r="GN199" s="387"/>
      <c r="GO199" s="387"/>
      <c r="GP199" s="387"/>
      <c r="GQ199" s="387"/>
      <c r="GR199" s="387"/>
      <c r="GS199" s="387"/>
      <c r="GT199" s="387"/>
      <c r="GU199" s="387"/>
      <c r="GV199" s="387"/>
      <c r="GW199" s="387"/>
      <c r="GX199" s="387"/>
      <c r="GY199" s="387"/>
      <c r="GZ199" s="387"/>
      <c r="HA199" s="387"/>
      <c r="HB199" s="387"/>
      <c r="HC199" s="387"/>
      <c r="HD199" s="387"/>
      <c r="HE199" s="387"/>
      <c r="HF199" s="387"/>
      <c r="HG199" s="387"/>
      <c r="HH199" s="387"/>
      <c r="HI199" s="387"/>
      <c r="HJ199" s="387"/>
      <c r="HK199" s="387"/>
      <c r="HL199" s="387"/>
      <c r="HM199" s="387"/>
      <c r="HN199" s="387"/>
      <c r="HO199" s="387"/>
      <c r="HP199" s="387"/>
      <c r="HQ199" s="387"/>
      <c r="HR199" s="387"/>
      <c r="HS199" s="387"/>
      <c r="HT199" s="387"/>
      <c r="HU199" s="387"/>
      <c r="HV199" s="387"/>
      <c r="HW199" s="387"/>
      <c r="HX199" s="387"/>
      <c r="HY199" s="387"/>
      <c r="HZ199" s="387"/>
      <c r="IA199" s="387"/>
      <c r="IB199" s="387"/>
      <c r="IC199" s="387"/>
      <c r="ID199" s="387"/>
      <c r="IE199" s="387"/>
      <c r="IF199" s="387"/>
      <c r="IG199" s="387"/>
      <c r="IH199" s="387"/>
      <c r="II199" s="387"/>
      <c r="IJ199" s="387"/>
      <c r="IK199" s="387"/>
      <c r="IL199" s="387"/>
      <c r="IM199" s="387"/>
      <c r="IN199" s="387"/>
      <c r="IO199" s="387"/>
      <c r="IP199" s="387"/>
      <c r="IQ199" s="387"/>
      <c r="IR199" s="387"/>
      <c r="IS199" s="387"/>
      <c r="IT199" s="387"/>
      <c r="IU199" s="387"/>
      <c r="IV199" s="387"/>
      <c r="IW199" s="387"/>
      <c r="IX199" s="387"/>
      <c r="IY199" s="387"/>
      <c r="IZ199" s="387"/>
      <c r="JA199" s="387"/>
      <c r="JB199" s="387"/>
      <c r="JC199" s="387"/>
      <c r="JD199" s="387"/>
      <c r="JE199" s="387"/>
      <c r="JF199" s="387"/>
      <c r="JG199" s="387"/>
      <c r="JH199" s="387"/>
      <c r="JI199" s="387"/>
      <c r="JJ199" s="387"/>
      <c r="JK199" s="387"/>
      <c r="JL199" s="387"/>
      <c r="JM199" s="387"/>
      <c r="JN199" s="387"/>
      <c r="JO199" s="387"/>
      <c r="JP199" s="387"/>
      <c r="JQ199" s="387"/>
      <c r="JR199" s="387"/>
      <c r="JS199" s="387"/>
      <c r="JT199" s="387"/>
      <c r="JU199" s="387"/>
      <c r="JV199" s="387"/>
      <c r="JW199" s="387"/>
      <c r="JX199" s="387"/>
      <c r="JY199" s="387"/>
      <c r="JZ199" s="387"/>
      <c r="KA199" s="387"/>
      <c r="KB199" s="387"/>
      <c r="KC199" s="387"/>
      <c r="KD199" s="387"/>
      <c r="KE199" s="387"/>
      <c r="KF199" s="387"/>
      <c r="KG199" s="387"/>
      <c r="KH199" s="387"/>
      <c r="KI199" s="387"/>
      <c r="KJ199" s="387"/>
      <c r="KK199" s="387"/>
      <c r="KL199" s="387"/>
      <c r="KM199" s="387"/>
      <c r="KN199" s="387"/>
      <c r="KO199" s="387"/>
      <c r="KP199" s="387"/>
      <c r="KQ199" s="387"/>
      <c r="KR199" s="387"/>
      <c r="KS199" s="387"/>
      <c r="KT199" s="387"/>
      <c r="KU199" s="387"/>
      <c r="KV199" s="387"/>
      <c r="KW199" s="387"/>
      <c r="KX199" s="387"/>
      <c r="KY199" s="387"/>
      <c r="KZ199" s="387"/>
      <c r="LA199" s="387"/>
      <c r="LB199" s="387"/>
      <c r="LC199" s="387"/>
      <c r="LD199" s="387"/>
      <c r="LE199" s="387"/>
      <c r="LF199" s="387"/>
      <c r="LG199" s="387"/>
      <c r="LH199" s="387"/>
      <c r="LI199" s="387"/>
      <c r="LJ199" s="387"/>
      <c r="LK199" s="387"/>
      <c r="LL199" s="387"/>
      <c r="LM199" s="387"/>
      <c r="LN199" s="387"/>
      <c r="LO199" s="387"/>
      <c r="LP199" s="387"/>
      <c r="LQ199" s="387"/>
      <c r="LR199" s="387"/>
      <c r="LS199" s="387"/>
      <c r="LT199" s="387"/>
      <c r="LU199" s="387"/>
      <c r="LV199" s="387"/>
      <c r="LW199" s="387"/>
      <c r="LX199" s="387"/>
      <c r="LY199" s="387"/>
      <c r="LZ199" s="387"/>
      <c r="MA199" s="387"/>
      <c r="MB199" s="387"/>
      <c r="MC199" s="387"/>
      <c r="MD199" s="387"/>
      <c r="ME199" s="387"/>
      <c r="MF199" s="387"/>
      <c r="MG199" s="387"/>
      <c r="MH199" s="387"/>
      <c r="MI199" s="387"/>
      <c r="MJ199" s="387"/>
      <c r="MK199" s="387"/>
      <c r="ML199" s="387"/>
      <c r="MM199" s="387"/>
      <c r="MN199" s="387"/>
      <c r="MO199" s="387"/>
      <c r="MP199" s="387"/>
      <c r="MQ199" s="387"/>
      <c r="MR199" s="387"/>
      <c r="MS199" s="387"/>
      <c r="MT199" s="387"/>
      <c r="MU199" s="387"/>
      <c r="MV199" s="387"/>
      <c r="MW199" s="387"/>
      <c r="MX199" s="387"/>
      <c r="MY199" s="387"/>
      <c r="MZ199" s="387"/>
      <c r="NA199" s="387"/>
      <c r="NB199" s="387"/>
      <c r="NC199" s="387"/>
      <c r="ND199" s="387"/>
      <c r="NE199" s="387"/>
      <c r="NF199" s="387"/>
      <c r="NG199" s="387"/>
      <c r="NH199" s="387"/>
      <c r="NI199" s="387"/>
      <c r="NJ199" s="387"/>
      <c r="NK199" s="387"/>
      <c r="NL199" s="387"/>
      <c r="NM199" s="387"/>
      <c r="NN199" s="387"/>
      <c r="NO199" s="387"/>
      <c r="NP199" s="387"/>
      <c r="NQ199" s="387"/>
      <c r="NR199" s="387"/>
      <c r="NS199" s="387"/>
      <c r="NT199" s="387"/>
      <c r="NU199" s="387"/>
      <c r="NV199" s="387"/>
      <c r="NW199" s="387"/>
      <c r="NX199" s="387"/>
      <c r="NY199" s="387"/>
      <c r="NZ199" s="387"/>
      <c r="OA199" s="387"/>
      <c r="OB199" s="387"/>
      <c r="OC199" s="387"/>
      <c r="OD199" s="387"/>
      <c r="OE199" s="387"/>
      <c r="OF199" s="387"/>
      <c r="OG199" s="387"/>
      <c r="OH199" s="387"/>
      <c r="OI199" s="387"/>
      <c r="OJ199" s="387"/>
      <c r="OK199" s="387"/>
      <c r="OL199" s="387"/>
      <c r="OM199" s="387"/>
      <c r="ON199" s="387"/>
      <c r="OO199" s="387"/>
      <c r="OP199" s="387"/>
      <c r="OQ199" s="387"/>
      <c r="OR199" s="387"/>
      <c r="OS199" s="387"/>
      <c r="OT199" s="387"/>
      <c r="OU199" s="387"/>
      <c r="OV199" s="387"/>
      <c r="OW199" s="387"/>
      <c r="OX199" s="387"/>
      <c r="OY199" s="387"/>
      <c r="OZ199" s="387"/>
      <c r="PA199" s="387"/>
      <c r="PB199" s="387"/>
      <c r="PC199" s="387"/>
      <c r="PD199" s="387"/>
      <c r="PE199" s="387"/>
      <c r="PF199" s="387"/>
      <c r="PG199" s="387"/>
      <c r="PH199" s="387"/>
      <c r="PI199" s="387"/>
      <c r="PJ199" s="387"/>
      <c r="PK199" s="387"/>
      <c r="PL199" s="387"/>
      <c r="PM199" s="387"/>
      <c r="PN199" s="387"/>
      <c r="PO199" s="387"/>
      <c r="PP199" s="387"/>
      <c r="PQ199" s="387"/>
      <c r="PR199" s="387"/>
      <c r="PS199" s="387"/>
      <c r="PT199" s="387"/>
      <c r="PU199" s="387"/>
      <c r="PV199" s="387"/>
      <c r="PW199" s="387"/>
      <c r="PX199" s="387"/>
      <c r="PY199" s="387"/>
      <c r="PZ199" s="387"/>
      <c r="QA199" s="387"/>
      <c r="QB199" s="387"/>
      <c r="QC199" s="387"/>
      <c r="QD199" s="387"/>
      <c r="QE199" s="387"/>
      <c r="QF199" s="387"/>
      <c r="QG199" s="387"/>
      <c r="QH199" s="387"/>
      <c r="QI199" s="387"/>
      <c r="QJ199" s="387"/>
      <c r="QK199" s="387"/>
      <c r="QL199" s="387"/>
      <c r="QM199" s="387"/>
      <c r="QN199" s="387"/>
      <c r="QO199" s="387"/>
      <c r="QP199" s="387"/>
      <c r="QQ199" s="387"/>
      <c r="QR199" s="387"/>
      <c r="QS199" s="387"/>
      <c r="QT199" s="387"/>
      <c r="QU199" s="387"/>
      <c r="QV199" s="387"/>
      <c r="QW199" s="387"/>
      <c r="QX199" s="387"/>
      <c r="QY199" s="387"/>
      <c r="QZ199" s="387"/>
      <c r="RA199" s="387"/>
      <c r="RB199" s="387"/>
      <c r="RC199" s="387"/>
      <c r="RD199" s="387"/>
      <c r="RE199" s="387"/>
      <c r="RF199" s="387"/>
      <c r="RG199" s="387"/>
      <c r="RH199" s="387"/>
      <c r="RI199" s="387"/>
      <c r="RJ199" s="387"/>
      <c r="RK199" s="387"/>
      <c r="RL199" s="387"/>
      <c r="RM199" s="387"/>
      <c r="RN199" s="387"/>
      <c r="RO199" s="387"/>
      <c r="RP199" s="387"/>
      <c r="RQ199" s="387"/>
      <c r="RR199" s="387"/>
      <c r="RS199" s="387"/>
      <c r="RT199" s="387"/>
      <c r="RU199" s="387"/>
      <c r="RV199" s="387"/>
      <c r="RW199" s="387"/>
      <c r="RX199" s="387"/>
      <c r="RY199" s="387"/>
      <c r="RZ199" s="387"/>
      <c r="SA199" s="387"/>
      <c r="SB199" s="387"/>
      <c r="SC199" s="387"/>
      <c r="SD199" s="387"/>
      <c r="SE199" s="387"/>
      <c r="SF199" s="387"/>
      <c r="SG199" s="387"/>
      <c r="SH199" s="387"/>
      <c r="SI199" s="387"/>
      <c r="SJ199" s="387"/>
      <c r="SK199" s="387"/>
      <c r="SL199" s="387"/>
      <c r="SM199" s="387"/>
      <c r="SN199" s="387"/>
      <c r="SO199" s="387"/>
      <c r="SP199" s="387"/>
      <c r="SQ199" s="387"/>
      <c r="SR199" s="387"/>
      <c r="SS199" s="387"/>
      <c r="ST199" s="387"/>
      <c r="SU199" s="387"/>
      <c r="SV199" s="387"/>
      <c r="SW199" s="387"/>
      <c r="SX199" s="387"/>
      <c r="SY199" s="387"/>
      <c r="SZ199" s="387"/>
      <c r="TA199" s="387"/>
      <c r="TB199" s="387"/>
      <c r="TC199" s="387"/>
      <c r="TD199" s="387"/>
      <c r="TE199" s="387"/>
      <c r="TF199" s="387"/>
      <c r="TG199" s="387"/>
      <c r="TH199" s="387"/>
      <c r="TI199" s="387"/>
      <c r="TJ199" s="387"/>
      <c r="TK199" s="387"/>
      <c r="TL199" s="387"/>
      <c r="TM199" s="387"/>
      <c r="TN199" s="387"/>
      <c r="TO199" s="387"/>
      <c r="TP199" s="387"/>
      <c r="TQ199" s="387"/>
      <c r="TR199" s="387"/>
      <c r="TS199" s="387"/>
      <c r="TT199" s="387"/>
      <c r="TU199" s="387"/>
      <c r="TV199" s="387"/>
      <c r="TW199" s="387"/>
      <c r="TX199" s="387"/>
      <c r="TY199" s="387"/>
      <c r="TZ199" s="387"/>
      <c r="UA199" s="387"/>
      <c r="UB199" s="387"/>
      <c r="UC199" s="387"/>
      <c r="UD199" s="387"/>
      <c r="UE199" s="387"/>
      <c r="UF199" s="387"/>
      <c r="UG199" s="387"/>
      <c r="UH199" s="387"/>
      <c r="UI199" s="387"/>
      <c r="UJ199" s="387"/>
      <c r="UK199" s="387"/>
      <c r="UL199" s="387"/>
      <c r="UM199" s="387"/>
      <c r="UN199" s="387"/>
      <c r="UO199" s="387"/>
      <c r="UP199" s="387"/>
      <c r="UQ199" s="387"/>
      <c r="UR199" s="387"/>
      <c r="US199" s="387"/>
      <c r="UT199" s="387"/>
      <c r="UU199" s="387"/>
      <c r="UV199" s="387"/>
      <c r="UW199" s="387"/>
      <c r="UX199" s="387"/>
      <c r="UY199" s="387"/>
      <c r="UZ199" s="387"/>
      <c r="VA199" s="387"/>
      <c r="VB199" s="387"/>
      <c r="VC199" s="387"/>
      <c r="VD199" s="387"/>
      <c r="VE199" s="387"/>
      <c r="VF199" s="387"/>
      <c r="VG199" s="387"/>
      <c r="VH199" s="387"/>
      <c r="VI199" s="387"/>
      <c r="VJ199" s="387"/>
      <c r="VK199" s="387"/>
      <c r="VL199" s="387"/>
      <c r="VM199" s="387"/>
      <c r="VN199" s="387"/>
      <c r="VO199" s="387"/>
      <c r="VP199" s="387"/>
      <c r="VQ199" s="387"/>
      <c r="VR199" s="387"/>
      <c r="VS199" s="387"/>
      <c r="VT199" s="387"/>
      <c r="VU199" s="387"/>
      <c r="VV199" s="387"/>
      <c r="VW199" s="387"/>
      <c r="VX199" s="387"/>
      <c r="VY199" s="387"/>
      <c r="VZ199" s="387"/>
      <c r="WA199" s="387"/>
      <c r="WB199" s="387"/>
      <c r="WC199" s="387"/>
      <c r="WD199" s="387"/>
      <c r="WE199" s="387"/>
      <c r="WF199" s="387"/>
      <c r="WG199" s="387"/>
      <c r="WH199" s="387"/>
      <c r="WI199" s="387"/>
      <c r="WJ199" s="387"/>
      <c r="WK199" s="387"/>
      <c r="WL199" s="387"/>
      <c r="WM199" s="387"/>
      <c r="WN199" s="387"/>
      <c r="WO199" s="387"/>
      <c r="WP199" s="387"/>
      <c r="WQ199" s="387"/>
      <c r="WR199" s="387"/>
      <c r="WS199" s="387"/>
      <c r="WT199" s="387"/>
      <c r="WU199" s="387"/>
      <c r="WV199" s="387"/>
      <c r="WW199" s="387"/>
      <c r="WX199" s="387"/>
      <c r="WY199" s="387"/>
      <c r="WZ199" s="387"/>
      <c r="XA199" s="387"/>
      <c r="XB199" s="387"/>
      <c r="XC199" s="387"/>
      <c r="XD199" s="387"/>
      <c r="XE199" s="387"/>
      <c r="XF199" s="387"/>
      <c r="XG199" s="387"/>
      <c r="XH199" s="387"/>
      <c r="XI199" s="387"/>
      <c r="XJ199" s="387"/>
      <c r="XK199" s="387"/>
      <c r="XL199" s="387"/>
      <c r="XM199" s="387"/>
      <c r="XN199" s="387"/>
      <c r="XO199" s="387"/>
      <c r="XP199" s="387"/>
      <c r="XQ199" s="387"/>
      <c r="XR199" s="387"/>
      <c r="XS199" s="387"/>
      <c r="XT199" s="387"/>
      <c r="XU199" s="387"/>
      <c r="XV199" s="387"/>
      <c r="XW199" s="387"/>
      <c r="XX199" s="387"/>
      <c r="XY199" s="387"/>
      <c r="XZ199" s="387"/>
      <c r="YA199" s="387"/>
      <c r="YB199" s="387"/>
      <c r="YC199" s="387"/>
      <c r="YD199" s="387"/>
      <c r="YE199" s="387"/>
      <c r="YF199" s="387"/>
      <c r="YG199" s="387"/>
      <c r="YH199" s="387"/>
      <c r="YI199" s="387"/>
      <c r="YJ199" s="387"/>
      <c r="YK199" s="387"/>
      <c r="YL199" s="387"/>
      <c r="YM199" s="387"/>
      <c r="YN199" s="387"/>
      <c r="YO199" s="387"/>
      <c r="YP199" s="387"/>
      <c r="YQ199" s="387"/>
      <c r="YR199" s="387"/>
      <c r="YS199" s="387"/>
      <c r="YT199" s="387"/>
      <c r="YU199" s="387"/>
      <c r="YV199" s="387"/>
      <c r="YW199" s="387"/>
      <c r="YX199" s="387"/>
      <c r="YY199" s="387"/>
      <c r="YZ199" s="387"/>
      <c r="ZA199" s="387"/>
      <c r="ZB199" s="387"/>
      <c r="ZC199" s="387"/>
      <c r="ZD199" s="387"/>
      <c r="ZE199" s="387"/>
      <c r="ZF199" s="387"/>
      <c r="ZG199" s="387"/>
      <c r="ZH199" s="387"/>
      <c r="ZI199" s="387"/>
      <c r="ZJ199" s="387"/>
      <c r="ZK199" s="387"/>
      <c r="ZL199" s="387"/>
      <c r="ZM199" s="387"/>
      <c r="ZN199" s="387"/>
      <c r="ZO199" s="387"/>
      <c r="ZP199" s="387"/>
      <c r="ZQ199" s="387"/>
      <c r="ZR199" s="387"/>
      <c r="ZS199" s="387"/>
      <c r="ZT199" s="387"/>
      <c r="ZU199" s="387"/>
      <c r="ZV199" s="387"/>
      <c r="ZW199" s="387"/>
      <c r="ZX199" s="387"/>
      <c r="ZY199" s="387"/>
      <c r="ZZ199" s="387"/>
      <c r="AAA199" s="387"/>
      <c r="AAB199" s="387"/>
      <c r="AAC199" s="387"/>
      <c r="AAD199" s="387"/>
      <c r="AAE199" s="387"/>
      <c r="AAF199" s="387"/>
      <c r="AAG199" s="387"/>
      <c r="AAH199" s="387"/>
      <c r="AAI199" s="387"/>
      <c r="AAJ199" s="387"/>
      <c r="AAK199" s="387"/>
      <c r="AAL199" s="387"/>
      <c r="AAM199" s="387"/>
      <c r="AAN199" s="387"/>
      <c r="AAO199" s="387"/>
      <c r="AAP199" s="387"/>
      <c r="AAQ199" s="387"/>
      <c r="AAR199" s="387"/>
      <c r="AAS199" s="387"/>
      <c r="AAT199" s="387"/>
      <c r="AAU199" s="387"/>
      <c r="AAV199" s="387"/>
      <c r="AAW199" s="387"/>
      <c r="AAX199" s="387"/>
      <c r="AAY199" s="387"/>
      <c r="AAZ199" s="387"/>
      <c r="ABA199" s="387"/>
      <c r="ABB199" s="387"/>
      <c r="ABC199" s="387"/>
      <c r="ABD199" s="387"/>
      <c r="ABE199" s="387"/>
      <c r="ABF199" s="387"/>
      <c r="ABG199" s="387"/>
      <c r="ABH199" s="387"/>
      <c r="ABI199" s="387"/>
      <c r="ABJ199" s="387"/>
      <c r="ABK199" s="387"/>
      <c r="ABL199" s="387"/>
      <c r="ABM199" s="387"/>
      <c r="ABN199" s="387"/>
      <c r="ABO199" s="387"/>
      <c r="ABP199" s="387"/>
      <c r="ABQ199" s="387"/>
      <c r="ABR199" s="387"/>
      <c r="ABS199" s="387"/>
      <c r="ABT199" s="387"/>
      <c r="ABU199" s="387"/>
      <c r="ABV199" s="387"/>
      <c r="ABW199" s="387"/>
      <c r="ABX199" s="387"/>
      <c r="ABY199" s="387"/>
      <c r="ABZ199" s="387"/>
      <c r="ACA199" s="387"/>
      <c r="ACB199" s="387"/>
      <c r="ACC199" s="387"/>
      <c r="ACD199" s="387"/>
      <c r="ACE199" s="387"/>
      <c r="ACF199" s="387"/>
      <c r="ACG199" s="387"/>
      <c r="ACH199" s="387"/>
      <c r="ACI199" s="387"/>
      <c r="ACJ199" s="387"/>
      <c r="ACK199" s="387"/>
      <c r="ACL199" s="387"/>
      <c r="ACM199" s="387"/>
      <c r="ACN199" s="387"/>
      <c r="ACO199" s="387"/>
      <c r="ACP199" s="387"/>
      <c r="ACQ199" s="387"/>
      <c r="ACR199" s="387"/>
      <c r="ACS199" s="387"/>
      <c r="ACT199" s="387"/>
      <c r="ACU199" s="387"/>
      <c r="ACV199" s="387"/>
      <c r="ACW199" s="387"/>
      <c r="ACX199" s="387"/>
      <c r="ACY199" s="387"/>
      <c r="ACZ199" s="387"/>
      <c r="ADA199" s="387"/>
      <c r="ADB199" s="387"/>
      <c r="ADC199" s="387"/>
      <c r="ADD199" s="387"/>
      <c r="ADE199" s="387"/>
      <c r="ADF199" s="387"/>
      <c r="ADG199" s="387"/>
      <c r="ADH199" s="387"/>
      <c r="ADI199" s="387"/>
      <c r="ADJ199" s="387"/>
      <c r="ADK199" s="387"/>
      <c r="ADL199" s="387"/>
      <c r="ADM199" s="387"/>
      <c r="ADN199" s="387"/>
      <c r="ADO199" s="387"/>
      <c r="ADP199" s="387"/>
      <c r="ADQ199" s="387"/>
      <c r="ADR199" s="387"/>
      <c r="ADS199" s="387"/>
      <c r="ADT199" s="387"/>
      <c r="ADU199" s="387"/>
      <c r="ADV199" s="387"/>
      <c r="ADW199" s="387"/>
      <c r="ADX199" s="387"/>
      <c r="ADY199" s="387"/>
      <c r="ADZ199" s="387"/>
      <c r="AEA199" s="387"/>
      <c r="AEB199" s="387"/>
      <c r="AEC199" s="387"/>
      <c r="AED199" s="387"/>
      <c r="AEE199" s="387"/>
      <c r="AEF199" s="387"/>
      <c r="AEG199" s="387"/>
      <c r="AEH199" s="387"/>
      <c r="AEI199" s="387"/>
      <c r="AEJ199" s="387"/>
      <c r="AEK199" s="387"/>
      <c r="AEL199" s="387"/>
      <c r="AEM199" s="387"/>
      <c r="AEN199" s="387"/>
      <c r="AEO199" s="387"/>
      <c r="AEP199" s="387"/>
      <c r="AEQ199" s="387"/>
      <c r="AER199" s="387"/>
      <c r="AES199" s="387"/>
      <c r="AET199" s="387"/>
      <c r="AEU199" s="387"/>
      <c r="AEV199" s="387"/>
      <c r="AEW199" s="387"/>
      <c r="AEX199" s="387"/>
      <c r="AEY199" s="387"/>
      <c r="AEZ199" s="387"/>
      <c r="AFA199" s="387"/>
      <c r="AFB199" s="387"/>
      <c r="AFC199" s="387"/>
      <c r="AFD199" s="387"/>
      <c r="AFE199" s="387"/>
      <c r="AFF199" s="387"/>
      <c r="AFG199" s="387"/>
      <c r="AFH199" s="387"/>
      <c r="AFI199" s="387"/>
      <c r="AFJ199" s="387"/>
      <c r="AFK199" s="387"/>
      <c r="AFL199" s="387"/>
      <c r="AFM199" s="387"/>
      <c r="AFN199" s="387"/>
      <c r="AFO199" s="387"/>
      <c r="AFP199" s="387"/>
      <c r="AFQ199" s="387"/>
      <c r="AFR199" s="387"/>
      <c r="AFS199" s="387"/>
      <c r="AFT199" s="387"/>
      <c r="AFU199" s="387"/>
      <c r="AFV199" s="387"/>
      <c r="AFW199" s="387"/>
      <c r="AFX199" s="387"/>
      <c r="AFY199" s="387"/>
      <c r="AFZ199" s="387"/>
      <c r="AGA199" s="387"/>
      <c r="AGB199" s="387"/>
      <c r="AGC199" s="387"/>
      <c r="AGD199" s="387"/>
      <c r="AGE199" s="387"/>
      <c r="AGF199" s="387"/>
      <c r="AGG199" s="387"/>
      <c r="AGH199" s="387"/>
      <c r="AGI199" s="387"/>
      <c r="AGJ199" s="387"/>
      <c r="AGK199" s="387"/>
      <c r="AGL199" s="387"/>
      <c r="AGM199" s="387"/>
      <c r="AGN199" s="387"/>
      <c r="AGO199" s="387"/>
      <c r="AGP199" s="387"/>
      <c r="AGQ199" s="387"/>
      <c r="AGR199" s="387"/>
      <c r="AGS199" s="387"/>
      <c r="AGT199" s="387"/>
      <c r="AGU199" s="387"/>
      <c r="AGV199" s="387"/>
      <c r="AGW199" s="387"/>
      <c r="AGX199" s="387"/>
      <c r="AGY199" s="387"/>
      <c r="AGZ199" s="387"/>
      <c r="AHA199" s="387"/>
      <c r="AHB199" s="387"/>
      <c r="AHC199" s="387"/>
      <c r="AHD199" s="387"/>
      <c r="AHE199" s="387"/>
      <c r="AHF199" s="387"/>
      <c r="AHG199" s="387"/>
      <c r="AHH199" s="387"/>
      <c r="AHI199" s="387"/>
      <c r="AHJ199" s="387"/>
      <c r="AHK199" s="387"/>
      <c r="AHL199" s="387"/>
      <c r="AHM199" s="387"/>
      <c r="AHN199" s="387"/>
      <c r="AHO199" s="387"/>
      <c r="AHP199" s="387"/>
      <c r="AHQ199" s="387"/>
      <c r="AHR199" s="387"/>
      <c r="AHS199" s="387"/>
      <c r="AHT199" s="387"/>
      <c r="AHU199" s="387"/>
      <c r="AHV199" s="387"/>
      <c r="AHW199" s="387"/>
      <c r="AHX199" s="387"/>
      <c r="AHY199" s="387"/>
      <c r="AHZ199" s="387"/>
      <c r="AIA199" s="387"/>
      <c r="AIB199" s="387"/>
      <c r="AIC199" s="387"/>
      <c r="AID199" s="387"/>
      <c r="AIE199" s="387"/>
      <c r="AIF199" s="387"/>
      <c r="AIG199" s="387"/>
      <c r="AIH199" s="387"/>
      <c r="AII199" s="387"/>
      <c r="AIJ199" s="387"/>
      <c r="AIK199" s="387"/>
      <c r="AIL199" s="387"/>
      <c r="AIM199" s="387"/>
      <c r="AIN199" s="387"/>
      <c r="AIO199" s="387"/>
      <c r="AIP199" s="387"/>
      <c r="AIQ199" s="387"/>
      <c r="AIR199" s="387"/>
      <c r="AIS199" s="387"/>
      <c r="AIT199" s="387"/>
      <c r="AIU199" s="387"/>
      <c r="AIV199" s="387"/>
      <c r="AIW199" s="387"/>
      <c r="AIX199" s="387"/>
      <c r="AIY199" s="387"/>
      <c r="AIZ199" s="387"/>
      <c r="AJA199" s="387"/>
      <c r="AJB199" s="387"/>
      <c r="AJC199" s="387"/>
      <c r="AJD199" s="387"/>
      <c r="AJE199" s="387"/>
      <c r="AJF199" s="387"/>
      <c r="AJG199" s="387"/>
      <c r="AJH199" s="387"/>
      <c r="AJI199" s="387"/>
      <c r="AJJ199" s="387"/>
      <c r="AJK199" s="387"/>
      <c r="AJL199" s="387"/>
      <c r="AJM199" s="387"/>
      <c r="AJN199" s="387"/>
      <c r="AJO199" s="387"/>
      <c r="AJP199" s="387"/>
      <c r="AJQ199" s="387"/>
      <c r="AJR199" s="387"/>
      <c r="AJS199" s="387"/>
      <c r="AJT199" s="387"/>
      <c r="AJU199" s="387"/>
      <c r="AJV199" s="387"/>
      <c r="AJW199" s="387"/>
      <c r="AJX199" s="387"/>
      <c r="AJY199" s="387"/>
      <c r="AJZ199" s="387"/>
      <c r="AKA199" s="387"/>
      <c r="AKB199" s="387"/>
      <c r="AKC199" s="387"/>
      <c r="AKD199" s="387"/>
      <c r="AKE199" s="387"/>
      <c r="AKF199" s="387"/>
      <c r="AKG199" s="387"/>
      <c r="AKH199" s="387"/>
      <c r="AKI199" s="387"/>
      <c r="AKJ199" s="387"/>
      <c r="AKK199" s="387"/>
      <c r="AKL199" s="387"/>
      <c r="AKM199" s="387"/>
      <c r="AKN199" s="387"/>
      <c r="AKO199" s="387"/>
      <c r="AKP199" s="387"/>
      <c r="AKQ199" s="387"/>
      <c r="AKR199" s="387"/>
      <c r="AKS199" s="387"/>
      <c r="AKT199" s="387"/>
      <c r="AKU199" s="387"/>
      <c r="AKV199" s="387"/>
      <c r="AKW199" s="387"/>
      <c r="AKX199" s="387"/>
      <c r="AKY199" s="387"/>
      <c r="AKZ199" s="387"/>
      <c r="ALA199" s="387"/>
      <c r="ALB199" s="387"/>
      <c r="ALC199" s="387"/>
      <c r="ALD199" s="387"/>
      <c r="ALE199" s="387"/>
      <c r="ALF199" s="387"/>
      <c r="ALG199" s="387"/>
      <c r="ALH199" s="387"/>
      <c r="ALI199" s="387"/>
      <c r="ALJ199" s="387"/>
      <c r="ALK199" s="387"/>
      <c r="ALL199" s="387"/>
      <c r="ALM199" s="387"/>
      <c r="ALN199" s="387"/>
      <c r="ALO199" s="387"/>
      <c r="ALP199" s="387"/>
      <c r="ALQ199" s="387"/>
      <c r="ALR199" s="387"/>
      <c r="ALS199" s="387"/>
      <c r="ALT199" s="387"/>
      <c r="ALU199" s="387"/>
      <c r="ALV199" s="387"/>
      <c r="ALW199" s="387"/>
      <c r="ALX199" s="387"/>
      <c r="ALY199" s="387"/>
      <c r="ALZ199" s="387"/>
      <c r="AMA199" s="387"/>
      <c r="AMB199" s="387"/>
      <c r="AMC199" s="387"/>
      <c r="AMD199" s="387"/>
      <c r="AME199" s="387"/>
      <c r="AMF199" s="387"/>
      <c r="AMG199" s="387"/>
      <c r="AMH199" s="387"/>
      <c r="AMI199" s="387"/>
      <c r="AMJ199" s="387"/>
      <c r="AMK199" s="387"/>
      <c r="AML199" s="387"/>
      <c r="AMM199" s="387"/>
      <c r="AMN199" s="387"/>
      <c r="AMO199" s="387"/>
      <c r="AMP199" s="387"/>
      <c r="AMQ199" s="387"/>
      <c r="AMR199" s="387"/>
      <c r="AMS199" s="387"/>
      <c r="AMT199" s="387"/>
      <c r="AMU199" s="387"/>
      <c r="AMV199" s="387"/>
      <c r="AMW199" s="387"/>
      <c r="AMX199" s="387"/>
      <c r="AMY199" s="387"/>
      <c r="AMZ199" s="387"/>
      <c r="ANA199" s="387"/>
      <c r="ANB199" s="387"/>
      <c r="ANC199" s="387"/>
      <c r="AND199" s="387"/>
      <c r="ANE199" s="387"/>
      <c r="ANF199" s="387"/>
      <c r="ANG199" s="387"/>
      <c r="ANH199" s="387"/>
      <c r="ANI199" s="387"/>
      <c r="ANJ199" s="387"/>
      <c r="ANK199" s="387"/>
      <c r="ANL199" s="387"/>
      <c r="ANM199" s="387"/>
      <c r="ANN199" s="387"/>
      <c r="ANO199" s="387"/>
      <c r="ANP199" s="387"/>
      <c r="ANQ199" s="387"/>
      <c r="ANR199" s="387"/>
      <c r="ANS199" s="387"/>
      <c r="ANT199" s="387"/>
      <c r="ANU199" s="387"/>
      <c r="ANV199" s="387"/>
      <c r="ANW199" s="387"/>
      <c r="ANX199" s="387"/>
      <c r="ANY199" s="387"/>
      <c r="ANZ199" s="387"/>
      <c r="AOA199" s="387"/>
      <c r="AOB199" s="387"/>
      <c r="AOC199" s="387"/>
      <c r="AOD199" s="387"/>
      <c r="AOE199" s="387"/>
      <c r="AOF199" s="387"/>
      <c r="AOG199" s="387"/>
      <c r="AOH199" s="387"/>
      <c r="AOI199" s="387"/>
      <c r="AOJ199" s="387"/>
      <c r="AOK199" s="387"/>
      <c r="AOL199" s="387"/>
      <c r="AOM199" s="387"/>
      <c r="AON199" s="387"/>
      <c r="AOO199" s="387"/>
      <c r="AOP199" s="387"/>
      <c r="AOQ199" s="387"/>
      <c r="AOR199" s="387"/>
      <c r="AOS199" s="387"/>
      <c r="AOT199" s="387"/>
      <c r="AOU199" s="387"/>
      <c r="AOV199" s="387"/>
      <c r="AOW199" s="387"/>
      <c r="AOX199" s="387"/>
      <c r="AOY199" s="387"/>
      <c r="AOZ199" s="387"/>
      <c r="APA199" s="387"/>
      <c r="APB199" s="387"/>
      <c r="APC199" s="387"/>
      <c r="APD199" s="387"/>
      <c r="APE199" s="387"/>
      <c r="APF199" s="387"/>
      <c r="APG199" s="387"/>
      <c r="APH199" s="387"/>
      <c r="API199" s="387"/>
      <c r="APJ199" s="387"/>
      <c r="APK199" s="387"/>
      <c r="APL199" s="387"/>
      <c r="APM199" s="387"/>
      <c r="APN199" s="387"/>
      <c r="APO199" s="387"/>
      <c r="APP199" s="387"/>
      <c r="APQ199" s="387"/>
      <c r="APR199" s="387"/>
      <c r="APS199" s="387"/>
      <c r="APT199" s="387"/>
      <c r="APU199" s="387"/>
      <c r="APV199" s="387"/>
      <c r="APW199" s="387"/>
      <c r="APX199" s="387"/>
      <c r="APY199" s="387"/>
      <c r="APZ199" s="387"/>
      <c r="AQA199" s="387"/>
      <c r="AQB199" s="387"/>
      <c r="AQC199" s="387"/>
      <c r="AQD199" s="387"/>
      <c r="AQE199" s="387"/>
      <c r="AQF199" s="387"/>
      <c r="AQG199" s="387"/>
      <c r="AQH199" s="387"/>
      <c r="AQI199" s="387"/>
      <c r="AQJ199" s="387"/>
      <c r="AQK199" s="387"/>
      <c r="AQL199" s="387"/>
      <c r="AQM199" s="387"/>
      <c r="AQN199" s="387"/>
      <c r="AQO199" s="387"/>
      <c r="AQP199" s="387"/>
      <c r="AQQ199" s="387"/>
      <c r="AQR199" s="387"/>
      <c r="AQS199" s="387"/>
      <c r="AQT199" s="387"/>
      <c r="AQU199" s="387"/>
      <c r="AQV199" s="387"/>
      <c r="AQW199" s="387"/>
      <c r="AQX199" s="387"/>
      <c r="AQY199" s="387"/>
      <c r="AQZ199" s="387"/>
      <c r="ARA199" s="387"/>
      <c r="ARB199" s="387"/>
      <c r="ARC199" s="387"/>
      <c r="ARD199" s="387"/>
      <c r="ARE199" s="387"/>
      <c r="ARF199" s="387"/>
      <c r="ARG199" s="387"/>
      <c r="ARH199" s="387"/>
      <c r="ARI199" s="387"/>
      <c r="ARJ199" s="387"/>
      <c r="ARK199" s="387"/>
      <c r="ARL199" s="387"/>
      <c r="ARM199" s="387"/>
      <c r="ARN199" s="387"/>
      <c r="ARO199" s="387"/>
      <c r="ARP199" s="387"/>
      <c r="ARQ199" s="387"/>
      <c r="ARR199" s="387"/>
      <c r="ARS199" s="387"/>
      <c r="ART199" s="387"/>
      <c r="ARU199" s="387"/>
      <c r="ARV199" s="387"/>
      <c r="ARW199" s="387"/>
      <c r="ARX199" s="387"/>
      <c r="ARY199" s="387"/>
      <c r="ARZ199" s="387"/>
      <c r="ASA199" s="387"/>
      <c r="ASB199" s="387"/>
      <c r="ASC199" s="387"/>
      <c r="ASD199" s="387"/>
      <c r="ASE199" s="387"/>
      <c r="ASF199" s="387"/>
      <c r="ASG199" s="387"/>
      <c r="ASH199" s="387"/>
      <c r="ASI199" s="387"/>
      <c r="ASJ199" s="387"/>
      <c r="ASK199" s="387"/>
      <c r="ASL199" s="387"/>
      <c r="ASM199" s="387"/>
      <c r="ASN199" s="387"/>
      <c r="ASO199" s="387"/>
      <c r="ASP199" s="387"/>
      <c r="ASQ199" s="387"/>
      <c r="ASR199" s="387"/>
      <c r="ASS199" s="387"/>
      <c r="AST199" s="387"/>
      <c r="ASU199" s="387"/>
      <c r="ASV199" s="387"/>
      <c r="ASW199" s="387"/>
      <c r="ASX199" s="387"/>
      <c r="ASY199" s="387"/>
      <c r="ASZ199" s="387"/>
      <c r="ATA199" s="387"/>
      <c r="ATB199" s="387"/>
      <c r="ATC199" s="387"/>
      <c r="ATD199" s="387"/>
      <c r="ATE199" s="387"/>
      <c r="ATF199" s="387"/>
      <c r="ATG199" s="387"/>
      <c r="ATH199" s="387"/>
      <c r="ATI199" s="387"/>
      <c r="ATJ199" s="387"/>
      <c r="ATK199" s="387"/>
      <c r="ATL199" s="387"/>
      <c r="ATM199" s="387"/>
      <c r="ATN199" s="387"/>
      <c r="ATO199" s="387"/>
      <c r="ATP199" s="387"/>
      <c r="ATQ199" s="387"/>
      <c r="ATR199" s="387"/>
      <c r="ATS199" s="387"/>
      <c r="ATT199" s="387"/>
      <c r="ATU199" s="387"/>
      <c r="ATV199" s="387"/>
      <c r="ATW199" s="387"/>
      <c r="ATX199" s="387"/>
      <c r="ATY199" s="387"/>
      <c r="ATZ199" s="387"/>
      <c r="AUA199" s="387"/>
      <c r="AUB199" s="387"/>
      <c r="AUC199" s="387"/>
      <c r="AUD199" s="387"/>
      <c r="AUE199" s="387"/>
      <c r="AUF199" s="387"/>
      <c r="AUG199" s="387"/>
      <c r="AUH199" s="387"/>
      <c r="AUI199" s="387"/>
      <c r="AUJ199" s="387"/>
      <c r="AUK199" s="387"/>
      <c r="AUL199" s="387"/>
      <c r="AUM199" s="387"/>
      <c r="AUN199" s="387"/>
      <c r="AUO199" s="387"/>
      <c r="AUP199" s="387"/>
      <c r="AUQ199" s="387"/>
      <c r="AUR199" s="387"/>
      <c r="AUS199" s="387"/>
      <c r="AUT199" s="387"/>
      <c r="AUU199" s="387"/>
      <c r="AUV199" s="387"/>
      <c r="AUW199" s="387"/>
      <c r="AUX199" s="387"/>
      <c r="AUY199" s="387"/>
      <c r="AUZ199" s="387"/>
      <c r="AVA199" s="387"/>
      <c r="AVB199" s="387"/>
      <c r="AVC199" s="387"/>
      <c r="AVD199" s="387"/>
      <c r="AVE199" s="387"/>
      <c r="AVF199" s="387"/>
      <c r="AVG199" s="387"/>
      <c r="AVH199" s="387"/>
      <c r="AVI199" s="387"/>
      <c r="AVJ199" s="387"/>
      <c r="AVK199" s="387"/>
      <c r="AVL199" s="387"/>
      <c r="AVM199" s="387"/>
      <c r="AVN199" s="387"/>
      <c r="AVO199" s="387"/>
      <c r="AVP199" s="387"/>
      <c r="AVQ199" s="387"/>
      <c r="AVR199" s="387"/>
      <c r="AVS199" s="387"/>
      <c r="AVT199" s="387"/>
      <c r="AVU199" s="387"/>
      <c r="AVV199" s="387"/>
      <c r="AVW199" s="387"/>
      <c r="AVX199" s="387"/>
      <c r="AVY199" s="387"/>
      <c r="AVZ199" s="387"/>
      <c r="AWA199" s="387"/>
      <c r="AWB199" s="387"/>
      <c r="AWC199" s="387"/>
      <c r="AWD199" s="387"/>
      <c r="AWE199" s="387"/>
      <c r="AWF199" s="387"/>
      <c r="AWG199" s="387"/>
      <c r="AWH199" s="387"/>
      <c r="AWI199" s="387"/>
      <c r="AWJ199" s="387"/>
      <c r="AWK199" s="387"/>
      <c r="AWL199" s="387"/>
      <c r="AWM199" s="387"/>
      <c r="AWN199" s="387"/>
      <c r="AWO199" s="387"/>
      <c r="AWP199" s="387"/>
      <c r="AWQ199" s="387"/>
      <c r="AWR199" s="387"/>
      <c r="AWS199" s="387"/>
      <c r="AWT199" s="387"/>
      <c r="AWU199" s="387"/>
      <c r="AWV199" s="387"/>
      <c r="AWW199" s="387"/>
      <c r="AWX199" s="387"/>
      <c r="AWY199" s="387"/>
      <c r="AWZ199" s="387"/>
      <c r="AXA199" s="387"/>
      <c r="AXB199" s="387"/>
      <c r="AXC199" s="387"/>
      <c r="AXD199" s="387"/>
      <c r="AXE199" s="387"/>
      <c r="AXF199" s="387"/>
      <c r="AXG199" s="387"/>
      <c r="AXH199" s="387"/>
      <c r="AXI199" s="387"/>
      <c r="AXJ199" s="387"/>
      <c r="AXK199" s="387"/>
      <c r="AXL199" s="387"/>
      <c r="AXM199" s="387"/>
      <c r="AXN199" s="387"/>
      <c r="AXO199" s="387"/>
      <c r="AXP199" s="387"/>
      <c r="AXQ199" s="387"/>
      <c r="AXR199" s="387"/>
      <c r="AXS199" s="387"/>
      <c r="AXT199" s="387"/>
      <c r="AXU199" s="387"/>
      <c r="AXV199" s="387"/>
      <c r="AXW199" s="387"/>
      <c r="AXX199" s="387"/>
      <c r="AXY199" s="387"/>
      <c r="AXZ199" s="387"/>
      <c r="AYA199" s="387"/>
      <c r="AYB199" s="387"/>
      <c r="AYC199" s="387"/>
      <c r="AYD199" s="387"/>
      <c r="AYE199" s="387"/>
      <c r="AYF199" s="387"/>
      <c r="AYG199" s="387"/>
      <c r="AYH199" s="387"/>
      <c r="AYI199" s="387"/>
      <c r="AYJ199" s="387"/>
      <c r="AYK199" s="387"/>
      <c r="AYL199" s="387"/>
      <c r="AYM199" s="387"/>
      <c r="AYN199" s="387"/>
      <c r="AYO199" s="387"/>
      <c r="AYP199" s="387"/>
      <c r="AYQ199" s="387"/>
      <c r="AYR199" s="387"/>
      <c r="AYS199" s="387"/>
      <c r="AYT199" s="387"/>
      <c r="AYU199" s="387"/>
      <c r="AYV199" s="387"/>
      <c r="AYW199" s="387"/>
      <c r="AYX199" s="387"/>
      <c r="AYY199" s="387"/>
      <c r="AYZ199" s="387"/>
      <c r="AZA199" s="387"/>
      <c r="AZB199" s="387"/>
      <c r="AZC199" s="387"/>
      <c r="AZD199" s="387"/>
      <c r="AZE199" s="387"/>
      <c r="AZF199" s="387"/>
      <c r="AZG199" s="387"/>
      <c r="AZH199" s="387"/>
      <c r="AZI199" s="387"/>
      <c r="AZJ199" s="387"/>
      <c r="AZK199" s="387"/>
      <c r="AZL199" s="387"/>
      <c r="AZM199" s="387"/>
      <c r="AZN199" s="387"/>
      <c r="AZO199" s="387"/>
      <c r="AZP199" s="387"/>
      <c r="AZQ199" s="387"/>
      <c r="AZR199" s="387"/>
      <c r="AZS199" s="387"/>
      <c r="AZT199" s="387"/>
      <c r="AZU199" s="387"/>
      <c r="AZV199" s="387"/>
      <c r="AZW199" s="387"/>
      <c r="AZX199" s="387"/>
      <c r="AZY199" s="387"/>
      <c r="AZZ199" s="387"/>
      <c r="BAA199" s="387"/>
      <c r="BAB199" s="387"/>
      <c r="BAC199" s="387"/>
      <c r="BAD199" s="387"/>
      <c r="BAE199" s="387"/>
      <c r="BAF199" s="387"/>
      <c r="BAG199" s="387"/>
      <c r="BAH199" s="387"/>
      <c r="BAI199" s="387"/>
      <c r="BAJ199" s="387"/>
      <c r="BAK199" s="387"/>
      <c r="BAL199" s="387"/>
      <c r="BAM199" s="387"/>
      <c r="BAN199" s="387"/>
      <c r="BAO199" s="387"/>
      <c r="BAP199" s="387"/>
      <c r="BAQ199" s="387"/>
      <c r="BAR199" s="387"/>
      <c r="BAS199" s="387"/>
      <c r="BAT199" s="387"/>
      <c r="BAU199" s="387"/>
      <c r="BAV199" s="387"/>
      <c r="BAW199" s="387"/>
      <c r="BAX199" s="387"/>
      <c r="BAY199" s="387"/>
      <c r="BAZ199" s="387"/>
      <c r="BBA199" s="387"/>
      <c r="BBB199" s="387"/>
      <c r="BBC199" s="387"/>
      <c r="BBD199" s="387"/>
      <c r="BBE199" s="387"/>
      <c r="BBF199" s="387"/>
      <c r="BBG199" s="387"/>
      <c r="BBH199" s="387"/>
      <c r="BBI199" s="387"/>
      <c r="BBJ199" s="387"/>
      <c r="BBK199" s="387"/>
      <c r="BBL199" s="387"/>
      <c r="BBM199" s="387"/>
      <c r="BBN199" s="387"/>
      <c r="BBO199" s="387"/>
      <c r="BBP199" s="387"/>
      <c r="BBQ199" s="387"/>
      <c r="BBR199" s="387"/>
      <c r="BBS199" s="387"/>
      <c r="BBT199" s="387"/>
      <c r="BBU199" s="387"/>
      <c r="BBV199" s="387"/>
      <c r="BBW199" s="387"/>
      <c r="BBX199" s="387"/>
      <c r="BBY199" s="387"/>
      <c r="BBZ199" s="387"/>
      <c r="BCA199" s="387"/>
      <c r="BCB199" s="387"/>
      <c r="BCC199" s="387"/>
      <c r="BCD199" s="387"/>
      <c r="BCE199" s="387"/>
      <c r="BCF199" s="387"/>
      <c r="BCG199" s="387"/>
      <c r="BCH199" s="387"/>
      <c r="BCI199" s="387"/>
      <c r="BCJ199" s="387"/>
      <c r="BCK199" s="387"/>
      <c r="BCL199" s="387"/>
      <c r="BCM199" s="387"/>
      <c r="BCN199" s="387"/>
      <c r="BCO199" s="387"/>
      <c r="BCP199" s="387"/>
      <c r="BCQ199" s="387"/>
      <c r="BCR199" s="387"/>
      <c r="BCS199" s="387"/>
      <c r="BCT199" s="387"/>
      <c r="BCU199" s="387"/>
      <c r="BCV199" s="387"/>
      <c r="BCW199" s="387"/>
      <c r="BCX199" s="387"/>
      <c r="BCY199" s="387"/>
      <c r="BCZ199" s="387"/>
      <c r="BDA199" s="387"/>
      <c r="BDB199" s="387"/>
      <c r="BDC199" s="387"/>
      <c r="BDD199" s="387"/>
      <c r="BDE199" s="387"/>
      <c r="BDF199" s="387"/>
      <c r="BDG199" s="387"/>
      <c r="BDH199" s="387"/>
      <c r="BDI199" s="387"/>
      <c r="BDJ199" s="387"/>
      <c r="BDK199" s="387"/>
      <c r="BDL199" s="387"/>
      <c r="BDM199" s="387"/>
      <c r="BDN199" s="387"/>
      <c r="BDO199" s="387"/>
      <c r="BDP199" s="387"/>
      <c r="BDQ199" s="387"/>
      <c r="BDR199" s="387"/>
      <c r="BDS199" s="387"/>
      <c r="BDT199" s="387"/>
      <c r="BDU199" s="387"/>
      <c r="BDV199" s="387"/>
      <c r="BDW199" s="387"/>
      <c r="BDX199" s="387"/>
      <c r="BDY199" s="387"/>
      <c r="BDZ199" s="387"/>
      <c r="BEA199" s="387"/>
      <c r="BEB199" s="387"/>
      <c r="BEC199" s="387"/>
      <c r="BED199" s="387"/>
      <c r="BEE199" s="387"/>
      <c r="BEF199" s="387"/>
      <c r="BEG199" s="387"/>
      <c r="BEH199" s="387"/>
      <c r="BEI199" s="387"/>
      <c r="BEJ199" s="387"/>
      <c r="BEK199" s="387"/>
      <c r="BEL199" s="387"/>
      <c r="BEM199" s="387"/>
      <c r="BEN199" s="387"/>
      <c r="BEO199" s="387"/>
      <c r="BEP199" s="387"/>
      <c r="BEQ199" s="387"/>
      <c r="BER199" s="387"/>
      <c r="BES199" s="387"/>
      <c r="BET199" s="387"/>
      <c r="BEU199" s="387"/>
      <c r="BEV199" s="387"/>
      <c r="BEW199" s="387"/>
      <c r="BEX199" s="387"/>
      <c r="BEY199" s="387"/>
      <c r="BEZ199" s="387"/>
      <c r="BFA199" s="387"/>
      <c r="BFB199" s="387"/>
      <c r="BFC199" s="387"/>
      <c r="BFD199" s="387"/>
      <c r="BFE199" s="387"/>
      <c r="BFF199" s="387"/>
      <c r="BFG199" s="387"/>
      <c r="BFH199" s="387"/>
      <c r="BFI199" s="387"/>
      <c r="BFJ199" s="387"/>
      <c r="BFK199" s="387"/>
      <c r="BFL199" s="387"/>
      <c r="BFM199" s="387"/>
      <c r="BFN199" s="387"/>
      <c r="BFO199" s="387"/>
      <c r="BFP199" s="387"/>
      <c r="BFQ199" s="387"/>
      <c r="BFR199" s="387"/>
      <c r="BFS199" s="387"/>
      <c r="BFT199" s="387"/>
      <c r="BFU199" s="387"/>
      <c r="BFV199" s="387"/>
      <c r="BFW199" s="387"/>
      <c r="BFX199" s="387"/>
      <c r="BFY199" s="387"/>
      <c r="BFZ199" s="387"/>
      <c r="BGA199" s="387"/>
      <c r="BGB199" s="387"/>
      <c r="BGC199" s="387"/>
      <c r="BGD199" s="387"/>
      <c r="BGE199" s="387"/>
      <c r="BGF199" s="387"/>
      <c r="BGG199" s="387"/>
      <c r="BGH199" s="387"/>
      <c r="BGI199" s="387"/>
      <c r="BGJ199" s="387"/>
      <c r="BGK199" s="387"/>
      <c r="BGL199" s="387"/>
      <c r="BGM199" s="387"/>
      <c r="BGN199" s="387"/>
      <c r="BGO199" s="387"/>
      <c r="BGP199" s="387"/>
      <c r="BGQ199" s="387"/>
      <c r="BGR199" s="387"/>
      <c r="BGS199" s="387"/>
      <c r="BGT199" s="387"/>
      <c r="BGU199" s="387"/>
      <c r="BGV199" s="387"/>
      <c r="BGW199" s="387"/>
      <c r="BGX199" s="387"/>
      <c r="BGY199" s="387"/>
      <c r="BGZ199" s="387"/>
      <c r="BHA199" s="387"/>
      <c r="BHB199" s="387"/>
      <c r="BHC199" s="387"/>
      <c r="BHD199" s="387"/>
      <c r="BHE199" s="387"/>
      <c r="BHF199" s="387"/>
      <c r="BHG199" s="387"/>
      <c r="BHH199" s="387"/>
      <c r="BHI199" s="387"/>
      <c r="BHJ199" s="387"/>
      <c r="BHK199" s="387"/>
      <c r="BHL199" s="387"/>
      <c r="BHM199" s="387"/>
      <c r="BHN199" s="387"/>
      <c r="BHO199" s="387"/>
      <c r="BHP199" s="387"/>
      <c r="BHQ199" s="387"/>
      <c r="BHR199" s="387"/>
      <c r="BHS199" s="387"/>
      <c r="BHT199" s="387"/>
      <c r="BHU199" s="387"/>
      <c r="BHV199" s="387"/>
      <c r="BHW199" s="387"/>
      <c r="BHX199" s="387"/>
      <c r="BHY199" s="387"/>
      <c r="BHZ199" s="387"/>
      <c r="BIA199" s="387"/>
      <c r="BIB199" s="387"/>
      <c r="BIC199" s="387"/>
      <c r="BID199" s="387"/>
      <c r="BIE199" s="387"/>
      <c r="BIF199" s="387"/>
      <c r="BIG199" s="387"/>
      <c r="BIH199" s="387"/>
      <c r="BII199" s="387"/>
      <c r="BIJ199" s="387"/>
      <c r="BIK199" s="387"/>
      <c r="BIL199" s="387"/>
      <c r="BIM199" s="387"/>
      <c r="BIN199" s="387"/>
      <c r="BIO199" s="387"/>
      <c r="BIP199" s="387"/>
      <c r="BIQ199" s="387"/>
      <c r="BIR199" s="387"/>
      <c r="BIS199" s="387"/>
      <c r="BIT199" s="387"/>
      <c r="BIU199" s="387"/>
      <c r="BIV199" s="387"/>
      <c r="BIW199" s="387"/>
      <c r="BIX199" s="387"/>
      <c r="BIY199" s="387"/>
      <c r="BIZ199" s="387"/>
      <c r="BJA199" s="387"/>
      <c r="BJB199" s="387"/>
      <c r="BJC199" s="387"/>
      <c r="BJD199" s="387"/>
      <c r="BJE199" s="387"/>
      <c r="BJF199" s="387"/>
      <c r="BJG199" s="387"/>
      <c r="BJH199" s="387"/>
      <c r="BJI199" s="387"/>
      <c r="BJJ199" s="387"/>
      <c r="BJK199" s="387"/>
      <c r="BJL199" s="387"/>
      <c r="BJM199" s="387"/>
      <c r="BJN199" s="387"/>
      <c r="BJO199" s="387"/>
      <c r="BJP199" s="387"/>
      <c r="BJQ199" s="387"/>
      <c r="BJR199" s="387"/>
      <c r="BJS199" s="387"/>
      <c r="BJT199" s="387"/>
      <c r="BJU199" s="387"/>
      <c r="BJV199" s="387"/>
      <c r="BJW199" s="387"/>
      <c r="BJX199" s="387"/>
      <c r="BJY199" s="387"/>
      <c r="BJZ199" s="387"/>
      <c r="BKA199" s="387"/>
      <c r="BKB199" s="387"/>
      <c r="BKC199" s="387"/>
      <c r="BKD199" s="387"/>
      <c r="BKE199" s="387"/>
      <c r="BKF199" s="387"/>
      <c r="BKG199" s="387"/>
      <c r="BKH199" s="387"/>
      <c r="BKI199" s="387"/>
      <c r="BKJ199" s="387"/>
      <c r="BKK199" s="387"/>
      <c r="BKL199" s="387"/>
      <c r="BKM199" s="387"/>
      <c r="BKN199" s="387"/>
      <c r="BKO199" s="387"/>
      <c r="BKP199" s="387"/>
      <c r="BKQ199" s="387"/>
      <c r="BKR199" s="387"/>
      <c r="BKS199" s="387"/>
      <c r="BKT199" s="387"/>
      <c r="BKU199" s="387"/>
      <c r="BKV199" s="387"/>
      <c r="BKW199" s="387"/>
      <c r="BKX199" s="387"/>
      <c r="BKY199" s="387"/>
      <c r="BKZ199" s="387"/>
      <c r="BLA199" s="387"/>
      <c r="BLB199" s="387"/>
      <c r="BLC199" s="387"/>
      <c r="BLD199" s="387"/>
      <c r="BLE199" s="387"/>
      <c r="BLF199" s="387"/>
      <c r="BLG199" s="387"/>
      <c r="BLH199" s="387"/>
      <c r="BLI199" s="387"/>
      <c r="BLJ199" s="387"/>
      <c r="BLK199" s="387"/>
      <c r="BLL199" s="387"/>
      <c r="BLM199" s="387"/>
      <c r="BLN199" s="387"/>
      <c r="BLO199" s="387"/>
      <c r="BLP199" s="387"/>
      <c r="BLQ199" s="387"/>
      <c r="BLR199" s="387"/>
      <c r="BLS199" s="387"/>
      <c r="BLT199" s="387"/>
      <c r="BLU199" s="387"/>
      <c r="BLV199" s="387"/>
      <c r="BLW199" s="387"/>
      <c r="BLX199" s="387"/>
      <c r="BLY199" s="387"/>
      <c r="BLZ199" s="387"/>
      <c r="BMA199" s="387"/>
      <c r="BMB199" s="387"/>
      <c r="BMC199" s="387"/>
      <c r="BMD199" s="387"/>
      <c r="BME199" s="387"/>
      <c r="BMF199" s="387"/>
      <c r="BMG199" s="387"/>
      <c r="BMH199" s="387"/>
      <c r="BMI199" s="387"/>
      <c r="BMJ199" s="387"/>
      <c r="BMK199" s="387"/>
      <c r="BML199" s="387"/>
      <c r="BMM199" s="387"/>
      <c r="BMN199" s="387"/>
      <c r="BMO199" s="387"/>
      <c r="BMP199" s="387"/>
      <c r="BMQ199" s="387"/>
      <c r="BMR199" s="387"/>
      <c r="BMS199" s="387"/>
      <c r="BMT199" s="387"/>
      <c r="BMU199" s="387"/>
      <c r="BMV199" s="387"/>
      <c r="BMW199" s="387"/>
      <c r="BMX199" s="387"/>
      <c r="BMY199" s="387"/>
      <c r="BMZ199" s="387"/>
      <c r="BNA199" s="387"/>
      <c r="BNB199" s="387"/>
      <c r="BNC199" s="387"/>
      <c r="BND199" s="387"/>
      <c r="BNE199" s="387"/>
      <c r="BNF199" s="387"/>
      <c r="BNG199" s="387"/>
      <c r="BNH199" s="387"/>
      <c r="BNI199" s="387"/>
      <c r="BNJ199" s="387"/>
      <c r="BNK199" s="387"/>
      <c r="BNL199" s="387"/>
      <c r="BNM199" s="387"/>
      <c r="BNN199" s="387"/>
      <c r="BNO199" s="387"/>
      <c r="BNP199" s="387"/>
      <c r="BNQ199" s="387"/>
      <c r="BNR199" s="387"/>
      <c r="BNS199" s="387"/>
      <c r="BNT199" s="387"/>
      <c r="BNU199" s="387"/>
      <c r="BNV199" s="387"/>
      <c r="BNW199" s="387"/>
      <c r="BNX199" s="387"/>
      <c r="BNY199" s="387"/>
      <c r="BNZ199" s="387"/>
      <c r="BOA199" s="387"/>
      <c r="BOB199" s="387"/>
      <c r="BOC199" s="387"/>
      <c r="BOD199" s="387"/>
      <c r="BOE199" s="387"/>
      <c r="BOF199" s="387"/>
      <c r="BOG199" s="387"/>
      <c r="BOH199" s="387"/>
      <c r="BOI199" s="387"/>
      <c r="BOJ199" s="387"/>
      <c r="BOK199" s="387"/>
      <c r="BOL199" s="387"/>
      <c r="BOM199" s="387"/>
      <c r="BON199" s="387"/>
      <c r="BOO199" s="387"/>
      <c r="BOP199" s="387"/>
      <c r="BOQ199" s="387"/>
      <c r="BOR199" s="387"/>
      <c r="BOS199" s="387"/>
      <c r="BOT199" s="387"/>
      <c r="BOU199" s="387"/>
      <c r="BOV199" s="387"/>
      <c r="BOW199" s="387"/>
      <c r="BOX199" s="387"/>
      <c r="BOY199" s="387"/>
      <c r="BOZ199" s="387"/>
      <c r="BPA199" s="387"/>
      <c r="BPB199" s="387"/>
      <c r="BPC199" s="387"/>
      <c r="BPD199" s="387"/>
      <c r="BPE199" s="387"/>
      <c r="BPF199" s="387"/>
      <c r="BPG199" s="387"/>
      <c r="BPH199" s="387"/>
      <c r="BPI199" s="387"/>
      <c r="BPJ199" s="387"/>
      <c r="BPK199" s="387"/>
      <c r="BPL199" s="387"/>
      <c r="BPM199" s="387"/>
      <c r="BPN199" s="387"/>
      <c r="BPO199" s="387"/>
      <c r="BPP199" s="387"/>
      <c r="BPQ199" s="387"/>
      <c r="BPR199" s="387"/>
      <c r="BPS199" s="387"/>
      <c r="BPT199" s="387"/>
      <c r="BPU199" s="387"/>
      <c r="BPV199" s="387"/>
      <c r="BPW199" s="387"/>
      <c r="BPX199" s="387"/>
      <c r="BPY199" s="387"/>
      <c r="BPZ199" s="387"/>
      <c r="BQA199" s="387"/>
      <c r="BQB199" s="387"/>
      <c r="BQC199" s="387"/>
      <c r="BQD199" s="387"/>
      <c r="BQE199" s="387"/>
      <c r="BQF199" s="387"/>
      <c r="BQG199" s="387"/>
      <c r="BQH199" s="387"/>
      <c r="BQI199" s="387"/>
      <c r="BQJ199" s="387"/>
      <c r="BQK199" s="387"/>
      <c r="BQL199" s="387"/>
      <c r="BQM199" s="387"/>
      <c r="BQN199" s="387"/>
      <c r="BQO199" s="387"/>
      <c r="BQP199" s="387"/>
      <c r="BQQ199" s="387"/>
      <c r="BQR199" s="387"/>
      <c r="BQS199" s="387"/>
      <c r="BQT199" s="387"/>
      <c r="BQU199" s="387"/>
      <c r="BQV199" s="387"/>
      <c r="BQW199" s="387"/>
      <c r="BQX199" s="387"/>
      <c r="BQY199" s="387"/>
      <c r="BQZ199" s="387"/>
      <c r="BRA199" s="387"/>
      <c r="BRB199" s="387"/>
      <c r="BRC199" s="387"/>
      <c r="BRD199" s="387"/>
      <c r="BRE199" s="387"/>
      <c r="BRF199" s="387"/>
      <c r="BRG199" s="387"/>
      <c r="BRH199" s="387"/>
      <c r="BRI199" s="387"/>
      <c r="BRJ199" s="387"/>
      <c r="BRK199" s="387"/>
      <c r="BRL199" s="387"/>
      <c r="BRM199" s="387"/>
      <c r="BRN199" s="387"/>
      <c r="BRO199" s="387"/>
      <c r="BRP199" s="387"/>
      <c r="BRQ199" s="387"/>
      <c r="BRR199" s="387"/>
      <c r="BRS199" s="387"/>
      <c r="BRT199" s="387"/>
      <c r="BRU199" s="387"/>
      <c r="BRV199" s="387"/>
      <c r="BRW199" s="387"/>
      <c r="BRX199" s="387"/>
      <c r="BRY199" s="387"/>
      <c r="BRZ199" s="387"/>
      <c r="BSA199" s="387"/>
      <c r="BSB199" s="387"/>
      <c r="BSC199" s="387"/>
      <c r="BSD199" s="387"/>
      <c r="BSE199" s="387"/>
      <c r="BSF199" s="387"/>
      <c r="BSG199" s="387"/>
      <c r="BSH199" s="387"/>
      <c r="BSI199" s="387"/>
      <c r="BSJ199" s="387"/>
      <c r="BSK199" s="387"/>
      <c r="BSL199" s="387"/>
      <c r="BSM199" s="387"/>
      <c r="BSN199" s="387"/>
      <c r="BSO199" s="387"/>
      <c r="BSP199" s="387"/>
      <c r="BSQ199" s="387"/>
      <c r="BSR199" s="387"/>
      <c r="BSS199" s="387"/>
      <c r="BST199" s="387"/>
      <c r="BSU199" s="387"/>
      <c r="BSV199" s="387"/>
      <c r="BSW199" s="387"/>
      <c r="BSX199" s="387"/>
      <c r="BSY199" s="387"/>
      <c r="BSZ199" s="387"/>
      <c r="BTA199" s="387"/>
      <c r="BTB199" s="387"/>
      <c r="BTC199" s="387"/>
      <c r="BTD199" s="387"/>
      <c r="BTE199" s="387"/>
      <c r="BTF199" s="387"/>
      <c r="BTG199" s="387"/>
      <c r="BTH199" s="387"/>
      <c r="BTI199" s="387"/>
    </row>
    <row r="200" spans="1:1881" s="384" customFormat="1" ht="33" customHeight="1" x14ac:dyDescent="0.25">
      <c r="A200" s="186"/>
      <c r="B200" s="159" t="s">
        <v>669</v>
      </c>
      <c r="C200" s="158"/>
      <c r="D200" s="152"/>
      <c r="E200" s="146"/>
      <c r="F200" s="750"/>
      <c r="G200" s="525"/>
      <c r="H200" s="65"/>
      <c r="I200" s="16"/>
      <c r="J200" s="387"/>
      <c r="K200" s="387"/>
      <c r="L200" s="387"/>
      <c r="M200" s="387"/>
      <c r="N200"/>
      <c r="O200" s="387"/>
      <c r="P200" s="387"/>
      <c r="Q200" s="387"/>
      <c r="R200"/>
      <c r="S200" s="682"/>
      <c r="T200" s="387"/>
      <c r="U200" s="387"/>
      <c r="V200" s="387"/>
      <c r="W200" s="387"/>
      <c r="X200" s="682"/>
      <c r="Y200" s="387"/>
      <c r="Z200" s="387"/>
      <c r="AA200" s="387"/>
      <c r="AB200" s="387"/>
      <c r="AC200" s="387"/>
      <c r="AD200" s="387"/>
      <c r="AE200" s="387"/>
      <c r="AF200" s="387"/>
      <c r="AG200" s="387"/>
      <c r="AH200" s="387"/>
      <c r="AI200" s="387"/>
      <c r="AJ200" s="387"/>
      <c r="AK200" s="387"/>
      <c r="AL200" s="387"/>
      <c r="AM200" s="387"/>
      <c r="AN200" s="387"/>
      <c r="AO200" s="387"/>
      <c r="AP200" s="387"/>
      <c r="AQ200" s="387"/>
      <c r="AR200" s="387"/>
      <c r="AS200" s="387"/>
      <c r="AT200" s="387"/>
      <c r="AU200" s="387"/>
      <c r="AV200" s="387"/>
      <c r="AW200" s="387"/>
      <c r="AX200" s="387"/>
      <c r="AY200" s="387"/>
      <c r="AZ200" s="387"/>
      <c r="BA200" s="387"/>
      <c r="BB200" s="387"/>
      <c r="BC200" s="387"/>
      <c r="BD200" s="387"/>
      <c r="BE200" s="387"/>
      <c r="BF200" s="387"/>
      <c r="BG200" s="387"/>
      <c r="BH200" s="387"/>
      <c r="BI200" s="387"/>
      <c r="BJ200" s="387"/>
      <c r="BK200" s="387"/>
      <c r="BL200" s="387"/>
      <c r="BM200" s="387"/>
      <c r="BN200" s="387"/>
      <c r="BO200" s="387"/>
      <c r="BP200" s="387"/>
      <c r="BQ200" s="387"/>
      <c r="BR200" s="387"/>
      <c r="BS200" s="387"/>
      <c r="BT200" s="387"/>
      <c r="BU200" s="387"/>
      <c r="BV200" s="387"/>
      <c r="BW200" s="387"/>
      <c r="BX200" s="387"/>
      <c r="BY200" s="387"/>
      <c r="BZ200" s="387"/>
      <c r="CA200" s="387"/>
      <c r="CB200" s="387"/>
      <c r="CC200" s="387"/>
      <c r="CD200" s="387"/>
      <c r="CE200" s="387"/>
      <c r="CF200" s="387"/>
      <c r="CG200" s="387"/>
      <c r="CH200" s="387"/>
      <c r="CI200" s="387"/>
      <c r="CJ200" s="387"/>
      <c r="CK200" s="387"/>
      <c r="CL200" s="387"/>
      <c r="CM200" s="387"/>
      <c r="CN200" s="387"/>
      <c r="CO200" s="387"/>
      <c r="CP200" s="387"/>
      <c r="CQ200" s="387"/>
      <c r="CR200" s="387"/>
      <c r="CS200" s="387"/>
      <c r="CT200" s="387"/>
      <c r="CU200" s="387"/>
      <c r="CV200" s="387"/>
      <c r="CW200" s="387"/>
      <c r="CX200" s="387"/>
      <c r="CY200" s="387"/>
      <c r="CZ200" s="387"/>
      <c r="DA200" s="387"/>
      <c r="DB200" s="387"/>
      <c r="DC200" s="387"/>
      <c r="DD200" s="387"/>
      <c r="DE200" s="387"/>
      <c r="DF200" s="387"/>
      <c r="DG200" s="387"/>
      <c r="DH200" s="387"/>
      <c r="DI200" s="387"/>
      <c r="DJ200" s="387"/>
      <c r="DK200" s="387"/>
      <c r="DL200" s="387"/>
      <c r="DM200" s="387"/>
      <c r="DN200" s="387"/>
      <c r="DO200" s="387"/>
      <c r="DP200" s="387"/>
      <c r="DQ200" s="387"/>
      <c r="DR200" s="387"/>
      <c r="DS200" s="387"/>
      <c r="DT200" s="387"/>
      <c r="DU200" s="387"/>
      <c r="DV200" s="387"/>
      <c r="DW200" s="387"/>
      <c r="DX200" s="387"/>
      <c r="DY200" s="387"/>
      <c r="DZ200" s="387"/>
      <c r="EA200" s="387"/>
      <c r="EB200" s="387"/>
      <c r="EC200" s="387"/>
      <c r="ED200" s="387"/>
      <c r="EE200" s="387"/>
      <c r="EF200" s="387"/>
      <c r="EG200" s="387"/>
      <c r="EH200" s="387"/>
      <c r="EI200" s="387"/>
      <c r="EJ200" s="387"/>
      <c r="EK200" s="387"/>
      <c r="EL200" s="387"/>
      <c r="EM200" s="387"/>
      <c r="EN200" s="387"/>
      <c r="EO200" s="387"/>
      <c r="EP200" s="387"/>
      <c r="EQ200" s="387"/>
      <c r="ER200" s="387"/>
      <c r="ES200" s="387"/>
      <c r="ET200" s="387"/>
      <c r="EU200" s="387"/>
      <c r="EV200" s="387"/>
      <c r="EW200" s="387"/>
      <c r="EX200" s="387"/>
      <c r="EY200" s="387"/>
      <c r="EZ200" s="387"/>
      <c r="FA200" s="387"/>
      <c r="FB200" s="387"/>
      <c r="FC200" s="387"/>
      <c r="FD200" s="387"/>
      <c r="FE200" s="387"/>
      <c r="FF200" s="387"/>
      <c r="FG200" s="387"/>
      <c r="FH200" s="387"/>
      <c r="FI200" s="387"/>
      <c r="FJ200" s="387"/>
      <c r="FK200" s="387"/>
      <c r="FL200" s="387"/>
      <c r="FM200" s="387"/>
      <c r="FN200" s="387"/>
      <c r="FO200" s="387"/>
      <c r="FP200" s="387"/>
      <c r="FQ200" s="387"/>
      <c r="FR200" s="387"/>
      <c r="FS200" s="387"/>
      <c r="FT200" s="387"/>
      <c r="FU200" s="387"/>
      <c r="FV200" s="387"/>
      <c r="FW200" s="387"/>
      <c r="FX200" s="387"/>
      <c r="FY200" s="387"/>
      <c r="FZ200" s="387"/>
      <c r="GA200" s="387"/>
      <c r="GB200" s="387"/>
      <c r="GC200" s="387"/>
      <c r="GD200" s="387"/>
      <c r="GE200" s="387"/>
      <c r="GF200" s="387"/>
      <c r="GG200" s="387"/>
      <c r="GH200" s="387"/>
      <c r="GI200" s="387"/>
      <c r="GJ200" s="387"/>
      <c r="GK200" s="387"/>
      <c r="GL200" s="387"/>
      <c r="GM200" s="387"/>
      <c r="GN200" s="387"/>
      <c r="GO200" s="387"/>
      <c r="GP200" s="387"/>
      <c r="GQ200" s="387"/>
      <c r="GR200" s="387"/>
      <c r="GS200" s="387"/>
      <c r="GT200" s="387"/>
      <c r="GU200" s="387"/>
      <c r="GV200" s="387"/>
      <c r="GW200" s="387"/>
      <c r="GX200" s="387"/>
      <c r="GY200" s="387"/>
      <c r="GZ200" s="387"/>
      <c r="HA200" s="387"/>
      <c r="HB200" s="387"/>
      <c r="HC200" s="387"/>
      <c r="HD200" s="387"/>
      <c r="HE200" s="387"/>
      <c r="HF200" s="387"/>
      <c r="HG200" s="387"/>
      <c r="HH200" s="387"/>
      <c r="HI200" s="387"/>
      <c r="HJ200" s="387"/>
      <c r="HK200" s="387"/>
      <c r="HL200" s="387"/>
      <c r="HM200" s="387"/>
      <c r="HN200" s="387"/>
      <c r="HO200" s="387"/>
      <c r="HP200" s="387"/>
      <c r="HQ200" s="387"/>
      <c r="HR200" s="387"/>
      <c r="HS200" s="387"/>
      <c r="HT200" s="387"/>
      <c r="HU200" s="387"/>
      <c r="HV200" s="387"/>
      <c r="HW200" s="387"/>
      <c r="HX200" s="387"/>
      <c r="HY200" s="387"/>
      <c r="HZ200" s="387"/>
      <c r="IA200" s="387"/>
      <c r="IB200" s="387"/>
      <c r="IC200" s="387"/>
      <c r="ID200" s="387"/>
      <c r="IE200" s="387"/>
      <c r="IF200" s="387"/>
      <c r="IG200" s="387"/>
      <c r="IH200" s="387"/>
      <c r="II200" s="387"/>
      <c r="IJ200" s="387"/>
      <c r="IK200" s="387"/>
      <c r="IL200" s="387"/>
      <c r="IM200" s="387"/>
      <c r="IN200" s="387"/>
      <c r="IO200" s="387"/>
      <c r="IP200" s="387"/>
      <c r="IQ200" s="387"/>
      <c r="IR200" s="387"/>
      <c r="IS200" s="387"/>
      <c r="IT200" s="387"/>
      <c r="IU200" s="387"/>
      <c r="IV200" s="387"/>
      <c r="IW200" s="387"/>
      <c r="IX200" s="387"/>
      <c r="IY200" s="387"/>
      <c r="IZ200" s="387"/>
      <c r="JA200" s="387"/>
      <c r="JB200" s="387"/>
      <c r="JC200" s="387"/>
      <c r="JD200" s="387"/>
      <c r="JE200" s="387"/>
      <c r="JF200" s="387"/>
      <c r="JG200" s="387"/>
      <c r="JH200" s="387"/>
      <c r="JI200" s="387"/>
      <c r="JJ200" s="387"/>
      <c r="JK200" s="387"/>
      <c r="JL200" s="387"/>
      <c r="JM200" s="387"/>
      <c r="JN200" s="387"/>
      <c r="JO200" s="387"/>
      <c r="JP200" s="387"/>
      <c r="JQ200" s="387"/>
      <c r="JR200" s="387"/>
      <c r="JS200" s="387"/>
      <c r="JT200" s="387"/>
      <c r="JU200" s="387"/>
      <c r="JV200" s="387"/>
      <c r="JW200" s="387"/>
      <c r="JX200" s="387"/>
      <c r="JY200" s="387"/>
      <c r="JZ200" s="387"/>
      <c r="KA200" s="387"/>
      <c r="KB200" s="387"/>
      <c r="KC200" s="387"/>
      <c r="KD200" s="387"/>
      <c r="KE200" s="387"/>
      <c r="KF200" s="387"/>
      <c r="KG200" s="387"/>
      <c r="KH200" s="387"/>
      <c r="KI200" s="387"/>
      <c r="KJ200" s="387"/>
      <c r="KK200" s="387"/>
      <c r="KL200" s="387"/>
      <c r="KM200" s="387"/>
      <c r="KN200" s="387"/>
      <c r="KO200" s="387"/>
      <c r="KP200" s="387"/>
      <c r="KQ200" s="387"/>
      <c r="KR200" s="387"/>
      <c r="KS200" s="387"/>
      <c r="KT200" s="387"/>
      <c r="KU200" s="387"/>
      <c r="KV200" s="387"/>
      <c r="KW200" s="387"/>
      <c r="KX200" s="387"/>
      <c r="KY200" s="387"/>
      <c r="KZ200" s="387"/>
      <c r="LA200" s="387"/>
      <c r="LB200" s="387"/>
      <c r="LC200" s="387"/>
      <c r="LD200" s="387"/>
      <c r="LE200" s="387"/>
      <c r="LF200" s="387"/>
      <c r="LG200" s="387"/>
      <c r="LH200" s="387"/>
      <c r="LI200" s="387"/>
      <c r="LJ200" s="387"/>
      <c r="LK200" s="387"/>
      <c r="LL200" s="387"/>
      <c r="LM200" s="387"/>
      <c r="LN200" s="387"/>
      <c r="LO200" s="387"/>
      <c r="LP200" s="387"/>
      <c r="LQ200" s="387"/>
      <c r="LR200" s="387"/>
      <c r="LS200" s="387"/>
      <c r="LT200" s="387"/>
      <c r="LU200" s="387"/>
      <c r="LV200" s="387"/>
      <c r="LW200" s="387"/>
      <c r="LX200" s="387"/>
      <c r="LY200" s="387"/>
      <c r="LZ200" s="387"/>
      <c r="MA200" s="387"/>
      <c r="MB200" s="387"/>
      <c r="MC200" s="387"/>
      <c r="MD200" s="387"/>
      <c r="ME200" s="387"/>
      <c r="MF200" s="387"/>
      <c r="MG200" s="387"/>
      <c r="MH200" s="387"/>
      <c r="MI200" s="387"/>
      <c r="MJ200" s="387"/>
      <c r="MK200" s="387"/>
      <c r="ML200" s="387"/>
      <c r="MM200" s="387"/>
      <c r="MN200" s="387"/>
      <c r="MO200" s="387"/>
      <c r="MP200" s="387"/>
      <c r="MQ200" s="387"/>
      <c r="MR200" s="387"/>
      <c r="MS200" s="387"/>
      <c r="MT200" s="387"/>
      <c r="MU200" s="387"/>
      <c r="MV200" s="387"/>
      <c r="MW200" s="387"/>
      <c r="MX200" s="387"/>
      <c r="MY200" s="387"/>
      <c r="MZ200" s="387"/>
      <c r="NA200" s="387"/>
      <c r="NB200" s="387"/>
      <c r="NC200" s="387"/>
      <c r="ND200" s="387"/>
      <c r="NE200" s="387"/>
      <c r="NF200" s="387"/>
      <c r="NG200" s="387"/>
      <c r="NH200" s="387"/>
      <c r="NI200" s="387"/>
      <c r="NJ200" s="387"/>
      <c r="NK200" s="387"/>
      <c r="NL200" s="387"/>
      <c r="NM200" s="387"/>
      <c r="NN200" s="387"/>
      <c r="NO200" s="387"/>
      <c r="NP200" s="387"/>
      <c r="NQ200" s="387"/>
      <c r="NR200" s="387"/>
      <c r="NS200" s="387"/>
      <c r="NT200" s="387"/>
      <c r="NU200" s="387"/>
      <c r="NV200" s="387"/>
      <c r="NW200" s="387"/>
      <c r="NX200" s="387"/>
      <c r="NY200" s="387"/>
      <c r="NZ200" s="387"/>
      <c r="OA200" s="387"/>
      <c r="OB200" s="387"/>
      <c r="OC200" s="387"/>
      <c r="OD200" s="387"/>
      <c r="OE200" s="387"/>
      <c r="OF200" s="387"/>
      <c r="OG200" s="387"/>
      <c r="OH200" s="387"/>
      <c r="OI200" s="387"/>
      <c r="OJ200" s="387"/>
      <c r="OK200" s="387"/>
      <c r="OL200" s="387"/>
      <c r="OM200" s="387"/>
      <c r="ON200" s="387"/>
      <c r="OO200" s="387"/>
      <c r="OP200" s="387"/>
      <c r="OQ200" s="387"/>
      <c r="OR200" s="387"/>
      <c r="OS200" s="387"/>
      <c r="OT200" s="387"/>
      <c r="OU200" s="387"/>
      <c r="OV200" s="387"/>
      <c r="OW200" s="387"/>
      <c r="OX200" s="387"/>
      <c r="OY200" s="387"/>
      <c r="OZ200" s="387"/>
      <c r="PA200" s="387"/>
      <c r="PB200" s="387"/>
      <c r="PC200" s="387"/>
      <c r="PD200" s="387"/>
      <c r="PE200" s="387"/>
      <c r="PF200" s="387"/>
      <c r="PG200" s="387"/>
      <c r="PH200" s="387"/>
      <c r="PI200" s="387"/>
      <c r="PJ200" s="387"/>
      <c r="PK200" s="387"/>
      <c r="PL200" s="387"/>
      <c r="PM200" s="387"/>
      <c r="PN200" s="387"/>
      <c r="PO200" s="387"/>
      <c r="PP200" s="387"/>
      <c r="PQ200" s="387"/>
      <c r="PR200" s="387"/>
      <c r="PS200" s="387"/>
      <c r="PT200" s="387"/>
      <c r="PU200" s="387"/>
      <c r="PV200" s="387"/>
      <c r="PW200" s="387"/>
      <c r="PX200" s="387"/>
      <c r="PY200" s="387"/>
      <c r="PZ200" s="387"/>
      <c r="QA200" s="387"/>
      <c r="QB200" s="387"/>
      <c r="QC200" s="387"/>
      <c r="QD200" s="387"/>
      <c r="QE200" s="387"/>
      <c r="QF200" s="387"/>
      <c r="QG200" s="387"/>
      <c r="QH200" s="387"/>
      <c r="QI200" s="387"/>
      <c r="QJ200" s="387"/>
      <c r="QK200" s="387"/>
      <c r="QL200" s="387"/>
      <c r="QM200" s="387"/>
      <c r="QN200" s="387"/>
      <c r="QO200" s="387"/>
      <c r="QP200" s="387"/>
      <c r="QQ200" s="387"/>
      <c r="QR200" s="387"/>
      <c r="QS200" s="387"/>
      <c r="QT200" s="387"/>
      <c r="QU200" s="387"/>
      <c r="QV200" s="387"/>
      <c r="QW200" s="387"/>
      <c r="QX200" s="387"/>
      <c r="QY200" s="387"/>
      <c r="QZ200" s="387"/>
      <c r="RA200" s="387"/>
      <c r="RB200" s="387"/>
      <c r="RC200" s="387"/>
      <c r="RD200" s="387"/>
      <c r="RE200" s="387"/>
      <c r="RF200" s="387"/>
      <c r="RG200" s="387"/>
      <c r="RH200" s="387"/>
      <c r="RI200" s="387"/>
      <c r="RJ200" s="387"/>
      <c r="RK200" s="387"/>
      <c r="RL200" s="387"/>
      <c r="RM200" s="387"/>
      <c r="RN200" s="387"/>
      <c r="RO200" s="387"/>
      <c r="RP200" s="387"/>
      <c r="RQ200" s="387"/>
      <c r="RR200" s="387"/>
      <c r="RS200" s="387"/>
      <c r="RT200" s="387"/>
      <c r="RU200" s="387"/>
      <c r="RV200" s="387"/>
      <c r="RW200" s="387"/>
      <c r="RX200" s="387"/>
      <c r="RY200" s="387"/>
      <c r="RZ200" s="387"/>
      <c r="SA200" s="387"/>
      <c r="SB200" s="387"/>
      <c r="SC200" s="387"/>
      <c r="SD200" s="387"/>
      <c r="SE200" s="387"/>
      <c r="SF200" s="387"/>
      <c r="SG200" s="387"/>
      <c r="SH200" s="387"/>
      <c r="SI200" s="387"/>
      <c r="SJ200" s="387"/>
      <c r="SK200" s="387"/>
      <c r="SL200" s="387"/>
      <c r="SM200" s="387"/>
      <c r="SN200" s="387"/>
      <c r="SO200" s="387"/>
      <c r="SP200" s="387"/>
      <c r="SQ200" s="387"/>
      <c r="SR200" s="387"/>
      <c r="SS200" s="387"/>
      <c r="ST200" s="387"/>
      <c r="SU200" s="387"/>
      <c r="SV200" s="387"/>
      <c r="SW200" s="387"/>
      <c r="SX200" s="387"/>
      <c r="SY200" s="387"/>
      <c r="SZ200" s="387"/>
      <c r="TA200" s="387"/>
      <c r="TB200" s="387"/>
      <c r="TC200" s="387"/>
      <c r="TD200" s="387"/>
      <c r="TE200" s="387"/>
      <c r="TF200" s="387"/>
      <c r="TG200" s="387"/>
      <c r="TH200" s="387"/>
      <c r="TI200" s="387"/>
      <c r="TJ200" s="387"/>
      <c r="TK200" s="387"/>
      <c r="TL200" s="387"/>
      <c r="TM200" s="387"/>
      <c r="TN200" s="387"/>
      <c r="TO200" s="387"/>
      <c r="TP200" s="387"/>
      <c r="TQ200" s="387"/>
      <c r="TR200" s="387"/>
      <c r="TS200" s="387"/>
      <c r="TT200" s="387"/>
      <c r="TU200" s="387"/>
      <c r="TV200" s="387"/>
      <c r="TW200" s="387"/>
      <c r="TX200" s="387"/>
      <c r="TY200" s="387"/>
      <c r="TZ200" s="387"/>
      <c r="UA200" s="387"/>
      <c r="UB200" s="387"/>
      <c r="UC200" s="387"/>
      <c r="UD200" s="387"/>
      <c r="UE200" s="387"/>
      <c r="UF200" s="387"/>
      <c r="UG200" s="387"/>
      <c r="UH200" s="387"/>
      <c r="UI200" s="387"/>
      <c r="UJ200" s="387"/>
      <c r="UK200" s="387"/>
      <c r="UL200" s="387"/>
      <c r="UM200" s="387"/>
      <c r="UN200" s="387"/>
      <c r="UO200" s="387"/>
      <c r="UP200" s="387"/>
      <c r="UQ200" s="387"/>
      <c r="UR200" s="387"/>
      <c r="US200" s="387"/>
      <c r="UT200" s="387"/>
      <c r="UU200" s="387"/>
      <c r="UV200" s="387"/>
      <c r="UW200" s="387"/>
      <c r="UX200" s="387"/>
      <c r="UY200" s="387"/>
      <c r="UZ200" s="387"/>
      <c r="VA200" s="387"/>
      <c r="VB200" s="387"/>
      <c r="VC200" s="387"/>
      <c r="VD200" s="387"/>
      <c r="VE200" s="387"/>
      <c r="VF200" s="387"/>
      <c r="VG200" s="387"/>
      <c r="VH200" s="387"/>
      <c r="VI200" s="387"/>
      <c r="VJ200" s="387"/>
      <c r="VK200" s="387"/>
      <c r="VL200" s="387"/>
      <c r="VM200" s="387"/>
      <c r="VN200" s="387"/>
      <c r="VO200" s="387"/>
      <c r="VP200" s="387"/>
      <c r="VQ200" s="387"/>
      <c r="VR200" s="387"/>
      <c r="VS200" s="387"/>
      <c r="VT200" s="387"/>
      <c r="VU200" s="387"/>
      <c r="VV200" s="387"/>
      <c r="VW200" s="387"/>
      <c r="VX200" s="387"/>
      <c r="VY200" s="387"/>
      <c r="VZ200" s="387"/>
      <c r="WA200" s="387"/>
      <c r="WB200" s="387"/>
      <c r="WC200" s="387"/>
      <c r="WD200" s="387"/>
      <c r="WE200" s="387"/>
      <c r="WF200" s="387"/>
      <c r="WG200" s="387"/>
      <c r="WH200" s="387"/>
      <c r="WI200" s="387"/>
      <c r="WJ200" s="387"/>
      <c r="WK200" s="387"/>
      <c r="WL200" s="387"/>
      <c r="WM200" s="387"/>
      <c r="WN200" s="387"/>
      <c r="WO200" s="387"/>
      <c r="WP200" s="387"/>
      <c r="WQ200" s="387"/>
      <c r="WR200" s="387"/>
      <c r="WS200" s="387"/>
      <c r="WT200" s="387"/>
      <c r="WU200" s="387"/>
      <c r="WV200" s="387"/>
      <c r="WW200" s="387"/>
      <c r="WX200" s="387"/>
      <c r="WY200" s="387"/>
      <c r="WZ200" s="387"/>
      <c r="XA200" s="387"/>
      <c r="XB200" s="387"/>
      <c r="XC200" s="387"/>
      <c r="XD200" s="387"/>
      <c r="XE200" s="387"/>
      <c r="XF200" s="387"/>
      <c r="XG200" s="387"/>
      <c r="XH200" s="387"/>
      <c r="XI200" s="387"/>
      <c r="XJ200" s="387"/>
      <c r="XK200" s="387"/>
      <c r="XL200" s="387"/>
      <c r="XM200" s="387"/>
      <c r="XN200" s="387"/>
      <c r="XO200" s="387"/>
      <c r="XP200" s="387"/>
      <c r="XQ200" s="387"/>
      <c r="XR200" s="387"/>
      <c r="XS200" s="387"/>
      <c r="XT200" s="387"/>
      <c r="XU200" s="387"/>
      <c r="XV200" s="387"/>
      <c r="XW200" s="387"/>
      <c r="XX200" s="387"/>
      <c r="XY200" s="387"/>
      <c r="XZ200" s="387"/>
      <c r="YA200" s="387"/>
      <c r="YB200" s="387"/>
      <c r="YC200" s="387"/>
      <c r="YD200" s="387"/>
      <c r="YE200" s="387"/>
      <c r="YF200" s="387"/>
      <c r="YG200" s="387"/>
      <c r="YH200" s="387"/>
      <c r="YI200" s="387"/>
      <c r="YJ200" s="387"/>
      <c r="YK200" s="387"/>
      <c r="YL200" s="387"/>
      <c r="YM200" s="387"/>
      <c r="YN200" s="387"/>
      <c r="YO200" s="387"/>
      <c r="YP200" s="387"/>
      <c r="YQ200" s="387"/>
      <c r="YR200" s="387"/>
      <c r="YS200" s="387"/>
      <c r="YT200" s="387"/>
      <c r="YU200" s="387"/>
      <c r="YV200" s="387"/>
      <c r="YW200" s="387"/>
      <c r="YX200" s="387"/>
      <c r="YY200" s="387"/>
      <c r="YZ200" s="387"/>
      <c r="ZA200" s="387"/>
      <c r="ZB200" s="387"/>
      <c r="ZC200" s="387"/>
      <c r="ZD200" s="387"/>
      <c r="ZE200" s="387"/>
      <c r="ZF200" s="387"/>
      <c r="ZG200" s="387"/>
      <c r="ZH200" s="387"/>
      <c r="ZI200" s="387"/>
      <c r="ZJ200" s="387"/>
      <c r="ZK200" s="387"/>
      <c r="ZL200" s="387"/>
      <c r="ZM200" s="387"/>
      <c r="ZN200" s="387"/>
      <c r="ZO200" s="387"/>
      <c r="ZP200" s="387"/>
      <c r="ZQ200" s="387"/>
      <c r="ZR200" s="387"/>
      <c r="ZS200" s="387"/>
      <c r="ZT200" s="387"/>
      <c r="ZU200" s="387"/>
      <c r="ZV200" s="387"/>
      <c r="ZW200" s="387"/>
      <c r="ZX200" s="387"/>
      <c r="ZY200" s="387"/>
      <c r="ZZ200" s="387"/>
      <c r="AAA200" s="387"/>
      <c r="AAB200" s="387"/>
      <c r="AAC200" s="387"/>
      <c r="AAD200" s="387"/>
      <c r="AAE200" s="387"/>
      <c r="AAF200" s="387"/>
      <c r="AAG200" s="387"/>
      <c r="AAH200" s="387"/>
      <c r="AAI200" s="387"/>
      <c r="AAJ200" s="387"/>
      <c r="AAK200" s="387"/>
      <c r="AAL200" s="387"/>
      <c r="AAM200" s="387"/>
      <c r="AAN200" s="387"/>
      <c r="AAO200" s="387"/>
      <c r="AAP200" s="387"/>
      <c r="AAQ200" s="387"/>
      <c r="AAR200" s="387"/>
      <c r="AAS200" s="387"/>
      <c r="AAT200" s="387"/>
      <c r="AAU200" s="387"/>
      <c r="AAV200" s="387"/>
      <c r="AAW200" s="387"/>
      <c r="AAX200" s="387"/>
      <c r="AAY200" s="387"/>
      <c r="AAZ200" s="387"/>
      <c r="ABA200" s="387"/>
      <c r="ABB200" s="387"/>
      <c r="ABC200" s="387"/>
      <c r="ABD200" s="387"/>
      <c r="ABE200" s="387"/>
      <c r="ABF200" s="387"/>
      <c r="ABG200" s="387"/>
      <c r="ABH200" s="387"/>
      <c r="ABI200" s="387"/>
      <c r="ABJ200" s="387"/>
      <c r="ABK200" s="387"/>
      <c r="ABL200" s="387"/>
      <c r="ABM200" s="387"/>
      <c r="ABN200" s="387"/>
      <c r="ABO200" s="387"/>
      <c r="ABP200" s="387"/>
      <c r="ABQ200" s="387"/>
      <c r="ABR200" s="387"/>
      <c r="ABS200" s="387"/>
      <c r="ABT200" s="387"/>
      <c r="ABU200" s="387"/>
      <c r="ABV200" s="387"/>
      <c r="ABW200" s="387"/>
      <c r="ABX200" s="387"/>
      <c r="ABY200" s="387"/>
      <c r="ABZ200" s="387"/>
      <c r="ACA200" s="387"/>
      <c r="ACB200" s="387"/>
      <c r="ACC200" s="387"/>
      <c r="ACD200" s="387"/>
      <c r="ACE200" s="387"/>
      <c r="ACF200" s="387"/>
      <c r="ACG200" s="387"/>
      <c r="ACH200" s="387"/>
      <c r="ACI200" s="387"/>
      <c r="ACJ200" s="387"/>
      <c r="ACK200" s="387"/>
      <c r="ACL200" s="387"/>
      <c r="ACM200" s="387"/>
      <c r="ACN200" s="387"/>
      <c r="ACO200" s="387"/>
      <c r="ACP200" s="387"/>
      <c r="ACQ200" s="387"/>
      <c r="ACR200" s="387"/>
      <c r="ACS200" s="387"/>
      <c r="ACT200" s="387"/>
      <c r="ACU200" s="387"/>
      <c r="ACV200" s="387"/>
      <c r="ACW200" s="387"/>
      <c r="ACX200" s="387"/>
      <c r="ACY200" s="387"/>
      <c r="ACZ200" s="387"/>
      <c r="ADA200" s="387"/>
      <c r="ADB200" s="387"/>
      <c r="ADC200" s="387"/>
      <c r="ADD200" s="387"/>
      <c r="ADE200" s="387"/>
      <c r="ADF200" s="387"/>
      <c r="ADG200" s="387"/>
      <c r="ADH200" s="387"/>
      <c r="ADI200" s="387"/>
      <c r="ADJ200" s="387"/>
      <c r="ADK200" s="387"/>
      <c r="ADL200" s="387"/>
      <c r="ADM200" s="387"/>
      <c r="ADN200" s="387"/>
      <c r="ADO200" s="387"/>
      <c r="ADP200" s="387"/>
      <c r="ADQ200" s="387"/>
      <c r="ADR200" s="387"/>
      <c r="ADS200" s="387"/>
      <c r="ADT200" s="387"/>
      <c r="ADU200" s="387"/>
      <c r="ADV200" s="387"/>
      <c r="ADW200" s="387"/>
      <c r="ADX200" s="387"/>
      <c r="ADY200" s="387"/>
      <c r="ADZ200" s="387"/>
      <c r="AEA200" s="387"/>
      <c r="AEB200" s="387"/>
      <c r="AEC200" s="387"/>
      <c r="AED200" s="387"/>
      <c r="AEE200" s="387"/>
      <c r="AEF200" s="387"/>
      <c r="AEG200" s="387"/>
      <c r="AEH200" s="387"/>
      <c r="AEI200" s="387"/>
      <c r="AEJ200" s="387"/>
      <c r="AEK200" s="387"/>
      <c r="AEL200" s="387"/>
      <c r="AEM200" s="387"/>
      <c r="AEN200" s="387"/>
      <c r="AEO200" s="387"/>
      <c r="AEP200" s="387"/>
      <c r="AEQ200" s="387"/>
      <c r="AER200" s="387"/>
      <c r="AES200" s="387"/>
      <c r="AET200" s="387"/>
      <c r="AEU200" s="387"/>
      <c r="AEV200" s="387"/>
      <c r="AEW200" s="387"/>
      <c r="AEX200" s="387"/>
      <c r="AEY200" s="387"/>
      <c r="AEZ200" s="387"/>
      <c r="AFA200" s="387"/>
      <c r="AFB200" s="387"/>
      <c r="AFC200" s="387"/>
      <c r="AFD200" s="387"/>
      <c r="AFE200" s="387"/>
      <c r="AFF200" s="387"/>
      <c r="AFG200" s="387"/>
      <c r="AFH200" s="387"/>
      <c r="AFI200" s="387"/>
      <c r="AFJ200" s="387"/>
      <c r="AFK200" s="387"/>
      <c r="AFL200" s="387"/>
      <c r="AFM200" s="387"/>
      <c r="AFN200" s="387"/>
      <c r="AFO200" s="387"/>
      <c r="AFP200" s="387"/>
      <c r="AFQ200" s="387"/>
      <c r="AFR200" s="387"/>
      <c r="AFS200" s="387"/>
      <c r="AFT200" s="387"/>
      <c r="AFU200" s="387"/>
      <c r="AFV200" s="387"/>
      <c r="AFW200" s="387"/>
      <c r="AFX200" s="387"/>
      <c r="AFY200" s="387"/>
      <c r="AFZ200" s="387"/>
      <c r="AGA200" s="387"/>
      <c r="AGB200" s="387"/>
      <c r="AGC200" s="387"/>
      <c r="AGD200" s="387"/>
      <c r="AGE200" s="387"/>
      <c r="AGF200" s="387"/>
      <c r="AGG200" s="387"/>
      <c r="AGH200" s="387"/>
      <c r="AGI200" s="387"/>
      <c r="AGJ200" s="387"/>
      <c r="AGK200" s="387"/>
      <c r="AGL200" s="387"/>
      <c r="AGM200" s="387"/>
      <c r="AGN200" s="387"/>
      <c r="AGO200" s="387"/>
      <c r="AGP200" s="387"/>
      <c r="AGQ200" s="387"/>
      <c r="AGR200" s="387"/>
      <c r="AGS200" s="387"/>
      <c r="AGT200" s="387"/>
      <c r="AGU200" s="387"/>
      <c r="AGV200" s="387"/>
      <c r="AGW200" s="387"/>
      <c r="AGX200" s="387"/>
      <c r="AGY200" s="387"/>
      <c r="AGZ200" s="387"/>
      <c r="AHA200" s="387"/>
      <c r="AHB200" s="387"/>
      <c r="AHC200" s="387"/>
      <c r="AHD200" s="387"/>
      <c r="AHE200" s="387"/>
      <c r="AHF200" s="387"/>
      <c r="AHG200" s="387"/>
      <c r="AHH200" s="387"/>
      <c r="AHI200" s="387"/>
      <c r="AHJ200" s="387"/>
      <c r="AHK200" s="387"/>
      <c r="AHL200" s="387"/>
      <c r="AHM200" s="387"/>
      <c r="AHN200" s="387"/>
      <c r="AHO200" s="387"/>
      <c r="AHP200" s="387"/>
      <c r="AHQ200" s="387"/>
      <c r="AHR200" s="387"/>
      <c r="AHS200" s="387"/>
      <c r="AHT200" s="387"/>
      <c r="AHU200" s="387"/>
      <c r="AHV200" s="387"/>
      <c r="AHW200" s="387"/>
      <c r="AHX200" s="387"/>
      <c r="AHY200" s="387"/>
      <c r="AHZ200" s="387"/>
      <c r="AIA200" s="387"/>
      <c r="AIB200" s="387"/>
      <c r="AIC200" s="387"/>
      <c r="AID200" s="387"/>
      <c r="AIE200" s="387"/>
      <c r="AIF200" s="387"/>
      <c r="AIG200" s="387"/>
      <c r="AIH200" s="387"/>
      <c r="AII200" s="387"/>
      <c r="AIJ200" s="387"/>
      <c r="AIK200" s="387"/>
      <c r="AIL200" s="387"/>
      <c r="AIM200" s="387"/>
      <c r="AIN200" s="387"/>
      <c r="AIO200" s="387"/>
      <c r="AIP200" s="387"/>
      <c r="AIQ200" s="387"/>
      <c r="AIR200" s="387"/>
      <c r="AIS200" s="387"/>
      <c r="AIT200" s="387"/>
      <c r="AIU200" s="387"/>
      <c r="AIV200" s="387"/>
      <c r="AIW200" s="387"/>
      <c r="AIX200" s="387"/>
      <c r="AIY200" s="387"/>
      <c r="AIZ200" s="387"/>
      <c r="AJA200" s="387"/>
      <c r="AJB200" s="387"/>
      <c r="AJC200" s="387"/>
      <c r="AJD200" s="387"/>
      <c r="AJE200" s="387"/>
      <c r="AJF200" s="387"/>
      <c r="AJG200" s="387"/>
      <c r="AJH200" s="387"/>
      <c r="AJI200" s="387"/>
      <c r="AJJ200" s="387"/>
      <c r="AJK200" s="387"/>
      <c r="AJL200" s="387"/>
      <c r="AJM200" s="387"/>
      <c r="AJN200" s="387"/>
      <c r="AJO200" s="387"/>
      <c r="AJP200" s="387"/>
      <c r="AJQ200" s="387"/>
      <c r="AJR200" s="387"/>
      <c r="AJS200" s="387"/>
      <c r="AJT200" s="387"/>
      <c r="AJU200" s="387"/>
      <c r="AJV200" s="387"/>
      <c r="AJW200" s="387"/>
      <c r="AJX200" s="387"/>
      <c r="AJY200" s="387"/>
      <c r="AJZ200" s="387"/>
      <c r="AKA200" s="387"/>
      <c r="AKB200" s="387"/>
      <c r="AKC200" s="387"/>
      <c r="AKD200" s="387"/>
      <c r="AKE200" s="387"/>
      <c r="AKF200" s="387"/>
      <c r="AKG200" s="387"/>
      <c r="AKH200" s="387"/>
      <c r="AKI200" s="387"/>
      <c r="AKJ200" s="387"/>
      <c r="AKK200" s="387"/>
      <c r="AKL200" s="387"/>
      <c r="AKM200" s="387"/>
      <c r="AKN200" s="387"/>
      <c r="AKO200" s="387"/>
      <c r="AKP200" s="387"/>
      <c r="AKQ200" s="387"/>
      <c r="AKR200" s="387"/>
      <c r="AKS200" s="387"/>
      <c r="AKT200" s="387"/>
      <c r="AKU200" s="387"/>
      <c r="AKV200" s="387"/>
      <c r="AKW200" s="387"/>
      <c r="AKX200" s="387"/>
      <c r="AKY200" s="387"/>
      <c r="AKZ200" s="387"/>
      <c r="ALA200" s="387"/>
      <c r="ALB200" s="387"/>
      <c r="ALC200" s="387"/>
      <c r="ALD200" s="387"/>
      <c r="ALE200" s="387"/>
      <c r="ALF200" s="387"/>
      <c r="ALG200" s="387"/>
      <c r="ALH200" s="387"/>
      <c r="ALI200" s="387"/>
      <c r="ALJ200" s="387"/>
      <c r="ALK200" s="387"/>
      <c r="ALL200" s="387"/>
      <c r="ALM200" s="387"/>
      <c r="ALN200" s="387"/>
      <c r="ALO200" s="387"/>
      <c r="ALP200" s="387"/>
      <c r="ALQ200" s="387"/>
      <c r="ALR200" s="387"/>
      <c r="ALS200" s="387"/>
      <c r="ALT200" s="387"/>
      <c r="ALU200" s="387"/>
      <c r="ALV200" s="387"/>
      <c r="ALW200" s="387"/>
      <c r="ALX200" s="387"/>
      <c r="ALY200" s="387"/>
      <c r="ALZ200" s="387"/>
      <c r="AMA200" s="387"/>
      <c r="AMB200" s="387"/>
      <c r="AMC200" s="387"/>
      <c r="AMD200" s="387"/>
      <c r="AME200" s="387"/>
      <c r="AMF200" s="387"/>
      <c r="AMG200" s="387"/>
      <c r="AMH200" s="387"/>
      <c r="AMI200" s="387"/>
      <c r="AMJ200" s="387"/>
      <c r="AMK200" s="387"/>
      <c r="AML200" s="387"/>
      <c r="AMM200" s="387"/>
      <c r="AMN200" s="387"/>
      <c r="AMO200" s="387"/>
      <c r="AMP200" s="387"/>
      <c r="AMQ200" s="387"/>
      <c r="AMR200" s="387"/>
      <c r="AMS200" s="387"/>
      <c r="AMT200" s="387"/>
      <c r="AMU200" s="387"/>
      <c r="AMV200" s="387"/>
      <c r="AMW200" s="387"/>
      <c r="AMX200" s="387"/>
      <c r="AMY200" s="387"/>
      <c r="AMZ200" s="387"/>
      <c r="ANA200" s="387"/>
      <c r="ANB200" s="387"/>
      <c r="ANC200" s="387"/>
      <c r="AND200" s="387"/>
      <c r="ANE200" s="387"/>
      <c r="ANF200" s="387"/>
      <c r="ANG200" s="387"/>
      <c r="ANH200" s="387"/>
      <c r="ANI200" s="387"/>
      <c r="ANJ200" s="387"/>
      <c r="ANK200" s="387"/>
      <c r="ANL200" s="387"/>
      <c r="ANM200" s="387"/>
      <c r="ANN200" s="387"/>
      <c r="ANO200" s="387"/>
      <c r="ANP200" s="387"/>
      <c r="ANQ200" s="387"/>
      <c r="ANR200" s="387"/>
      <c r="ANS200" s="387"/>
      <c r="ANT200" s="387"/>
      <c r="ANU200" s="387"/>
      <c r="ANV200" s="387"/>
      <c r="ANW200" s="387"/>
      <c r="ANX200" s="387"/>
      <c r="ANY200" s="387"/>
      <c r="ANZ200" s="387"/>
      <c r="AOA200" s="387"/>
      <c r="AOB200" s="387"/>
      <c r="AOC200" s="387"/>
      <c r="AOD200" s="387"/>
      <c r="AOE200" s="387"/>
      <c r="AOF200" s="387"/>
      <c r="AOG200" s="387"/>
      <c r="AOH200" s="387"/>
      <c r="AOI200" s="387"/>
      <c r="AOJ200" s="387"/>
      <c r="AOK200" s="387"/>
      <c r="AOL200" s="387"/>
      <c r="AOM200" s="387"/>
      <c r="AON200" s="387"/>
      <c r="AOO200" s="387"/>
      <c r="AOP200" s="387"/>
      <c r="AOQ200" s="387"/>
      <c r="AOR200" s="387"/>
      <c r="AOS200" s="387"/>
      <c r="AOT200" s="387"/>
      <c r="AOU200" s="387"/>
      <c r="AOV200" s="387"/>
      <c r="AOW200" s="387"/>
      <c r="AOX200" s="387"/>
      <c r="AOY200" s="387"/>
      <c r="AOZ200" s="387"/>
      <c r="APA200" s="387"/>
      <c r="APB200" s="387"/>
      <c r="APC200" s="387"/>
      <c r="APD200" s="387"/>
      <c r="APE200" s="387"/>
      <c r="APF200" s="387"/>
      <c r="APG200" s="387"/>
      <c r="APH200" s="387"/>
      <c r="API200" s="387"/>
      <c r="APJ200" s="387"/>
      <c r="APK200" s="387"/>
      <c r="APL200" s="387"/>
      <c r="APM200" s="387"/>
      <c r="APN200" s="387"/>
      <c r="APO200" s="387"/>
      <c r="APP200" s="387"/>
      <c r="APQ200" s="387"/>
      <c r="APR200" s="387"/>
      <c r="APS200" s="387"/>
      <c r="APT200" s="387"/>
      <c r="APU200" s="387"/>
      <c r="APV200" s="387"/>
      <c r="APW200" s="387"/>
      <c r="APX200" s="387"/>
      <c r="APY200" s="387"/>
      <c r="APZ200" s="387"/>
      <c r="AQA200" s="387"/>
      <c r="AQB200" s="387"/>
      <c r="AQC200" s="387"/>
      <c r="AQD200" s="387"/>
      <c r="AQE200" s="387"/>
      <c r="AQF200" s="387"/>
      <c r="AQG200" s="387"/>
      <c r="AQH200" s="387"/>
      <c r="AQI200" s="387"/>
      <c r="AQJ200" s="387"/>
      <c r="AQK200" s="387"/>
      <c r="AQL200" s="387"/>
      <c r="AQM200" s="387"/>
      <c r="AQN200" s="387"/>
      <c r="AQO200" s="387"/>
      <c r="AQP200" s="387"/>
      <c r="AQQ200" s="387"/>
      <c r="AQR200" s="387"/>
      <c r="AQS200" s="387"/>
      <c r="AQT200" s="387"/>
      <c r="AQU200" s="387"/>
      <c r="AQV200" s="387"/>
      <c r="AQW200" s="387"/>
      <c r="AQX200" s="387"/>
      <c r="AQY200" s="387"/>
      <c r="AQZ200" s="387"/>
      <c r="ARA200" s="387"/>
      <c r="ARB200" s="387"/>
      <c r="ARC200" s="387"/>
      <c r="ARD200" s="387"/>
      <c r="ARE200" s="387"/>
      <c r="ARF200" s="387"/>
      <c r="ARG200" s="387"/>
      <c r="ARH200" s="387"/>
      <c r="ARI200" s="387"/>
      <c r="ARJ200" s="387"/>
      <c r="ARK200" s="387"/>
      <c r="ARL200" s="387"/>
      <c r="ARM200" s="387"/>
      <c r="ARN200" s="387"/>
      <c r="ARO200" s="387"/>
      <c r="ARP200" s="387"/>
      <c r="ARQ200" s="387"/>
      <c r="ARR200" s="387"/>
      <c r="ARS200" s="387"/>
      <c r="ART200" s="387"/>
      <c r="ARU200" s="387"/>
      <c r="ARV200" s="387"/>
      <c r="ARW200" s="387"/>
      <c r="ARX200" s="387"/>
      <c r="ARY200" s="387"/>
      <c r="ARZ200" s="387"/>
      <c r="ASA200" s="387"/>
      <c r="ASB200" s="387"/>
      <c r="ASC200" s="387"/>
      <c r="ASD200" s="387"/>
      <c r="ASE200" s="387"/>
      <c r="ASF200" s="387"/>
      <c r="ASG200" s="387"/>
      <c r="ASH200" s="387"/>
      <c r="ASI200" s="387"/>
      <c r="ASJ200" s="387"/>
      <c r="ASK200" s="387"/>
      <c r="ASL200" s="387"/>
      <c r="ASM200" s="387"/>
      <c r="ASN200" s="387"/>
      <c r="ASO200" s="387"/>
      <c r="ASP200" s="387"/>
      <c r="ASQ200" s="387"/>
      <c r="ASR200" s="387"/>
      <c r="ASS200" s="387"/>
      <c r="AST200" s="387"/>
      <c r="ASU200" s="387"/>
      <c r="ASV200" s="387"/>
      <c r="ASW200" s="387"/>
      <c r="ASX200" s="387"/>
      <c r="ASY200" s="387"/>
      <c r="ASZ200" s="387"/>
      <c r="ATA200" s="387"/>
      <c r="ATB200" s="387"/>
      <c r="ATC200" s="387"/>
      <c r="ATD200" s="387"/>
      <c r="ATE200" s="387"/>
      <c r="ATF200" s="387"/>
      <c r="ATG200" s="387"/>
      <c r="ATH200" s="387"/>
      <c r="ATI200" s="387"/>
      <c r="ATJ200" s="387"/>
      <c r="ATK200" s="387"/>
      <c r="ATL200" s="387"/>
      <c r="ATM200" s="387"/>
      <c r="ATN200" s="387"/>
      <c r="ATO200" s="387"/>
      <c r="ATP200" s="387"/>
      <c r="ATQ200" s="387"/>
      <c r="ATR200" s="387"/>
      <c r="ATS200" s="387"/>
      <c r="ATT200" s="387"/>
      <c r="ATU200" s="387"/>
      <c r="ATV200" s="387"/>
      <c r="ATW200" s="387"/>
      <c r="ATX200" s="387"/>
      <c r="ATY200" s="387"/>
      <c r="ATZ200" s="387"/>
      <c r="AUA200" s="387"/>
      <c r="AUB200" s="387"/>
      <c r="AUC200" s="387"/>
      <c r="AUD200" s="387"/>
      <c r="AUE200" s="387"/>
      <c r="AUF200" s="387"/>
      <c r="AUG200" s="387"/>
      <c r="AUH200" s="387"/>
      <c r="AUI200" s="387"/>
      <c r="AUJ200" s="387"/>
      <c r="AUK200" s="387"/>
      <c r="AUL200" s="387"/>
      <c r="AUM200" s="387"/>
      <c r="AUN200" s="387"/>
      <c r="AUO200" s="387"/>
      <c r="AUP200" s="387"/>
      <c r="AUQ200" s="387"/>
      <c r="AUR200" s="387"/>
      <c r="AUS200" s="387"/>
      <c r="AUT200" s="387"/>
      <c r="AUU200" s="387"/>
      <c r="AUV200" s="387"/>
      <c r="AUW200" s="387"/>
      <c r="AUX200" s="387"/>
      <c r="AUY200" s="387"/>
      <c r="AUZ200" s="387"/>
      <c r="AVA200" s="387"/>
      <c r="AVB200" s="387"/>
      <c r="AVC200" s="387"/>
      <c r="AVD200" s="387"/>
      <c r="AVE200" s="387"/>
      <c r="AVF200" s="387"/>
      <c r="AVG200" s="387"/>
      <c r="AVH200" s="387"/>
      <c r="AVI200" s="387"/>
      <c r="AVJ200" s="387"/>
      <c r="AVK200" s="387"/>
      <c r="AVL200" s="387"/>
      <c r="AVM200" s="387"/>
      <c r="AVN200" s="387"/>
      <c r="AVO200" s="387"/>
      <c r="AVP200" s="387"/>
      <c r="AVQ200" s="387"/>
      <c r="AVR200" s="387"/>
      <c r="AVS200" s="387"/>
      <c r="AVT200" s="387"/>
      <c r="AVU200" s="387"/>
      <c r="AVV200" s="387"/>
      <c r="AVW200" s="387"/>
      <c r="AVX200" s="387"/>
      <c r="AVY200" s="387"/>
      <c r="AVZ200" s="387"/>
      <c r="AWA200" s="387"/>
      <c r="AWB200" s="387"/>
      <c r="AWC200" s="387"/>
      <c r="AWD200" s="387"/>
      <c r="AWE200" s="387"/>
      <c r="AWF200" s="387"/>
      <c r="AWG200" s="387"/>
      <c r="AWH200" s="387"/>
      <c r="AWI200" s="387"/>
      <c r="AWJ200" s="387"/>
      <c r="AWK200" s="387"/>
      <c r="AWL200" s="387"/>
      <c r="AWM200" s="387"/>
      <c r="AWN200" s="387"/>
      <c r="AWO200" s="387"/>
      <c r="AWP200" s="387"/>
      <c r="AWQ200" s="387"/>
      <c r="AWR200" s="387"/>
      <c r="AWS200" s="387"/>
      <c r="AWT200" s="387"/>
      <c r="AWU200" s="387"/>
      <c r="AWV200" s="387"/>
      <c r="AWW200" s="387"/>
      <c r="AWX200" s="387"/>
      <c r="AWY200" s="387"/>
      <c r="AWZ200" s="387"/>
      <c r="AXA200" s="387"/>
      <c r="AXB200" s="387"/>
      <c r="AXC200" s="387"/>
      <c r="AXD200" s="387"/>
      <c r="AXE200" s="387"/>
      <c r="AXF200" s="387"/>
      <c r="AXG200" s="387"/>
      <c r="AXH200" s="387"/>
      <c r="AXI200" s="387"/>
      <c r="AXJ200" s="387"/>
      <c r="AXK200" s="387"/>
      <c r="AXL200" s="387"/>
      <c r="AXM200" s="387"/>
      <c r="AXN200" s="387"/>
      <c r="AXO200" s="387"/>
      <c r="AXP200" s="387"/>
      <c r="AXQ200" s="387"/>
      <c r="AXR200" s="387"/>
      <c r="AXS200" s="387"/>
      <c r="AXT200" s="387"/>
      <c r="AXU200" s="387"/>
      <c r="AXV200" s="387"/>
      <c r="AXW200" s="387"/>
      <c r="AXX200" s="387"/>
      <c r="AXY200" s="387"/>
      <c r="AXZ200" s="387"/>
      <c r="AYA200" s="387"/>
      <c r="AYB200" s="387"/>
      <c r="AYC200" s="387"/>
      <c r="AYD200" s="387"/>
      <c r="AYE200" s="387"/>
      <c r="AYF200" s="387"/>
      <c r="AYG200" s="387"/>
      <c r="AYH200" s="387"/>
      <c r="AYI200" s="387"/>
      <c r="AYJ200" s="387"/>
      <c r="AYK200" s="387"/>
      <c r="AYL200" s="387"/>
      <c r="AYM200" s="387"/>
      <c r="AYN200" s="387"/>
      <c r="AYO200" s="387"/>
      <c r="AYP200" s="387"/>
      <c r="AYQ200" s="387"/>
      <c r="AYR200" s="387"/>
      <c r="AYS200" s="387"/>
      <c r="AYT200" s="387"/>
      <c r="AYU200" s="387"/>
      <c r="AYV200" s="387"/>
      <c r="AYW200" s="387"/>
      <c r="AYX200" s="387"/>
      <c r="AYY200" s="387"/>
      <c r="AYZ200" s="387"/>
      <c r="AZA200" s="387"/>
      <c r="AZB200" s="387"/>
      <c r="AZC200" s="387"/>
      <c r="AZD200" s="387"/>
      <c r="AZE200" s="387"/>
      <c r="AZF200" s="387"/>
      <c r="AZG200" s="387"/>
      <c r="AZH200" s="387"/>
      <c r="AZI200" s="387"/>
      <c r="AZJ200" s="387"/>
      <c r="AZK200" s="387"/>
      <c r="AZL200" s="387"/>
      <c r="AZM200" s="387"/>
      <c r="AZN200" s="387"/>
      <c r="AZO200" s="387"/>
      <c r="AZP200" s="387"/>
      <c r="AZQ200" s="387"/>
      <c r="AZR200" s="387"/>
      <c r="AZS200" s="387"/>
      <c r="AZT200" s="387"/>
      <c r="AZU200" s="387"/>
      <c r="AZV200" s="387"/>
      <c r="AZW200" s="387"/>
      <c r="AZX200" s="387"/>
      <c r="AZY200" s="387"/>
      <c r="AZZ200" s="387"/>
      <c r="BAA200" s="387"/>
      <c r="BAB200" s="387"/>
      <c r="BAC200" s="387"/>
      <c r="BAD200" s="387"/>
      <c r="BAE200" s="387"/>
      <c r="BAF200" s="387"/>
      <c r="BAG200" s="387"/>
      <c r="BAH200" s="387"/>
      <c r="BAI200" s="387"/>
      <c r="BAJ200" s="387"/>
      <c r="BAK200" s="387"/>
      <c r="BAL200" s="387"/>
      <c r="BAM200" s="387"/>
      <c r="BAN200" s="387"/>
      <c r="BAO200" s="387"/>
      <c r="BAP200" s="387"/>
      <c r="BAQ200" s="387"/>
      <c r="BAR200" s="387"/>
      <c r="BAS200" s="387"/>
      <c r="BAT200" s="387"/>
      <c r="BAU200" s="387"/>
      <c r="BAV200" s="387"/>
      <c r="BAW200" s="387"/>
      <c r="BAX200" s="387"/>
      <c r="BAY200" s="387"/>
      <c r="BAZ200" s="387"/>
      <c r="BBA200" s="387"/>
      <c r="BBB200" s="387"/>
      <c r="BBC200" s="387"/>
      <c r="BBD200" s="387"/>
      <c r="BBE200" s="387"/>
      <c r="BBF200" s="387"/>
      <c r="BBG200" s="387"/>
      <c r="BBH200" s="387"/>
      <c r="BBI200" s="387"/>
      <c r="BBJ200" s="387"/>
      <c r="BBK200" s="387"/>
      <c r="BBL200" s="387"/>
      <c r="BBM200" s="387"/>
      <c r="BBN200" s="387"/>
      <c r="BBO200" s="387"/>
      <c r="BBP200" s="387"/>
      <c r="BBQ200" s="387"/>
      <c r="BBR200" s="387"/>
      <c r="BBS200" s="387"/>
      <c r="BBT200" s="387"/>
      <c r="BBU200" s="387"/>
      <c r="BBV200" s="387"/>
      <c r="BBW200" s="387"/>
      <c r="BBX200" s="387"/>
      <c r="BBY200" s="387"/>
      <c r="BBZ200" s="387"/>
      <c r="BCA200" s="387"/>
      <c r="BCB200" s="387"/>
      <c r="BCC200" s="387"/>
      <c r="BCD200" s="387"/>
      <c r="BCE200" s="387"/>
      <c r="BCF200" s="387"/>
      <c r="BCG200" s="387"/>
      <c r="BCH200" s="387"/>
      <c r="BCI200" s="387"/>
      <c r="BCJ200" s="387"/>
      <c r="BCK200" s="387"/>
      <c r="BCL200" s="387"/>
      <c r="BCM200" s="387"/>
      <c r="BCN200" s="387"/>
      <c r="BCO200" s="387"/>
      <c r="BCP200" s="387"/>
      <c r="BCQ200" s="387"/>
      <c r="BCR200" s="387"/>
      <c r="BCS200" s="387"/>
      <c r="BCT200" s="387"/>
      <c r="BCU200" s="387"/>
      <c r="BCV200" s="387"/>
      <c r="BCW200" s="387"/>
      <c r="BCX200" s="387"/>
      <c r="BCY200" s="387"/>
      <c r="BCZ200" s="387"/>
      <c r="BDA200" s="387"/>
      <c r="BDB200" s="387"/>
      <c r="BDC200" s="387"/>
      <c r="BDD200" s="387"/>
      <c r="BDE200" s="387"/>
      <c r="BDF200" s="387"/>
      <c r="BDG200" s="387"/>
      <c r="BDH200" s="387"/>
      <c r="BDI200" s="387"/>
      <c r="BDJ200" s="387"/>
      <c r="BDK200" s="387"/>
      <c r="BDL200" s="387"/>
      <c r="BDM200" s="387"/>
      <c r="BDN200" s="387"/>
      <c r="BDO200" s="387"/>
      <c r="BDP200" s="387"/>
      <c r="BDQ200" s="387"/>
      <c r="BDR200" s="387"/>
      <c r="BDS200" s="387"/>
      <c r="BDT200" s="387"/>
      <c r="BDU200" s="387"/>
      <c r="BDV200" s="387"/>
      <c r="BDW200" s="387"/>
      <c r="BDX200" s="387"/>
      <c r="BDY200" s="387"/>
      <c r="BDZ200" s="387"/>
      <c r="BEA200" s="387"/>
      <c r="BEB200" s="387"/>
      <c r="BEC200" s="387"/>
      <c r="BED200" s="387"/>
      <c r="BEE200" s="387"/>
      <c r="BEF200" s="387"/>
      <c r="BEG200" s="387"/>
      <c r="BEH200" s="387"/>
      <c r="BEI200" s="387"/>
      <c r="BEJ200" s="387"/>
      <c r="BEK200" s="387"/>
      <c r="BEL200" s="387"/>
      <c r="BEM200" s="387"/>
      <c r="BEN200" s="387"/>
      <c r="BEO200" s="387"/>
      <c r="BEP200" s="387"/>
      <c r="BEQ200" s="387"/>
      <c r="BER200" s="387"/>
      <c r="BES200" s="387"/>
      <c r="BET200" s="387"/>
      <c r="BEU200" s="387"/>
      <c r="BEV200" s="387"/>
      <c r="BEW200" s="387"/>
      <c r="BEX200" s="387"/>
      <c r="BEY200" s="387"/>
      <c r="BEZ200" s="387"/>
      <c r="BFA200" s="387"/>
      <c r="BFB200" s="387"/>
      <c r="BFC200" s="387"/>
      <c r="BFD200" s="387"/>
      <c r="BFE200" s="387"/>
      <c r="BFF200" s="387"/>
      <c r="BFG200" s="387"/>
      <c r="BFH200" s="387"/>
      <c r="BFI200" s="387"/>
      <c r="BFJ200" s="387"/>
      <c r="BFK200" s="387"/>
      <c r="BFL200" s="387"/>
      <c r="BFM200" s="387"/>
      <c r="BFN200" s="387"/>
      <c r="BFO200" s="387"/>
      <c r="BFP200" s="387"/>
      <c r="BFQ200" s="387"/>
      <c r="BFR200" s="387"/>
      <c r="BFS200" s="387"/>
      <c r="BFT200" s="387"/>
      <c r="BFU200" s="387"/>
      <c r="BFV200" s="387"/>
      <c r="BFW200" s="387"/>
      <c r="BFX200" s="387"/>
      <c r="BFY200" s="387"/>
      <c r="BFZ200" s="387"/>
      <c r="BGA200" s="387"/>
      <c r="BGB200" s="387"/>
      <c r="BGC200" s="387"/>
      <c r="BGD200" s="387"/>
      <c r="BGE200" s="387"/>
      <c r="BGF200" s="387"/>
      <c r="BGG200" s="387"/>
      <c r="BGH200" s="387"/>
      <c r="BGI200" s="387"/>
      <c r="BGJ200" s="387"/>
      <c r="BGK200" s="387"/>
      <c r="BGL200" s="387"/>
      <c r="BGM200" s="387"/>
      <c r="BGN200" s="387"/>
      <c r="BGO200" s="387"/>
      <c r="BGP200" s="387"/>
      <c r="BGQ200" s="387"/>
      <c r="BGR200" s="387"/>
      <c r="BGS200" s="387"/>
      <c r="BGT200" s="387"/>
      <c r="BGU200" s="387"/>
      <c r="BGV200" s="387"/>
      <c r="BGW200" s="387"/>
      <c r="BGX200" s="387"/>
      <c r="BGY200" s="387"/>
      <c r="BGZ200" s="387"/>
      <c r="BHA200" s="387"/>
      <c r="BHB200" s="387"/>
      <c r="BHC200" s="387"/>
      <c r="BHD200" s="387"/>
      <c r="BHE200" s="387"/>
      <c r="BHF200" s="387"/>
      <c r="BHG200" s="387"/>
      <c r="BHH200" s="387"/>
      <c r="BHI200" s="387"/>
      <c r="BHJ200" s="387"/>
      <c r="BHK200" s="387"/>
      <c r="BHL200" s="387"/>
      <c r="BHM200" s="387"/>
      <c r="BHN200" s="387"/>
      <c r="BHO200" s="387"/>
      <c r="BHP200" s="387"/>
      <c r="BHQ200" s="387"/>
      <c r="BHR200" s="387"/>
      <c r="BHS200" s="387"/>
      <c r="BHT200" s="387"/>
      <c r="BHU200" s="387"/>
      <c r="BHV200" s="387"/>
      <c r="BHW200" s="387"/>
      <c r="BHX200" s="387"/>
      <c r="BHY200" s="387"/>
      <c r="BHZ200" s="387"/>
      <c r="BIA200" s="387"/>
      <c r="BIB200" s="387"/>
      <c r="BIC200" s="387"/>
      <c r="BID200" s="387"/>
      <c r="BIE200" s="387"/>
      <c r="BIF200" s="387"/>
      <c r="BIG200" s="387"/>
      <c r="BIH200" s="387"/>
      <c r="BII200" s="387"/>
      <c r="BIJ200" s="387"/>
      <c r="BIK200" s="387"/>
      <c r="BIL200" s="387"/>
      <c r="BIM200" s="387"/>
      <c r="BIN200" s="387"/>
      <c r="BIO200" s="387"/>
      <c r="BIP200" s="387"/>
      <c r="BIQ200" s="387"/>
      <c r="BIR200" s="387"/>
      <c r="BIS200" s="387"/>
      <c r="BIT200" s="387"/>
      <c r="BIU200" s="387"/>
      <c r="BIV200" s="387"/>
      <c r="BIW200" s="387"/>
      <c r="BIX200" s="387"/>
      <c r="BIY200" s="387"/>
      <c r="BIZ200" s="387"/>
      <c r="BJA200" s="387"/>
      <c r="BJB200" s="387"/>
      <c r="BJC200" s="387"/>
      <c r="BJD200" s="387"/>
      <c r="BJE200" s="387"/>
      <c r="BJF200" s="387"/>
      <c r="BJG200" s="387"/>
      <c r="BJH200" s="387"/>
      <c r="BJI200" s="387"/>
      <c r="BJJ200" s="387"/>
      <c r="BJK200" s="387"/>
      <c r="BJL200" s="387"/>
      <c r="BJM200" s="387"/>
      <c r="BJN200" s="387"/>
      <c r="BJO200" s="387"/>
      <c r="BJP200" s="387"/>
      <c r="BJQ200" s="387"/>
      <c r="BJR200" s="387"/>
      <c r="BJS200" s="387"/>
      <c r="BJT200" s="387"/>
      <c r="BJU200" s="387"/>
      <c r="BJV200" s="387"/>
      <c r="BJW200" s="387"/>
      <c r="BJX200" s="387"/>
      <c r="BJY200" s="387"/>
      <c r="BJZ200" s="387"/>
      <c r="BKA200" s="387"/>
      <c r="BKB200" s="387"/>
      <c r="BKC200" s="387"/>
      <c r="BKD200" s="387"/>
      <c r="BKE200" s="387"/>
      <c r="BKF200" s="387"/>
      <c r="BKG200" s="387"/>
      <c r="BKH200" s="387"/>
      <c r="BKI200" s="387"/>
      <c r="BKJ200" s="387"/>
      <c r="BKK200" s="387"/>
      <c r="BKL200" s="387"/>
      <c r="BKM200" s="387"/>
      <c r="BKN200" s="387"/>
      <c r="BKO200" s="387"/>
      <c r="BKP200" s="387"/>
      <c r="BKQ200" s="387"/>
      <c r="BKR200" s="387"/>
      <c r="BKS200" s="387"/>
      <c r="BKT200" s="387"/>
      <c r="BKU200" s="387"/>
      <c r="BKV200" s="387"/>
      <c r="BKW200" s="387"/>
      <c r="BKX200" s="387"/>
      <c r="BKY200" s="387"/>
      <c r="BKZ200" s="387"/>
      <c r="BLA200" s="387"/>
      <c r="BLB200" s="387"/>
      <c r="BLC200" s="387"/>
      <c r="BLD200" s="387"/>
      <c r="BLE200" s="387"/>
      <c r="BLF200" s="387"/>
      <c r="BLG200" s="387"/>
      <c r="BLH200" s="387"/>
      <c r="BLI200" s="387"/>
      <c r="BLJ200" s="387"/>
      <c r="BLK200" s="387"/>
      <c r="BLL200" s="387"/>
      <c r="BLM200" s="387"/>
      <c r="BLN200" s="387"/>
      <c r="BLO200" s="387"/>
      <c r="BLP200" s="387"/>
      <c r="BLQ200" s="387"/>
      <c r="BLR200" s="387"/>
      <c r="BLS200" s="387"/>
      <c r="BLT200" s="387"/>
      <c r="BLU200" s="387"/>
      <c r="BLV200" s="387"/>
      <c r="BLW200" s="387"/>
      <c r="BLX200" s="387"/>
      <c r="BLY200" s="387"/>
      <c r="BLZ200" s="387"/>
      <c r="BMA200" s="387"/>
      <c r="BMB200" s="387"/>
      <c r="BMC200" s="387"/>
      <c r="BMD200" s="387"/>
      <c r="BME200" s="387"/>
      <c r="BMF200" s="387"/>
      <c r="BMG200" s="387"/>
      <c r="BMH200" s="387"/>
      <c r="BMI200" s="387"/>
      <c r="BMJ200" s="387"/>
      <c r="BMK200" s="387"/>
      <c r="BML200" s="387"/>
      <c r="BMM200" s="387"/>
      <c r="BMN200" s="387"/>
      <c r="BMO200" s="387"/>
      <c r="BMP200" s="387"/>
      <c r="BMQ200" s="387"/>
      <c r="BMR200" s="387"/>
      <c r="BMS200" s="387"/>
      <c r="BMT200" s="387"/>
      <c r="BMU200" s="387"/>
      <c r="BMV200" s="387"/>
      <c r="BMW200" s="387"/>
      <c r="BMX200" s="387"/>
      <c r="BMY200" s="387"/>
      <c r="BMZ200" s="387"/>
      <c r="BNA200" s="387"/>
      <c r="BNB200" s="387"/>
      <c r="BNC200" s="387"/>
      <c r="BND200" s="387"/>
      <c r="BNE200" s="387"/>
      <c r="BNF200" s="387"/>
      <c r="BNG200" s="387"/>
      <c r="BNH200" s="387"/>
      <c r="BNI200" s="387"/>
      <c r="BNJ200" s="387"/>
      <c r="BNK200" s="387"/>
      <c r="BNL200" s="387"/>
      <c r="BNM200" s="387"/>
      <c r="BNN200" s="387"/>
      <c r="BNO200" s="387"/>
      <c r="BNP200" s="387"/>
      <c r="BNQ200" s="387"/>
      <c r="BNR200" s="387"/>
      <c r="BNS200" s="387"/>
      <c r="BNT200" s="387"/>
      <c r="BNU200" s="387"/>
      <c r="BNV200" s="387"/>
      <c r="BNW200" s="387"/>
      <c r="BNX200" s="387"/>
      <c r="BNY200" s="387"/>
      <c r="BNZ200" s="387"/>
      <c r="BOA200" s="387"/>
      <c r="BOB200" s="387"/>
      <c r="BOC200" s="387"/>
      <c r="BOD200" s="387"/>
      <c r="BOE200" s="387"/>
      <c r="BOF200" s="387"/>
      <c r="BOG200" s="387"/>
      <c r="BOH200" s="387"/>
      <c r="BOI200" s="387"/>
      <c r="BOJ200" s="387"/>
      <c r="BOK200" s="387"/>
      <c r="BOL200" s="387"/>
      <c r="BOM200" s="387"/>
      <c r="BON200" s="387"/>
      <c r="BOO200" s="387"/>
      <c r="BOP200" s="387"/>
      <c r="BOQ200" s="387"/>
      <c r="BOR200" s="387"/>
      <c r="BOS200" s="387"/>
      <c r="BOT200" s="387"/>
      <c r="BOU200" s="387"/>
      <c r="BOV200" s="387"/>
      <c r="BOW200" s="387"/>
      <c r="BOX200" s="387"/>
      <c r="BOY200" s="387"/>
      <c r="BOZ200" s="387"/>
      <c r="BPA200" s="387"/>
      <c r="BPB200" s="387"/>
      <c r="BPC200" s="387"/>
      <c r="BPD200" s="387"/>
      <c r="BPE200" s="387"/>
      <c r="BPF200" s="387"/>
      <c r="BPG200" s="387"/>
      <c r="BPH200" s="387"/>
      <c r="BPI200" s="387"/>
      <c r="BPJ200" s="387"/>
      <c r="BPK200" s="387"/>
      <c r="BPL200" s="387"/>
      <c r="BPM200" s="387"/>
      <c r="BPN200" s="387"/>
      <c r="BPO200" s="387"/>
      <c r="BPP200" s="387"/>
      <c r="BPQ200" s="387"/>
      <c r="BPR200" s="387"/>
      <c r="BPS200" s="387"/>
      <c r="BPT200" s="387"/>
      <c r="BPU200" s="387"/>
      <c r="BPV200" s="387"/>
      <c r="BPW200" s="387"/>
      <c r="BPX200" s="387"/>
      <c r="BPY200" s="387"/>
      <c r="BPZ200" s="387"/>
      <c r="BQA200" s="387"/>
      <c r="BQB200" s="387"/>
      <c r="BQC200" s="387"/>
      <c r="BQD200" s="387"/>
      <c r="BQE200" s="387"/>
      <c r="BQF200" s="387"/>
      <c r="BQG200" s="387"/>
      <c r="BQH200" s="387"/>
      <c r="BQI200" s="387"/>
      <c r="BQJ200" s="387"/>
      <c r="BQK200" s="387"/>
      <c r="BQL200" s="387"/>
      <c r="BQM200" s="387"/>
      <c r="BQN200" s="387"/>
      <c r="BQO200" s="387"/>
      <c r="BQP200" s="387"/>
      <c r="BQQ200" s="387"/>
      <c r="BQR200" s="387"/>
      <c r="BQS200" s="387"/>
      <c r="BQT200" s="387"/>
      <c r="BQU200" s="387"/>
      <c r="BQV200" s="387"/>
      <c r="BQW200" s="387"/>
      <c r="BQX200" s="387"/>
      <c r="BQY200" s="387"/>
      <c r="BQZ200" s="387"/>
      <c r="BRA200" s="387"/>
      <c r="BRB200" s="387"/>
      <c r="BRC200" s="387"/>
      <c r="BRD200" s="387"/>
      <c r="BRE200" s="387"/>
      <c r="BRF200" s="387"/>
      <c r="BRG200" s="387"/>
      <c r="BRH200" s="387"/>
      <c r="BRI200" s="387"/>
      <c r="BRJ200" s="387"/>
      <c r="BRK200" s="387"/>
      <c r="BRL200" s="387"/>
      <c r="BRM200" s="387"/>
      <c r="BRN200" s="387"/>
      <c r="BRO200" s="387"/>
      <c r="BRP200" s="387"/>
      <c r="BRQ200" s="387"/>
      <c r="BRR200" s="387"/>
      <c r="BRS200" s="387"/>
      <c r="BRT200" s="387"/>
      <c r="BRU200" s="387"/>
      <c r="BRV200" s="387"/>
      <c r="BRW200" s="387"/>
      <c r="BRX200" s="387"/>
      <c r="BRY200" s="387"/>
      <c r="BRZ200" s="387"/>
      <c r="BSA200" s="387"/>
      <c r="BSB200" s="387"/>
      <c r="BSC200" s="387"/>
      <c r="BSD200" s="387"/>
      <c r="BSE200" s="387"/>
      <c r="BSF200" s="387"/>
      <c r="BSG200" s="387"/>
      <c r="BSH200" s="387"/>
      <c r="BSI200" s="387"/>
      <c r="BSJ200" s="387"/>
      <c r="BSK200" s="387"/>
      <c r="BSL200" s="387"/>
      <c r="BSM200" s="387"/>
      <c r="BSN200" s="387"/>
      <c r="BSO200" s="387"/>
      <c r="BSP200" s="387"/>
      <c r="BSQ200" s="387"/>
      <c r="BSR200" s="387"/>
      <c r="BSS200" s="387"/>
      <c r="BST200" s="387"/>
      <c r="BSU200" s="387"/>
      <c r="BSV200" s="387"/>
      <c r="BSW200" s="387"/>
      <c r="BSX200" s="387"/>
      <c r="BSY200" s="387"/>
      <c r="BSZ200" s="387"/>
      <c r="BTA200" s="387"/>
      <c r="BTB200" s="387"/>
      <c r="BTC200" s="387"/>
      <c r="BTD200" s="387"/>
      <c r="BTE200" s="387"/>
      <c r="BTF200" s="387"/>
      <c r="BTG200" s="387"/>
      <c r="BTH200" s="387"/>
      <c r="BTI200" s="387"/>
    </row>
    <row r="201" spans="1:1881" s="384" customFormat="1" ht="110.25" customHeight="1" x14ac:dyDescent="0.25">
      <c r="A201" s="454">
        <v>622</v>
      </c>
      <c r="B201" s="241" t="s">
        <v>598</v>
      </c>
      <c r="C201" s="454" t="s">
        <v>668</v>
      </c>
      <c r="D201" s="454" t="s">
        <v>670</v>
      </c>
      <c r="E201" s="683" t="e">
        <f>HLOOKUP('Unit Data from Audit Worksheet'!$D$2,'2019 Data(H)'!$D$1:$BB$202,201,FALSE)</f>
        <v>#N/A</v>
      </c>
      <c r="F201" s="560"/>
      <c r="G201" s="388"/>
      <c r="H201" s="65"/>
      <c r="I201" s="16"/>
      <c r="J201" s="387"/>
      <c r="K201" s="387"/>
      <c r="L201" s="387"/>
      <c r="M201" s="387"/>
      <c r="N201"/>
      <c r="O201" s="387"/>
      <c r="P201" s="387"/>
      <c r="Q201" s="387"/>
      <c r="R201"/>
      <c r="S201" s="682"/>
      <c r="T201" s="387"/>
      <c r="U201" s="387"/>
      <c r="V201" s="387"/>
      <c r="W201" s="387"/>
      <c r="X201" s="682"/>
      <c r="Y201" s="387"/>
      <c r="Z201" s="387"/>
      <c r="AA201" s="387"/>
      <c r="AB201" s="387"/>
      <c r="AC201" s="387"/>
      <c r="AD201" s="387"/>
      <c r="AE201" s="387"/>
      <c r="AF201" s="387"/>
      <c r="AG201" s="387"/>
      <c r="AH201" s="387"/>
      <c r="AI201" s="387"/>
      <c r="AJ201" s="387"/>
      <c r="AK201" s="387"/>
      <c r="AL201" s="387"/>
      <c r="AM201" s="387"/>
      <c r="AN201" s="387"/>
      <c r="AO201" s="387"/>
      <c r="AP201" s="387"/>
      <c r="AQ201" s="387"/>
      <c r="AR201" s="387"/>
      <c r="AS201" s="387"/>
      <c r="AT201" s="387"/>
      <c r="AU201" s="387"/>
      <c r="AV201" s="387"/>
      <c r="AW201" s="387"/>
      <c r="AX201" s="387"/>
      <c r="AY201" s="387"/>
      <c r="AZ201" s="387"/>
      <c r="BA201" s="387"/>
      <c r="BB201" s="387"/>
      <c r="BC201" s="387"/>
      <c r="BD201" s="387"/>
      <c r="BE201" s="387"/>
      <c r="BF201" s="387"/>
      <c r="BG201" s="387"/>
      <c r="BH201" s="387"/>
      <c r="BI201" s="387"/>
      <c r="BJ201" s="387"/>
      <c r="BK201" s="387"/>
      <c r="BL201" s="387"/>
      <c r="BM201" s="387"/>
      <c r="BN201" s="387"/>
      <c r="BO201" s="387"/>
      <c r="BP201" s="387"/>
      <c r="BQ201" s="387"/>
      <c r="BR201" s="387"/>
      <c r="BS201" s="387"/>
      <c r="BT201" s="387"/>
      <c r="BU201" s="387"/>
      <c r="BV201" s="387"/>
      <c r="BW201" s="387"/>
      <c r="BX201" s="387"/>
      <c r="BY201" s="387"/>
      <c r="BZ201" s="387"/>
      <c r="CA201" s="387"/>
      <c r="CB201" s="387"/>
      <c r="CC201" s="387"/>
      <c r="CD201" s="387"/>
      <c r="CE201" s="387"/>
      <c r="CF201" s="387"/>
      <c r="CG201" s="387"/>
      <c r="CH201" s="387"/>
      <c r="CI201" s="387"/>
      <c r="CJ201" s="387"/>
      <c r="CK201" s="387"/>
      <c r="CL201" s="387"/>
      <c r="CM201" s="387"/>
      <c r="CN201" s="387"/>
      <c r="CO201" s="387"/>
      <c r="CP201" s="387"/>
      <c r="CQ201" s="387"/>
      <c r="CR201" s="387"/>
      <c r="CS201" s="387"/>
      <c r="CT201" s="387"/>
      <c r="CU201" s="387"/>
      <c r="CV201" s="387"/>
      <c r="CW201" s="387"/>
      <c r="CX201" s="387"/>
      <c r="CY201" s="387"/>
      <c r="CZ201" s="387"/>
      <c r="DA201" s="387"/>
      <c r="DB201" s="387"/>
      <c r="DC201" s="387"/>
      <c r="DD201" s="387"/>
      <c r="DE201" s="387"/>
      <c r="DF201" s="387"/>
      <c r="DG201" s="387"/>
      <c r="DH201" s="387"/>
      <c r="DI201" s="387"/>
      <c r="DJ201" s="387"/>
      <c r="DK201" s="387"/>
      <c r="DL201" s="387"/>
      <c r="DM201" s="387"/>
      <c r="DN201" s="387"/>
      <c r="DO201" s="387"/>
      <c r="DP201" s="387"/>
      <c r="DQ201" s="387"/>
      <c r="DR201" s="387"/>
      <c r="DS201" s="387"/>
      <c r="DT201" s="387"/>
      <c r="DU201" s="387"/>
      <c r="DV201" s="387"/>
      <c r="DW201" s="387"/>
      <c r="DX201" s="387"/>
      <c r="DY201" s="387"/>
      <c r="DZ201" s="387"/>
      <c r="EA201" s="387"/>
      <c r="EB201" s="387"/>
      <c r="EC201" s="387"/>
      <c r="ED201" s="387"/>
      <c r="EE201" s="387"/>
      <c r="EF201" s="387"/>
      <c r="EG201" s="387"/>
      <c r="EH201" s="387"/>
      <c r="EI201" s="387"/>
      <c r="EJ201" s="387"/>
      <c r="EK201" s="387"/>
      <c r="EL201" s="387"/>
      <c r="EM201" s="387"/>
      <c r="EN201" s="387"/>
      <c r="EO201" s="387"/>
      <c r="EP201" s="387"/>
      <c r="EQ201" s="387"/>
      <c r="ER201" s="387"/>
      <c r="ES201" s="387"/>
      <c r="ET201" s="387"/>
      <c r="EU201" s="387"/>
      <c r="EV201" s="387"/>
      <c r="EW201" s="387"/>
      <c r="EX201" s="387"/>
      <c r="EY201" s="387"/>
      <c r="EZ201" s="387"/>
      <c r="FA201" s="387"/>
      <c r="FB201" s="387"/>
      <c r="FC201" s="387"/>
      <c r="FD201" s="387"/>
      <c r="FE201" s="387"/>
      <c r="FF201" s="387"/>
      <c r="FG201" s="387"/>
      <c r="FH201" s="387"/>
      <c r="FI201" s="387"/>
      <c r="FJ201" s="387"/>
      <c r="FK201" s="387"/>
      <c r="FL201" s="387"/>
      <c r="FM201" s="387"/>
      <c r="FN201" s="387"/>
      <c r="FO201" s="387"/>
      <c r="FP201" s="387"/>
      <c r="FQ201" s="387"/>
      <c r="FR201" s="387"/>
      <c r="FS201" s="387"/>
      <c r="FT201" s="387"/>
      <c r="FU201" s="387"/>
      <c r="FV201" s="387"/>
      <c r="FW201" s="387"/>
      <c r="FX201" s="387"/>
      <c r="FY201" s="387"/>
      <c r="FZ201" s="387"/>
      <c r="GA201" s="387"/>
      <c r="GB201" s="387"/>
      <c r="GC201" s="387"/>
      <c r="GD201" s="387"/>
      <c r="GE201" s="387"/>
      <c r="GF201" s="387"/>
      <c r="GG201" s="387"/>
      <c r="GH201" s="387"/>
      <c r="GI201" s="387"/>
      <c r="GJ201" s="387"/>
      <c r="GK201" s="387"/>
      <c r="GL201" s="387"/>
      <c r="GM201" s="387"/>
      <c r="GN201" s="387"/>
      <c r="GO201" s="387"/>
      <c r="GP201" s="387"/>
      <c r="GQ201" s="387"/>
      <c r="GR201" s="387"/>
      <c r="GS201" s="387"/>
      <c r="GT201" s="387"/>
      <c r="GU201" s="387"/>
      <c r="GV201" s="387"/>
      <c r="GW201" s="387"/>
      <c r="GX201" s="387"/>
      <c r="GY201" s="387"/>
      <c r="GZ201" s="387"/>
      <c r="HA201" s="387"/>
      <c r="HB201" s="387"/>
      <c r="HC201" s="387"/>
      <c r="HD201" s="387"/>
      <c r="HE201" s="387"/>
      <c r="HF201" s="387"/>
      <c r="HG201" s="387"/>
      <c r="HH201" s="387"/>
      <c r="HI201" s="387"/>
      <c r="HJ201" s="387"/>
      <c r="HK201" s="387"/>
      <c r="HL201" s="387"/>
      <c r="HM201" s="387"/>
      <c r="HN201" s="387"/>
      <c r="HO201" s="387"/>
      <c r="HP201" s="387"/>
      <c r="HQ201" s="387"/>
      <c r="HR201" s="387"/>
      <c r="HS201" s="387"/>
      <c r="HT201" s="387"/>
      <c r="HU201" s="387"/>
      <c r="HV201" s="387"/>
      <c r="HW201" s="387"/>
      <c r="HX201" s="387"/>
      <c r="HY201" s="387"/>
      <c r="HZ201" s="387"/>
      <c r="IA201" s="387"/>
      <c r="IB201" s="387"/>
      <c r="IC201" s="387"/>
      <c r="ID201" s="387"/>
      <c r="IE201" s="387"/>
      <c r="IF201" s="387"/>
      <c r="IG201" s="387"/>
      <c r="IH201" s="387"/>
      <c r="II201" s="387"/>
      <c r="IJ201" s="387"/>
      <c r="IK201" s="387"/>
      <c r="IL201" s="387"/>
      <c r="IM201" s="387"/>
      <c r="IN201" s="387"/>
      <c r="IO201" s="387"/>
      <c r="IP201" s="387"/>
      <c r="IQ201" s="387"/>
      <c r="IR201" s="387"/>
      <c r="IS201" s="387"/>
      <c r="IT201" s="387"/>
      <c r="IU201" s="387"/>
      <c r="IV201" s="387"/>
      <c r="IW201" s="387"/>
      <c r="IX201" s="387"/>
      <c r="IY201" s="387"/>
      <c r="IZ201" s="387"/>
      <c r="JA201" s="387"/>
      <c r="JB201" s="387"/>
      <c r="JC201" s="387"/>
      <c r="JD201" s="387"/>
      <c r="JE201" s="387"/>
      <c r="JF201" s="387"/>
      <c r="JG201" s="387"/>
      <c r="JH201" s="387"/>
      <c r="JI201" s="387"/>
      <c r="JJ201" s="387"/>
      <c r="JK201" s="387"/>
      <c r="JL201" s="387"/>
      <c r="JM201" s="387"/>
      <c r="JN201" s="387"/>
      <c r="JO201" s="387"/>
      <c r="JP201" s="387"/>
      <c r="JQ201" s="387"/>
      <c r="JR201" s="387"/>
      <c r="JS201" s="387"/>
      <c r="JT201" s="387"/>
      <c r="JU201" s="387"/>
      <c r="JV201" s="387"/>
      <c r="JW201" s="387"/>
      <c r="JX201" s="387"/>
      <c r="JY201" s="387"/>
      <c r="JZ201" s="387"/>
      <c r="KA201" s="387"/>
      <c r="KB201" s="387"/>
      <c r="KC201" s="387"/>
      <c r="KD201" s="387"/>
      <c r="KE201" s="387"/>
      <c r="KF201" s="387"/>
      <c r="KG201" s="387"/>
      <c r="KH201" s="387"/>
      <c r="KI201" s="387"/>
      <c r="KJ201" s="387"/>
      <c r="KK201" s="387"/>
      <c r="KL201" s="387"/>
      <c r="KM201" s="387"/>
      <c r="KN201" s="387"/>
      <c r="KO201" s="387"/>
      <c r="KP201" s="387"/>
      <c r="KQ201" s="387"/>
      <c r="KR201" s="387"/>
      <c r="KS201" s="387"/>
      <c r="KT201" s="387"/>
      <c r="KU201" s="387"/>
      <c r="KV201" s="387"/>
      <c r="KW201" s="387"/>
      <c r="KX201" s="387"/>
      <c r="KY201" s="387"/>
      <c r="KZ201" s="387"/>
      <c r="LA201" s="387"/>
      <c r="LB201" s="387"/>
      <c r="LC201" s="387"/>
      <c r="LD201" s="387"/>
      <c r="LE201" s="387"/>
      <c r="LF201" s="387"/>
      <c r="LG201" s="387"/>
      <c r="LH201" s="387"/>
      <c r="LI201" s="387"/>
      <c r="LJ201" s="387"/>
      <c r="LK201" s="387"/>
      <c r="LL201" s="387"/>
      <c r="LM201" s="387"/>
      <c r="LN201" s="387"/>
      <c r="LO201" s="387"/>
      <c r="LP201" s="387"/>
      <c r="LQ201" s="387"/>
      <c r="LR201" s="387"/>
      <c r="LS201" s="387"/>
      <c r="LT201" s="387"/>
      <c r="LU201" s="387"/>
      <c r="LV201" s="387"/>
      <c r="LW201" s="387"/>
      <c r="LX201" s="387"/>
      <c r="LY201" s="387"/>
      <c r="LZ201" s="387"/>
      <c r="MA201" s="387"/>
      <c r="MB201" s="387"/>
      <c r="MC201" s="387"/>
      <c r="MD201" s="387"/>
      <c r="ME201" s="387"/>
      <c r="MF201" s="387"/>
      <c r="MG201" s="387"/>
      <c r="MH201" s="387"/>
      <c r="MI201" s="387"/>
      <c r="MJ201" s="387"/>
      <c r="MK201" s="387"/>
      <c r="ML201" s="387"/>
      <c r="MM201" s="387"/>
      <c r="MN201" s="387"/>
      <c r="MO201" s="387"/>
      <c r="MP201" s="387"/>
      <c r="MQ201" s="387"/>
      <c r="MR201" s="387"/>
      <c r="MS201" s="387"/>
      <c r="MT201" s="387"/>
      <c r="MU201" s="387"/>
      <c r="MV201" s="387"/>
      <c r="MW201" s="387"/>
      <c r="MX201" s="387"/>
      <c r="MY201" s="387"/>
      <c r="MZ201" s="387"/>
      <c r="NA201" s="387"/>
      <c r="NB201" s="387"/>
      <c r="NC201" s="387"/>
      <c r="ND201" s="387"/>
      <c r="NE201" s="387"/>
      <c r="NF201" s="387"/>
      <c r="NG201" s="387"/>
      <c r="NH201" s="387"/>
      <c r="NI201" s="387"/>
      <c r="NJ201" s="387"/>
      <c r="NK201" s="387"/>
      <c r="NL201" s="387"/>
      <c r="NM201" s="387"/>
      <c r="NN201" s="387"/>
      <c r="NO201" s="387"/>
      <c r="NP201" s="387"/>
      <c r="NQ201" s="387"/>
      <c r="NR201" s="387"/>
      <c r="NS201" s="387"/>
      <c r="NT201" s="387"/>
      <c r="NU201" s="387"/>
      <c r="NV201" s="387"/>
      <c r="NW201" s="387"/>
      <c r="NX201" s="387"/>
      <c r="NY201" s="387"/>
      <c r="NZ201" s="387"/>
      <c r="OA201" s="387"/>
      <c r="OB201" s="387"/>
      <c r="OC201" s="387"/>
      <c r="OD201" s="387"/>
      <c r="OE201" s="387"/>
      <c r="OF201" s="387"/>
      <c r="OG201" s="387"/>
      <c r="OH201" s="387"/>
      <c r="OI201" s="387"/>
      <c r="OJ201" s="387"/>
      <c r="OK201" s="387"/>
      <c r="OL201" s="387"/>
      <c r="OM201" s="387"/>
      <c r="ON201" s="387"/>
      <c r="OO201" s="387"/>
      <c r="OP201" s="387"/>
      <c r="OQ201" s="387"/>
      <c r="OR201" s="387"/>
      <c r="OS201" s="387"/>
      <c r="OT201" s="387"/>
      <c r="OU201" s="387"/>
      <c r="OV201" s="387"/>
      <c r="OW201" s="387"/>
      <c r="OX201" s="387"/>
      <c r="OY201" s="387"/>
      <c r="OZ201" s="387"/>
      <c r="PA201" s="387"/>
      <c r="PB201" s="387"/>
      <c r="PC201" s="387"/>
      <c r="PD201" s="387"/>
      <c r="PE201" s="387"/>
      <c r="PF201" s="387"/>
      <c r="PG201" s="387"/>
      <c r="PH201" s="387"/>
      <c r="PI201" s="387"/>
      <c r="PJ201" s="387"/>
      <c r="PK201" s="387"/>
      <c r="PL201" s="387"/>
      <c r="PM201" s="387"/>
      <c r="PN201" s="387"/>
      <c r="PO201" s="387"/>
      <c r="PP201" s="387"/>
      <c r="PQ201" s="387"/>
      <c r="PR201" s="387"/>
      <c r="PS201" s="387"/>
      <c r="PT201" s="387"/>
      <c r="PU201" s="387"/>
      <c r="PV201" s="387"/>
      <c r="PW201" s="387"/>
      <c r="PX201" s="387"/>
      <c r="PY201" s="387"/>
      <c r="PZ201" s="387"/>
      <c r="QA201" s="387"/>
      <c r="QB201" s="387"/>
      <c r="QC201" s="387"/>
      <c r="QD201" s="387"/>
      <c r="QE201" s="387"/>
      <c r="QF201" s="387"/>
      <c r="QG201" s="387"/>
      <c r="QH201" s="387"/>
      <c r="QI201" s="387"/>
      <c r="QJ201" s="387"/>
      <c r="QK201" s="387"/>
      <c r="QL201" s="387"/>
      <c r="QM201" s="387"/>
      <c r="QN201" s="387"/>
      <c r="QO201" s="387"/>
      <c r="QP201" s="387"/>
      <c r="QQ201" s="387"/>
      <c r="QR201" s="387"/>
      <c r="QS201" s="387"/>
      <c r="QT201" s="387"/>
      <c r="QU201" s="387"/>
      <c r="QV201" s="387"/>
      <c r="QW201" s="387"/>
      <c r="QX201" s="387"/>
      <c r="QY201" s="387"/>
      <c r="QZ201" s="387"/>
      <c r="RA201" s="387"/>
      <c r="RB201" s="387"/>
      <c r="RC201" s="387"/>
      <c r="RD201" s="387"/>
      <c r="RE201" s="387"/>
      <c r="RF201" s="387"/>
      <c r="RG201" s="387"/>
      <c r="RH201" s="387"/>
      <c r="RI201" s="387"/>
      <c r="RJ201" s="387"/>
      <c r="RK201" s="387"/>
      <c r="RL201" s="387"/>
      <c r="RM201" s="387"/>
      <c r="RN201" s="387"/>
      <c r="RO201" s="387"/>
      <c r="RP201" s="387"/>
      <c r="RQ201" s="387"/>
      <c r="RR201" s="387"/>
      <c r="RS201" s="387"/>
      <c r="RT201" s="387"/>
      <c r="RU201" s="387"/>
      <c r="RV201" s="387"/>
      <c r="RW201" s="387"/>
      <c r="RX201" s="387"/>
      <c r="RY201" s="387"/>
      <c r="RZ201" s="387"/>
      <c r="SA201" s="387"/>
      <c r="SB201" s="387"/>
      <c r="SC201" s="387"/>
      <c r="SD201" s="387"/>
      <c r="SE201" s="387"/>
      <c r="SF201" s="387"/>
      <c r="SG201" s="387"/>
      <c r="SH201" s="387"/>
      <c r="SI201" s="387"/>
      <c r="SJ201" s="387"/>
      <c r="SK201" s="387"/>
      <c r="SL201" s="387"/>
      <c r="SM201" s="387"/>
      <c r="SN201" s="387"/>
      <c r="SO201" s="387"/>
      <c r="SP201" s="387"/>
      <c r="SQ201" s="387"/>
      <c r="SR201" s="387"/>
      <c r="SS201" s="387"/>
      <c r="ST201" s="387"/>
      <c r="SU201" s="387"/>
      <c r="SV201" s="387"/>
      <c r="SW201" s="387"/>
      <c r="SX201" s="387"/>
      <c r="SY201" s="387"/>
      <c r="SZ201" s="387"/>
      <c r="TA201" s="387"/>
      <c r="TB201" s="387"/>
      <c r="TC201" s="387"/>
      <c r="TD201" s="387"/>
      <c r="TE201" s="387"/>
      <c r="TF201" s="387"/>
      <c r="TG201" s="387"/>
      <c r="TH201" s="387"/>
      <c r="TI201" s="387"/>
      <c r="TJ201" s="387"/>
      <c r="TK201" s="387"/>
      <c r="TL201" s="387"/>
      <c r="TM201" s="387"/>
      <c r="TN201" s="387"/>
      <c r="TO201" s="387"/>
      <c r="TP201" s="387"/>
      <c r="TQ201" s="387"/>
      <c r="TR201" s="387"/>
      <c r="TS201" s="387"/>
      <c r="TT201" s="387"/>
      <c r="TU201" s="387"/>
      <c r="TV201" s="387"/>
      <c r="TW201" s="387"/>
      <c r="TX201" s="387"/>
      <c r="TY201" s="387"/>
      <c r="TZ201" s="387"/>
      <c r="UA201" s="387"/>
      <c r="UB201" s="387"/>
      <c r="UC201" s="387"/>
      <c r="UD201" s="387"/>
      <c r="UE201" s="387"/>
      <c r="UF201" s="387"/>
      <c r="UG201" s="387"/>
      <c r="UH201" s="387"/>
      <c r="UI201" s="387"/>
      <c r="UJ201" s="387"/>
      <c r="UK201" s="387"/>
      <c r="UL201" s="387"/>
      <c r="UM201" s="387"/>
      <c r="UN201" s="387"/>
      <c r="UO201" s="387"/>
      <c r="UP201" s="387"/>
      <c r="UQ201" s="387"/>
      <c r="UR201" s="387"/>
      <c r="US201" s="387"/>
      <c r="UT201" s="387"/>
      <c r="UU201" s="387"/>
      <c r="UV201" s="387"/>
      <c r="UW201" s="387"/>
      <c r="UX201" s="387"/>
      <c r="UY201" s="387"/>
      <c r="UZ201" s="387"/>
      <c r="VA201" s="387"/>
      <c r="VB201" s="387"/>
      <c r="VC201" s="387"/>
      <c r="VD201" s="387"/>
      <c r="VE201" s="387"/>
      <c r="VF201" s="387"/>
      <c r="VG201" s="387"/>
      <c r="VH201" s="387"/>
      <c r="VI201" s="387"/>
      <c r="VJ201" s="387"/>
      <c r="VK201" s="387"/>
      <c r="VL201" s="387"/>
      <c r="VM201" s="387"/>
      <c r="VN201" s="387"/>
      <c r="VO201" s="387"/>
      <c r="VP201" s="387"/>
      <c r="VQ201" s="387"/>
      <c r="VR201" s="387"/>
      <c r="VS201" s="387"/>
      <c r="VT201" s="387"/>
      <c r="VU201" s="387"/>
      <c r="VV201" s="387"/>
      <c r="VW201" s="387"/>
      <c r="VX201" s="387"/>
      <c r="VY201" s="387"/>
      <c r="VZ201" s="387"/>
      <c r="WA201" s="387"/>
      <c r="WB201" s="387"/>
      <c r="WC201" s="387"/>
      <c r="WD201" s="387"/>
      <c r="WE201" s="387"/>
      <c r="WF201" s="387"/>
      <c r="WG201" s="387"/>
      <c r="WH201" s="387"/>
      <c r="WI201" s="387"/>
      <c r="WJ201" s="387"/>
      <c r="WK201" s="387"/>
      <c r="WL201" s="387"/>
      <c r="WM201" s="387"/>
      <c r="WN201" s="387"/>
      <c r="WO201" s="387"/>
      <c r="WP201" s="387"/>
      <c r="WQ201" s="387"/>
      <c r="WR201" s="387"/>
      <c r="WS201" s="387"/>
      <c r="WT201" s="387"/>
      <c r="WU201" s="387"/>
      <c r="WV201" s="387"/>
      <c r="WW201" s="387"/>
      <c r="WX201" s="387"/>
      <c r="WY201" s="387"/>
      <c r="WZ201" s="387"/>
      <c r="XA201" s="387"/>
      <c r="XB201" s="387"/>
      <c r="XC201" s="387"/>
      <c r="XD201" s="387"/>
      <c r="XE201" s="387"/>
      <c r="XF201" s="387"/>
      <c r="XG201" s="387"/>
      <c r="XH201" s="387"/>
      <c r="XI201" s="387"/>
      <c r="XJ201" s="387"/>
      <c r="XK201" s="387"/>
      <c r="XL201" s="387"/>
      <c r="XM201" s="387"/>
      <c r="XN201" s="387"/>
      <c r="XO201" s="387"/>
      <c r="XP201" s="387"/>
      <c r="XQ201" s="387"/>
      <c r="XR201" s="387"/>
      <c r="XS201" s="387"/>
      <c r="XT201" s="387"/>
      <c r="XU201" s="387"/>
      <c r="XV201" s="387"/>
      <c r="XW201" s="387"/>
      <c r="XX201" s="387"/>
      <c r="XY201" s="387"/>
      <c r="XZ201" s="387"/>
      <c r="YA201" s="387"/>
      <c r="YB201" s="387"/>
      <c r="YC201" s="387"/>
      <c r="YD201" s="387"/>
      <c r="YE201" s="387"/>
      <c r="YF201" s="387"/>
      <c r="YG201" s="387"/>
      <c r="YH201" s="387"/>
      <c r="YI201" s="387"/>
      <c r="YJ201" s="387"/>
      <c r="YK201" s="387"/>
      <c r="YL201" s="387"/>
      <c r="YM201" s="387"/>
      <c r="YN201" s="387"/>
      <c r="YO201" s="387"/>
      <c r="YP201" s="387"/>
      <c r="YQ201" s="387"/>
      <c r="YR201" s="387"/>
      <c r="YS201" s="387"/>
      <c r="YT201" s="387"/>
      <c r="YU201" s="387"/>
      <c r="YV201" s="387"/>
      <c r="YW201" s="387"/>
      <c r="YX201" s="387"/>
      <c r="YY201" s="387"/>
      <c r="YZ201" s="387"/>
      <c r="ZA201" s="387"/>
      <c r="ZB201" s="387"/>
      <c r="ZC201" s="387"/>
      <c r="ZD201" s="387"/>
      <c r="ZE201" s="387"/>
      <c r="ZF201" s="387"/>
      <c r="ZG201" s="387"/>
      <c r="ZH201" s="387"/>
      <c r="ZI201" s="387"/>
      <c r="ZJ201" s="387"/>
      <c r="ZK201" s="387"/>
      <c r="ZL201" s="387"/>
      <c r="ZM201" s="387"/>
      <c r="ZN201" s="387"/>
      <c r="ZO201" s="387"/>
      <c r="ZP201" s="387"/>
      <c r="ZQ201" s="387"/>
      <c r="ZR201" s="387"/>
      <c r="ZS201" s="387"/>
      <c r="ZT201" s="387"/>
      <c r="ZU201" s="387"/>
      <c r="ZV201" s="387"/>
      <c r="ZW201" s="387"/>
      <c r="ZX201" s="387"/>
      <c r="ZY201" s="387"/>
      <c r="ZZ201" s="387"/>
      <c r="AAA201" s="387"/>
      <c r="AAB201" s="387"/>
      <c r="AAC201" s="387"/>
      <c r="AAD201" s="387"/>
      <c r="AAE201" s="387"/>
      <c r="AAF201" s="387"/>
      <c r="AAG201" s="387"/>
      <c r="AAH201" s="387"/>
      <c r="AAI201" s="387"/>
      <c r="AAJ201" s="387"/>
      <c r="AAK201" s="387"/>
      <c r="AAL201" s="387"/>
      <c r="AAM201" s="387"/>
      <c r="AAN201" s="387"/>
      <c r="AAO201" s="387"/>
      <c r="AAP201" s="387"/>
      <c r="AAQ201" s="387"/>
      <c r="AAR201" s="387"/>
      <c r="AAS201" s="387"/>
      <c r="AAT201" s="387"/>
      <c r="AAU201" s="387"/>
      <c r="AAV201" s="387"/>
      <c r="AAW201" s="387"/>
      <c r="AAX201" s="387"/>
      <c r="AAY201" s="387"/>
      <c r="AAZ201" s="387"/>
      <c r="ABA201" s="387"/>
      <c r="ABB201" s="387"/>
      <c r="ABC201" s="387"/>
      <c r="ABD201" s="387"/>
      <c r="ABE201" s="387"/>
      <c r="ABF201" s="387"/>
      <c r="ABG201" s="387"/>
      <c r="ABH201" s="387"/>
      <c r="ABI201" s="387"/>
      <c r="ABJ201" s="387"/>
      <c r="ABK201" s="387"/>
      <c r="ABL201" s="387"/>
      <c r="ABM201" s="387"/>
      <c r="ABN201" s="387"/>
      <c r="ABO201" s="387"/>
      <c r="ABP201" s="387"/>
      <c r="ABQ201" s="387"/>
      <c r="ABR201" s="387"/>
      <c r="ABS201" s="387"/>
      <c r="ABT201" s="387"/>
      <c r="ABU201" s="387"/>
      <c r="ABV201" s="387"/>
      <c r="ABW201" s="387"/>
      <c r="ABX201" s="387"/>
      <c r="ABY201" s="387"/>
      <c r="ABZ201" s="387"/>
      <c r="ACA201" s="387"/>
      <c r="ACB201" s="387"/>
      <c r="ACC201" s="387"/>
      <c r="ACD201" s="387"/>
      <c r="ACE201" s="387"/>
      <c r="ACF201" s="387"/>
      <c r="ACG201" s="387"/>
      <c r="ACH201" s="387"/>
      <c r="ACI201" s="387"/>
      <c r="ACJ201" s="387"/>
      <c r="ACK201" s="387"/>
      <c r="ACL201" s="387"/>
      <c r="ACM201" s="387"/>
      <c r="ACN201" s="387"/>
      <c r="ACO201" s="387"/>
      <c r="ACP201" s="387"/>
      <c r="ACQ201" s="387"/>
      <c r="ACR201" s="387"/>
      <c r="ACS201" s="387"/>
      <c r="ACT201" s="387"/>
      <c r="ACU201" s="387"/>
      <c r="ACV201" s="387"/>
      <c r="ACW201" s="387"/>
      <c r="ACX201" s="387"/>
      <c r="ACY201" s="387"/>
      <c r="ACZ201" s="387"/>
      <c r="ADA201" s="387"/>
      <c r="ADB201" s="387"/>
      <c r="ADC201" s="387"/>
      <c r="ADD201" s="387"/>
      <c r="ADE201" s="387"/>
      <c r="ADF201" s="387"/>
      <c r="ADG201" s="387"/>
      <c r="ADH201" s="387"/>
      <c r="ADI201" s="387"/>
      <c r="ADJ201" s="387"/>
      <c r="ADK201" s="387"/>
      <c r="ADL201" s="387"/>
      <c r="ADM201" s="387"/>
      <c r="ADN201" s="387"/>
      <c r="ADO201" s="387"/>
      <c r="ADP201" s="387"/>
      <c r="ADQ201" s="387"/>
      <c r="ADR201" s="387"/>
      <c r="ADS201" s="387"/>
      <c r="ADT201" s="387"/>
      <c r="ADU201" s="387"/>
      <c r="ADV201" s="387"/>
      <c r="ADW201" s="387"/>
      <c r="ADX201" s="387"/>
      <c r="ADY201" s="387"/>
      <c r="ADZ201" s="387"/>
      <c r="AEA201" s="387"/>
      <c r="AEB201" s="387"/>
      <c r="AEC201" s="387"/>
      <c r="AED201" s="387"/>
      <c r="AEE201" s="387"/>
      <c r="AEF201" s="387"/>
      <c r="AEG201" s="387"/>
      <c r="AEH201" s="387"/>
      <c r="AEI201" s="387"/>
      <c r="AEJ201" s="387"/>
      <c r="AEK201" s="387"/>
      <c r="AEL201" s="387"/>
      <c r="AEM201" s="387"/>
      <c r="AEN201" s="387"/>
      <c r="AEO201" s="387"/>
      <c r="AEP201" s="387"/>
      <c r="AEQ201" s="387"/>
      <c r="AER201" s="387"/>
      <c r="AES201" s="387"/>
      <c r="AET201" s="387"/>
      <c r="AEU201" s="387"/>
      <c r="AEV201" s="387"/>
      <c r="AEW201" s="387"/>
      <c r="AEX201" s="387"/>
      <c r="AEY201" s="387"/>
      <c r="AEZ201" s="387"/>
      <c r="AFA201" s="387"/>
      <c r="AFB201" s="387"/>
      <c r="AFC201" s="387"/>
      <c r="AFD201" s="387"/>
      <c r="AFE201" s="387"/>
      <c r="AFF201" s="387"/>
      <c r="AFG201" s="387"/>
      <c r="AFH201" s="387"/>
      <c r="AFI201" s="387"/>
      <c r="AFJ201" s="387"/>
      <c r="AFK201" s="387"/>
      <c r="AFL201" s="387"/>
      <c r="AFM201" s="387"/>
      <c r="AFN201" s="387"/>
      <c r="AFO201" s="387"/>
      <c r="AFP201" s="387"/>
      <c r="AFQ201" s="387"/>
      <c r="AFR201" s="387"/>
      <c r="AFS201" s="387"/>
      <c r="AFT201" s="387"/>
      <c r="AFU201" s="387"/>
      <c r="AFV201" s="387"/>
      <c r="AFW201" s="387"/>
      <c r="AFX201" s="387"/>
      <c r="AFY201" s="387"/>
      <c r="AFZ201" s="387"/>
      <c r="AGA201" s="387"/>
      <c r="AGB201" s="387"/>
      <c r="AGC201" s="387"/>
      <c r="AGD201" s="387"/>
      <c r="AGE201" s="387"/>
      <c r="AGF201" s="387"/>
      <c r="AGG201" s="387"/>
      <c r="AGH201" s="387"/>
      <c r="AGI201" s="387"/>
      <c r="AGJ201" s="387"/>
      <c r="AGK201" s="387"/>
      <c r="AGL201" s="387"/>
      <c r="AGM201" s="387"/>
      <c r="AGN201" s="387"/>
      <c r="AGO201" s="387"/>
      <c r="AGP201" s="387"/>
      <c r="AGQ201" s="387"/>
      <c r="AGR201" s="387"/>
      <c r="AGS201" s="387"/>
      <c r="AGT201" s="387"/>
      <c r="AGU201" s="387"/>
      <c r="AGV201" s="387"/>
      <c r="AGW201" s="387"/>
      <c r="AGX201" s="387"/>
      <c r="AGY201" s="387"/>
      <c r="AGZ201" s="387"/>
      <c r="AHA201" s="387"/>
      <c r="AHB201" s="387"/>
      <c r="AHC201" s="387"/>
      <c r="AHD201" s="387"/>
      <c r="AHE201" s="387"/>
      <c r="AHF201" s="387"/>
      <c r="AHG201" s="387"/>
      <c r="AHH201" s="387"/>
      <c r="AHI201" s="387"/>
      <c r="AHJ201" s="387"/>
      <c r="AHK201" s="387"/>
      <c r="AHL201" s="387"/>
      <c r="AHM201" s="387"/>
      <c r="AHN201" s="387"/>
      <c r="AHO201" s="387"/>
      <c r="AHP201" s="387"/>
      <c r="AHQ201" s="387"/>
      <c r="AHR201" s="387"/>
      <c r="AHS201" s="387"/>
      <c r="AHT201" s="387"/>
      <c r="AHU201" s="387"/>
      <c r="AHV201" s="387"/>
      <c r="AHW201" s="387"/>
      <c r="AHX201" s="387"/>
      <c r="AHY201" s="387"/>
      <c r="AHZ201" s="387"/>
      <c r="AIA201" s="387"/>
      <c r="AIB201" s="387"/>
      <c r="AIC201" s="387"/>
      <c r="AID201" s="387"/>
      <c r="AIE201" s="387"/>
      <c r="AIF201" s="387"/>
      <c r="AIG201" s="387"/>
      <c r="AIH201" s="387"/>
      <c r="AII201" s="387"/>
      <c r="AIJ201" s="387"/>
      <c r="AIK201" s="387"/>
      <c r="AIL201" s="387"/>
      <c r="AIM201" s="387"/>
      <c r="AIN201" s="387"/>
      <c r="AIO201" s="387"/>
      <c r="AIP201" s="387"/>
      <c r="AIQ201" s="387"/>
      <c r="AIR201" s="387"/>
      <c r="AIS201" s="387"/>
      <c r="AIT201" s="387"/>
      <c r="AIU201" s="387"/>
      <c r="AIV201" s="387"/>
      <c r="AIW201" s="387"/>
      <c r="AIX201" s="387"/>
      <c r="AIY201" s="387"/>
      <c r="AIZ201" s="387"/>
      <c r="AJA201" s="387"/>
      <c r="AJB201" s="387"/>
      <c r="AJC201" s="387"/>
      <c r="AJD201" s="387"/>
      <c r="AJE201" s="387"/>
      <c r="AJF201" s="387"/>
      <c r="AJG201" s="387"/>
      <c r="AJH201" s="387"/>
      <c r="AJI201" s="387"/>
      <c r="AJJ201" s="387"/>
      <c r="AJK201" s="387"/>
      <c r="AJL201" s="387"/>
      <c r="AJM201" s="387"/>
      <c r="AJN201" s="387"/>
      <c r="AJO201" s="387"/>
      <c r="AJP201" s="387"/>
      <c r="AJQ201" s="387"/>
      <c r="AJR201" s="387"/>
      <c r="AJS201" s="387"/>
      <c r="AJT201" s="387"/>
      <c r="AJU201" s="387"/>
      <c r="AJV201" s="387"/>
      <c r="AJW201" s="387"/>
      <c r="AJX201" s="387"/>
      <c r="AJY201" s="387"/>
      <c r="AJZ201" s="387"/>
      <c r="AKA201" s="387"/>
      <c r="AKB201" s="387"/>
      <c r="AKC201" s="387"/>
      <c r="AKD201" s="387"/>
      <c r="AKE201" s="387"/>
      <c r="AKF201" s="387"/>
      <c r="AKG201" s="387"/>
      <c r="AKH201" s="387"/>
      <c r="AKI201" s="387"/>
      <c r="AKJ201" s="387"/>
      <c r="AKK201" s="387"/>
      <c r="AKL201" s="387"/>
      <c r="AKM201" s="387"/>
      <c r="AKN201" s="387"/>
      <c r="AKO201" s="387"/>
      <c r="AKP201" s="387"/>
      <c r="AKQ201" s="387"/>
      <c r="AKR201" s="387"/>
      <c r="AKS201" s="387"/>
      <c r="AKT201" s="387"/>
      <c r="AKU201" s="387"/>
      <c r="AKV201" s="387"/>
      <c r="AKW201" s="387"/>
      <c r="AKX201" s="387"/>
      <c r="AKY201" s="387"/>
      <c r="AKZ201" s="387"/>
      <c r="ALA201" s="387"/>
      <c r="ALB201" s="387"/>
      <c r="ALC201" s="387"/>
      <c r="ALD201" s="387"/>
      <c r="ALE201" s="387"/>
      <c r="ALF201" s="387"/>
      <c r="ALG201" s="387"/>
      <c r="ALH201" s="387"/>
      <c r="ALI201" s="387"/>
      <c r="ALJ201" s="387"/>
      <c r="ALK201" s="387"/>
      <c r="ALL201" s="387"/>
      <c r="ALM201" s="387"/>
      <c r="ALN201" s="387"/>
      <c r="ALO201" s="387"/>
      <c r="ALP201" s="387"/>
      <c r="ALQ201" s="387"/>
      <c r="ALR201" s="387"/>
      <c r="ALS201" s="387"/>
      <c r="ALT201" s="387"/>
      <c r="ALU201" s="387"/>
      <c r="ALV201" s="387"/>
      <c r="ALW201" s="387"/>
      <c r="ALX201" s="387"/>
      <c r="ALY201" s="387"/>
      <c r="ALZ201" s="387"/>
      <c r="AMA201" s="387"/>
      <c r="AMB201" s="387"/>
      <c r="AMC201" s="387"/>
      <c r="AMD201" s="387"/>
      <c r="AME201" s="387"/>
      <c r="AMF201" s="387"/>
      <c r="AMG201" s="387"/>
      <c r="AMH201" s="387"/>
      <c r="AMI201" s="387"/>
      <c r="AMJ201" s="387"/>
      <c r="AMK201" s="387"/>
      <c r="AML201" s="387"/>
      <c r="AMM201" s="387"/>
      <c r="AMN201" s="387"/>
      <c r="AMO201" s="387"/>
      <c r="AMP201" s="387"/>
      <c r="AMQ201" s="387"/>
      <c r="AMR201" s="387"/>
      <c r="AMS201" s="387"/>
      <c r="AMT201" s="387"/>
      <c r="AMU201" s="387"/>
      <c r="AMV201" s="387"/>
      <c r="AMW201" s="387"/>
      <c r="AMX201" s="387"/>
      <c r="AMY201" s="387"/>
      <c r="AMZ201" s="387"/>
      <c r="ANA201" s="387"/>
      <c r="ANB201" s="387"/>
      <c r="ANC201" s="387"/>
      <c r="AND201" s="387"/>
      <c r="ANE201" s="387"/>
      <c r="ANF201" s="387"/>
      <c r="ANG201" s="387"/>
      <c r="ANH201" s="387"/>
      <c r="ANI201" s="387"/>
      <c r="ANJ201" s="387"/>
      <c r="ANK201" s="387"/>
      <c r="ANL201" s="387"/>
      <c r="ANM201" s="387"/>
      <c r="ANN201" s="387"/>
      <c r="ANO201" s="387"/>
      <c r="ANP201" s="387"/>
      <c r="ANQ201" s="387"/>
      <c r="ANR201" s="387"/>
      <c r="ANS201" s="387"/>
      <c r="ANT201" s="387"/>
      <c r="ANU201" s="387"/>
      <c r="ANV201" s="387"/>
      <c r="ANW201" s="387"/>
      <c r="ANX201" s="387"/>
      <c r="ANY201" s="387"/>
      <c r="ANZ201" s="387"/>
      <c r="AOA201" s="387"/>
      <c r="AOB201" s="387"/>
      <c r="AOC201" s="387"/>
      <c r="AOD201" s="387"/>
      <c r="AOE201" s="387"/>
      <c r="AOF201" s="387"/>
      <c r="AOG201" s="387"/>
      <c r="AOH201" s="387"/>
      <c r="AOI201" s="387"/>
      <c r="AOJ201" s="387"/>
      <c r="AOK201" s="387"/>
      <c r="AOL201" s="387"/>
      <c r="AOM201" s="387"/>
      <c r="AON201" s="387"/>
      <c r="AOO201" s="387"/>
      <c r="AOP201" s="387"/>
      <c r="AOQ201" s="387"/>
      <c r="AOR201" s="387"/>
      <c r="AOS201" s="387"/>
      <c r="AOT201" s="387"/>
      <c r="AOU201" s="387"/>
      <c r="AOV201" s="387"/>
      <c r="AOW201" s="387"/>
      <c r="AOX201" s="387"/>
      <c r="AOY201" s="387"/>
      <c r="AOZ201" s="387"/>
      <c r="APA201" s="387"/>
      <c r="APB201" s="387"/>
      <c r="APC201" s="387"/>
      <c r="APD201" s="387"/>
      <c r="APE201" s="387"/>
      <c r="APF201" s="387"/>
      <c r="APG201" s="387"/>
      <c r="APH201" s="387"/>
      <c r="API201" s="387"/>
      <c r="APJ201" s="387"/>
      <c r="APK201" s="387"/>
      <c r="APL201" s="387"/>
      <c r="APM201" s="387"/>
      <c r="APN201" s="387"/>
      <c r="APO201" s="387"/>
      <c r="APP201" s="387"/>
      <c r="APQ201" s="387"/>
      <c r="APR201" s="387"/>
      <c r="APS201" s="387"/>
      <c r="APT201" s="387"/>
      <c r="APU201" s="387"/>
      <c r="APV201" s="387"/>
      <c r="APW201" s="387"/>
      <c r="APX201" s="387"/>
      <c r="APY201" s="387"/>
      <c r="APZ201" s="387"/>
      <c r="AQA201" s="387"/>
      <c r="AQB201" s="387"/>
      <c r="AQC201" s="387"/>
      <c r="AQD201" s="387"/>
      <c r="AQE201" s="387"/>
      <c r="AQF201" s="387"/>
      <c r="AQG201" s="387"/>
      <c r="AQH201" s="387"/>
      <c r="AQI201" s="387"/>
      <c r="AQJ201" s="387"/>
      <c r="AQK201" s="387"/>
      <c r="AQL201" s="387"/>
      <c r="AQM201" s="387"/>
      <c r="AQN201" s="387"/>
      <c r="AQO201" s="387"/>
      <c r="AQP201" s="387"/>
      <c r="AQQ201" s="387"/>
      <c r="AQR201" s="387"/>
      <c r="AQS201" s="387"/>
      <c r="AQT201" s="387"/>
      <c r="AQU201" s="387"/>
      <c r="AQV201" s="387"/>
      <c r="AQW201" s="387"/>
      <c r="AQX201" s="387"/>
      <c r="AQY201" s="387"/>
      <c r="AQZ201" s="387"/>
      <c r="ARA201" s="387"/>
      <c r="ARB201" s="387"/>
      <c r="ARC201" s="387"/>
      <c r="ARD201" s="387"/>
      <c r="ARE201" s="387"/>
      <c r="ARF201" s="387"/>
      <c r="ARG201" s="387"/>
      <c r="ARH201" s="387"/>
      <c r="ARI201" s="387"/>
      <c r="ARJ201" s="387"/>
      <c r="ARK201" s="387"/>
      <c r="ARL201" s="387"/>
      <c r="ARM201" s="387"/>
      <c r="ARN201" s="387"/>
      <c r="ARO201" s="387"/>
      <c r="ARP201" s="387"/>
      <c r="ARQ201" s="387"/>
      <c r="ARR201" s="387"/>
      <c r="ARS201" s="387"/>
      <c r="ART201" s="387"/>
      <c r="ARU201" s="387"/>
      <c r="ARV201" s="387"/>
      <c r="ARW201" s="387"/>
      <c r="ARX201" s="387"/>
      <c r="ARY201" s="387"/>
      <c r="ARZ201" s="387"/>
      <c r="ASA201" s="387"/>
      <c r="ASB201" s="387"/>
      <c r="ASC201" s="387"/>
      <c r="ASD201" s="387"/>
      <c r="ASE201" s="387"/>
      <c r="ASF201" s="387"/>
      <c r="ASG201" s="387"/>
      <c r="ASH201" s="387"/>
      <c r="ASI201" s="387"/>
      <c r="ASJ201" s="387"/>
      <c r="ASK201" s="387"/>
      <c r="ASL201" s="387"/>
      <c r="ASM201" s="387"/>
      <c r="ASN201" s="387"/>
      <c r="ASO201" s="387"/>
      <c r="ASP201" s="387"/>
      <c r="ASQ201" s="387"/>
      <c r="ASR201" s="387"/>
      <c r="ASS201" s="387"/>
      <c r="AST201" s="387"/>
      <c r="ASU201" s="387"/>
      <c r="ASV201" s="387"/>
      <c r="ASW201" s="387"/>
      <c r="ASX201" s="387"/>
      <c r="ASY201" s="387"/>
      <c r="ASZ201" s="387"/>
      <c r="ATA201" s="387"/>
      <c r="ATB201" s="387"/>
      <c r="ATC201" s="387"/>
      <c r="ATD201" s="387"/>
      <c r="ATE201" s="387"/>
      <c r="ATF201" s="387"/>
      <c r="ATG201" s="387"/>
      <c r="ATH201" s="387"/>
      <c r="ATI201" s="387"/>
      <c r="ATJ201" s="387"/>
      <c r="ATK201" s="387"/>
      <c r="ATL201" s="387"/>
      <c r="ATM201" s="387"/>
      <c r="ATN201" s="387"/>
      <c r="ATO201" s="387"/>
      <c r="ATP201" s="387"/>
      <c r="ATQ201" s="387"/>
      <c r="ATR201" s="387"/>
      <c r="ATS201" s="387"/>
      <c r="ATT201" s="387"/>
      <c r="ATU201" s="387"/>
      <c r="ATV201" s="387"/>
      <c r="ATW201" s="387"/>
      <c r="ATX201" s="387"/>
      <c r="ATY201" s="387"/>
      <c r="ATZ201" s="387"/>
      <c r="AUA201" s="387"/>
      <c r="AUB201" s="387"/>
      <c r="AUC201" s="387"/>
      <c r="AUD201" s="387"/>
      <c r="AUE201" s="387"/>
      <c r="AUF201" s="387"/>
      <c r="AUG201" s="387"/>
      <c r="AUH201" s="387"/>
      <c r="AUI201" s="387"/>
      <c r="AUJ201" s="387"/>
      <c r="AUK201" s="387"/>
      <c r="AUL201" s="387"/>
      <c r="AUM201" s="387"/>
      <c r="AUN201" s="387"/>
      <c r="AUO201" s="387"/>
      <c r="AUP201" s="387"/>
      <c r="AUQ201" s="387"/>
      <c r="AUR201" s="387"/>
      <c r="AUS201" s="387"/>
      <c r="AUT201" s="387"/>
      <c r="AUU201" s="387"/>
      <c r="AUV201" s="387"/>
      <c r="AUW201" s="387"/>
      <c r="AUX201" s="387"/>
      <c r="AUY201" s="387"/>
      <c r="AUZ201" s="387"/>
      <c r="AVA201" s="387"/>
      <c r="AVB201" s="387"/>
      <c r="AVC201" s="387"/>
      <c r="AVD201" s="387"/>
      <c r="AVE201" s="387"/>
      <c r="AVF201" s="387"/>
      <c r="AVG201" s="387"/>
      <c r="AVH201" s="387"/>
      <c r="AVI201" s="387"/>
      <c r="AVJ201" s="387"/>
      <c r="AVK201" s="387"/>
      <c r="AVL201" s="387"/>
      <c r="AVM201" s="387"/>
      <c r="AVN201" s="387"/>
      <c r="AVO201" s="387"/>
      <c r="AVP201" s="387"/>
      <c r="AVQ201" s="387"/>
      <c r="AVR201" s="387"/>
      <c r="AVS201" s="387"/>
      <c r="AVT201" s="387"/>
      <c r="AVU201" s="387"/>
      <c r="AVV201" s="387"/>
      <c r="AVW201" s="387"/>
      <c r="AVX201" s="387"/>
      <c r="AVY201" s="387"/>
      <c r="AVZ201" s="387"/>
      <c r="AWA201" s="387"/>
      <c r="AWB201" s="387"/>
      <c r="AWC201" s="387"/>
      <c r="AWD201" s="387"/>
      <c r="AWE201" s="387"/>
      <c r="AWF201" s="387"/>
      <c r="AWG201" s="387"/>
      <c r="AWH201" s="387"/>
      <c r="AWI201" s="387"/>
      <c r="AWJ201" s="387"/>
      <c r="AWK201" s="387"/>
      <c r="AWL201" s="387"/>
      <c r="AWM201" s="387"/>
      <c r="AWN201" s="387"/>
      <c r="AWO201" s="387"/>
      <c r="AWP201" s="387"/>
      <c r="AWQ201" s="387"/>
      <c r="AWR201" s="387"/>
      <c r="AWS201" s="387"/>
      <c r="AWT201" s="387"/>
      <c r="AWU201" s="387"/>
      <c r="AWV201" s="387"/>
      <c r="AWW201" s="387"/>
      <c r="AWX201" s="387"/>
      <c r="AWY201" s="387"/>
      <c r="AWZ201" s="387"/>
      <c r="AXA201" s="387"/>
      <c r="AXB201" s="387"/>
      <c r="AXC201" s="387"/>
      <c r="AXD201" s="387"/>
      <c r="AXE201" s="387"/>
      <c r="AXF201" s="387"/>
      <c r="AXG201" s="387"/>
      <c r="AXH201" s="387"/>
      <c r="AXI201" s="387"/>
      <c r="AXJ201" s="387"/>
      <c r="AXK201" s="387"/>
      <c r="AXL201" s="387"/>
      <c r="AXM201" s="387"/>
      <c r="AXN201" s="387"/>
      <c r="AXO201" s="387"/>
      <c r="AXP201" s="387"/>
      <c r="AXQ201" s="387"/>
      <c r="AXR201" s="387"/>
      <c r="AXS201" s="387"/>
      <c r="AXT201" s="387"/>
      <c r="AXU201" s="387"/>
      <c r="AXV201" s="387"/>
      <c r="AXW201" s="387"/>
      <c r="AXX201" s="387"/>
      <c r="AXY201" s="387"/>
      <c r="AXZ201" s="387"/>
      <c r="AYA201" s="387"/>
      <c r="AYB201" s="387"/>
      <c r="AYC201" s="387"/>
      <c r="AYD201" s="387"/>
      <c r="AYE201" s="387"/>
      <c r="AYF201" s="387"/>
      <c r="AYG201" s="387"/>
      <c r="AYH201" s="387"/>
      <c r="AYI201" s="387"/>
      <c r="AYJ201" s="387"/>
      <c r="AYK201" s="387"/>
      <c r="AYL201" s="387"/>
      <c r="AYM201" s="387"/>
      <c r="AYN201" s="387"/>
      <c r="AYO201" s="387"/>
      <c r="AYP201" s="387"/>
      <c r="AYQ201" s="387"/>
      <c r="AYR201" s="387"/>
      <c r="AYS201" s="387"/>
      <c r="AYT201" s="387"/>
      <c r="AYU201" s="387"/>
      <c r="AYV201" s="387"/>
      <c r="AYW201" s="387"/>
      <c r="AYX201" s="387"/>
      <c r="AYY201" s="387"/>
      <c r="AYZ201" s="387"/>
      <c r="AZA201" s="387"/>
      <c r="AZB201" s="387"/>
      <c r="AZC201" s="387"/>
      <c r="AZD201" s="387"/>
      <c r="AZE201" s="387"/>
      <c r="AZF201" s="387"/>
      <c r="AZG201" s="387"/>
      <c r="AZH201" s="387"/>
      <c r="AZI201" s="387"/>
      <c r="AZJ201" s="387"/>
      <c r="AZK201" s="387"/>
      <c r="AZL201" s="387"/>
      <c r="AZM201" s="387"/>
      <c r="AZN201" s="387"/>
      <c r="AZO201" s="387"/>
      <c r="AZP201" s="387"/>
      <c r="AZQ201" s="387"/>
      <c r="AZR201" s="387"/>
      <c r="AZS201" s="387"/>
      <c r="AZT201" s="387"/>
      <c r="AZU201" s="387"/>
      <c r="AZV201" s="387"/>
      <c r="AZW201" s="387"/>
      <c r="AZX201" s="387"/>
      <c r="AZY201" s="387"/>
      <c r="AZZ201" s="387"/>
      <c r="BAA201" s="387"/>
      <c r="BAB201" s="387"/>
      <c r="BAC201" s="387"/>
      <c r="BAD201" s="387"/>
      <c r="BAE201" s="387"/>
      <c r="BAF201" s="387"/>
      <c r="BAG201" s="387"/>
      <c r="BAH201" s="387"/>
      <c r="BAI201" s="387"/>
      <c r="BAJ201" s="387"/>
      <c r="BAK201" s="387"/>
      <c r="BAL201" s="387"/>
      <c r="BAM201" s="387"/>
      <c r="BAN201" s="387"/>
      <c r="BAO201" s="387"/>
      <c r="BAP201" s="387"/>
      <c r="BAQ201" s="387"/>
      <c r="BAR201" s="387"/>
      <c r="BAS201" s="387"/>
      <c r="BAT201" s="387"/>
      <c r="BAU201" s="387"/>
      <c r="BAV201" s="387"/>
      <c r="BAW201" s="387"/>
      <c r="BAX201" s="387"/>
      <c r="BAY201" s="387"/>
      <c r="BAZ201" s="387"/>
      <c r="BBA201" s="387"/>
      <c r="BBB201" s="387"/>
      <c r="BBC201" s="387"/>
      <c r="BBD201" s="387"/>
      <c r="BBE201" s="387"/>
      <c r="BBF201" s="387"/>
      <c r="BBG201" s="387"/>
      <c r="BBH201" s="387"/>
      <c r="BBI201" s="387"/>
      <c r="BBJ201" s="387"/>
      <c r="BBK201" s="387"/>
      <c r="BBL201" s="387"/>
      <c r="BBM201" s="387"/>
      <c r="BBN201" s="387"/>
      <c r="BBO201" s="387"/>
      <c r="BBP201" s="387"/>
      <c r="BBQ201" s="387"/>
      <c r="BBR201" s="387"/>
      <c r="BBS201" s="387"/>
      <c r="BBT201" s="387"/>
      <c r="BBU201" s="387"/>
      <c r="BBV201" s="387"/>
      <c r="BBW201" s="387"/>
      <c r="BBX201" s="387"/>
      <c r="BBY201" s="387"/>
      <c r="BBZ201" s="387"/>
      <c r="BCA201" s="387"/>
      <c r="BCB201" s="387"/>
      <c r="BCC201" s="387"/>
      <c r="BCD201" s="387"/>
      <c r="BCE201" s="387"/>
      <c r="BCF201" s="387"/>
      <c r="BCG201" s="387"/>
      <c r="BCH201" s="387"/>
      <c r="BCI201" s="387"/>
      <c r="BCJ201" s="387"/>
      <c r="BCK201" s="387"/>
      <c r="BCL201" s="387"/>
      <c r="BCM201" s="387"/>
      <c r="BCN201" s="387"/>
      <c r="BCO201" s="387"/>
      <c r="BCP201" s="387"/>
      <c r="BCQ201" s="387"/>
      <c r="BCR201" s="387"/>
      <c r="BCS201" s="387"/>
      <c r="BCT201" s="387"/>
      <c r="BCU201" s="387"/>
      <c r="BCV201" s="387"/>
      <c r="BCW201" s="387"/>
      <c r="BCX201" s="387"/>
      <c r="BCY201" s="387"/>
      <c r="BCZ201" s="387"/>
      <c r="BDA201" s="387"/>
      <c r="BDB201" s="387"/>
      <c r="BDC201" s="387"/>
      <c r="BDD201" s="387"/>
      <c r="BDE201" s="387"/>
      <c r="BDF201" s="387"/>
      <c r="BDG201" s="387"/>
      <c r="BDH201" s="387"/>
      <c r="BDI201" s="387"/>
      <c r="BDJ201" s="387"/>
      <c r="BDK201" s="387"/>
      <c r="BDL201" s="387"/>
      <c r="BDM201" s="387"/>
      <c r="BDN201" s="387"/>
      <c r="BDO201" s="387"/>
      <c r="BDP201" s="387"/>
      <c r="BDQ201" s="387"/>
      <c r="BDR201" s="387"/>
      <c r="BDS201" s="387"/>
      <c r="BDT201" s="387"/>
      <c r="BDU201" s="387"/>
      <c r="BDV201" s="387"/>
      <c r="BDW201" s="387"/>
      <c r="BDX201" s="387"/>
      <c r="BDY201" s="387"/>
      <c r="BDZ201" s="387"/>
      <c r="BEA201" s="387"/>
      <c r="BEB201" s="387"/>
      <c r="BEC201" s="387"/>
      <c r="BED201" s="387"/>
      <c r="BEE201" s="387"/>
      <c r="BEF201" s="387"/>
      <c r="BEG201" s="387"/>
      <c r="BEH201" s="387"/>
      <c r="BEI201" s="387"/>
      <c r="BEJ201" s="387"/>
      <c r="BEK201" s="387"/>
      <c r="BEL201" s="387"/>
      <c r="BEM201" s="387"/>
      <c r="BEN201" s="387"/>
      <c r="BEO201" s="387"/>
      <c r="BEP201" s="387"/>
      <c r="BEQ201" s="387"/>
      <c r="BER201" s="387"/>
      <c r="BES201" s="387"/>
      <c r="BET201" s="387"/>
      <c r="BEU201" s="387"/>
      <c r="BEV201" s="387"/>
      <c r="BEW201" s="387"/>
      <c r="BEX201" s="387"/>
      <c r="BEY201" s="387"/>
      <c r="BEZ201" s="387"/>
      <c r="BFA201" s="387"/>
      <c r="BFB201" s="387"/>
      <c r="BFC201" s="387"/>
      <c r="BFD201" s="387"/>
      <c r="BFE201" s="387"/>
      <c r="BFF201" s="387"/>
      <c r="BFG201" s="387"/>
      <c r="BFH201" s="387"/>
      <c r="BFI201" s="387"/>
      <c r="BFJ201" s="387"/>
      <c r="BFK201" s="387"/>
      <c r="BFL201" s="387"/>
      <c r="BFM201" s="387"/>
      <c r="BFN201" s="387"/>
      <c r="BFO201" s="387"/>
      <c r="BFP201" s="387"/>
      <c r="BFQ201" s="387"/>
      <c r="BFR201" s="387"/>
      <c r="BFS201" s="387"/>
      <c r="BFT201" s="387"/>
      <c r="BFU201" s="387"/>
      <c r="BFV201" s="387"/>
      <c r="BFW201" s="387"/>
      <c r="BFX201" s="387"/>
      <c r="BFY201" s="387"/>
      <c r="BFZ201" s="387"/>
      <c r="BGA201" s="387"/>
      <c r="BGB201" s="387"/>
      <c r="BGC201" s="387"/>
      <c r="BGD201" s="387"/>
      <c r="BGE201" s="387"/>
      <c r="BGF201" s="387"/>
      <c r="BGG201" s="387"/>
      <c r="BGH201" s="387"/>
      <c r="BGI201" s="387"/>
      <c r="BGJ201" s="387"/>
      <c r="BGK201" s="387"/>
      <c r="BGL201" s="387"/>
      <c r="BGM201" s="387"/>
      <c r="BGN201" s="387"/>
      <c r="BGO201" s="387"/>
      <c r="BGP201" s="387"/>
      <c r="BGQ201" s="387"/>
      <c r="BGR201" s="387"/>
      <c r="BGS201" s="387"/>
      <c r="BGT201" s="387"/>
      <c r="BGU201" s="387"/>
      <c r="BGV201" s="387"/>
      <c r="BGW201" s="387"/>
      <c r="BGX201" s="387"/>
      <c r="BGY201" s="387"/>
      <c r="BGZ201" s="387"/>
      <c r="BHA201" s="387"/>
      <c r="BHB201" s="387"/>
      <c r="BHC201" s="387"/>
      <c r="BHD201" s="387"/>
      <c r="BHE201" s="387"/>
      <c r="BHF201" s="387"/>
      <c r="BHG201" s="387"/>
      <c r="BHH201" s="387"/>
      <c r="BHI201" s="387"/>
      <c r="BHJ201" s="387"/>
      <c r="BHK201" s="387"/>
      <c r="BHL201" s="387"/>
      <c r="BHM201" s="387"/>
      <c r="BHN201" s="387"/>
      <c r="BHO201" s="387"/>
      <c r="BHP201" s="387"/>
      <c r="BHQ201" s="387"/>
      <c r="BHR201" s="387"/>
      <c r="BHS201" s="387"/>
      <c r="BHT201" s="387"/>
      <c r="BHU201" s="387"/>
      <c r="BHV201" s="387"/>
      <c r="BHW201" s="387"/>
      <c r="BHX201" s="387"/>
      <c r="BHY201" s="387"/>
      <c r="BHZ201" s="387"/>
      <c r="BIA201" s="387"/>
      <c r="BIB201" s="387"/>
      <c r="BIC201" s="387"/>
      <c r="BID201" s="387"/>
      <c r="BIE201" s="387"/>
      <c r="BIF201" s="387"/>
      <c r="BIG201" s="387"/>
      <c r="BIH201" s="387"/>
      <c r="BII201" s="387"/>
      <c r="BIJ201" s="387"/>
      <c r="BIK201" s="387"/>
      <c r="BIL201" s="387"/>
      <c r="BIM201" s="387"/>
      <c r="BIN201" s="387"/>
      <c r="BIO201" s="387"/>
      <c r="BIP201" s="387"/>
      <c r="BIQ201" s="387"/>
      <c r="BIR201" s="387"/>
      <c r="BIS201" s="387"/>
      <c r="BIT201" s="387"/>
      <c r="BIU201" s="387"/>
      <c r="BIV201" s="387"/>
      <c r="BIW201" s="387"/>
      <c r="BIX201" s="387"/>
      <c r="BIY201" s="387"/>
      <c r="BIZ201" s="387"/>
      <c r="BJA201" s="387"/>
      <c r="BJB201" s="387"/>
      <c r="BJC201" s="387"/>
      <c r="BJD201" s="387"/>
      <c r="BJE201" s="387"/>
      <c r="BJF201" s="387"/>
      <c r="BJG201" s="387"/>
      <c r="BJH201" s="387"/>
      <c r="BJI201" s="387"/>
      <c r="BJJ201" s="387"/>
      <c r="BJK201" s="387"/>
      <c r="BJL201" s="387"/>
      <c r="BJM201" s="387"/>
      <c r="BJN201" s="387"/>
      <c r="BJO201" s="387"/>
      <c r="BJP201" s="387"/>
      <c r="BJQ201" s="387"/>
      <c r="BJR201" s="387"/>
      <c r="BJS201" s="387"/>
      <c r="BJT201" s="387"/>
      <c r="BJU201" s="387"/>
      <c r="BJV201" s="387"/>
      <c r="BJW201" s="387"/>
      <c r="BJX201" s="387"/>
      <c r="BJY201" s="387"/>
      <c r="BJZ201" s="387"/>
      <c r="BKA201" s="387"/>
      <c r="BKB201" s="387"/>
      <c r="BKC201" s="387"/>
      <c r="BKD201" s="387"/>
      <c r="BKE201" s="387"/>
      <c r="BKF201" s="387"/>
      <c r="BKG201" s="387"/>
      <c r="BKH201" s="387"/>
      <c r="BKI201" s="387"/>
      <c r="BKJ201" s="387"/>
      <c r="BKK201" s="387"/>
      <c r="BKL201" s="387"/>
      <c r="BKM201" s="387"/>
      <c r="BKN201" s="387"/>
      <c r="BKO201" s="387"/>
      <c r="BKP201" s="387"/>
      <c r="BKQ201" s="387"/>
      <c r="BKR201" s="387"/>
      <c r="BKS201" s="387"/>
      <c r="BKT201" s="387"/>
      <c r="BKU201" s="387"/>
      <c r="BKV201" s="387"/>
      <c r="BKW201" s="387"/>
      <c r="BKX201" s="387"/>
      <c r="BKY201" s="387"/>
      <c r="BKZ201" s="387"/>
      <c r="BLA201" s="387"/>
      <c r="BLB201" s="387"/>
      <c r="BLC201" s="387"/>
      <c r="BLD201" s="387"/>
      <c r="BLE201" s="387"/>
      <c r="BLF201" s="387"/>
      <c r="BLG201" s="387"/>
      <c r="BLH201" s="387"/>
      <c r="BLI201" s="387"/>
      <c r="BLJ201" s="387"/>
      <c r="BLK201" s="387"/>
      <c r="BLL201" s="387"/>
      <c r="BLM201" s="387"/>
      <c r="BLN201" s="387"/>
      <c r="BLO201" s="387"/>
      <c r="BLP201" s="387"/>
      <c r="BLQ201" s="387"/>
      <c r="BLR201" s="387"/>
      <c r="BLS201" s="387"/>
      <c r="BLT201" s="387"/>
      <c r="BLU201" s="387"/>
      <c r="BLV201" s="387"/>
      <c r="BLW201" s="387"/>
      <c r="BLX201" s="387"/>
      <c r="BLY201" s="387"/>
      <c r="BLZ201" s="387"/>
      <c r="BMA201" s="387"/>
      <c r="BMB201" s="387"/>
      <c r="BMC201" s="387"/>
      <c r="BMD201" s="387"/>
      <c r="BME201" s="387"/>
      <c r="BMF201" s="387"/>
      <c r="BMG201" s="387"/>
      <c r="BMH201" s="387"/>
      <c r="BMI201" s="387"/>
      <c r="BMJ201" s="387"/>
      <c r="BMK201" s="387"/>
      <c r="BML201" s="387"/>
      <c r="BMM201" s="387"/>
      <c r="BMN201" s="387"/>
      <c r="BMO201" s="387"/>
      <c r="BMP201" s="387"/>
      <c r="BMQ201" s="387"/>
      <c r="BMR201" s="387"/>
      <c r="BMS201" s="387"/>
      <c r="BMT201" s="387"/>
      <c r="BMU201" s="387"/>
      <c r="BMV201" s="387"/>
      <c r="BMW201" s="387"/>
      <c r="BMX201" s="387"/>
      <c r="BMY201" s="387"/>
      <c r="BMZ201" s="387"/>
      <c r="BNA201" s="387"/>
      <c r="BNB201" s="387"/>
      <c r="BNC201" s="387"/>
      <c r="BND201" s="387"/>
      <c r="BNE201" s="387"/>
      <c r="BNF201" s="387"/>
      <c r="BNG201" s="387"/>
      <c r="BNH201" s="387"/>
      <c r="BNI201" s="387"/>
      <c r="BNJ201" s="387"/>
      <c r="BNK201" s="387"/>
      <c r="BNL201" s="387"/>
      <c r="BNM201" s="387"/>
      <c r="BNN201" s="387"/>
      <c r="BNO201" s="387"/>
      <c r="BNP201" s="387"/>
      <c r="BNQ201" s="387"/>
      <c r="BNR201" s="387"/>
      <c r="BNS201" s="387"/>
      <c r="BNT201" s="387"/>
      <c r="BNU201" s="387"/>
      <c r="BNV201" s="387"/>
      <c r="BNW201" s="387"/>
      <c r="BNX201" s="387"/>
      <c r="BNY201" s="387"/>
      <c r="BNZ201" s="387"/>
      <c r="BOA201" s="387"/>
      <c r="BOB201" s="387"/>
      <c r="BOC201" s="387"/>
      <c r="BOD201" s="387"/>
      <c r="BOE201" s="387"/>
      <c r="BOF201" s="387"/>
      <c r="BOG201" s="387"/>
      <c r="BOH201" s="387"/>
      <c r="BOI201" s="387"/>
      <c r="BOJ201" s="387"/>
      <c r="BOK201" s="387"/>
      <c r="BOL201" s="387"/>
      <c r="BOM201" s="387"/>
      <c r="BON201" s="387"/>
      <c r="BOO201" s="387"/>
      <c r="BOP201" s="387"/>
      <c r="BOQ201" s="387"/>
      <c r="BOR201" s="387"/>
      <c r="BOS201" s="387"/>
      <c r="BOT201" s="387"/>
      <c r="BOU201" s="387"/>
      <c r="BOV201" s="387"/>
      <c r="BOW201" s="387"/>
      <c r="BOX201" s="387"/>
      <c r="BOY201" s="387"/>
      <c r="BOZ201" s="387"/>
      <c r="BPA201" s="387"/>
      <c r="BPB201" s="387"/>
      <c r="BPC201" s="387"/>
      <c r="BPD201" s="387"/>
      <c r="BPE201" s="387"/>
      <c r="BPF201" s="387"/>
      <c r="BPG201" s="387"/>
      <c r="BPH201" s="387"/>
      <c r="BPI201" s="387"/>
      <c r="BPJ201" s="387"/>
      <c r="BPK201" s="387"/>
      <c r="BPL201" s="387"/>
      <c r="BPM201" s="387"/>
      <c r="BPN201" s="387"/>
      <c r="BPO201" s="387"/>
      <c r="BPP201" s="387"/>
      <c r="BPQ201" s="387"/>
      <c r="BPR201" s="387"/>
      <c r="BPS201" s="387"/>
      <c r="BPT201" s="387"/>
      <c r="BPU201" s="387"/>
      <c r="BPV201" s="387"/>
      <c r="BPW201" s="387"/>
      <c r="BPX201" s="387"/>
      <c r="BPY201" s="387"/>
      <c r="BPZ201" s="387"/>
      <c r="BQA201" s="387"/>
      <c r="BQB201" s="387"/>
      <c r="BQC201" s="387"/>
      <c r="BQD201" s="387"/>
      <c r="BQE201" s="387"/>
      <c r="BQF201" s="387"/>
      <c r="BQG201" s="387"/>
      <c r="BQH201" s="387"/>
      <c r="BQI201" s="387"/>
      <c r="BQJ201" s="387"/>
      <c r="BQK201" s="387"/>
      <c r="BQL201" s="387"/>
      <c r="BQM201" s="387"/>
      <c r="BQN201" s="387"/>
      <c r="BQO201" s="387"/>
      <c r="BQP201" s="387"/>
      <c r="BQQ201" s="387"/>
      <c r="BQR201" s="387"/>
      <c r="BQS201" s="387"/>
      <c r="BQT201" s="387"/>
      <c r="BQU201" s="387"/>
      <c r="BQV201" s="387"/>
      <c r="BQW201" s="387"/>
      <c r="BQX201" s="387"/>
      <c r="BQY201" s="387"/>
      <c r="BQZ201" s="387"/>
      <c r="BRA201" s="387"/>
      <c r="BRB201" s="387"/>
      <c r="BRC201" s="387"/>
      <c r="BRD201" s="387"/>
      <c r="BRE201" s="387"/>
      <c r="BRF201" s="387"/>
      <c r="BRG201" s="387"/>
      <c r="BRH201" s="387"/>
      <c r="BRI201" s="387"/>
      <c r="BRJ201" s="387"/>
      <c r="BRK201" s="387"/>
      <c r="BRL201" s="387"/>
      <c r="BRM201" s="387"/>
      <c r="BRN201" s="387"/>
      <c r="BRO201" s="387"/>
      <c r="BRP201" s="387"/>
      <c r="BRQ201" s="387"/>
      <c r="BRR201" s="387"/>
      <c r="BRS201" s="387"/>
      <c r="BRT201" s="387"/>
      <c r="BRU201" s="387"/>
      <c r="BRV201" s="387"/>
      <c r="BRW201" s="387"/>
      <c r="BRX201" s="387"/>
      <c r="BRY201" s="387"/>
      <c r="BRZ201" s="387"/>
      <c r="BSA201" s="387"/>
      <c r="BSB201" s="387"/>
      <c r="BSC201" s="387"/>
      <c r="BSD201" s="387"/>
      <c r="BSE201" s="387"/>
      <c r="BSF201" s="387"/>
      <c r="BSG201" s="387"/>
      <c r="BSH201" s="387"/>
      <c r="BSI201" s="387"/>
      <c r="BSJ201" s="387"/>
      <c r="BSK201" s="387"/>
      <c r="BSL201" s="387"/>
      <c r="BSM201" s="387"/>
      <c r="BSN201" s="387"/>
      <c r="BSO201" s="387"/>
      <c r="BSP201" s="387"/>
      <c r="BSQ201" s="387"/>
      <c r="BSR201" s="387"/>
      <c r="BSS201" s="387"/>
      <c r="BST201" s="387"/>
      <c r="BSU201" s="387"/>
      <c r="BSV201" s="387"/>
      <c r="BSW201" s="387"/>
      <c r="BSX201" s="387"/>
      <c r="BSY201" s="387"/>
      <c r="BSZ201" s="387"/>
      <c r="BTA201" s="387"/>
      <c r="BTB201" s="387"/>
      <c r="BTC201" s="387"/>
      <c r="BTD201" s="387"/>
      <c r="BTE201" s="387"/>
      <c r="BTF201" s="387"/>
      <c r="BTG201" s="387"/>
      <c r="BTH201" s="387"/>
      <c r="BTI201" s="387"/>
    </row>
    <row r="202" spans="1:1881" s="384" customFormat="1" ht="181.5" customHeight="1" x14ac:dyDescent="0.25">
      <c r="A202" s="186">
        <v>577</v>
      </c>
      <c r="B202" s="148"/>
      <c r="C202" s="148" t="s">
        <v>557</v>
      </c>
      <c r="D202" s="336" t="s">
        <v>630</v>
      </c>
      <c r="E202" s="302"/>
      <c r="F202" s="560"/>
      <c r="G202" s="533" t="str">
        <f>IF(F202="Yes","In this cell - Please include the name of the plan, a brief description of the benefit and the population group that received the benefits.
that received the benefit"," ")</f>
        <v xml:space="preserve"> </v>
      </c>
      <c r="H202" s="65"/>
      <c r="I202" s="16"/>
      <c r="J202" s="362"/>
      <c r="K202" s="387"/>
      <c r="L202" s="387"/>
      <c r="M202" s="387"/>
      <c r="N202"/>
      <c r="O202" s="387"/>
      <c r="P202" s="387"/>
      <c r="Q202" s="387"/>
      <c r="R202"/>
      <c r="S202" s="682"/>
      <c r="T202" s="387"/>
      <c r="U202" s="387"/>
      <c r="V202" s="387"/>
      <c r="W202" s="387"/>
      <c r="X202" s="682"/>
      <c r="Y202" s="387"/>
      <c r="Z202" s="387"/>
      <c r="AA202" s="387"/>
      <c r="AB202" s="387"/>
      <c r="AC202" s="387"/>
      <c r="AD202" s="387"/>
      <c r="AE202" s="387"/>
      <c r="AF202" s="387"/>
      <c r="AG202" s="387"/>
      <c r="AH202" s="387"/>
      <c r="AI202" s="387"/>
      <c r="AJ202" s="387"/>
      <c r="AK202" s="387"/>
      <c r="AL202" s="387"/>
      <c r="AM202" s="387"/>
      <c r="AN202" s="387"/>
      <c r="AO202" s="387"/>
      <c r="AP202" s="387"/>
      <c r="AQ202" s="387"/>
      <c r="AR202" s="387"/>
      <c r="AS202" s="387"/>
      <c r="AT202" s="387"/>
      <c r="AU202" s="387"/>
      <c r="AV202" s="387"/>
      <c r="AW202" s="387"/>
      <c r="AX202" s="387"/>
      <c r="AY202" s="387"/>
      <c r="AZ202" s="387"/>
      <c r="BA202" s="387"/>
      <c r="BB202" s="387"/>
      <c r="BC202" s="387"/>
      <c r="BD202" s="387"/>
      <c r="BE202" s="387"/>
      <c r="BF202" s="387"/>
      <c r="BG202" s="387"/>
      <c r="BH202" s="387"/>
      <c r="BI202" s="387"/>
      <c r="BJ202" s="387"/>
      <c r="BK202" s="387"/>
      <c r="BL202" s="387"/>
      <c r="BM202" s="387"/>
      <c r="BN202" s="387"/>
      <c r="BO202" s="387"/>
      <c r="BP202" s="387"/>
      <c r="BQ202" s="387"/>
      <c r="BR202" s="387"/>
      <c r="BS202" s="387"/>
      <c r="BT202" s="387"/>
      <c r="BU202" s="387"/>
      <c r="BV202" s="387"/>
      <c r="BW202" s="387"/>
      <c r="BX202" s="387"/>
      <c r="BY202" s="387"/>
      <c r="BZ202" s="387"/>
      <c r="CA202" s="387"/>
      <c r="CB202" s="387"/>
      <c r="CC202" s="387"/>
      <c r="CD202" s="387"/>
      <c r="CE202" s="387"/>
      <c r="CF202" s="387"/>
      <c r="CG202" s="387"/>
      <c r="CH202" s="387"/>
      <c r="CI202" s="387"/>
      <c r="CJ202" s="387"/>
      <c r="CK202" s="387"/>
      <c r="CL202" s="387"/>
      <c r="CM202" s="387"/>
      <c r="CN202" s="387"/>
      <c r="CO202" s="387"/>
      <c r="CP202" s="387"/>
      <c r="CQ202" s="387"/>
      <c r="CR202" s="387"/>
      <c r="CS202" s="387"/>
      <c r="CT202" s="387"/>
      <c r="CU202" s="387"/>
      <c r="CV202" s="387"/>
      <c r="CW202" s="387"/>
      <c r="CX202" s="387"/>
      <c r="CY202" s="387"/>
      <c r="CZ202" s="387"/>
      <c r="DA202" s="387"/>
      <c r="DB202" s="387"/>
      <c r="DC202" s="387"/>
      <c r="DD202" s="387"/>
      <c r="DE202" s="387"/>
      <c r="DF202" s="387"/>
      <c r="DG202" s="387"/>
      <c r="DH202" s="387"/>
      <c r="DI202" s="387"/>
      <c r="DJ202" s="387"/>
      <c r="DK202" s="387"/>
      <c r="DL202" s="387"/>
      <c r="DM202" s="387"/>
      <c r="DN202" s="387"/>
      <c r="DO202" s="387"/>
      <c r="DP202" s="387"/>
      <c r="DQ202" s="387"/>
      <c r="DR202" s="387"/>
      <c r="DS202" s="387"/>
      <c r="DT202" s="387"/>
      <c r="DU202" s="387"/>
      <c r="DV202" s="387"/>
      <c r="DW202" s="387"/>
      <c r="DX202" s="387"/>
      <c r="DY202" s="387"/>
      <c r="DZ202" s="387"/>
      <c r="EA202" s="387"/>
      <c r="EB202" s="387"/>
      <c r="EC202" s="387"/>
      <c r="ED202" s="387"/>
      <c r="EE202" s="387"/>
      <c r="EF202" s="387"/>
      <c r="EG202" s="387"/>
      <c r="EH202" s="387"/>
      <c r="EI202" s="387"/>
      <c r="EJ202" s="387"/>
      <c r="EK202" s="387"/>
      <c r="EL202" s="387"/>
      <c r="EM202" s="387"/>
      <c r="EN202" s="387"/>
      <c r="EO202" s="387"/>
      <c r="EP202" s="387"/>
      <c r="EQ202" s="387"/>
      <c r="ER202" s="387"/>
      <c r="ES202" s="387"/>
      <c r="ET202" s="387"/>
      <c r="EU202" s="387"/>
      <c r="EV202" s="387"/>
      <c r="EW202" s="387"/>
      <c r="EX202" s="387"/>
      <c r="EY202" s="387"/>
      <c r="EZ202" s="387"/>
      <c r="FA202" s="387"/>
      <c r="FB202" s="387"/>
      <c r="FC202" s="387"/>
      <c r="FD202" s="387"/>
      <c r="FE202" s="387"/>
      <c r="FF202" s="387"/>
      <c r="FG202" s="387"/>
      <c r="FH202" s="387"/>
      <c r="FI202" s="387"/>
      <c r="FJ202" s="387"/>
      <c r="FK202" s="387"/>
      <c r="FL202" s="387"/>
      <c r="FM202" s="387"/>
      <c r="FN202" s="387"/>
      <c r="FO202" s="387"/>
      <c r="FP202" s="387"/>
      <c r="FQ202" s="387"/>
      <c r="FR202" s="387"/>
      <c r="FS202" s="387"/>
      <c r="FT202" s="387"/>
      <c r="FU202" s="387"/>
      <c r="FV202" s="387"/>
      <c r="FW202" s="387"/>
      <c r="FX202" s="387"/>
      <c r="FY202" s="387"/>
      <c r="FZ202" s="387"/>
      <c r="GA202" s="387"/>
      <c r="GB202" s="387"/>
      <c r="GC202" s="387"/>
      <c r="GD202" s="387"/>
      <c r="GE202" s="387"/>
      <c r="GF202" s="387"/>
      <c r="GG202" s="387"/>
      <c r="GH202" s="387"/>
      <c r="GI202" s="387"/>
      <c r="GJ202" s="387"/>
      <c r="GK202" s="387"/>
      <c r="GL202" s="387"/>
      <c r="GM202" s="387"/>
      <c r="GN202" s="387"/>
      <c r="GO202" s="387"/>
      <c r="GP202" s="387"/>
      <c r="GQ202" s="387"/>
      <c r="GR202" s="387"/>
      <c r="GS202" s="387"/>
      <c r="GT202" s="387"/>
      <c r="GU202" s="387"/>
      <c r="GV202" s="387"/>
      <c r="GW202" s="387"/>
      <c r="GX202" s="387"/>
      <c r="GY202" s="387"/>
      <c r="GZ202" s="387"/>
      <c r="HA202" s="387"/>
      <c r="HB202" s="387"/>
      <c r="HC202" s="387"/>
      <c r="HD202" s="387"/>
      <c r="HE202" s="387"/>
      <c r="HF202" s="387"/>
      <c r="HG202" s="387"/>
      <c r="HH202" s="387"/>
      <c r="HI202" s="387"/>
      <c r="HJ202" s="387"/>
      <c r="HK202" s="387"/>
      <c r="HL202" s="387"/>
      <c r="HM202" s="387"/>
      <c r="HN202" s="387"/>
      <c r="HO202" s="387"/>
      <c r="HP202" s="387"/>
      <c r="HQ202" s="387"/>
      <c r="HR202" s="387"/>
      <c r="HS202" s="387"/>
      <c r="HT202" s="387"/>
      <c r="HU202" s="387"/>
      <c r="HV202" s="387"/>
      <c r="HW202" s="387"/>
      <c r="HX202" s="387"/>
      <c r="HY202" s="387"/>
      <c r="HZ202" s="387"/>
      <c r="IA202" s="387"/>
      <c r="IB202" s="387"/>
      <c r="IC202" s="387"/>
      <c r="ID202" s="387"/>
      <c r="IE202" s="387"/>
      <c r="IF202" s="387"/>
      <c r="IG202" s="387"/>
      <c r="IH202" s="387"/>
      <c r="II202" s="387"/>
      <c r="IJ202" s="387"/>
      <c r="IK202" s="387"/>
      <c r="IL202" s="387"/>
      <c r="IM202" s="387"/>
      <c r="IN202" s="387"/>
      <c r="IO202" s="387"/>
      <c r="IP202" s="387"/>
      <c r="IQ202" s="387"/>
      <c r="IR202" s="387"/>
      <c r="IS202" s="387"/>
      <c r="IT202" s="387"/>
      <c r="IU202" s="387"/>
      <c r="IV202" s="387"/>
      <c r="IW202" s="387"/>
      <c r="IX202" s="387"/>
      <c r="IY202" s="387"/>
      <c r="IZ202" s="387"/>
      <c r="JA202" s="387"/>
      <c r="JB202" s="387"/>
      <c r="JC202" s="387"/>
      <c r="JD202" s="387"/>
      <c r="JE202" s="387"/>
      <c r="JF202" s="387"/>
      <c r="JG202" s="387"/>
      <c r="JH202" s="387"/>
      <c r="JI202" s="387"/>
      <c r="JJ202" s="387"/>
      <c r="JK202" s="387"/>
      <c r="JL202" s="387"/>
      <c r="JM202" s="387"/>
      <c r="JN202" s="387"/>
      <c r="JO202" s="387"/>
      <c r="JP202" s="387"/>
      <c r="JQ202" s="387"/>
      <c r="JR202" s="387"/>
      <c r="JS202" s="387"/>
      <c r="JT202" s="387"/>
      <c r="JU202" s="387"/>
      <c r="JV202" s="387"/>
      <c r="JW202" s="387"/>
      <c r="JX202" s="387"/>
      <c r="JY202" s="387"/>
      <c r="JZ202" s="387"/>
      <c r="KA202" s="387"/>
      <c r="KB202" s="387"/>
      <c r="KC202" s="387"/>
      <c r="KD202" s="387"/>
      <c r="KE202" s="387"/>
      <c r="KF202" s="387"/>
      <c r="KG202" s="387"/>
      <c r="KH202" s="387"/>
      <c r="KI202" s="387"/>
      <c r="KJ202" s="387"/>
      <c r="KK202" s="387"/>
      <c r="KL202" s="387"/>
      <c r="KM202" s="387"/>
      <c r="KN202" s="387"/>
      <c r="KO202" s="387"/>
      <c r="KP202" s="387"/>
      <c r="KQ202" s="387"/>
      <c r="KR202" s="387"/>
      <c r="KS202" s="387"/>
      <c r="KT202" s="387"/>
      <c r="KU202" s="387"/>
      <c r="KV202" s="387"/>
      <c r="KW202" s="387"/>
      <c r="KX202" s="387"/>
      <c r="KY202" s="387"/>
      <c r="KZ202" s="387"/>
      <c r="LA202" s="387"/>
      <c r="LB202" s="387"/>
      <c r="LC202" s="387"/>
      <c r="LD202" s="387"/>
      <c r="LE202" s="387"/>
      <c r="LF202" s="387"/>
      <c r="LG202" s="387"/>
      <c r="LH202" s="387"/>
      <c r="LI202" s="387"/>
      <c r="LJ202" s="387"/>
      <c r="LK202" s="387"/>
      <c r="LL202" s="387"/>
      <c r="LM202" s="387"/>
      <c r="LN202" s="387"/>
      <c r="LO202" s="387"/>
      <c r="LP202" s="387"/>
      <c r="LQ202" s="387"/>
      <c r="LR202" s="387"/>
      <c r="LS202" s="387"/>
      <c r="LT202" s="387"/>
      <c r="LU202" s="387"/>
      <c r="LV202" s="387"/>
      <c r="LW202" s="387"/>
      <c r="LX202" s="387"/>
      <c r="LY202" s="387"/>
      <c r="LZ202" s="387"/>
      <c r="MA202" s="387"/>
      <c r="MB202" s="387"/>
      <c r="MC202" s="387"/>
      <c r="MD202" s="387"/>
      <c r="ME202" s="387"/>
      <c r="MF202" s="387"/>
      <c r="MG202" s="387"/>
      <c r="MH202" s="387"/>
      <c r="MI202" s="387"/>
      <c r="MJ202" s="387"/>
      <c r="MK202" s="387"/>
      <c r="ML202" s="387"/>
      <c r="MM202" s="387"/>
      <c r="MN202" s="387"/>
      <c r="MO202" s="387"/>
      <c r="MP202" s="387"/>
      <c r="MQ202" s="387"/>
      <c r="MR202" s="387"/>
      <c r="MS202" s="387"/>
      <c r="MT202" s="387"/>
      <c r="MU202" s="387"/>
      <c r="MV202" s="387"/>
      <c r="MW202" s="387"/>
      <c r="MX202" s="387"/>
      <c r="MY202" s="387"/>
      <c r="MZ202" s="387"/>
      <c r="NA202" s="387"/>
      <c r="NB202" s="387"/>
      <c r="NC202" s="387"/>
      <c r="ND202" s="387"/>
      <c r="NE202" s="387"/>
      <c r="NF202" s="387"/>
      <c r="NG202" s="387"/>
      <c r="NH202" s="387"/>
      <c r="NI202" s="387"/>
      <c r="NJ202" s="387"/>
      <c r="NK202" s="387"/>
      <c r="NL202" s="387"/>
      <c r="NM202" s="387"/>
      <c r="NN202" s="387"/>
      <c r="NO202" s="387"/>
      <c r="NP202" s="387"/>
      <c r="NQ202" s="387"/>
      <c r="NR202" s="387"/>
      <c r="NS202" s="387"/>
      <c r="NT202" s="387"/>
      <c r="NU202" s="387"/>
      <c r="NV202" s="387"/>
      <c r="NW202" s="387"/>
      <c r="NX202" s="387"/>
      <c r="NY202" s="387"/>
      <c r="NZ202" s="387"/>
      <c r="OA202" s="387"/>
      <c r="OB202" s="387"/>
      <c r="OC202" s="387"/>
      <c r="OD202" s="387"/>
      <c r="OE202" s="387"/>
      <c r="OF202" s="387"/>
      <c r="OG202" s="387"/>
      <c r="OH202" s="387"/>
      <c r="OI202" s="387"/>
      <c r="OJ202" s="387"/>
      <c r="OK202" s="387"/>
      <c r="OL202" s="387"/>
      <c r="OM202" s="387"/>
      <c r="ON202" s="387"/>
      <c r="OO202" s="387"/>
      <c r="OP202" s="387"/>
      <c r="OQ202" s="387"/>
      <c r="OR202" s="387"/>
      <c r="OS202" s="387"/>
      <c r="OT202" s="387"/>
      <c r="OU202" s="387"/>
      <c r="OV202" s="387"/>
      <c r="OW202" s="387"/>
      <c r="OX202" s="387"/>
      <c r="OY202" s="387"/>
      <c r="OZ202" s="387"/>
      <c r="PA202" s="387"/>
      <c r="PB202" s="387"/>
      <c r="PC202" s="387"/>
      <c r="PD202" s="387"/>
      <c r="PE202" s="387"/>
      <c r="PF202" s="387"/>
      <c r="PG202" s="387"/>
      <c r="PH202" s="387"/>
      <c r="PI202" s="387"/>
      <c r="PJ202" s="387"/>
      <c r="PK202" s="387"/>
      <c r="PL202" s="387"/>
      <c r="PM202" s="387"/>
      <c r="PN202" s="387"/>
      <c r="PO202" s="387"/>
      <c r="PP202" s="387"/>
      <c r="PQ202" s="387"/>
      <c r="PR202" s="387"/>
      <c r="PS202" s="387"/>
      <c r="PT202" s="387"/>
      <c r="PU202" s="387"/>
      <c r="PV202" s="387"/>
      <c r="PW202" s="387"/>
      <c r="PX202" s="387"/>
      <c r="PY202" s="387"/>
      <c r="PZ202" s="387"/>
      <c r="QA202" s="387"/>
      <c r="QB202" s="387"/>
      <c r="QC202" s="387"/>
      <c r="QD202" s="387"/>
      <c r="QE202" s="387"/>
      <c r="QF202" s="387"/>
      <c r="QG202" s="387"/>
      <c r="QH202" s="387"/>
      <c r="QI202" s="387"/>
      <c r="QJ202" s="387"/>
      <c r="QK202" s="387"/>
      <c r="QL202" s="387"/>
      <c r="QM202" s="387"/>
      <c r="QN202" s="387"/>
      <c r="QO202" s="387"/>
      <c r="QP202" s="387"/>
      <c r="QQ202" s="387"/>
      <c r="QR202" s="387"/>
      <c r="QS202" s="387"/>
      <c r="QT202" s="387"/>
      <c r="QU202" s="387"/>
      <c r="QV202" s="387"/>
      <c r="QW202" s="387"/>
      <c r="QX202" s="387"/>
      <c r="QY202" s="387"/>
      <c r="QZ202" s="387"/>
      <c r="RA202" s="387"/>
      <c r="RB202" s="387"/>
      <c r="RC202" s="387"/>
      <c r="RD202" s="387"/>
      <c r="RE202" s="387"/>
      <c r="RF202" s="387"/>
      <c r="RG202" s="387"/>
      <c r="RH202" s="387"/>
      <c r="RI202" s="387"/>
      <c r="RJ202" s="387"/>
      <c r="RK202" s="387"/>
      <c r="RL202" s="387"/>
      <c r="RM202" s="387"/>
      <c r="RN202" s="387"/>
      <c r="RO202" s="387"/>
      <c r="RP202" s="387"/>
      <c r="RQ202" s="387"/>
      <c r="RR202" s="387"/>
      <c r="RS202" s="387"/>
      <c r="RT202" s="387"/>
      <c r="RU202" s="387"/>
      <c r="RV202" s="387"/>
      <c r="RW202" s="387"/>
      <c r="RX202" s="387"/>
      <c r="RY202" s="387"/>
      <c r="RZ202" s="387"/>
      <c r="SA202" s="387"/>
      <c r="SB202" s="387"/>
      <c r="SC202" s="387"/>
      <c r="SD202" s="387"/>
      <c r="SE202" s="387"/>
      <c r="SF202" s="387"/>
      <c r="SG202" s="387"/>
      <c r="SH202" s="387"/>
      <c r="SI202" s="387"/>
      <c r="SJ202" s="387"/>
      <c r="SK202" s="387"/>
      <c r="SL202" s="387"/>
      <c r="SM202" s="387"/>
      <c r="SN202" s="387"/>
      <c r="SO202" s="387"/>
      <c r="SP202" s="387"/>
      <c r="SQ202" s="387"/>
      <c r="SR202" s="387"/>
      <c r="SS202" s="387"/>
      <c r="ST202" s="387"/>
      <c r="SU202" s="387"/>
      <c r="SV202" s="387"/>
      <c r="SW202" s="387"/>
      <c r="SX202" s="387"/>
      <c r="SY202" s="387"/>
      <c r="SZ202" s="387"/>
      <c r="TA202" s="387"/>
      <c r="TB202" s="387"/>
      <c r="TC202" s="387"/>
      <c r="TD202" s="387"/>
      <c r="TE202" s="387"/>
      <c r="TF202" s="387"/>
      <c r="TG202" s="387"/>
      <c r="TH202" s="387"/>
      <c r="TI202" s="387"/>
      <c r="TJ202" s="387"/>
      <c r="TK202" s="387"/>
      <c r="TL202" s="387"/>
      <c r="TM202" s="387"/>
      <c r="TN202" s="387"/>
      <c r="TO202" s="387"/>
      <c r="TP202" s="387"/>
      <c r="TQ202" s="387"/>
      <c r="TR202" s="387"/>
      <c r="TS202" s="387"/>
      <c r="TT202" s="387"/>
      <c r="TU202" s="387"/>
      <c r="TV202" s="387"/>
      <c r="TW202" s="387"/>
      <c r="TX202" s="387"/>
      <c r="TY202" s="387"/>
      <c r="TZ202" s="387"/>
      <c r="UA202" s="387"/>
      <c r="UB202" s="387"/>
      <c r="UC202" s="387"/>
      <c r="UD202" s="387"/>
      <c r="UE202" s="387"/>
      <c r="UF202" s="387"/>
      <c r="UG202" s="387"/>
      <c r="UH202" s="387"/>
      <c r="UI202" s="387"/>
      <c r="UJ202" s="387"/>
      <c r="UK202" s="387"/>
      <c r="UL202" s="387"/>
      <c r="UM202" s="387"/>
      <c r="UN202" s="387"/>
      <c r="UO202" s="387"/>
      <c r="UP202" s="387"/>
      <c r="UQ202" s="387"/>
      <c r="UR202" s="387"/>
      <c r="US202" s="387"/>
      <c r="UT202" s="387"/>
      <c r="UU202" s="387"/>
      <c r="UV202" s="387"/>
      <c r="UW202" s="387"/>
      <c r="UX202" s="387"/>
      <c r="UY202" s="387"/>
      <c r="UZ202" s="387"/>
      <c r="VA202" s="387"/>
      <c r="VB202" s="387"/>
      <c r="VC202" s="387"/>
      <c r="VD202" s="387"/>
      <c r="VE202" s="387"/>
      <c r="VF202" s="387"/>
      <c r="VG202" s="387"/>
      <c r="VH202" s="387"/>
      <c r="VI202" s="387"/>
      <c r="VJ202" s="387"/>
      <c r="VK202" s="387"/>
      <c r="VL202" s="387"/>
      <c r="VM202" s="387"/>
      <c r="VN202" s="387"/>
      <c r="VO202" s="387"/>
      <c r="VP202" s="387"/>
      <c r="VQ202" s="387"/>
      <c r="VR202" s="387"/>
      <c r="VS202" s="387"/>
      <c r="VT202" s="387"/>
      <c r="VU202" s="387"/>
      <c r="VV202" s="387"/>
      <c r="VW202" s="387"/>
      <c r="VX202" s="387"/>
      <c r="VY202" s="387"/>
      <c r="VZ202" s="387"/>
      <c r="WA202" s="387"/>
      <c r="WB202" s="387"/>
      <c r="WC202" s="387"/>
      <c r="WD202" s="387"/>
      <c r="WE202" s="387"/>
      <c r="WF202" s="387"/>
      <c r="WG202" s="387"/>
      <c r="WH202" s="387"/>
      <c r="WI202" s="387"/>
      <c r="WJ202" s="387"/>
      <c r="WK202" s="387"/>
      <c r="WL202" s="387"/>
      <c r="WM202" s="387"/>
      <c r="WN202" s="387"/>
      <c r="WO202" s="387"/>
      <c r="WP202" s="387"/>
      <c r="WQ202" s="387"/>
      <c r="WR202" s="387"/>
      <c r="WS202" s="387"/>
      <c r="WT202" s="387"/>
      <c r="WU202" s="387"/>
      <c r="WV202" s="387"/>
      <c r="WW202" s="387"/>
      <c r="WX202" s="387"/>
      <c r="WY202" s="387"/>
      <c r="WZ202" s="387"/>
      <c r="XA202" s="387"/>
      <c r="XB202" s="387"/>
      <c r="XC202" s="387"/>
      <c r="XD202" s="387"/>
      <c r="XE202" s="387"/>
      <c r="XF202" s="387"/>
      <c r="XG202" s="387"/>
      <c r="XH202" s="387"/>
      <c r="XI202" s="387"/>
      <c r="XJ202" s="387"/>
      <c r="XK202" s="387"/>
      <c r="XL202" s="387"/>
      <c r="XM202" s="387"/>
      <c r="XN202" s="387"/>
      <c r="XO202" s="387"/>
      <c r="XP202" s="387"/>
      <c r="XQ202" s="387"/>
      <c r="XR202" s="387"/>
      <c r="XS202" s="387"/>
      <c r="XT202" s="387"/>
      <c r="XU202" s="387"/>
      <c r="XV202" s="387"/>
      <c r="XW202" s="387"/>
      <c r="XX202" s="387"/>
      <c r="XY202" s="387"/>
      <c r="XZ202" s="387"/>
      <c r="YA202" s="387"/>
      <c r="YB202" s="387"/>
      <c r="YC202" s="387"/>
      <c r="YD202" s="387"/>
      <c r="YE202" s="387"/>
      <c r="YF202" s="387"/>
      <c r="YG202" s="387"/>
      <c r="YH202" s="387"/>
      <c r="YI202" s="387"/>
      <c r="YJ202" s="387"/>
      <c r="YK202" s="387"/>
      <c r="YL202" s="387"/>
      <c r="YM202" s="387"/>
      <c r="YN202" s="387"/>
      <c r="YO202" s="387"/>
      <c r="YP202" s="387"/>
      <c r="YQ202" s="387"/>
      <c r="YR202" s="387"/>
      <c r="YS202" s="387"/>
      <c r="YT202" s="387"/>
      <c r="YU202" s="387"/>
      <c r="YV202" s="387"/>
      <c r="YW202" s="387"/>
      <c r="YX202" s="387"/>
      <c r="YY202" s="387"/>
      <c r="YZ202" s="387"/>
      <c r="ZA202" s="387"/>
      <c r="ZB202" s="387"/>
      <c r="ZC202" s="387"/>
      <c r="ZD202" s="387"/>
      <c r="ZE202" s="387"/>
      <c r="ZF202" s="387"/>
      <c r="ZG202" s="387"/>
      <c r="ZH202" s="387"/>
      <c r="ZI202" s="387"/>
      <c r="ZJ202" s="387"/>
      <c r="ZK202" s="387"/>
      <c r="ZL202" s="387"/>
      <c r="ZM202" s="387"/>
      <c r="ZN202" s="387"/>
      <c r="ZO202" s="387"/>
      <c r="ZP202" s="387"/>
      <c r="ZQ202" s="387"/>
      <c r="ZR202" s="387"/>
      <c r="ZS202" s="387"/>
      <c r="ZT202" s="387"/>
      <c r="ZU202" s="387"/>
      <c r="ZV202" s="387"/>
      <c r="ZW202" s="387"/>
      <c r="ZX202" s="387"/>
      <c r="ZY202" s="387"/>
      <c r="ZZ202" s="387"/>
      <c r="AAA202" s="387"/>
      <c r="AAB202" s="387"/>
      <c r="AAC202" s="387"/>
      <c r="AAD202" s="387"/>
      <c r="AAE202" s="387"/>
      <c r="AAF202" s="387"/>
      <c r="AAG202" s="387"/>
      <c r="AAH202" s="387"/>
      <c r="AAI202" s="387"/>
      <c r="AAJ202" s="387"/>
      <c r="AAK202" s="387"/>
      <c r="AAL202" s="387"/>
      <c r="AAM202" s="387"/>
      <c r="AAN202" s="387"/>
      <c r="AAO202" s="387"/>
      <c r="AAP202" s="387"/>
      <c r="AAQ202" s="387"/>
      <c r="AAR202" s="387"/>
      <c r="AAS202" s="387"/>
      <c r="AAT202" s="387"/>
      <c r="AAU202" s="387"/>
      <c r="AAV202" s="387"/>
      <c r="AAW202" s="387"/>
      <c r="AAX202" s="387"/>
      <c r="AAY202" s="387"/>
      <c r="AAZ202" s="387"/>
      <c r="ABA202" s="387"/>
      <c r="ABB202" s="387"/>
      <c r="ABC202" s="387"/>
      <c r="ABD202" s="387"/>
      <c r="ABE202" s="387"/>
      <c r="ABF202" s="387"/>
      <c r="ABG202" s="387"/>
      <c r="ABH202" s="387"/>
      <c r="ABI202" s="387"/>
      <c r="ABJ202" s="387"/>
      <c r="ABK202" s="387"/>
      <c r="ABL202" s="387"/>
      <c r="ABM202" s="387"/>
      <c r="ABN202" s="387"/>
      <c r="ABO202" s="387"/>
      <c r="ABP202" s="387"/>
      <c r="ABQ202" s="387"/>
      <c r="ABR202" s="387"/>
      <c r="ABS202" s="387"/>
      <c r="ABT202" s="387"/>
      <c r="ABU202" s="387"/>
      <c r="ABV202" s="387"/>
      <c r="ABW202" s="387"/>
      <c r="ABX202" s="387"/>
      <c r="ABY202" s="387"/>
      <c r="ABZ202" s="387"/>
      <c r="ACA202" s="387"/>
      <c r="ACB202" s="387"/>
      <c r="ACC202" s="387"/>
      <c r="ACD202" s="387"/>
      <c r="ACE202" s="387"/>
      <c r="ACF202" s="387"/>
      <c r="ACG202" s="387"/>
      <c r="ACH202" s="387"/>
      <c r="ACI202" s="387"/>
      <c r="ACJ202" s="387"/>
      <c r="ACK202" s="387"/>
      <c r="ACL202" s="387"/>
      <c r="ACM202" s="387"/>
      <c r="ACN202" s="387"/>
      <c r="ACO202" s="387"/>
      <c r="ACP202" s="387"/>
      <c r="ACQ202" s="387"/>
      <c r="ACR202" s="387"/>
      <c r="ACS202" s="387"/>
      <c r="ACT202" s="387"/>
      <c r="ACU202" s="387"/>
      <c r="ACV202" s="387"/>
      <c r="ACW202" s="387"/>
      <c r="ACX202" s="387"/>
      <c r="ACY202" s="387"/>
      <c r="ACZ202" s="387"/>
      <c r="ADA202" s="387"/>
      <c r="ADB202" s="387"/>
      <c r="ADC202" s="387"/>
      <c r="ADD202" s="387"/>
      <c r="ADE202" s="387"/>
      <c r="ADF202" s="387"/>
      <c r="ADG202" s="387"/>
      <c r="ADH202" s="387"/>
      <c r="ADI202" s="387"/>
      <c r="ADJ202" s="387"/>
      <c r="ADK202" s="387"/>
      <c r="ADL202" s="387"/>
      <c r="ADM202" s="387"/>
      <c r="ADN202" s="387"/>
      <c r="ADO202" s="387"/>
      <c r="ADP202" s="387"/>
      <c r="ADQ202" s="387"/>
      <c r="ADR202" s="387"/>
      <c r="ADS202" s="387"/>
      <c r="ADT202" s="387"/>
      <c r="ADU202" s="387"/>
      <c r="ADV202" s="387"/>
      <c r="ADW202" s="387"/>
      <c r="ADX202" s="387"/>
      <c r="ADY202" s="387"/>
      <c r="ADZ202" s="387"/>
      <c r="AEA202" s="387"/>
      <c r="AEB202" s="387"/>
      <c r="AEC202" s="387"/>
      <c r="AED202" s="387"/>
      <c r="AEE202" s="387"/>
      <c r="AEF202" s="387"/>
      <c r="AEG202" s="387"/>
      <c r="AEH202" s="387"/>
      <c r="AEI202" s="387"/>
      <c r="AEJ202" s="387"/>
      <c r="AEK202" s="387"/>
      <c r="AEL202" s="387"/>
      <c r="AEM202" s="387"/>
      <c r="AEN202" s="387"/>
      <c r="AEO202" s="387"/>
      <c r="AEP202" s="387"/>
      <c r="AEQ202" s="387"/>
      <c r="AER202" s="387"/>
      <c r="AES202" s="387"/>
      <c r="AET202" s="387"/>
      <c r="AEU202" s="387"/>
      <c r="AEV202" s="387"/>
      <c r="AEW202" s="387"/>
      <c r="AEX202" s="387"/>
      <c r="AEY202" s="387"/>
      <c r="AEZ202" s="387"/>
      <c r="AFA202" s="387"/>
      <c r="AFB202" s="387"/>
      <c r="AFC202" s="387"/>
      <c r="AFD202" s="387"/>
      <c r="AFE202" s="387"/>
      <c r="AFF202" s="387"/>
      <c r="AFG202" s="387"/>
      <c r="AFH202" s="387"/>
      <c r="AFI202" s="387"/>
      <c r="AFJ202" s="387"/>
      <c r="AFK202" s="387"/>
      <c r="AFL202" s="387"/>
      <c r="AFM202" s="387"/>
      <c r="AFN202" s="387"/>
      <c r="AFO202" s="387"/>
      <c r="AFP202" s="387"/>
      <c r="AFQ202" s="387"/>
      <c r="AFR202" s="387"/>
      <c r="AFS202" s="387"/>
      <c r="AFT202" s="387"/>
      <c r="AFU202" s="387"/>
      <c r="AFV202" s="387"/>
      <c r="AFW202" s="387"/>
      <c r="AFX202" s="387"/>
      <c r="AFY202" s="387"/>
      <c r="AFZ202" s="387"/>
      <c r="AGA202" s="387"/>
      <c r="AGB202" s="387"/>
      <c r="AGC202" s="387"/>
      <c r="AGD202" s="387"/>
      <c r="AGE202" s="387"/>
      <c r="AGF202" s="387"/>
      <c r="AGG202" s="387"/>
      <c r="AGH202" s="387"/>
      <c r="AGI202" s="387"/>
      <c r="AGJ202" s="387"/>
      <c r="AGK202" s="387"/>
      <c r="AGL202" s="387"/>
      <c r="AGM202" s="387"/>
      <c r="AGN202" s="387"/>
      <c r="AGO202" s="387"/>
      <c r="AGP202" s="387"/>
      <c r="AGQ202" s="387"/>
      <c r="AGR202" s="387"/>
      <c r="AGS202" s="387"/>
      <c r="AGT202" s="387"/>
      <c r="AGU202" s="387"/>
      <c r="AGV202" s="387"/>
      <c r="AGW202" s="387"/>
      <c r="AGX202" s="387"/>
      <c r="AGY202" s="387"/>
      <c r="AGZ202" s="387"/>
      <c r="AHA202" s="387"/>
      <c r="AHB202" s="387"/>
      <c r="AHC202" s="387"/>
      <c r="AHD202" s="387"/>
      <c r="AHE202" s="387"/>
      <c r="AHF202" s="387"/>
      <c r="AHG202" s="387"/>
      <c r="AHH202" s="387"/>
      <c r="AHI202" s="387"/>
      <c r="AHJ202" s="387"/>
      <c r="AHK202" s="387"/>
      <c r="AHL202" s="387"/>
      <c r="AHM202" s="387"/>
      <c r="AHN202" s="387"/>
      <c r="AHO202" s="387"/>
      <c r="AHP202" s="387"/>
      <c r="AHQ202" s="387"/>
      <c r="AHR202" s="387"/>
      <c r="AHS202" s="387"/>
      <c r="AHT202" s="387"/>
      <c r="AHU202" s="387"/>
      <c r="AHV202" s="387"/>
      <c r="AHW202" s="387"/>
      <c r="AHX202" s="387"/>
      <c r="AHY202" s="387"/>
      <c r="AHZ202" s="387"/>
      <c r="AIA202" s="387"/>
      <c r="AIB202" s="387"/>
      <c r="AIC202" s="387"/>
      <c r="AID202" s="387"/>
      <c r="AIE202" s="387"/>
      <c r="AIF202" s="387"/>
      <c r="AIG202" s="387"/>
      <c r="AIH202" s="387"/>
      <c r="AII202" s="387"/>
      <c r="AIJ202" s="387"/>
      <c r="AIK202" s="387"/>
      <c r="AIL202" s="387"/>
      <c r="AIM202" s="387"/>
      <c r="AIN202" s="387"/>
      <c r="AIO202" s="387"/>
      <c r="AIP202" s="387"/>
      <c r="AIQ202" s="387"/>
      <c r="AIR202" s="387"/>
      <c r="AIS202" s="387"/>
      <c r="AIT202" s="387"/>
      <c r="AIU202" s="387"/>
      <c r="AIV202" s="387"/>
      <c r="AIW202" s="387"/>
      <c r="AIX202" s="387"/>
      <c r="AIY202" s="387"/>
      <c r="AIZ202" s="387"/>
      <c r="AJA202" s="387"/>
      <c r="AJB202" s="387"/>
      <c r="AJC202" s="387"/>
      <c r="AJD202" s="387"/>
      <c r="AJE202" s="387"/>
      <c r="AJF202" s="387"/>
      <c r="AJG202" s="387"/>
      <c r="AJH202" s="387"/>
      <c r="AJI202" s="387"/>
      <c r="AJJ202" s="387"/>
      <c r="AJK202" s="387"/>
      <c r="AJL202" s="387"/>
      <c r="AJM202" s="387"/>
      <c r="AJN202" s="387"/>
      <c r="AJO202" s="387"/>
      <c r="AJP202" s="387"/>
      <c r="AJQ202" s="387"/>
      <c r="AJR202" s="387"/>
      <c r="AJS202" s="387"/>
      <c r="AJT202" s="387"/>
      <c r="AJU202" s="387"/>
      <c r="AJV202" s="387"/>
      <c r="AJW202" s="387"/>
      <c r="AJX202" s="387"/>
      <c r="AJY202" s="387"/>
      <c r="AJZ202" s="387"/>
      <c r="AKA202" s="387"/>
      <c r="AKB202" s="387"/>
      <c r="AKC202" s="387"/>
      <c r="AKD202" s="387"/>
      <c r="AKE202" s="387"/>
      <c r="AKF202" s="387"/>
      <c r="AKG202" s="387"/>
      <c r="AKH202" s="387"/>
      <c r="AKI202" s="387"/>
      <c r="AKJ202" s="387"/>
      <c r="AKK202" s="387"/>
      <c r="AKL202" s="387"/>
      <c r="AKM202" s="387"/>
      <c r="AKN202" s="387"/>
      <c r="AKO202" s="387"/>
      <c r="AKP202" s="387"/>
      <c r="AKQ202" s="387"/>
      <c r="AKR202" s="387"/>
      <c r="AKS202" s="387"/>
      <c r="AKT202" s="387"/>
      <c r="AKU202" s="387"/>
      <c r="AKV202" s="387"/>
      <c r="AKW202" s="387"/>
      <c r="AKX202" s="387"/>
      <c r="AKY202" s="387"/>
      <c r="AKZ202" s="387"/>
      <c r="ALA202" s="387"/>
      <c r="ALB202" s="387"/>
      <c r="ALC202" s="387"/>
      <c r="ALD202" s="387"/>
      <c r="ALE202" s="387"/>
      <c r="ALF202" s="387"/>
      <c r="ALG202" s="387"/>
      <c r="ALH202" s="387"/>
      <c r="ALI202" s="387"/>
      <c r="ALJ202" s="387"/>
      <c r="ALK202" s="387"/>
      <c r="ALL202" s="387"/>
      <c r="ALM202" s="387"/>
      <c r="ALN202" s="387"/>
      <c r="ALO202" s="387"/>
      <c r="ALP202" s="387"/>
      <c r="ALQ202" s="387"/>
      <c r="ALR202" s="387"/>
      <c r="ALS202" s="387"/>
      <c r="ALT202" s="387"/>
      <c r="ALU202" s="387"/>
      <c r="ALV202" s="387"/>
      <c r="ALW202" s="387"/>
      <c r="ALX202" s="387"/>
      <c r="ALY202" s="387"/>
      <c r="ALZ202" s="387"/>
      <c r="AMA202" s="387"/>
      <c r="AMB202" s="387"/>
      <c r="AMC202" s="387"/>
      <c r="AMD202" s="387"/>
      <c r="AME202" s="387"/>
      <c r="AMF202" s="387"/>
      <c r="AMG202" s="387"/>
      <c r="AMH202" s="387"/>
      <c r="AMI202" s="387"/>
      <c r="AMJ202" s="387"/>
      <c r="AMK202" s="387"/>
      <c r="AML202" s="387"/>
      <c r="AMM202" s="387"/>
      <c r="AMN202" s="387"/>
      <c r="AMO202" s="387"/>
      <c r="AMP202" s="387"/>
      <c r="AMQ202" s="387"/>
      <c r="AMR202" s="387"/>
      <c r="AMS202" s="387"/>
      <c r="AMT202" s="387"/>
      <c r="AMU202" s="387"/>
      <c r="AMV202" s="387"/>
      <c r="AMW202" s="387"/>
      <c r="AMX202" s="387"/>
      <c r="AMY202" s="387"/>
      <c r="AMZ202" s="387"/>
      <c r="ANA202" s="387"/>
      <c r="ANB202" s="387"/>
      <c r="ANC202" s="387"/>
      <c r="AND202" s="387"/>
      <c r="ANE202" s="387"/>
      <c r="ANF202" s="387"/>
      <c r="ANG202" s="387"/>
      <c r="ANH202" s="387"/>
      <c r="ANI202" s="387"/>
      <c r="ANJ202" s="387"/>
      <c r="ANK202" s="387"/>
      <c r="ANL202" s="387"/>
      <c r="ANM202" s="387"/>
      <c r="ANN202" s="387"/>
      <c r="ANO202" s="387"/>
      <c r="ANP202" s="387"/>
      <c r="ANQ202" s="387"/>
      <c r="ANR202" s="387"/>
      <c r="ANS202" s="387"/>
      <c r="ANT202" s="387"/>
      <c r="ANU202" s="387"/>
      <c r="ANV202" s="387"/>
      <c r="ANW202" s="387"/>
      <c r="ANX202" s="387"/>
      <c r="ANY202" s="387"/>
      <c r="ANZ202" s="387"/>
      <c r="AOA202" s="387"/>
      <c r="AOB202" s="387"/>
      <c r="AOC202" s="387"/>
      <c r="AOD202" s="387"/>
      <c r="AOE202" s="387"/>
      <c r="AOF202" s="387"/>
      <c r="AOG202" s="387"/>
      <c r="AOH202" s="387"/>
      <c r="AOI202" s="387"/>
      <c r="AOJ202" s="387"/>
      <c r="AOK202" s="387"/>
      <c r="AOL202" s="387"/>
      <c r="AOM202" s="387"/>
      <c r="AON202" s="387"/>
      <c r="AOO202" s="387"/>
      <c r="AOP202" s="387"/>
      <c r="AOQ202" s="387"/>
      <c r="AOR202" s="387"/>
      <c r="AOS202" s="387"/>
      <c r="AOT202" s="387"/>
      <c r="AOU202" s="387"/>
      <c r="AOV202" s="387"/>
      <c r="AOW202" s="387"/>
      <c r="AOX202" s="387"/>
      <c r="AOY202" s="387"/>
      <c r="AOZ202" s="387"/>
      <c r="APA202" s="387"/>
      <c r="APB202" s="387"/>
      <c r="APC202" s="387"/>
      <c r="APD202" s="387"/>
      <c r="APE202" s="387"/>
      <c r="APF202" s="387"/>
      <c r="APG202" s="387"/>
      <c r="APH202" s="387"/>
      <c r="API202" s="387"/>
      <c r="APJ202" s="387"/>
      <c r="APK202" s="387"/>
      <c r="APL202" s="387"/>
      <c r="APM202" s="387"/>
      <c r="APN202" s="387"/>
      <c r="APO202" s="387"/>
      <c r="APP202" s="387"/>
      <c r="APQ202" s="387"/>
      <c r="APR202" s="387"/>
      <c r="APS202" s="387"/>
      <c r="APT202" s="387"/>
      <c r="APU202" s="387"/>
      <c r="APV202" s="387"/>
      <c r="APW202" s="387"/>
      <c r="APX202" s="387"/>
      <c r="APY202" s="387"/>
      <c r="APZ202" s="387"/>
      <c r="AQA202" s="387"/>
      <c r="AQB202" s="387"/>
      <c r="AQC202" s="387"/>
      <c r="AQD202" s="387"/>
      <c r="AQE202" s="387"/>
      <c r="AQF202" s="387"/>
      <c r="AQG202" s="387"/>
      <c r="AQH202" s="387"/>
      <c r="AQI202" s="387"/>
      <c r="AQJ202" s="387"/>
      <c r="AQK202" s="387"/>
      <c r="AQL202" s="387"/>
      <c r="AQM202" s="387"/>
      <c r="AQN202" s="387"/>
      <c r="AQO202" s="387"/>
      <c r="AQP202" s="387"/>
      <c r="AQQ202" s="387"/>
      <c r="AQR202" s="387"/>
      <c r="AQS202" s="387"/>
      <c r="AQT202" s="387"/>
      <c r="AQU202" s="387"/>
      <c r="AQV202" s="387"/>
      <c r="AQW202" s="387"/>
      <c r="AQX202" s="387"/>
      <c r="AQY202" s="387"/>
      <c r="AQZ202" s="387"/>
      <c r="ARA202" s="387"/>
      <c r="ARB202" s="387"/>
      <c r="ARC202" s="387"/>
      <c r="ARD202" s="387"/>
      <c r="ARE202" s="387"/>
      <c r="ARF202" s="387"/>
      <c r="ARG202" s="387"/>
      <c r="ARH202" s="387"/>
      <c r="ARI202" s="387"/>
      <c r="ARJ202" s="387"/>
      <c r="ARK202" s="387"/>
      <c r="ARL202" s="387"/>
      <c r="ARM202" s="387"/>
      <c r="ARN202" s="387"/>
      <c r="ARO202" s="387"/>
      <c r="ARP202" s="387"/>
      <c r="ARQ202" s="387"/>
      <c r="ARR202" s="387"/>
      <c r="ARS202" s="387"/>
      <c r="ART202" s="387"/>
      <c r="ARU202" s="387"/>
      <c r="ARV202" s="387"/>
      <c r="ARW202" s="387"/>
      <c r="ARX202" s="387"/>
      <c r="ARY202" s="387"/>
      <c r="ARZ202" s="387"/>
      <c r="ASA202" s="387"/>
      <c r="ASB202" s="387"/>
      <c r="ASC202" s="387"/>
      <c r="ASD202" s="387"/>
      <c r="ASE202" s="387"/>
      <c r="ASF202" s="387"/>
      <c r="ASG202" s="387"/>
      <c r="ASH202" s="387"/>
      <c r="ASI202" s="387"/>
      <c r="ASJ202" s="387"/>
      <c r="ASK202" s="387"/>
      <c r="ASL202" s="387"/>
      <c r="ASM202" s="387"/>
      <c r="ASN202" s="387"/>
      <c r="ASO202" s="387"/>
      <c r="ASP202" s="387"/>
      <c r="ASQ202" s="387"/>
      <c r="ASR202" s="387"/>
      <c r="ASS202" s="387"/>
      <c r="AST202" s="387"/>
      <c r="ASU202" s="387"/>
      <c r="ASV202" s="387"/>
      <c r="ASW202" s="387"/>
      <c r="ASX202" s="387"/>
      <c r="ASY202" s="387"/>
      <c r="ASZ202" s="387"/>
      <c r="ATA202" s="387"/>
      <c r="ATB202" s="387"/>
      <c r="ATC202" s="387"/>
      <c r="ATD202" s="387"/>
      <c r="ATE202" s="387"/>
      <c r="ATF202" s="387"/>
      <c r="ATG202" s="387"/>
      <c r="ATH202" s="387"/>
      <c r="ATI202" s="387"/>
      <c r="ATJ202" s="387"/>
      <c r="ATK202" s="387"/>
      <c r="ATL202" s="387"/>
      <c r="ATM202" s="387"/>
      <c r="ATN202" s="387"/>
      <c r="ATO202" s="387"/>
      <c r="ATP202" s="387"/>
      <c r="ATQ202" s="387"/>
      <c r="ATR202" s="387"/>
      <c r="ATS202" s="387"/>
      <c r="ATT202" s="387"/>
      <c r="ATU202" s="387"/>
      <c r="ATV202" s="387"/>
      <c r="ATW202" s="387"/>
      <c r="ATX202" s="387"/>
      <c r="ATY202" s="387"/>
      <c r="ATZ202" s="387"/>
      <c r="AUA202" s="387"/>
      <c r="AUB202" s="387"/>
      <c r="AUC202" s="387"/>
      <c r="AUD202" s="387"/>
      <c r="AUE202" s="387"/>
      <c r="AUF202" s="387"/>
      <c r="AUG202" s="387"/>
      <c r="AUH202" s="387"/>
      <c r="AUI202" s="387"/>
      <c r="AUJ202" s="387"/>
      <c r="AUK202" s="387"/>
      <c r="AUL202" s="387"/>
      <c r="AUM202" s="387"/>
      <c r="AUN202" s="387"/>
      <c r="AUO202" s="387"/>
      <c r="AUP202" s="387"/>
      <c r="AUQ202" s="387"/>
      <c r="AUR202" s="387"/>
      <c r="AUS202" s="387"/>
      <c r="AUT202" s="387"/>
      <c r="AUU202" s="387"/>
      <c r="AUV202" s="387"/>
      <c r="AUW202" s="387"/>
      <c r="AUX202" s="387"/>
      <c r="AUY202" s="387"/>
      <c r="AUZ202" s="387"/>
      <c r="AVA202" s="387"/>
      <c r="AVB202" s="387"/>
      <c r="AVC202" s="387"/>
      <c r="AVD202" s="387"/>
      <c r="AVE202" s="387"/>
      <c r="AVF202" s="387"/>
      <c r="AVG202" s="387"/>
      <c r="AVH202" s="387"/>
      <c r="AVI202" s="387"/>
      <c r="AVJ202" s="387"/>
      <c r="AVK202" s="387"/>
      <c r="AVL202" s="387"/>
      <c r="AVM202" s="387"/>
      <c r="AVN202" s="387"/>
      <c r="AVO202" s="387"/>
      <c r="AVP202" s="387"/>
      <c r="AVQ202" s="387"/>
      <c r="AVR202" s="387"/>
      <c r="AVS202" s="387"/>
      <c r="AVT202" s="387"/>
      <c r="AVU202" s="387"/>
      <c r="AVV202" s="387"/>
      <c r="AVW202" s="387"/>
      <c r="AVX202" s="387"/>
      <c r="AVY202" s="387"/>
      <c r="AVZ202" s="387"/>
      <c r="AWA202" s="387"/>
      <c r="AWB202" s="387"/>
      <c r="AWC202" s="387"/>
      <c r="AWD202" s="387"/>
      <c r="AWE202" s="387"/>
      <c r="AWF202" s="387"/>
      <c r="AWG202" s="387"/>
      <c r="AWH202" s="387"/>
      <c r="AWI202" s="387"/>
      <c r="AWJ202" s="387"/>
      <c r="AWK202" s="387"/>
      <c r="AWL202" s="387"/>
      <c r="AWM202" s="387"/>
      <c r="AWN202" s="387"/>
      <c r="AWO202" s="387"/>
      <c r="AWP202" s="387"/>
      <c r="AWQ202" s="387"/>
      <c r="AWR202" s="387"/>
      <c r="AWS202" s="387"/>
      <c r="AWT202" s="387"/>
      <c r="AWU202" s="387"/>
      <c r="AWV202" s="387"/>
      <c r="AWW202" s="387"/>
      <c r="AWX202" s="387"/>
      <c r="AWY202" s="387"/>
      <c r="AWZ202" s="387"/>
      <c r="AXA202" s="387"/>
      <c r="AXB202" s="387"/>
      <c r="AXC202" s="387"/>
      <c r="AXD202" s="387"/>
      <c r="AXE202" s="387"/>
      <c r="AXF202" s="387"/>
      <c r="AXG202" s="387"/>
      <c r="AXH202" s="387"/>
      <c r="AXI202" s="387"/>
      <c r="AXJ202" s="387"/>
      <c r="AXK202" s="387"/>
      <c r="AXL202" s="387"/>
      <c r="AXM202" s="387"/>
      <c r="AXN202" s="387"/>
      <c r="AXO202" s="387"/>
      <c r="AXP202" s="387"/>
      <c r="AXQ202" s="387"/>
      <c r="AXR202" s="387"/>
      <c r="AXS202" s="387"/>
      <c r="AXT202" s="387"/>
      <c r="AXU202" s="387"/>
      <c r="AXV202" s="387"/>
      <c r="AXW202" s="387"/>
      <c r="AXX202" s="387"/>
      <c r="AXY202" s="387"/>
      <c r="AXZ202" s="387"/>
      <c r="AYA202" s="387"/>
      <c r="AYB202" s="387"/>
      <c r="AYC202" s="387"/>
      <c r="AYD202" s="387"/>
      <c r="AYE202" s="387"/>
      <c r="AYF202" s="387"/>
      <c r="AYG202" s="387"/>
      <c r="AYH202" s="387"/>
      <c r="AYI202" s="387"/>
      <c r="AYJ202" s="387"/>
      <c r="AYK202" s="387"/>
      <c r="AYL202" s="387"/>
      <c r="AYM202" s="387"/>
      <c r="AYN202" s="387"/>
      <c r="AYO202" s="387"/>
      <c r="AYP202" s="387"/>
      <c r="AYQ202" s="387"/>
      <c r="AYR202" s="387"/>
      <c r="AYS202" s="387"/>
      <c r="AYT202" s="387"/>
      <c r="AYU202" s="387"/>
      <c r="AYV202" s="387"/>
      <c r="AYW202" s="387"/>
      <c r="AYX202" s="387"/>
      <c r="AYY202" s="387"/>
      <c r="AYZ202" s="387"/>
      <c r="AZA202" s="387"/>
      <c r="AZB202" s="387"/>
      <c r="AZC202" s="387"/>
      <c r="AZD202" s="387"/>
      <c r="AZE202" s="387"/>
      <c r="AZF202" s="387"/>
      <c r="AZG202" s="387"/>
      <c r="AZH202" s="387"/>
      <c r="AZI202" s="387"/>
      <c r="AZJ202" s="387"/>
      <c r="AZK202" s="387"/>
      <c r="AZL202" s="387"/>
      <c r="AZM202" s="387"/>
      <c r="AZN202" s="387"/>
      <c r="AZO202" s="387"/>
      <c r="AZP202" s="387"/>
      <c r="AZQ202" s="387"/>
      <c r="AZR202" s="387"/>
      <c r="AZS202" s="387"/>
      <c r="AZT202" s="387"/>
      <c r="AZU202" s="387"/>
      <c r="AZV202" s="387"/>
      <c r="AZW202" s="387"/>
      <c r="AZX202" s="387"/>
      <c r="AZY202" s="387"/>
      <c r="AZZ202" s="387"/>
      <c r="BAA202" s="387"/>
      <c r="BAB202" s="387"/>
      <c r="BAC202" s="387"/>
      <c r="BAD202" s="387"/>
      <c r="BAE202" s="387"/>
      <c r="BAF202" s="387"/>
      <c r="BAG202" s="387"/>
      <c r="BAH202" s="387"/>
      <c r="BAI202" s="387"/>
      <c r="BAJ202" s="387"/>
      <c r="BAK202" s="387"/>
      <c r="BAL202" s="387"/>
      <c r="BAM202" s="387"/>
      <c r="BAN202" s="387"/>
      <c r="BAO202" s="387"/>
      <c r="BAP202" s="387"/>
      <c r="BAQ202" s="387"/>
      <c r="BAR202" s="387"/>
      <c r="BAS202" s="387"/>
      <c r="BAT202" s="387"/>
      <c r="BAU202" s="387"/>
      <c r="BAV202" s="387"/>
      <c r="BAW202" s="387"/>
      <c r="BAX202" s="387"/>
      <c r="BAY202" s="387"/>
      <c r="BAZ202" s="387"/>
      <c r="BBA202" s="387"/>
      <c r="BBB202" s="387"/>
      <c r="BBC202" s="387"/>
      <c r="BBD202" s="387"/>
      <c r="BBE202" s="387"/>
      <c r="BBF202" s="387"/>
      <c r="BBG202" s="387"/>
      <c r="BBH202" s="387"/>
      <c r="BBI202" s="387"/>
      <c r="BBJ202" s="387"/>
      <c r="BBK202" s="387"/>
      <c r="BBL202" s="387"/>
      <c r="BBM202" s="387"/>
      <c r="BBN202" s="387"/>
      <c r="BBO202" s="387"/>
      <c r="BBP202" s="387"/>
      <c r="BBQ202" s="387"/>
      <c r="BBR202" s="387"/>
      <c r="BBS202" s="387"/>
      <c r="BBT202" s="387"/>
      <c r="BBU202" s="387"/>
      <c r="BBV202" s="387"/>
      <c r="BBW202" s="387"/>
      <c r="BBX202" s="387"/>
      <c r="BBY202" s="387"/>
      <c r="BBZ202" s="387"/>
      <c r="BCA202" s="387"/>
      <c r="BCB202" s="387"/>
      <c r="BCC202" s="387"/>
      <c r="BCD202" s="387"/>
      <c r="BCE202" s="387"/>
      <c r="BCF202" s="387"/>
      <c r="BCG202" s="387"/>
      <c r="BCH202" s="387"/>
      <c r="BCI202" s="387"/>
      <c r="BCJ202" s="387"/>
      <c r="BCK202" s="387"/>
      <c r="BCL202" s="387"/>
      <c r="BCM202" s="387"/>
      <c r="BCN202" s="387"/>
      <c r="BCO202" s="387"/>
      <c r="BCP202" s="387"/>
      <c r="BCQ202" s="387"/>
      <c r="BCR202" s="387"/>
      <c r="BCS202" s="387"/>
      <c r="BCT202" s="387"/>
      <c r="BCU202" s="387"/>
      <c r="BCV202" s="387"/>
      <c r="BCW202" s="387"/>
      <c r="BCX202" s="387"/>
      <c r="BCY202" s="387"/>
      <c r="BCZ202" s="387"/>
      <c r="BDA202" s="387"/>
      <c r="BDB202" s="387"/>
      <c r="BDC202" s="387"/>
      <c r="BDD202" s="387"/>
      <c r="BDE202" s="387"/>
      <c r="BDF202" s="387"/>
      <c r="BDG202" s="387"/>
      <c r="BDH202" s="387"/>
      <c r="BDI202" s="387"/>
      <c r="BDJ202" s="387"/>
      <c r="BDK202" s="387"/>
      <c r="BDL202" s="387"/>
      <c r="BDM202" s="387"/>
      <c r="BDN202" s="387"/>
      <c r="BDO202" s="387"/>
      <c r="BDP202" s="387"/>
      <c r="BDQ202" s="387"/>
      <c r="BDR202" s="387"/>
      <c r="BDS202" s="387"/>
      <c r="BDT202" s="387"/>
      <c r="BDU202" s="387"/>
      <c r="BDV202" s="387"/>
      <c r="BDW202" s="387"/>
      <c r="BDX202" s="387"/>
      <c r="BDY202" s="387"/>
      <c r="BDZ202" s="387"/>
      <c r="BEA202" s="387"/>
      <c r="BEB202" s="387"/>
      <c r="BEC202" s="387"/>
      <c r="BED202" s="387"/>
      <c r="BEE202" s="387"/>
      <c r="BEF202" s="387"/>
      <c r="BEG202" s="387"/>
      <c r="BEH202" s="387"/>
      <c r="BEI202" s="387"/>
      <c r="BEJ202" s="387"/>
      <c r="BEK202" s="387"/>
      <c r="BEL202" s="387"/>
      <c r="BEM202" s="387"/>
      <c r="BEN202" s="387"/>
      <c r="BEO202" s="387"/>
      <c r="BEP202" s="387"/>
      <c r="BEQ202" s="387"/>
      <c r="BER202" s="387"/>
      <c r="BES202" s="387"/>
      <c r="BET202" s="387"/>
      <c r="BEU202" s="387"/>
      <c r="BEV202" s="387"/>
      <c r="BEW202" s="387"/>
      <c r="BEX202" s="387"/>
      <c r="BEY202" s="387"/>
      <c r="BEZ202" s="387"/>
      <c r="BFA202" s="387"/>
      <c r="BFB202" s="387"/>
      <c r="BFC202" s="387"/>
      <c r="BFD202" s="387"/>
      <c r="BFE202" s="387"/>
      <c r="BFF202" s="387"/>
      <c r="BFG202" s="387"/>
      <c r="BFH202" s="387"/>
      <c r="BFI202" s="387"/>
      <c r="BFJ202" s="387"/>
      <c r="BFK202" s="387"/>
      <c r="BFL202" s="387"/>
      <c r="BFM202" s="387"/>
      <c r="BFN202" s="387"/>
      <c r="BFO202" s="387"/>
      <c r="BFP202" s="387"/>
      <c r="BFQ202" s="387"/>
      <c r="BFR202" s="387"/>
      <c r="BFS202" s="387"/>
      <c r="BFT202" s="387"/>
      <c r="BFU202" s="387"/>
      <c r="BFV202" s="387"/>
      <c r="BFW202" s="387"/>
      <c r="BFX202" s="387"/>
      <c r="BFY202" s="387"/>
      <c r="BFZ202" s="387"/>
      <c r="BGA202" s="387"/>
      <c r="BGB202" s="387"/>
      <c r="BGC202" s="387"/>
      <c r="BGD202" s="387"/>
      <c r="BGE202" s="387"/>
      <c r="BGF202" s="387"/>
      <c r="BGG202" s="387"/>
      <c r="BGH202" s="387"/>
      <c r="BGI202" s="387"/>
      <c r="BGJ202" s="387"/>
      <c r="BGK202" s="387"/>
      <c r="BGL202" s="387"/>
      <c r="BGM202" s="387"/>
      <c r="BGN202" s="387"/>
      <c r="BGO202" s="387"/>
      <c r="BGP202" s="387"/>
      <c r="BGQ202" s="387"/>
      <c r="BGR202" s="387"/>
      <c r="BGS202" s="387"/>
      <c r="BGT202" s="387"/>
      <c r="BGU202" s="387"/>
      <c r="BGV202" s="387"/>
      <c r="BGW202" s="387"/>
      <c r="BGX202" s="387"/>
      <c r="BGY202" s="387"/>
      <c r="BGZ202" s="387"/>
      <c r="BHA202" s="387"/>
      <c r="BHB202" s="387"/>
      <c r="BHC202" s="387"/>
      <c r="BHD202" s="387"/>
      <c r="BHE202" s="387"/>
      <c r="BHF202" s="387"/>
      <c r="BHG202" s="387"/>
      <c r="BHH202" s="387"/>
      <c r="BHI202" s="387"/>
      <c r="BHJ202" s="387"/>
      <c r="BHK202" s="387"/>
      <c r="BHL202" s="387"/>
      <c r="BHM202" s="387"/>
      <c r="BHN202" s="387"/>
      <c r="BHO202" s="387"/>
      <c r="BHP202" s="387"/>
      <c r="BHQ202" s="387"/>
      <c r="BHR202" s="387"/>
      <c r="BHS202" s="387"/>
      <c r="BHT202" s="387"/>
      <c r="BHU202" s="387"/>
      <c r="BHV202" s="387"/>
      <c r="BHW202" s="387"/>
      <c r="BHX202" s="387"/>
      <c r="BHY202" s="387"/>
      <c r="BHZ202" s="387"/>
      <c r="BIA202" s="387"/>
      <c r="BIB202" s="387"/>
      <c r="BIC202" s="387"/>
      <c r="BID202" s="387"/>
      <c r="BIE202" s="387"/>
      <c r="BIF202" s="387"/>
      <c r="BIG202" s="387"/>
      <c r="BIH202" s="387"/>
      <c r="BII202" s="387"/>
      <c r="BIJ202" s="387"/>
      <c r="BIK202" s="387"/>
      <c r="BIL202" s="387"/>
      <c r="BIM202" s="387"/>
      <c r="BIN202" s="387"/>
      <c r="BIO202" s="387"/>
      <c r="BIP202" s="387"/>
      <c r="BIQ202" s="387"/>
      <c r="BIR202" s="387"/>
      <c r="BIS202" s="387"/>
      <c r="BIT202" s="387"/>
      <c r="BIU202" s="387"/>
      <c r="BIV202" s="387"/>
      <c r="BIW202" s="387"/>
      <c r="BIX202" s="387"/>
      <c r="BIY202" s="387"/>
      <c r="BIZ202" s="387"/>
      <c r="BJA202" s="387"/>
      <c r="BJB202" s="387"/>
      <c r="BJC202" s="387"/>
      <c r="BJD202" s="387"/>
      <c r="BJE202" s="387"/>
      <c r="BJF202" s="387"/>
      <c r="BJG202" s="387"/>
      <c r="BJH202" s="387"/>
      <c r="BJI202" s="387"/>
      <c r="BJJ202" s="387"/>
      <c r="BJK202" s="387"/>
      <c r="BJL202" s="387"/>
      <c r="BJM202" s="387"/>
      <c r="BJN202" s="387"/>
      <c r="BJO202" s="387"/>
      <c r="BJP202" s="387"/>
      <c r="BJQ202" s="387"/>
      <c r="BJR202" s="387"/>
      <c r="BJS202" s="387"/>
      <c r="BJT202" s="387"/>
      <c r="BJU202" s="387"/>
      <c r="BJV202" s="387"/>
      <c r="BJW202" s="387"/>
      <c r="BJX202" s="387"/>
      <c r="BJY202" s="387"/>
      <c r="BJZ202" s="387"/>
      <c r="BKA202" s="387"/>
      <c r="BKB202" s="387"/>
      <c r="BKC202" s="387"/>
      <c r="BKD202" s="387"/>
      <c r="BKE202" s="387"/>
      <c r="BKF202" s="387"/>
      <c r="BKG202" s="387"/>
      <c r="BKH202" s="387"/>
      <c r="BKI202" s="387"/>
      <c r="BKJ202" s="387"/>
      <c r="BKK202" s="387"/>
      <c r="BKL202" s="387"/>
      <c r="BKM202" s="387"/>
      <c r="BKN202" s="387"/>
      <c r="BKO202" s="387"/>
      <c r="BKP202" s="387"/>
      <c r="BKQ202" s="387"/>
      <c r="BKR202" s="387"/>
      <c r="BKS202" s="387"/>
      <c r="BKT202" s="387"/>
      <c r="BKU202" s="387"/>
      <c r="BKV202" s="387"/>
      <c r="BKW202" s="387"/>
      <c r="BKX202" s="387"/>
      <c r="BKY202" s="387"/>
      <c r="BKZ202" s="387"/>
      <c r="BLA202" s="387"/>
      <c r="BLB202" s="387"/>
      <c r="BLC202" s="387"/>
      <c r="BLD202" s="387"/>
      <c r="BLE202" s="387"/>
      <c r="BLF202" s="387"/>
      <c r="BLG202" s="387"/>
      <c r="BLH202" s="387"/>
      <c r="BLI202" s="387"/>
      <c r="BLJ202" s="387"/>
      <c r="BLK202" s="387"/>
      <c r="BLL202" s="387"/>
      <c r="BLM202" s="387"/>
      <c r="BLN202" s="387"/>
      <c r="BLO202" s="387"/>
      <c r="BLP202" s="387"/>
      <c r="BLQ202" s="387"/>
      <c r="BLR202" s="387"/>
      <c r="BLS202" s="387"/>
      <c r="BLT202" s="387"/>
      <c r="BLU202" s="387"/>
      <c r="BLV202" s="387"/>
      <c r="BLW202" s="387"/>
      <c r="BLX202" s="387"/>
      <c r="BLY202" s="387"/>
      <c r="BLZ202" s="387"/>
      <c r="BMA202" s="387"/>
      <c r="BMB202" s="387"/>
      <c r="BMC202" s="387"/>
      <c r="BMD202" s="387"/>
      <c r="BME202" s="387"/>
      <c r="BMF202" s="387"/>
      <c r="BMG202" s="387"/>
      <c r="BMH202" s="387"/>
      <c r="BMI202" s="387"/>
      <c r="BMJ202" s="387"/>
      <c r="BMK202" s="387"/>
      <c r="BML202" s="387"/>
      <c r="BMM202" s="387"/>
      <c r="BMN202" s="387"/>
      <c r="BMO202" s="387"/>
      <c r="BMP202" s="387"/>
      <c r="BMQ202" s="387"/>
      <c r="BMR202" s="387"/>
      <c r="BMS202" s="387"/>
      <c r="BMT202" s="387"/>
      <c r="BMU202" s="387"/>
      <c r="BMV202" s="387"/>
      <c r="BMW202" s="387"/>
      <c r="BMX202" s="387"/>
      <c r="BMY202" s="387"/>
      <c r="BMZ202" s="387"/>
      <c r="BNA202" s="387"/>
      <c r="BNB202" s="387"/>
      <c r="BNC202" s="387"/>
      <c r="BND202" s="387"/>
      <c r="BNE202" s="387"/>
      <c r="BNF202" s="387"/>
      <c r="BNG202" s="387"/>
      <c r="BNH202" s="387"/>
      <c r="BNI202" s="387"/>
      <c r="BNJ202" s="387"/>
      <c r="BNK202" s="387"/>
      <c r="BNL202" s="387"/>
      <c r="BNM202" s="387"/>
      <c r="BNN202" s="387"/>
      <c r="BNO202" s="387"/>
      <c r="BNP202" s="387"/>
      <c r="BNQ202" s="387"/>
      <c r="BNR202" s="387"/>
      <c r="BNS202" s="387"/>
      <c r="BNT202" s="387"/>
      <c r="BNU202" s="387"/>
      <c r="BNV202" s="387"/>
      <c r="BNW202" s="387"/>
      <c r="BNX202" s="387"/>
      <c r="BNY202" s="387"/>
      <c r="BNZ202" s="387"/>
      <c r="BOA202" s="387"/>
      <c r="BOB202" s="387"/>
      <c r="BOC202" s="387"/>
      <c r="BOD202" s="387"/>
      <c r="BOE202" s="387"/>
      <c r="BOF202" s="387"/>
      <c r="BOG202" s="387"/>
      <c r="BOH202" s="387"/>
      <c r="BOI202" s="387"/>
      <c r="BOJ202" s="387"/>
      <c r="BOK202" s="387"/>
      <c r="BOL202" s="387"/>
      <c r="BOM202" s="387"/>
      <c r="BON202" s="387"/>
      <c r="BOO202" s="387"/>
      <c r="BOP202" s="387"/>
      <c r="BOQ202" s="387"/>
      <c r="BOR202" s="387"/>
      <c r="BOS202" s="387"/>
      <c r="BOT202" s="387"/>
      <c r="BOU202" s="387"/>
      <c r="BOV202" s="387"/>
      <c r="BOW202" s="387"/>
      <c r="BOX202" s="387"/>
      <c r="BOY202" s="387"/>
      <c r="BOZ202" s="387"/>
      <c r="BPA202" s="387"/>
      <c r="BPB202" s="387"/>
      <c r="BPC202" s="387"/>
      <c r="BPD202" s="387"/>
      <c r="BPE202" s="387"/>
      <c r="BPF202" s="387"/>
      <c r="BPG202" s="387"/>
      <c r="BPH202" s="387"/>
      <c r="BPI202" s="387"/>
      <c r="BPJ202" s="387"/>
      <c r="BPK202" s="387"/>
      <c r="BPL202" s="387"/>
      <c r="BPM202" s="387"/>
      <c r="BPN202" s="387"/>
      <c r="BPO202" s="387"/>
      <c r="BPP202" s="387"/>
      <c r="BPQ202" s="387"/>
      <c r="BPR202" s="387"/>
      <c r="BPS202" s="387"/>
      <c r="BPT202" s="387"/>
      <c r="BPU202" s="387"/>
      <c r="BPV202" s="387"/>
      <c r="BPW202" s="387"/>
      <c r="BPX202" s="387"/>
      <c r="BPY202" s="387"/>
      <c r="BPZ202" s="387"/>
      <c r="BQA202" s="387"/>
      <c r="BQB202" s="387"/>
      <c r="BQC202" s="387"/>
      <c r="BQD202" s="387"/>
      <c r="BQE202" s="387"/>
      <c r="BQF202" s="387"/>
      <c r="BQG202" s="387"/>
      <c r="BQH202" s="387"/>
      <c r="BQI202" s="387"/>
      <c r="BQJ202" s="387"/>
      <c r="BQK202" s="387"/>
      <c r="BQL202" s="387"/>
      <c r="BQM202" s="387"/>
      <c r="BQN202" s="387"/>
      <c r="BQO202" s="387"/>
      <c r="BQP202" s="387"/>
      <c r="BQQ202" s="387"/>
      <c r="BQR202" s="387"/>
      <c r="BQS202" s="387"/>
      <c r="BQT202" s="387"/>
      <c r="BQU202" s="387"/>
      <c r="BQV202" s="387"/>
      <c r="BQW202" s="387"/>
      <c r="BQX202" s="387"/>
      <c r="BQY202" s="387"/>
      <c r="BQZ202" s="387"/>
      <c r="BRA202" s="387"/>
      <c r="BRB202" s="387"/>
      <c r="BRC202" s="387"/>
      <c r="BRD202" s="387"/>
      <c r="BRE202" s="387"/>
      <c r="BRF202" s="387"/>
      <c r="BRG202" s="387"/>
      <c r="BRH202" s="387"/>
      <c r="BRI202" s="387"/>
      <c r="BRJ202" s="387"/>
      <c r="BRK202" s="387"/>
      <c r="BRL202" s="387"/>
      <c r="BRM202" s="387"/>
      <c r="BRN202" s="387"/>
      <c r="BRO202" s="387"/>
      <c r="BRP202" s="387"/>
      <c r="BRQ202" s="387"/>
      <c r="BRR202" s="387"/>
      <c r="BRS202" s="387"/>
      <c r="BRT202" s="387"/>
      <c r="BRU202" s="387"/>
      <c r="BRV202" s="387"/>
      <c r="BRW202" s="387"/>
      <c r="BRX202" s="387"/>
      <c r="BRY202" s="387"/>
      <c r="BRZ202" s="387"/>
      <c r="BSA202" s="387"/>
      <c r="BSB202" s="387"/>
      <c r="BSC202" s="387"/>
      <c r="BSD202" s="387"/>
      <c r="BSE202" s="387"/>
      <c r="BSF202" s="387"/>
      <c r="BSG202" s="387"/>
      <c r="BSH202" s="387"/>
      <c r="BSI202" s="387"/>
      <c r="BSJ202" s="387"/>
      <c r="BSK202" s="387"/>
      <c r="BSL202" s="387"/>
      <c r="BSM202" s="387"/>
      <c r="BSN202" s="387"/>
      <c r="BSO202" s="387"/>
      <c r="BSP202" s="387"/>
      <c r="BSQ202" s="387"/>
      <c r="BSR202" s="387"/>
      <c r="BSS202" s="387"/>
      <c r="BST202" s="387"/>
      <c r="BSU202" s="387"/>
      <c r="BSV202" s="387"/>
      <c r="BSW202" s="387"/>
      <c r="BSX202" s="387"/>
      <c r="BSY202" s="387"/>
      <c r="BSZ202" s="387"/>
      <c r="BTA202" s="387"/>
      <c r="BTB202" s="387"/>
      <c r="BTC202" s="387"/>
      <c r="BTD202" s="387"/>
      <c r="BTE202" s="387"/>
      <c r="BTF202" s="387"/>
      <c r="BTG202" s="387"/>
      <c r="BTH202" s="387"/>
      <c r="BTI202" s="387"/>
    </row>
    <row r="203" spans="1:1881" s="384" customFormat="1" ht="30.75" customHeight="1" x14ac:dyDescent="0.25">
      <c r="A203" s="187"/>
      <c r="B203" s="159" t="s">
        <v>535</v>
      </c>
      <c r="C203" s="158"/>
      <c r="D203" s="152"/>
      <c r="E203" s="146"/>
      <c r="F203" s="750"/>
      <c r="G203" s="525"/>
      <c r="H203" s="65"/>
      <c r="I203" s="31"/>
      <c r="J203" s="387"/>
      <c r="K203" s="387"/>
      <c r="L203" s="387"/>
      <c r="M203" s="387"/>
      <c r="N203"/>
      <c r="O203" s="387"/>
      <c r="P203" s="387"/>
      <c r="Q203" s="387"/>
      <c r="R203"/>
      <c r="S203" s="682"/>
      <c r="T203" s="387"/>
      <c r="U203" s="387"/>
      <c r="V203" s="387"/>
      <c r="W203" s="387"/>
      <c r="X203" s="682"/>
      <c r="Y203" s="387"/>
      <c r="Z203" s="387"/>
      <c r="AA203" s="387"/>
      <c r="AB203" s="387"/>
      <c r="AC203" s="387"/>
      <c r="AD203" s="387"/>
      <c r="AE203" s="387"/>
      <c r="AF203" s="387"/>
      <c r="AG203" s="387"/>
      <c r="AH203" s="387"/>
      <c r="AI203" s="387"/>
      <c r="AJ203" s="387"/>
      <c r="AK203" s="387"/>
      <c r="AL203" s="387"/>
      <c r="AM203" s="387"/>
      <c r="AN203" s="387"/>
      <c r="AO203" s="387"/>
      <c r="AP203" s="387"/>
      <c r="AQ203" s="387"/>
      <c r="AR203" s="387"/>
      <c r="AS203" s="387"/>
      <c r="AT203" s="387"/>
      <c r="AU203" s="387"/>
      <c r="AV203" s="387"/>
      <c r="AW203" s="387"/>
      <c r="AX203" s="387"/>
      <c r="AY203" s="387"/>
      <c r="AZ203" s="387"/>
      <c r="BA203" s="387"/>
      <c r="BB203" s="387"/>
      <c r="BC203" s="387"/>
      <c r="BD203" s="387"/>
      <c r="BE203" s="387"/>
      <c r="BF203" s="387"/>
      <c r="BG203" s="387"/>
      <c r="BH203" s="387"/>
      <c r="BI203" s="387"/>
      <c r="BJ203" s="387"/>
      <c r="BK203" s="387"/>
      <c r="BL203" s="387"/>
      <c r="BM203" s="387"/>
      <c r="BN203" s="387"/>
      <c r="BO203" s="387"/>
      <c r="BP203" s="387"/>
      <c r="BQ203" s="387"/>
      <c r="BR203" s="387"/>
      <c r="BS203" s="387"/>
      <c r="BT203" s="387"/>
      <c r="BU203" s="387"/>
      <c r="BV203" s="387"/>
      <c r="BW203" s="387"/>
      <c r="BX203" s="387"/>
      <c r="BY203" s="387"/>
      <c r="BZ203" s="387"/>
      <c r="CA203" s="387"/>
      <c r="CB203" s="387"/>
      <c r="CC203" s="387"/>
      <c r="CD203" s="387"/>
      <c r="CE203" s="387"/>
      <c r="CF203" s="387"/>
      <c r="CG203" s="387"/>
      <c r="CH203" s="387"/>
      <c r="CI203" s="387"/>
      <c r="CJ203" s="387"/>
      <c r="CK203" s="387"/>
      <c r="CL203" s="387"/>
      <c r="CM203" s="387"/>
      <c r="CN203" s="387"/>
      <c r="CO203" s="387"/>
      <c r="CP203" s="387"/>
      <c r="CQ203" s="387"/>
      <c r="CR203" s="387"/>
      <c r="CS203" s="387"/>
      <c r="CT203" s="387"/>
      <c r="CU203" s="387"/>
      <c r="CV203" s="387"/>
      <c r="CW203" s="387"/>
      <c r="CX203" s="387"/>
      <c r="CY203" s="387"/>
      <c r="CZ203" s="387"/>
      <c r="DA203" s="387"/>
      <c r="DB203" s="387"/>
      <c r="DC203" s="387"/>
      <c r="DD203" s="387"/>
      <c r="DE203" s="387"/>
      <c r="DF203" s="387"/>
      <c r="DG203" s="387"/>
      <c r="DH203" s="387"/>
      <c r="DI203" s="387"/>
      <c r="DJ203" s="387"/>
      <c r="DK203" s="387"/>
      <c r="DL203" s="387"/>
      <c r="DM203" s="387"/>
      <c r="DN203" s="387"/>
      <c r="DO203" s="387"/>
      <c r="DP203" s="387"/>
      <c r="DQ203" s="387"/>
      <c r="DR203" s="387"/>
      <c r="DS203" s="387"/>
      <c r="DT203" s="387"/>
      <c r="DU203" s="387"/>
      <c r="DV203" s="387"/>
      <c r="DW203" s="387"/>
      <c r="DX203" s="387"/>
      <c r="DY203" s="387"/>
      <c r="DZ203" s="387"/>
      <c r="EA203" s="387"/>
      <c r="EB203" s="387"/>
      <c r="EC203" s="387"/>
      <c r="ED203" s="387"/>
      <c r="EE203" s="387"/>
      <c r="EF203" s="387"/>
      <c r="EG203" s="387"/>
      <c r="EH203" s="387"/>
      <c r="EI203" s="387"/>
      <c r="EJ203" s="387"/>
      <c r="EK203" s="387"/>
      <c r="EL203" s="387"/>
      <c r="EM203" s="387"/>
      <c r="EN203" s="387"/>
      <c r="EO203" s="387"/>
      <c r="EP203" s="387"/>
      <c r="EQ203" s="387"/>
      <c r="ER203" s="387"/>
      <c r="ES203" s="387"/>
      <c r="ET203" s="387"/>
      <c r="EU203" s="387"/>
      <c r="EV203" s="387"/>
      <c r="EW203" s="387"/>
      <c r="EX203" s="387"/>
      <c r="EY203" s="387"/>
      <c r="EZ203" s="387"/>
      <c r="FA203" s="387"/>
      <c r="FB203" s="387"/>
      <c r="FC203" s="387"/>
      <c r="FD203" s="387"/>
      <c r="FE203" s="387"/>
      <c r="FF203" s="387"/>
      <c r="FG203" s="387"/>
      <c r="FH203" s="387"/>
      <c r="FI203" s="387"/>
      <c r="FJ203" s="387"/>
      <c r="FK203" s="387"/>
      <c r="FL203" s="387"/>
      <c r="FM203" s="387"/>
      <c r="FN203" s="387"/>
      <c r="FO203" s="387"/>
      <c r="FP203" s="387"/>
      <c r="FQ203" s="387"/>
      <c r="FR203" s="387"/>
      <c r="FS203" s="387"/>
      <c r="FT203" s="387"/>
      <c r="FU203" s="387"/>
      <c r="FV203" s="387"/>
      <c r="FW203" s="387"/>
      <c r="FX203" s="387"/>
      <c r="FY203" s="387"/>
      <c r="FZ203" s="387"/>
      <c r="GA203" s="387"/>
      <c r="GB203" s="387"/>
      <c r="GC203" s="387"/>
      <c r="GD203" s="387"/>
      <c r="GE203" s="387"/>
      <c r="GF203" s="387"/>
      <c r="GG203" s="387"/>
      <c r="GH203" s="387"/>
      <c r="GI203" s="387"/>
      <c r="GJ203" s="387"/>
      <c r="GK203" s="387"/>
      <c r="GL203" s="387"/>
      <c r="GM203" s="387"/>
      <c r="GN203" s="387"/>
      <c r="GO203" s="387"/>
      <c r="GP203" s="387"/>
      <c r="GQ203" s="387"/>
      <c r="GR203" s="387"/>
      <c r="GS203" s="387"/>
      <c r="GT203" s="387"/>
      <c r="GU203" s="387"/>
      <c r="GV203" s="387"/>
      <c r="GW203" s="387"/>
      <c r="GX203" s="387"/>
      <c r="GY203" s="387"/>
      <c r="GZ203" s="387"/>
      <c r="HA203" s="387"/>
      <c r="HB203" s="387"/>
      <c r="HC203" s="387"/>
      <c r="HD203" s="387"/>
      <c r="HE203" s="387"/>
      <c r="HF203" s="387"/>
      <c r="HG203" s="387"/>
      <c r="HH203" s="387"/>
      <c r="HI203" s="387"/>
      <c r="HJ203" s="387"/>
      <c r="HK203" s="387"/>
      <c r="HL203" s="387"/>
      <c r="HM203" s="387"/>
      <c r="HN203" s="387"/>
      <c r="HO203" s="387"/>
      <c r="HP203" s="387"/>
      <c r="HQ203" s="387"/>
      <c r="HR203" s="387"/>
      <c r="HS203" s="387"/>
      <c r="HT203" s="387"/>
      <c r="HU203" s="387"/>
      <c r="HV203" s="387"/>
      <c r="HW203" s="387"/>
      <c r="HX203" s="387"/>
      <c r="HY203" s="387"/>
      <c r="HZ203" s="387"/>
      <c r="IA203" s="387"/>
      <c r="IB203" s="387"/>
      <c r="IC203" s="387"/>
      <c r="ID203" s="387"/>
      <c r="IE203" s="387"/>
      <c r="IF203" s="387"/>
      <c r="IG203" s="387"/>
      <c r="IH203" s="387"/>
      <c r="II203" s="387"/>
      <c r="IJ203" s="387"/>
      <c r="IK203" s="387"/>
      <c r="IL203" s="387"/>
      <c r="IM203" s="387"/>
      <c r="IN203" s="387"/>
      <c r="IO203" s="387"/>
      <c r="IP203" s="387"/>
      <c r="IQ203" s="387"/>
      <c r="IR203" s="387"/>
      <c r="IS203" s="387"/>
      <c r="IT203" s="387"/>
      <c r="IU203" s="387"/>
      <c r="IV203" s="387"/>
      <c r="IW203" s="387"/>
      <c r="IX203" s="387"/>
      <c r="IY203" s="387"/>
      <c r="IZ203" s="387"/>
      <c r="JA203" s="387"/>
      <c r="JB203" s="387"/>
      <c r="JC203" s="387"/>
      <c r="JD203" s="387"/>
      <c r="JE203" s="387"/>
      <c r="JF203" s="387"/>
      <c r="JG203" s="387"/>
      <c r="JH203" s="387"/>
      <c r="JI203" s="387"/>
      <c r="JJ203" s="387"/>
      <c r="JK203" s="387"/>
      <c r="JL203" s="387"/>
      <c r="JM203" s="387"/>
      <c r="JN203" s="387"/>
      <c r="JO203" s="387"/>
      <c r="JP203" s="387"/>
      <c r="JQ203" s="387"/>
      <c r="JR203" s="387"/>
      <c r="JS203" s="387"/>
      <c r="JT203" s="387"/>
      <c r="JU203" s="387"/>
      <c r="JV203" s="387"/>
      <c r="JW203" s="387"/>
      <c r="JX203" s="387"/>
      <c r="JY203" s="387"/>
      <c r="JZ203" s="387"/>
      <c r="KA203" s="387"/>
      <c r="KB203" s="387"/>
      <c r="KC203" s="387"/>
      <c r="KD203" s="387"/>
      <c r="KE203" s="387"/>
      <c r="KF203" s="387"/>
      <c r="KG203" s="387"/>
      <c r="KH203" s="387"/>
      <c r="KI203" s="387"/>
      <c r="KJ203" s="387"/>
      <c r="KK203" s="387"/>
      <c r="KL203" s="387"/>
      <c r="KM203" s="387"/>
      <c r="KN203" s="387"/>
      <c r="KO203" s="387"/>
      <c r="KP203" s="387"/>
      <c r="KQ203" s="387"/>
      <c r="KR203" s="387"/>
      <c r="KS203" s="387"/>
      <c r="KT203" s="387"/>
      <c r="KU203" s="387"/>
      <c r="KV203" s="387"/>
      <c r="KW203" s="387"/>
      <c r="KX203" s="387"/>
      <c r="KY203" s="387"/>
      <c r="KZ203" s="387"/>
      <c r="LA203" s="387"/>
      <c r="LB203" s="387"/>
      <c r="LC203" s="387"/>
      <c r="LD203" s="387"/>
      <c r="LE203" s="387"/>
      <c r="LF203" s="387"/>
      <c r="LG203" s="387"/>
      <c r="LH203" s="387"/>
      <c r="LI203" s="387"/>
      <c r="LJ203" s="387"/>
      <c r="LK203" s="387"/>
      <c r="LL203" s="387"/>
      <c r="LM203" s="387"/>
      <c r="LN203" s="387"/>
      <c r="LO203" s="387"/>
      <c r="LP203" s="387"/>
      <c r="LQ203" s="387"/>
      <c r="LR203" s="387"/>
      <c r="LS203" s="387"/>
      <c r="LT203" s="387"/>
      <c r="LU203" s="387"/>
      <c r="LV203" s="387"/>
      <c r="LW203" s="387"/>
      <c r="LX203" s="387"/>
      <c r="LY203" s="387"/>
      <c r="LZ203" s="387"/>
      <c r="MA203" s="387"/>
      <c r="MB203" s="387"/>
      <c r="MC203" s="387"/>
      <c r="MD203" s="387"/>
      <c r="ME203" s="387"/>
      <c r="MF203" s="387"/>
      <c r="MG203" s="387"/>
      <c r="MH203" s="387"/>
      <c r="MI203" s="387"/>
      <c r="MJ203" s="387"/>
      <c r="MK203" s="387"/>
      <c r="ML203" s="387"/>
      <c r="MM203" s="387"/>
      <c r="MN203" s="387"/>
      <c r="MO203" s="387"/>
      <c r="MP203" s="387"/>
      <c r="MQ203" s="387"/>
      <c r="MR203" s="387"/>
      <c r="MS203" s="387"/>
      <c r="MT203" s="387"/>
      <c r="MU203" s="387"/>
      <c r="MV203" s="387"/>
      <c r="MW203" s="387"/>
      <c r="MX203" s="387"/>
      <c r="MY203" s="387"/>
      <c r="MZ203" s="387"/>
      <c r="NA203" s="387"/>
      <c r="NB203" s="387"/>
      <c r="NC203" s="387"/>
      <c r="ND203" s="387"/>
      <c r="NE203" s="387"/>
      <c r="NF203" s="387"/>
      <c r="NG203" s="387"/>
      <c r="NH203" s="387"/>
      <c r="NI203" s="387"/>
      <c r="NJ203" s="387"/>
      <c r="NK203" s="387"/>
      <c r="NL203" s="387"/>
      <c r="NM203" s="387"/>
      <c r="NN203" s="387"/>
      <c r="NO203" s="387"/>
      <c r="NP203" s="387"/>
      <c r="NQ203" s="387"/>
      <c r="NR203" s="387"/>
      <c r="NS203" s="387"/>
      <c r="NT203" s="387"/>
      <c r="NU203" s="387"/>
      <c r="NV203" s="387"/>
      <c r="NW203" s="387"/>
      <c r="NX203" s="387"/>
      <c r="NY203" s="387"/>
      <c r="NZ203" s="387"/>
      <c r="OA203" s="387"/>
      <c r="OB203" s="387"/>
      <c r="OC203" s="387"/>
      <c r="OD203" s="387"/>
      <c r="OE203" s="387"/>
      <c r="OF203" s="387"/>
      <c r="OG203" s="387"/>
      <c r="OH203" s="387"/>
      <c r="OI203" s="387"/>
      <c r="OJ203" s="387"/>
      <c r="OK203" s="387"/>
      <c r="OL203" s="387"/>
      <c r="OM203" s="387"/>
      <c r="ON203" s="387"/>
      <c r="OO203" s="387"/>
      <c r="OP203" s="387"/>
      <c r="OQ203" s="387"/>
      <c r="OR203" s="387"/>
      <c r="OS203" s="387"/>
      <c r="OT203" s="387"/>
      <c r="OU203" s="387"/>
      <c r="OV203" s="387"/>
      <c r="OW203" s="387"/>
      <c r="OX203" s="387"/>
      <c r="OY203" s="387"/>
      <c r="OZ203" s="387"/>
      <c r="PA203" s="387"/>
      <c r="PB203" s="387"/>
      <c r="PC203" s="387"/>
      <c r="PD203" s="387"/>
      <c r="PE203" s="387"/>
      <c r="PF203" s="387"/>
      <c r="PG203" s="387"/>
      <c r="PH203" s="387"/>
      <c r="PI203" s="387"/>
      <c r="PJ203" s="387"/>
      <c r="PK203" s="387"/>
      <c r="PL203" s="387"/>
      <c r="PM203" s="387"/>
      <c r="PN203" s="387"/>
      <c r="PO203" s="387"/>
      <c r="PP203" s="387"/>
      <c r="PQ203" s="387"/>
      <c r="PR203" s="387"/>
      <c r="PS203" s="387"/>
      <c r="PT203" s="387"/>
      <c r="PU203" s="387"/>
      <c r="PV203" s="387"/>
      <c r="PW203" s="387"/>
      <c r="PX203" s="387"/>
      <c r="PY203" s="387"/>
      <c r="PZ203" s="387"/>
      <c r="QA203" s="387"/>
      <c r="QB203" s="387"/>
      <c r="QC203" s="387"/>
      <c r="QD203" s="387"/>
      <c r="QE203" s="387"/>
      <c r="QF203" s="387"/>
      <c r="QG203" s="387"/>
      <c r="QH203" s="387"/>
      <c r="QI203" s="387"/>
      <c r="QJ203" s="387"/>
      <c r="QK203" s="387"/>
      <c r="QL203" s="387"/>
      <c r="QM203" s="387"/>
      <c r="QN203" s="387"/>
      <c r="QO203" s="387"/>
      <c r="QP203" s="387"/>
      <c r="QQ203" s="387"/>
      <c r="QR203" s="387"/>
      <c r="QS203" s="387"/>
      <c r="QT203" s="387"/>
      <c r="QU203" s="387"/>
      <c r="QV203" s="387"/>
      <c r="QW203" s="387"/>
      <c r="QX203" s="387"/>
      <c r="QY203" s="387"/>
      <c r="QZ203" s="387"/>
      <c r="RA203" s="387"/>
      <c r="RB203" s="387"/>
      <c r="RC203" s="387"/>
      <c r="RD203" s="387"/>
      <c r="RE203" s="387"/>
      <c r="RF203" s="387"/>
      <c r="RG203" s="387"/>
      <c r="RH203" s="387"/>
      <c r="RI203" s="387"/>
      <c r="RJ203" s="387"/>
      <c r="RK203" s="387"/>
      <c r="RL203" s="387"/>
      <c r="RM203" s="387"/>
      <c r="RN203" s="387"/>
      <c r="RO203" s="387"/>
      <c r="RP203" s="387"/>
      <c r="RQ203" s="387"/>
      <c r="RR203" s="387"/>
      <c r="RS203" s="387"/>
      <c r="RT203" s="387"/>
      <c r="RU203" s="387"/>
      <c r="RV203" s="387"/>
      <c r="RW203" s="387"/>
      <c r="RX203" s="387"/>
      <c r="RY203" s="387"/>
      <c r="RZ203" s="387"/>
      <c r="SA203" s="387"/>
      <c r="SB203" s="387"/>
      <c r="SC203" s="387"/>
      <c r="SD203" s="387"/>
      <c r="SE203" s="387"/>
      <c r="SF203" s="387"/>
      <c r="SG203" s="387"/>
      <c r="SH203" s="387"/>
      <c r="SI203" s="387"/>
      <c r="SJ203" s="387"/>
      <c r="SK203" s="387"/>
      <c r="SL203" s="387"/>
      <c r="SM203" s="387"/>
      <c r="SN203" s="387"/>
      <c r="SO203" s="387"/>
      <c r="SP203" s="387"/>
      <c r="SQ203" s="387"/>
      <c r="SR203" s="387"/>
      <c r="SS203" s="387"/>
      <c r="ST203" s="387"/>
      <c r="SU203" s="387"/>
      <c r="SV203" s="387"/>
      <c r="SW203" s="387"/>
      <c r="SX203" s="387"/>
      <c r="SY203" s="387"/>
      <c r="SZ203" s="387"/>
      <c r="TA203" s="387"/>
      <c r="TB203" s="387"/>
      <c r="TC203" s="387"/>
      <c r="TD203" s="387"/>
      <c r="TE203" s="387"/>
      <c r="TF203" s="387"/>
      <c r="TG203" s="387"/>
      <c r="TH203" s="387"/>
      <c r="TI203" s="387"/>
      <c r="TJ203" s="387"/>
      <c r="TK203" s="387"/>
      <c r="TL203" s="387"/>
      <c r="TM203" s="387"/>
      <c r="TN203" s="387"/>
      <c r="TO203" s="387"/>
      <c r="TP203" s="387"/>
      <c r="TQ203" s="387"/>
      <c r="TR203" s="387"/>
      <c r="TS203" s="387"/>
      <c r="TT203" s="387"/>
      <c r="TU203" s="387"/>
      <c r="TV203" s="387"/>
      <c r="TW203" s="387"/>
      <c r="TX203" s="387"/>
      <c r="TY203" s="387"/>
      <c r="TZ203" s="387"/>
      <c r="UA203" s="387"/>
      <c r="UB203" s="387"/>
      <c r="UC203" s="387"/>
      <c r="UD203" s="387"/>
      <c r="UE203" s="387"/>
      <c r="UF203" s="387"/>
      <c r="UG203" s="387"/>
      <c r="UH203" s="387"/>
      <c r="UI203" s="387"/>
      <c r="UJ203" s="387"/>
      <c r="UK203" s="387"/>
      <c r="UL203" s="387"/>
      <c r="UM203" s="387"/>
      <c r="UN203" s="387"/>
      <c r="UO203" s="387"/>
      <c r="UP203" s="387"/>
      <c r="UQ203" s="387"/>
      <c r="UR203" s="387"/>
      <c r="US203" s="387"/>
      <c r="UT203" s="387"/>
      <c r="UU203" s="387"/>
      <c r="UV203" s="387"/>
      <c r="UW203" s="387"/>
      <c r="UX203" s="387"/>
      <c r="UY203" s="387"/>
      <c r="UZ203" s="387"/>
      <c r="VA203" s="387"/>
      <c r="VB203" s="387"/>
      <c r="VC203" s="387"/>
      <c r="VD203" s="387"/>
      <c r="VE203" s="387"/>
      <c r="VF203" s="387"/>
      <c r="VG203" s="387"/>
      <c r="VH203" s="387"/>
      <c r="VI203" s="387"/>
      <c r="VJ203" s="387"/>
      <c r="VK203" s="387"/>
      <c r="VL203" s="387"/>
      <c r="VM203" s="387"/>
      <c r="VN203" s="387"/>
      <c r="VO203" s="387"/>
      <c r="VP203" s="387"/>
      <c r="VQ203" s="387"/>
      <c r="VR203" s="387"/>
      <c r="VS203" s="387"/>
      <c r="VT203" s="387"/>
      <c r="VU203" s="387"/>
      <c r="VV203" s="387"/>
      <c r="VW203" s="387"/>
      <c r="VX203" s="387"/>
      <c r="VY203" s="387"/>
      <c r="VZ203" s="387"/>
      <c r="WA203" s="387"/>
      <c r="WB203" s="387"/>
      <c r="WC203" s="387"/>
      <c r="WD203" s="387"/>
      <c r="WE203" s="387"/>
      <c r="WF203" s="387"/>
      <c r="WG203" s="387"/>
      <c r="WH203" s="387"/>
      <c r="WI203" s="387"/>
      <c r="WJ203" s="387"/>
      <c r="WK203" s="387"/>
      <c r="WL203" s="387"/>
      <c r="WM203" s="387"/>
      <c r="WN203" s="387"/>
      <c r="WO203" s="387"/>
      <c r="WP203" s="387"/>
      <c r="WQ203" s="387"/>
      <c r="WR203" s="387"/>
      <c r="WS203" s="387"/>
      <c r="WT203" s="387"/>
      <c r="WU203" s="387"/>
      <c r="WV203" s="387"/>
      <c r="WW203" s="387"/>
      <c r="WX203" s="387"/>
      <c r="WY203" s="387"/>
      <c r="WZ203" s="387"/>
      <c r="XA203" s="387"/>
      <c r="XB203" s="387"/>
      <c r="XC203" s="387"/>
      <c r="XD203" s="387"/>
      <c r="XE203" s="387"/>
      <c r="XF203" s="387"/>
      <c r="XG203" s="387"/>
      <c r="XH203" s="387"/>
      <c r="XI203" s="387"/>
      <c r="XJ203" s="387"/>
      <c r="XK203" s="387"/>
      <c r="XL203" s="387"/>
      <c r="XM203" s="387"/>
      <c r="XN203" s="387"/>
      <c r="XO203" s="387"/>
      <c r="XP203" s="387"/>
      <c r="XQ203" s="387"/>
      <c r="XR203" s="387"/>
      <c r="XS203" s="387"/>
      <c r="XT203" s="387"/>
      <c r="XU203" s="387"/>
      <c r="XV203" s="387"/>
      <c r="XW203" s="387"/>
      <c r="XX203" s="387"/>
      <c r="XY203" s="387"/>
      <c r="XZ203" s="387"/>
      <c r="YA203" s="387"/>
      <c r="YB203" s="387"/>
      <c r="YC203" s="387"/>
      <c r="YD203" s="387"/>
      <c r="YE203" s="387"/>
      <c r="YF203" s="387"/>
      <c r="YG203" s="387"/>
      <c r="YH203" s="387"/>
      <c r="YI203" s="387"/>
      <c r="YJ203" s="387"/>
      <c r="YK203" s="387"/>
      <c r="YL203" s="387"/>
      <c r="YM203" s="387"/>
      <c r="YN203" s="387"/>
      <c r="YO203" s="387"/>
      <c r="YP203" s="387"/>
      <c r="YQ203" s="387"/>
      <c r="YR203" s="387"/>
      <c r="YS203" s="387"/>
      <c r="YT203" s="387"/>
      <c r="YU203" s="387"/>
      <c r="YV203" s="387"/>
      <c r="YW203" s="387"/>
      <c r="YX203" s="387"/>
      <c r="YY203" s="387"/>
      <c r="YZ203" s="387"/>
      <c r="ZA203" s="387"/>
      <c r="ZB203" s="387"/>
      <c r="ZC203" s="387"/>
      <c r="ZD203" s="387"/>
      <c r="ZE203" s="387"/>
      <c r="ZF203" s="387"/>
      <c r="ZG203" s="387"/>
      <c r="ZH203" s="387"/>
      <c r="ZI203" s="387"/>
      <c r="ZJ203" s="387"/>
      <c r="ZK203" s="387"/>
      <c r="ZL203" s="387"/>
      <c r="ZM203" s="387"/>
      <c r="ZN203" s="387"/>
      <c r="ZO203" s="387"/>
      <c r="ZP203" s="387"/>
      <c r="ZQ203" s="387"/>
      <c r="ZR203" s="387"/>
      <c r="ZS203" s="387"/>
      <c r="ZT203" s="387"/>
      <c r="ZU203" s="387"/>
      <c r="ZV203" s="387"/>
      <c r="ZW203" s="387"/>
      <c r="ZX203" s="387"/>
      <c r="ZY203" s="387"/>
      <c r="ZZ203" s="387"/>
      <c r="AAA203" s="387"/>
      <c r="AAB203" s="387"/>
      <c r="AAC203" s="387"/>
      <c r="AAD203" s="387"/>
      <c r="AAE203" s="387"/>
      <c r="AAF203" s="387"/>
      <c r="AAG203" s="387"/>
      <c r="AAH203" s="387"/>
      <c r="AAI203" s="387"/>
      <c r="AAJ203" s="387"/>
      <c r="AAK203" s="387"/>
      <c r="AAL203" s="387"/>
      <c r="AAM203" s="387"/>
      <c r="AAN203" s="387"/>
      <c r="AAO203" s="387"/>
      <c r="AAP203" s="387"/>
      <c r="AAQ203" s="387"/>
      <c r="AAR203" s="387"/>
      <c r="AAS203" s="387"/>
      <c r="AAT203" s="387"/>
      <c r="AAU203" s="387"/>
      <c r="AAV203" s="387"/>
      <c r="AAW203" s="387"/>
      <c r="AAX203" s="387"/>
      <c r="AAY203" s="387"/>
      <c r="AAZ203" s="387"/>
      <c r="ABA203" s="387"/>
      <c r="ABB203" s="387"/>
      <c r="ABC203" s="387"/>
      <c r="ABD203" s="387"/>
      <c r="ABE203" s="387"/>
      <c r="ABF203" s="387"/>
      <c r="ABG203" s="387"/>
      <c r="ABH203" s="387"/>
      <c r="ABI203" s="387"/>
      <c r="ABJ203" s="387"/>
      <c r="ABK203" s="387"/>
      <c r="ABL203" s="387"/>
      <c r="ABM203" s="387"/>
      <c r="ABN203" s="387"/>
      <c r="ABO203" s="387"/>
      <c r="ABP203" s="387"/>
      <c r="ABQ203" s="387"/>
      <c r="ABR203" s="387"/>
      <c r="ABS203" s="387"/>
      <c r="ABT203" s="387"/>
      <c r="ABU203" s="387"/>
      <c r="ABV203" s="387"/>
      <c r="ABW203" s="387"/>
      <c r="ABX203" s="387"/>
      <c r="ABY203" s="387"/>
      <c r="ABZ203" s="387"/>
      <c r="ACA203" s="387"/>
      <c r="ACB203" s="387"/>
      <c r="ACC203" s="387"/>
      <c r="ACD203" s="387"/>
      <c r="ACE203" s="387"/>
      <c r="ACF203" s="387"/>
      <c r="ACG203" s="387"/>
      <c r="ACH203" s="387"/>
      <c r="ACI203" s="387"/>
      <c r="ACJ203" s="387"/>
      <c r="ACK203" s="387"/>
      <c r="ACL203" s="387"/>
      <c r="ACM203" s="387"/>
      <c r="ACN203" s="387"/>
      <c r="ACO203" s="387"/>
      <c r="ACP203" s="387"/>
      <c r="ACQ203" s="387"/>
      <c r="ACR203" s="387"/>
      <c r="ACS203" s="387"/>
      <c r="ACT203" s="387"/>
      <c r="ACU203" s="387"/>
      <c r="ACV203" s="387"/>
      <c r="ACW203" s="387"/>
      <c r="ACX203" s="387"/>
      <c r="ACY203" s="387"/>
      <c r="ACZ203" s="387"/>
      <c r="ADA203" s="387"/>
      <c r="ADB203" s="387"/>
      <c r="ADC203" s="387"/>
      <c r="ADD203" s="387"/>
      <c r="ADE203" s="387"/>
      <c r="ADF203" s="387"/>
      <c r="ADG203" s="387"/>
      <c r="ADH203" s="387"/>
      <c r="ADI203" s="387"/>
      <c r="ADJ203" s="387"/>
      <c r="ADK203" s="387"/>
      <c r="ADL203" s="387"/>
      <c r="ADM203" s="387"/>
      <c r="ADN203" s="387"/>
      <c r="ADO203" s="387"/>
      <c r="ADP203" s="387"/>
      <c r="ADQ203" s="387"/>
      <c r="ADR203" s="387"/>
      <c r="ADS203" s="387"/>
      <c r="ADT203" s="387"/>
      <c r="ADU203" s="387"/>
      <c r="ADV203" s="387"/>
      <c r="ADW203" s="387"/>
      <c r="ADX203" s="387"/>
      <c r="ADY203" s="387"/>
      <c r="ADZ203" s="387"/>
      <c r="AEA203" s="387"/>
      <c r="AEB203" s="387"/>
      <c r="AEC203" s="387"/>
      <c r="AED203" s="387"/>
      <c r="AEE203" s="387"/>
      <c r="AEF203" s="387"/>
      <c r="AEG203" s="387"/>
      <c r="AEH203" s="387"/>
      <c r="AEI203" s="387"/>
      <c r="AEJ203" s="387"/>
      <c r="AEK203" s="387"/>
      <c r="AEL203" s="387"/>
      <c r="AEM203" s="387"/>
      <c r="AEN203" s="387"/>
      <c r="AEO203" s="387"/>
      <c r="AEP203" s="387"/>
      <c r="AEQ203" s="387"/>
      <c r="AER203" s="387"/>
      <c r="AES203" s="387"/>
      <c r="AET203" s="387"/>
      <c r="AEU203" s="387"/>
      <c r="AEV203" s="387"/>
      <c r="AEW203" s="387"/>
      <c r="AEX203" s="387"/>
      <c r="AEY203" s="387"/>
      <c r="AEZ203" s="387"/>
      <c r="AFA203" s="387"/>
      <c r="AFB203" s="387"/>
      <c r="AFC203" s="387"/>
      <c r="AFD203" s="387"/>
      <c r="AFE203" s="387"/>
      <c r="AFF203" s="387"/>
      <c r="AFG203" s="387"/>
      <c r="AFH203" s="387"/>
      <c r="AFI203" s="387"/>
      <c r="AFJ203" s="387"/>
      <c r="AFK203" s="387"/>
      <c r="AFL203" s="387"/>
      <c r="AFM203" s="387"/>
      <c r="AFN203" s="387"/>
      <c r="AFO203" s="387"/>
      <c r="AFP203" s="387"/>
      <c r="AFQ203" s="387"/>
      <c r="AFR203" s="387"/>
      <c r="AFS203" s="387"/>
      <c r="AFT203" s="387"/>
      <c r="AFU203" s="387"/>
      <c r="AFV203" s="387"/>
      <c r="AFW203" s="387"/>
      <c r="AFX203" s="387"/>
      <c r="AFY203" s="387"/>
      <c r="AFZ203" s="387"/>
      <c r="AGA203" s="387"/>
      <c r="AGB203" s="387"/>
      <c r="AGC203" s="387"/>
      <c r="AGD203" s="387"/>
      <c r="AGE203" s="387"/>
      <c r="AGF203" s="387"/>
      <c r="AGG203" s="387"/>
      <c r="AGH203" s="387"/>
      <c r="AGI203" s="387"/>
      <c r="AGJ203" s="387"/>
      <c r="AGK203" s="387"/>
      <c r="AGL203" s="387"/>
      <c r="AGM203" s="387"/>
      <c r="AGN203" s="387"/>
      <c r="AGO203" s="387"/>
      <c r="AGP203" s="387"/>
      <c r="AGQ203" s="387"/>
      <c r="AGR203" s="387"/>
      <c r="AGS203" s="387"/>
      <c r="AGT203" s="387"/>
      <c r="AGU203" s="387"/>
      <c r="AGV203" s="387"/>
      <c r="AGW203" s="387"/>
      <c r="AGX203" s="387"/>
      <c r="AGY203" s="387"/>
      <c r="AGZ203" s="387"/>
      <c r="AHA203" s="387"/>
      <c r="AHB203" s="387"/>
      <c r="AHC203" s="387"/>
      <c r="AHD203" s="387"/>
      <c r="AHE203" s="387"/>
      <c r="AHF203" s="387"/>
      <c r="AHG203" s="387"/>
      <c r="AHH203" s="387"/>
      <c r="AHI203" s="387"/>
      <c r="AHJ203" s="387"/>
      <c r="AHK203" s="387"/>
      <c r="AHL203" s="387"/>
      <c r="AHM203" s="387"/>
      <c r="AHN203" s="387"/>
      <c r="AHO203" s="387"/>
      <c r="AHP203" s="387"/>
      <c r="AHQ203" s="387"/>
      <c r="AHR203" s="387"/>
      <c r="AHS203" s="387"/>
      <c r="AHT203" s="387"/>
      <c r="AHU203" s="387"/>
      <c r="AHV203" s="387"/>
      <c r="AHW203" s="387"/>
      <c r="AHX203" s="387"/>
      <c r="AHY203" s="387"/>
      <c r="AHZ203" s="387"/>
      <c r="AIA203" s="387"/>
      <c r="AIB203" s="387"/>
      <c r="AIC203" s="387"/>
      <c r="AID203" s="387"/>
      <c r="AIE203" s="387"/>
      <c r="AIF203" s="387"/>
      <c r="AIG203" s="387"/>
      <c r="AIH203" s="387"/>
      <c r="AII203" s="387"/>
      <c r="AIJ203" s="387"/>
      <c r="AIK203" s="387"/>
      <c r="AIL203" s="387"/>
      <c r="AIM203" s="387"/>
      <c r="AIN203" s="387"/>
      <c r="AIO203" s="387"/>
      <c r="AIP203" s="387"/>
      <c r="AIQ203" s="387"/>
      <c r="AIR203" s="387"/>
      <c r="AIS203" s="387"/>
      <c r="AIT203" s="387"/>
      <c r="AIU203" s="387"/>
      <c r="AIV203" s="387"/>
      <c r="AIW203" s="387"/>
      <c r="AIX203" s="387"/>
      <c r="AIY203" s="387"/>
      <c r="AIZ203" s="387"/>
      <c r="AJA203" s="387"/>
      <c r="AJB203" s="387"/>
      <c r="AJC203" s="387"/>
      <c r="AJD203" s="387"/>
      <c r="AJE203" s="387"/>
      <c r="AJF203" s="387"/>
      <c r="AJG203" s="387"/>
      <c r="AJH203" s="387"/>
      <c r="AJI203" s="387"/>
      <c r="AJJ203" s="387"/>
      <c r="AJK203" s="387"/>
      <c r="AJL203" s="387"/>
      <c r="AJM203" s="387"/>
      <c r="AJN203" s="387"/>
      <c r="AJO203" s="387"/>
      <c r="AJP203" s="387"/>
      <c r="AJQ203" s="387"/>
      <c r="AJR203" s="387"/>
      <c r="AJS203" s="387"/>
      <c r="AJT203" s="387"/>
      <c r="AJU203" s="387"/>
      <c r="AJV203" s="387"/>
      <c r="AJW203" s="387"/>
      <c r="AJX203" s="387"/>
      <c r="AJY203" s="387"/>
      <c r="AJZ203" s="387"/>
      <c r="AKA203" s="387"/>
      <c r="AKB203" s="387"/>
      <c r="AKC203" s="387"/>
      <c r="AKD203" s="387"/>
      <c r="AKE203" s="387"/>
      <c r="AKF203" s="387"/>
      <c r="AKG203" s="387"/>
      <c r="AKH203" s="387"/>
      <c r="AKI203" s="387"/>
      <c r="AKJ203" s="387"/>
      <c r="AKK203" s="387"/>
      <c r="AKL203" s="387"/>
      <c r="AKM203" s="387"/>
      <c r="AKN203" s="387"/>
      <c r="AKO203" s="387"/>
      <c r="AKP203" s="387"/>
      <c r="AKQ203" s="387"/>
      <c r="AKR203" s="387"/>
      <c r="AKS203" s="387"/>
      <c r="AKT203" s="387"/>
      <c r="AKU203" s="387"/>
      <c r="AKV203" s="387"/>
      <c r="AKW203" s="387"/>
      <c r="AKX203" s="387"/>
      <c r="AKY203" s="387"/>
      <c r="AKZ203" s="387"/>
      <c r="ALA203" s="387"/>
      <c r="ALB203" s="387"/>
      <c r="ALC203" s="387"/>
      <c r="ALD203" s="387"/>
      <c r="ALE203" s="387"/>
      <c r="ALF203" s="387"/>
      <c r="ALG203" s="387"/>
      <c r="ALH203" s="387"/>
      <c r="ALI203" s="387"/>
      <c r="ALJ203" s="387"/>
      <c r="ALK203" s="387"/>
      <c r="ALL203" s="387"/>
      <c r="ALM203" s="387"/>
      <c r="ALN203" s="387"/>
      <c r="ALO203" s="387"/>
      <c r="ALP203" s="387"/>
      <c r="ALQ203" s="387"/>
      <c r="ALR203" s="387"/>
      <c r="ALS203" s="387"/>
      <c r="ALT203" s="387"/>
      <c r="ALU203" s="387"/>
      <c r="ALV203" s="387"/>
      <c r="ALW203" s="387"/>
      <c r="ALX203" s="387"/>
      <c r="ALY203" s="387"/>
      <c r="ALZ203" s="387"/>
      <c r="AMA203" s="387"/>
      <c r="AMB203" s="387"/>
      <c r="AMC203" s="387"/>
      <c r="AMD203" s="387"/>
      <c r="AME203" s="387"/>
      <c r="AMF203" s="387"/>
      <c r="AMG203" s="387"/>
      <c r="AMH203" s="387"/>
      <c r="AMI203" s="387"/>
      <c r="AMJ203" s="387"/>
      <c r="AMK203" s="387"/>
      <c r="AML203" s="387"/>
      <c r="AMM203" s="387"/>
      <c r="AMN203" s="387"/>
      <c r="AMO203" s="387"/>
      <c r="AMP203" s="387"/>
      <c r="AMQ203" s="387"/>
      <c r="AMR203" s="387"/>
      <c r="AMS203" s="387"/>
      <c r="AMT203" s="387"/>
      <c r="AMU203" s="387"/>
      <c r="AMV203" s="387"/>
      <c r="AMW203" s="387"/>
      <c r="AMX203" s="387"/>
      <c r="AMY203" s="387"/>
      <c r="AMZ203" s="387"/>
      <c r="ANA203" s="387"/>
      <c r="ANB203" s="387"/>
      <c r="ANC203" s="387"/>
      <c r="AND203" s="387"/>
      <c r="ANE203" s="387"/>
      <c r="ANF203" s="387"/>
      <c r="ANG203" s="387"/>
      <c r="ANH203" s="387"/>
      <c r="ANI203" s="387"/>
      <c r="ANJ203" s="387"/>
      <c r="ANK203" s="387"/>
      <c r="ANL203" s="387"/>
      <c r="ANM203" s="387"/>
      <c r="ANN203" s="387"/>
      <c r="ANO203" s="387"/>
      <c r="ANP203" s="387"/>
      <c r="ANQ203" s="387"/>
      <c r="ANR203" s="387"/>
      <c r="ANS203" s="387"/>
      <c r="ANT203" s="387"/>
      <c r="ANU203" s="387"/>
      <c r="ANV203" s="387"/>
      <c r="ANW203" s="387"/>
      <c r="ANX203" s="387"/>
      <c r="ANY203" s="387"/>
      <c r="ANZ203" s="387"/>
      <c r="AOA203" s="387"/>
      <c r="AOB203" s="387"/>
      <c r="AOC203" s="387"/>
      <c r="AOD203" s="387"/>
      <c r="AOE203" s="387"/>
      <c r="AOF203" s="387"/>
      <c r="AOG203" s="387"/>
      <c r="AOH203" s="387"/>
      <c r="AOI203" s="387"/>
      <c r="AOJ203" s="387"/>
      <c r="AOK203" s="387"/>
      <c r="AOL203" s="387"/>
      <c r="AOM203" s="387"/>
      <c r="AON203" s="387"/>
      <c r="AOO203" s="387"/>
      <c r="AOP203" s="387"/>
      <c r="AOQ203" s="387"/>
      <c r="AOR203" s="387"/>
      <c r="AOS203" s="387"/>
      <c r="AOT203" s="387"/>
      <c r="AOU203" s="387"/>
      <c r="AOV203" s="387"/>
      <c r="AOW203" s="387"/>
      <c r="AOX203" s="387"/>
      <c r="AOY203" s="387"/>
      <c r="AOZ203" s="387"/>
      <c r="APA203" s="387"/>
      <c r="APB203" s="387"/>
      <c r="APC203" s="387"/>
      <c r="APD203" s="387"/>
      <c r="APE203" s="387"/>
      <c r="APF203" s="387"/>
      <c r="APG203" s="387"/>
      <c r="APH203" s="387"/>
      <c r="API203" s="387"/>
      <c r="APJ203" s="387"/>
      <c r="APK203" s="387"/>
      <c r="APL203" s="387"/>
      <c r="APM203" s="387"/>
      <c r="APN203" s="387"/>
      <c r="APO203" s="387"/>
      <c r="APP203" s="387"/>
      <c r="APQ203" s="387"/>
      <c r="APR203" s="387"/>
      <c r="APS203" s="387"/>
      <c r="APT203" s="387"/>
      <c r="APU203" s="387"/>
      <c r="APV203" s="387"/>
      <c r="APW203" s="387"/>
      <c r="APX203" s="387"/>
      <c r="APY203" s="387"/>
      <c r="APZ203" s="387"/>
      <c r="AQA203" s="387"/>
      <c r="AQB203" s="387"/>
      <c r="AQC203" s="387"/>
      <c r="AQD203" s="387"/>
      <c r="AQE203" s="387"/>
      <c r="AQF203" s="387"/>
      <c r="AQG203" s="387"/>
      <c r="AQH203" s="387"/>
      <c r="AQI203" s="387"/>
      <c r="AQJ203" s="387"/>
      <c r="AQK203" s="387"/>
      <c r="AQL203" s="387"/>
      <c r="AQM203" s="387"/>
      <c r="AQN203" s="387"/>
      <c r="AQO203" s="387"/>
      <c r="AQP203" s="387"/>
      <c r="AQQ203" s="387"/>
      <c r="AQR203" s="387"/>
      <c r="AQS203" s="387"/>
      <c r="AQT203" s="387"/>
      <c r="AQU203" s="387"/>
      <c r="AQV203" s="387"/>
      <c r="AQW203" s="387"/>
      <c r="AQX203" s="387"/>
      <c r="AQY203" s="387"/>
      <c r="AQZ203" s="387"/>
      <c r="ARA203" s="387"/>
      <c r="ARB203" s="387"/>
      <c r="ARC203" s="387"/>
      <c r="ARD203" s="387"/>
      <c r="ARE203" s="387"/>
      <c r="ARF203" s="387"/>
      <c r="ARG203" s="387"/>
      <c r="ARH203" s="387"/>
      <c r="ARI203" s="387"/>
      <c r="ARJ203" s="387"/>
      <c r="ARK203" s="387"/>
      <c r="ARL203" s="387"/>
      <c r="ARM203" s="387"/>
      <c r="ARN203" s="387"/>
      <c r="ARO203" s="387"/>
      <c r="ARP203" s="387"/>
      <c r="ARQ203" s="387"/>
      <c r="ARR203" s="387"/>
      <c r="ARS203" s="387"/>
      <c r="ART203" s="387"/>
      <c r="ARU203" s="387"/>
      <c r="ARV203" s="387"/>
      <c r="ARW203" s="387"/>
      <c r="ARX203" s="387"/>
      <c r="ARY203" s="387"/>
      <c r="ARZ203" s="387"/>
      <c r="ASA203" s="387"/>
      <c r="ASB203" s="387"/>
      <c r="ASC203" s="387"/>
      <c r="ASD203" s="387"/>
      <c r="ASE203" s="387"/>
      <c r="ASF203" s="387"/>
      <c r="ASG203" s="387"/>
      <c r="ASH203" s="387"/>
      <c r="ASI203" s="387"/>
      <c r="ASJ203" s="387"/>
      <c r="ASK203" s="387"/>
      <c r="ASL203" s="387"/>
      <c r="ASM203" s="387"/>
      <c r="ASN203" s="387"/>
      <c r="ASO203" s="387"/>
      <c r="ASP203" s="387"/>
      <c r="ASQ203" s="387"/>
      <c r="ASR203" s="387"/>
      <c r="ASS203" s="387"/>
      <c r="AST203" s="387"/>
      <c r="ASU203" s="387"/>
      <c r="ASV203" s="387"/>
      <c r="ASW203" s="387"/>
      <c r="ASX203" s="387"/>
      <c r="ASY203" s="387"/>
      <c r="ASZ203" s="387"/>
      <c r="ATA203" s="387"/>
      <c r="ATB203" s="387"/>
      <c r="ATC203" s="387"/>
      <c r="ATD203" s="387"/>
      <c r="ATE203" s="387"/>
      <c r="ATF203" s="387"/>
      <c r="ATG203" s="387"/>
      <c r="ATH203" s="387"/>
      <c r="ATI203" s="387"/>
      <c r="ATJ203" s="387"/>
      <c r="ATK203" s="387"/>
      <c r="ATL203" s="387"/>
      <c r="ATM203" s="387"/>
      <c r="ATN203" s="387"/>
      <c r="ATO203" s="387"/>
      <c r="ATP203" s="387"/>
      <c r="ATQ203" s="387"/>
      <c r="ATR203" s="387"/>
      <c r="ATS203" s="387"/>
      <c r="ATT203" s="387"/>
      <c r="ATU203" s="387"/>
      <c r="ATV203" s="387"/>
      <c r="ATW203" s="387"/>
      <c r="ATX203" s="387"/>
      <c r="ATY203" s="387"/>
      <c r="ATZ203" s="387"/>
      <c r="AUA203" s="387"/>
      <c r="AUB203" s="387"/>
      <c r="AUC203" s="387"/>
      <c r="AUD203" s="387"/>
      <c r="AUE203" s="387"/>
      <c r="AUF203" s="387"/>
      <c r="AUG203" s="387"/>
      <c r="AUH203" s="387"/>
      <c r="AUI203" s="387"/>
      <c r="AUJ203" s="387"/>
      <c r="AUK203" s="387"/>
      <c r="AUL203" s="387"/>
      <c r="AUM203" s="387"/>
      <c r="AUN203" s="387"/>
      <c r="AUO203" s="387"/>
      <c r="AUP203" s="387"/>
      <c r="AUQ203" s="387"/>
      <c r="AUR203" s="387"/>
      <c r="AUS203" s="387"/>
      <c r="AUT203" s="387"/>
      <c r="AUU203" s="387"/>
      <c r="AUV203" s="387"/>
      <c r="AUW203" s="387"/>
      <c r="AUX203" s="387"/>
      <c r="AUY203" s="387"/>
      <c r="AUZ203" s="387"/>
      <c r="AVA203" s="387"/>
      <c r="AVB203" s="387"/>
      <c r="AVC203" s="387"/>
      <c r="AVD203" s="387"/>
      <c r="AVE203" s="387"/>
      <c r="AVF203" s="387"/>
      <c r="AVG203" s="387"/>
      <c r="AVH203" s="387"/>
      <c r="AVI203" s="387"/>
      <c r="AVJ203" s="387"/>
      <c r="AVK203" s="387"/>
      <c r="AVL203" s="387"/>
      <c r="AVM203" s="387"/>
      <c r="AVN203" s="387"/>
      <c r="AVO203" s="387"/>
      <c r="AVP203" s="387"/>
      <c r="AVQ203" s="387"/>
      <c r="AVR203" s="387"/>
      <c r="AVS203" s="387"/>
      <c r="AVT203" s="387"/>
      <c r="AVU203" s="387"/>
      <c r="AVV203" s="387"/>
      <c r="AVW203" s="387"/>
      <c r="AVX203" s="387"/>
      <c r="AVY203" s="387"/>
      <c r="AVZ203" s="387"/>
      <c r="AWA203" s="387"/>
      <c r="AWB203" s="387"/>
      <c r="AWC203" s="387"/>
      <c r="AWD203" s="387"/>
      <c r="AWE203" s="387"/>
      <c r="AWF203" s="387"/>
      <c r="AWG203" s="387"/>
      <c r="AWH203" s="387"/>
      <c r="AWI203" s="387"/>
      <c r="AWJ203" s="387"/>
      <c r="AWK203" s="387"/>
      <c r="AWL203" s="387"/>
      <c r="AWM203" s="387"/>
      <c r="AWN203" s="387"/>
      <c r="AWO203" s="387"/>
      <c r="AWP203" s="387"/>
      <c r="AWQ203" s="387"/>
      <c r="AWR203" s="387"/>
      <c r="AWS203" s="387"/>
      <c r="AWT203" s="387"/>
      <c r="AWU203" s="387"/>
      <c r="AWV203" s="387"/>
      <c r="AWW203" s="387"/>
      <c r="AWX203" s="387"/>
      <c r="AWY203" s="387"/>
      <c r="AWZ203" s="387"/>
      <c r="AXA203" s="387"/>
      <c r="AXB203" s="387"/>
      <c r="AXC203" s="387"/>
      <c r="AXD203" s="387"/>
      <c r="AXE203" s="387"/>
      <c r="AXF203" s="387"/>
      <c r="AXG203" s="387"/>
      <c r="AXH203" s="387"/>
      <c r="AXI203" s="387"/>
      <c r="AXJ203" s="387"/>
      <c r="AXK203" s="387"/>
      <c r="AXL203" s="387"/>
      <c r="AXM203" s="387"/>
      <c r="AXN203" s="387"/>
      <c r="AXO203" s="387"/>
      <c r="AXP203" s="387"/>
      <c r="AXQ203" s="387"/>
      <c r="AXR203" s="387"/>
      <c r="AXS203" s="387"/>
      <c r="AXT203" s="387"/>
      <c r="AXU203" s="387"/>
      <c r="AXV203" s="387"/>
      <c r="AXW203" s="387"/>
      <c r="AXX203" s="387"/>
      <c r="AXY203" s="387"/>
      <c r="AXZ203" s="387"/>
      <c r="AYA203" s="387"/>
      <c r="AYB203" s="387"/>
      <c r="AYC203" s="387"/>
      <c r="AYD203" s="387"/>
      <c r="AYE203" s="387"/>
      <c r="AYF203" s="387"/>
      <c r="AYG203" s="387"/>
      <c r="AYH203" s="387"/>
      <c r="AYI203" s="387"/>
      <c r="AYJ203" s="387"/>
      <c r="AYK203" s="387"/>
      <c r="AYL203" s="387"/>
      <c r="AYM203" s="387"/>
      <c r="AYN203" s="387"/>
      <c r="AYO203" s="387"/>
      <c r="AYP203" s="387"/>
      <c r="AYQ203" s="387"/>
      <c r="AYR203" s="387"/>
      <c r="AYS203" s="387"/>
      <c r="AYT203" s="387"/>
      <c r="AYU203" s="387"/>
      <c r="AYV203" s="387"/>
      <c r="AYW203" s="387"/>
      <c r="AYX203" s="387"/>
      <c r="AYY203" s="387"/>
      <c r="AYZ203" s="387"/>
      <c r="AZA203" s="387"/>
      <c r="AZB203" s="387"/>
      <c r="AZC203" s="387"/>
      <c r="AZD203" s="387"/>
      <c r="AZE203" s="387"/>
      <c r="AZF203" s="387"/>
      <c r="AZG203" s="387"/>
      <c r="AZH203" s="387"/>
      <c r="AZI203" s="387"/>
      <c r="AZJ203" s="387"/>
      <c r="AZK203" s="387"/>
      <c r="AZL203" s="387"/>
      <c r="AZM203" s="387"/>
      <c r="AZN203" s="387"/>
      <c r="AZO203" s="387"/>
      <c r="AZP203" s="387"/>
      <c r="AZQ203" s="387"/>
      <c r="AZR203" s="387"/>
      <c r="AZS203" s="387"/>
      <c r="AZT203" s="387"/>
      <c r="AZU203" s="387"/>
      <c r="AZV203" s="387"/>
      <c r="AZW203" s="387"/>
      <c r="AZX203" s="387"/>
      <c r="AZY203" s="387"/>
      <c r="AZZ203" s="387"/>
      <c r="BAA203" s="387"/>
      <c r="BAB203" s="387"/>
      <c r="BAC203" s="387"/>
      <c r="BAD203" s="387"/>
      <c r="BAE203" s="387"/>
      <c r="BAF203" s="387"/>
      <c r="BAG203" s="387"/>
      <c r="BAH203" s="387"/>
      <c r="BAI203" s="387"/>
      <c r="BAJ203" s="387"/>
      <c r="BAK203" s="387"/>
      <c r="BAL203" s="387"/>
      <c r="BAM203" s="387"/>
      <c r="BAN203" s="387"/>
      <c r="BAO203" s="387"/>
      <c r="BAP203" s="387"/>
      <c r="BAQ203" s="387"/>
      <c r="BAR203" s="387"/>
      <c r="BAS203" s="387"/>
      <c r="BAT203" s="387"/>
      <c r="BAU203" s="387"/>
      <c r="BAV203" s="387"/>
      <c r="BAW203" s="387"/>
      <c r="BAX203" s="387"/>
      <c r="BAY203" s="387"/>
      <c r="BAZ203" s="387"/>
      <c r="BBA203" s="387"/>
      <c r="BBB203" s="387"/>
      <c r="BBC203" s="387"/>
      <c r="BBD203" s="387"/>
      <c r="BBE203" s="387"/>
      <c r="BBF203" s="387"/>
      <c r="BBG203" s="387"/>
      <c r="BBH203" s="387"/>
      <c r="BBI203" s="387"/>
      <c r="BBJ203" s="387"/>
      <c r="BBK203" s="387"/>
      <c r="BBL203" s="387"/>
      <c r="BBM203" s="387"/>
      <c r="BBN203" s="387"/>
      <c r="BBO203" s="387"/>
      <c r="BBP203" s="387"/>
      <c r="BBQ203" s="387"/>
      <c r="BBR203" s="387"/>
      <c r="BBS203" s="387"/>
      <c r="BBT203" s="387"/>
      <c r="BBU203" s="387"/>
      <c r="BBV203" s="387"/>
      <c r="BBW203" s="387"/>
      <c r="BBX203" s="387"/>
      <c r="BBY203" s="387"/>
      <c r="BBZ203" s="387"/>
      <c r="BCA203" s="387"/>
      <c r="BCB203" s="387"/>
      <c r="BCC203" s="387"/>
      <c r="BCD203" s="387"/>
      <c r="BCE203" s="387"/>
      <c r="BCF203" s="387"/>
      <c r="BCG203" s="387"/>
      <c r="BCH203" s="387"/>
      <c r="BCI203" s="387"/>
      <c r="BCJ203" s="387"/>
      <c r="BCK203" s="387"/>
      <c r="BCL203" s="387"/>
      <c r="BCM203" s="387"/>
      <c r="BCN203" s="387"/>
      <c r="BCO203" s="387"/>
      <c r="BCP203" s="387"/>
      <c r="BCQ203" s="387"/>
      <c r="BCR203" s="387"/>
      <c r="BCS203" s="387"/>
      <c r="BCT203" s="387"/>
      <c r="BCU203" s="387"/>
      <c r="BCV203" s="387"/>
      <c r="BCW203" s="387"/>
      <c r="BCX203" s="387"/>
      <c r="BCY203" s="387"/>
      <c r="BCZ203" s="387"/>
      <c r="BDA203" s="387"/>
      <c r="BDB203" s="387"/>
      <c r="BDC203" s="387"/>
      <c r="BDD203" s="387"/>
      <c r="BDE203" s="387"/>
      <c r="BDF203" s="387"/>
      <c r="BDG203" s="387"/>
      <c r="BDH203" s="387"/>
      <c r="BDI203" s="387"/>
      <c r="BDJ203" s="387"/>
      <c r="BDK203" s="387"/>
      <c r="BDL203" s="387"/>
      <c r="BDM203" s="387"/>
      <c r="BDN203" s="387"/>
      <c r="BDO203" s="387"/>
      <c r="BDP203" s="387"/>
      <c r="BDQ203" s="387"/>
      <c r="BDR203" s="387"/>
      <c r="BDS203" s="387"/>
      <c r="BDT203" s="387"/>
      <c r="BDU203" s="387"/>
      <c r="BDV203" s="387"/>
      <c r="BDW203" s="387"/>
      <c r="BDX203" s="387"/>
      <c r="BDY203" s="387"/>
      <c r="BDZ203" s="387"/>
      <c r="BEA203" s="387"/>
      <c r="BEB203" s="387"/>
      <c r="BEC203" s="387"/>
      <c r="BED203" s="387"/>
      <c r="BEE203" s="387"/>
      <c r="BEF203" s="387"/>
      <c r="BEG203" s="387"/>
      <c r="BEH203" s="387"/>
      <c r="BEI203" s="387"/>
      <c r="BEJ203" s="387"/>
      <c r="BEK203" s="387"/>
      <c r="BEL203" s="387"/>
      <c r="BEM203" s="387"/>
      <c r="BEN203" s="387"/>
      <c r="BEO203" s="387"/>
      <c r="BEP203" s="387"/>
      <c r="BEQ203" s="387"/>
      <c r="BER203" s="387"/>
      <c r="BES203" s="387"/>
      <c r="BET203" s="387"/>
      <c r="BEU203" s="387"/>
      <c r="BEV203" s="387"/>
      <c r="BEW203" s="387"/>
      <c r="BEX203" s="387"/>
      <c r="BEY203" s="387"/>
      <c r="BEZ203" s="387"/>
      <c r="BFA203" s="387"/>
      <c r="BFB203" s="387"/>
      <c r="BFC203" s="387"/>
      <c r="BFD203" s="387"/>
      <c r="BFE203" s="387"/>
      <c r="BFF203" s="387"/>
      <c r="BFG203" s="387"/>
      <c r="BFH203" s="387"/>
      <c r="BFI203" s="387"/>
      <c r="BFJ203" s="387"/>
      <c r="BFK203" s="387"/>
      <c r="BFL203" s="387"/>
      <c r="BFM203" s="387"/>
      <c r="BFN203" s="387"/>
      <c r="BFO203" s="387"/>
      <c r="BFP203" s="387"/>
      <c r="BFQ203" s="387"/>
      <c r="BFR203" s="387"/>
      <c r="BFS203" s="387"/>
      <c r="BFT203" s="387"/>
      <c r="BFU203" s="387"/>
      <c r="BFV203" s="387"/>
      <c r="BFW203" s="387"/>
      <c r="BFX203" s="387"/>
      <c r="BFY203" s="387"/>
      <c r="BFZ203" s="387"/>
      <c r="BGA203" s="387"/>
      <c r="BGB203" s="387"/>
      <c r="BGC203" s="387"/>
      <c r="BGD203" s="387"/>
      <c r="BGE203" s="387"/>
      <c r="BGF203" s="387"/>
      <c r="BGG203" s="387"/>
      <c r="BGH203" s="387"/>
      <c r="BGI203" s="387"/>
      <c r="BGJ203" s="387"/>
      <c r="BGK203" s="387"/>
      <c r="BGL203" s="387"/>
      <c r="BGM203" s="387"/>
      <c r="BGN203" s="387"/>
      <c r="BGO203" s="387"/>
      <c r="BGP203" s="387"/>
      <c r="BGQ203" s="387"/>
      <c r="BGR203" s="387"/>
      <c r="BGS203" s="387"/>
      <c r="BGT203" s="387"/>
      <c r="BGU203" s="387"/>
      <c r="BGV203" s="387"/>
      <c r="BGW203" s="387"/>
      <c r="BGX203" s="387"/>
      <c r="BGY203" s="387"/>
      <c r="BGZ203" s="387"/>
      <c r="BHA203" s="387"/>
      <c r="BHB203" s="387"/>
      <c r="BHC203" s="387"/>
      <c r="BHD203" s="387"/>
      <c r="BHE203" s="387"/>
      <c r="BHF203" s="387"/>
      <c r="BHG203" s="387"/>
      <c r="BHH203" s="387"/>
      <c r="BHI203" s="387"/>
      <c r="BHJ203" s="387"/>
      <c r="BHK203" s="387"/>
      <c r="BHL203" s="387"/>
      <c r="BHM203" s="387"/>
      <c r="BHN203" s="387"/>
      <c r="BHO203" s="387"/>
      <c r="BHP203" s="387"/>
      <c r="BHQ203" s="387"/>
      <c r="BHR203" s="387"/>
      <c r="BHS203" s="387"/>
      <c r="BHT203" s="387"/>
      <c r="BHU203" s="387"/>
      <c r="BHV203" s="387"/>
      <c r="BHW203" s="387"/>
      <c r="BHX203" s="387"/>
      <c r="BHY203" s="387"/>
      <c r="BHZ203" s="387"/>
      <c r="BIA203" s="387"/>
      <c r="BIB203" s="387"/>
      <c r="BIC203" s="387"/>
      <c r="BID203" s="387"/>
      <c r="BIE203" s="387"/>
      <c r="BIF203" s="387"/>
      <c r="BIG203" s="387"/>
      <c r="BIH203" s="387"/>
      <c r="BII203" s="387"/>
      <c r="BIJ203" s="387"/>
      <c r="BIK203" s="387"/>
      <c r="BIL203" s="387"/>
      <c r="BIM203" s="387"/>
      <c r="BIN203" s="387"/>
      <c r="BIO203" s="387"/>
      <c r="BIP203" s="387"/>
      <c r="BIQ203" s="387"/>
      <c r="BIR203" s="387"/>
      <c r="BIS203" s="387"/>
      <c r="BIT203" s="387"/>
      <c r="BIU203" s="387"/>
      <c r="BIV203" s="387"/>
      <c r="BIW203" s="387"/>
      <c r="BIX203" s="387"/>
      <c r="BIY203" s="387"/>
      <c r="BIZ203" s="387"/>
      <c r="BJA203" s="387"/>
      <c r="BJB203" s="387"/>
      <c r="BJC203" s="387"/>
      <c r="BJD203" s="387"/>
      <c r="BJE203" s="387"/>
      <c r="BJF203" s="387"/>
      <c r="BJG203" s="387"/>
      <c r="BJH203" s="387"/>
      <c r="BJI203" s="387"/>
      <c r="BJJ203" s="387"/>
      <c r="BJK203" s="387"/>
      <c r="BJL203" s="387"/>
      <c r="BJM203" s="387"/>
      <c r="BJN203" s="387"/>
      <c r="BJO203" s="387"/>
      <c r="BJP203" s="387"/>
      <c r="BJQ203" s="387"/>
      <c r="BJR203" s="387"/>
      <c r="BJS203" s="387"/>
      <c r="BJT203" s="387"/>
      <c r="BJU203" s="387"/>
      <c r="BJV203" s="387"/>
      <c r="BJW203" s="387"/>
      <c r="BJX203" s="387"/>
      <c r="BJY203" s="387"/>
      <c r="BJZ203" s="387"/>
      <c r="BKA203" s="387"/>
      <c r="BKB203" s="387"/>
      <c r="BKC203" s="387"/>
      <c r="BKD203" s="387"/>
      <c r="BKE203" s="387"/>
      <c r="BKF203" s="387"/>
      <c r="BKG203" s="387"/>
      <c r="BKH203" s="387"/>
      <c r="BKI203" s="387"/>
      <c r="BKJ203" s="387"/>
      <c r="BKK203" s="387"/>
      <c r="BKL203" s="387"/>
      <c r="BKM203" s="387"/>
      <c r="BKN203" s="387"/>
      <c r="BKO203" s="387"/>
      <c r="BKP203" s="387"/>
      <c r="BKQ203" s="387"/>
      <c r="BKR203" s="387"/>
      <c r="BKS203" s="387"/>
      <c r="BKT203" s="387"/>
      <c r="BKU203" s="387"/>
      <c r="BKV203" s="387"/>
      <c r="BKW203" s="387"/>
      <c r="BKX203" s="387"/>
      <c r="BKY203" s="387"/>
      <c r="BKZ203" s="387"/>
      <c r="BLA203" s="387"/>
      <c r="BLB203" s="387"/>
      <c r="BLC203" s="387"/>
      <c r="BLD203" s="387"/>
      <c r="BLE203" s="387"/>
      <c r="BLF203" s="387"/>
      <c r="BLG203" s="387"/>
      <c r="BLH203" s="387"/>
      <c r="BLI203" s="387"/>
      <c r="BLJ203" s="387"/>
      <c r="BLK203" s="387"/>
      <c r="BLL203" s="387"/>
      <c r="BLM203" s="387"/>
      <c r="BLN203" s="387"/>
      <c r="BLO203" s="387"/>
      <c r="BLP203" s="387"/>
      <c r="BLQ203" s="387"/>
      <c r="BLR203" s="387"/>
      <c r="BLS203" s="387"/>
      <c r="BLT203" s="387"/>
      <c r="BLU203" s="387"/>
      <c r="BLV203" s="387"/>
      <c r="BLW203" s="387"/>
      <c r="BLX203" s="387"/>
      <c r="BLY203" s="387"/>
      <c r="BLZ203" s="387"/>
      <c r="BMA203" s="387"/>
      <c r="BMB203" s="387"/>
      <c r="BMC203" s="387"/>
      <c r="BMD203" s="387"/>
      <c r="BME203" s="387"/>
      <c r="BMF203" s="387"/>
      <c r="BMG203" s="387"/>
      <c r="BMH203" s="387"/>
      <c r="BMI203" s="387"/>
      <c r="BMJ203" s="387"/>
      <c r="BMK203" s="387"/>
      <c r="BML203" s="387"/>
      <c r="BMM203" s="387"/>
      <c r="BMN203" s="387"/>
      <c r="BMO203" s="387"/>
      <c r="BMP203" s="387"/>
      <c r="BMQ203" s="387"/>
      <c r="BMR203" s="387"/>
      <c r="BMS203" s="387"/>
      <c r="BMT203" s="387"/>
      <c r="BMU203" s="387"/>
      <c r="BMV203" s="387"/>
      <c r="BMW203" s="387"/>
      <c r="BMX203" s="387"/>
      <c r="BMY203" s="387"/>
      <c r="BMZ203" s="387"/>
      <c r="BNA203" s="387"/>
      <c r="BNB203" s="387"/>
      <c r="BNC203" s="387"/>
      <c r="BND203" s="387"/>
      <c r="BNE203" s="387"/>
      <c r="BNF203" s="387"/>
      <c r="BNG203" s="387"/>
      <c r="BNH203" s="387"/>
      <c r="BNI203" s="387"/>
      <c r="BNJ203" s="387"/>
      <c r="BNK203" s="387"/>
      <c r="BNL203" s="387"/>
      <c r="BNM203" s="387"/>
      <c r="BNN203" s="387"/>
      <c r="BNO203" s="387"/>
      <c r="BNP203" s="387"/>
      <c r="BNQ203" s="387"/>
      <c r="BNR203" s="387"/>
      <c r="BNS203" s="387"/>
      <c r="BNT203" s="387"/>
      <c r="BNU203" s="387"/>
      <c r="BNV203" s="387"/>
      <c r="BNW203" s="387"/>
      <c r="BNX203" s="387"/>
      <c r="BNY203" s="387"/>
      <c r="BNZ203" s="387"/>
      <c r="BOA203" s="387"/>
      <c r="BOB203" s="387"/>
      <c r="BOC203" s="387"/>
      <c r="BOD203" s="387"/>
      <c r="BOE203" s="387"/>
      <c r="BOF203" s="387"/>
      <c r="BOG203" s="387"/>
      <c r="BOH203" s="387"/>
      <c r="BOI203" s="387"/>
      <c r="BOJ203" s="387"/>
      <c r="BOK203" s="387"/>
      <c r="BOL203" s="387"/>
      <c r="BOM203" s="387"/>
      <c r="BON203" s="387"/>
      <c r="BOO203" s="387"/>
      <c r="BOP203" s="387"/>
      <c r="BOQ203" s="387"/>
      <c r="BOR203" s="387"/>
      <c r="BOS203" s="387"/>
      <c r="BOT203" s="387"/>
      <c r="BOU203" s="387"/>
      <c r="BOV203" s="387"/>
      <c r="BOW203" s="387"/>
      <c r="BOX203" s="387"/>
      <c r="BOY203" s="387"/>
      <c r="BOZ203" s="387"/>
      <c r="BPA203" s="387"/>
      <c r="BPB203" s="387"/>
      <c r="BPC203" s="387"/>
      <c r="BPD203" s="387"/>
      <c r="BPE203" s="387"/>
      <c r="BPF203" s="387"/>
      <c r="BPG203" s="387"/>
      <c r="BPH203" s="387"/>
      <c r="BPI203" s="387"/>
      <c r="BPJ203" s="387"/>
      <c r="BPK203" s="387"/>
      <c r="BPL203" s="387"/>
      <c r="BPM203" s="387"/>
      <c r="BPN203" s="387"/>
      <c r="BPO203" s="387"/>
      <c r="BPP203" s="387"/>
      <c r="BPQ203" s="387"/>
      <c r="BPR203" s="387"/>
      <c r="BPS203" s="387"/>
      <c r="BPT203" s="387"/>
      <c r="BPU203" s="387"/>
      <c r="BPV203" s="387"/>
      <c r="BPW203" s="387"/>
      <c r="BPX203" s="387"/>
      <c r="BPY203" s="387"/>
      <c r="BPZ203" s="387"/>
      <c r="BQA203" s="387"/>
      <c r="BQB203" s="387"/>
      <c r="BQC203" s="387"/>
      <c r="BQD203" s="387"/>
      <c r="BQE203" s="387"/>
      <c r="BQF203" s="387"/>
      <c r="BQG203" s="387"/>
      <c r="BQH203" s="387"/>
      <c r="BQI203" s="387"/>
      <c r="BQJ203" s="387"/>
      <c r="BQK203" s="387"/>
      <c r="BQL203" s="387"/>
      <c r="BQM203" s="387"/>
      <c r="BQN203" s="387"/>
      <c r="BQO203" s="387"/>
      <c r="BQP203" s="387"/>
      <c r="BQQ203" s="387"/>
      <c r="BQR203" s="387"/>
      <c r="BQS203" s="387"/>
      <c r="BQT203" s="387"/>
      <c r="BQU203" s="387"/>
      <c r="BQV203" s="387"/>
      <c r="BQW203" s="387"/>
      <c r="BQX203" s="387"/>
      <c r="BQY203" s="387"/>
      <c r="BQZ203" s="387"/>
      <c r="BRA203" s="387"/>
      <c r="BRB203" s="387"/>
      <c r="BRC203" s="387"/>
      <c r="BRD203" s="387"/>
      <c r="BRE203" s="387"/>
      <c r="BRF203" s="387"/>
      <c r="BRG203" s="387"/>
      <c r="BRH203" s="387"/>
      <c r="BRI203" s="387"/>
      <c r="BRJ203" s="387"/>
      <c r="BRK203" s="387"/>
      <c r="BRL203" s="387"/>
      <c r="BRM203" s="387"/>
      <c r="BRN203" s="387"/>
      <c r="BRO203" s="387"/>
      <c r="BRP203" s="387"/>
      <c r="BRQ203" s="387"/>
      <c r="BRR203" s="387"/>
      <c r="BRS203" s="387"/>
      <c r="BRT203" s="387"/>
      <c r="BRU203" s="387"/>
      <c r="BRV203" s="387"/>
      <c r="BRW203" s="387"/>
      <c r="BRX203" s="387"/>
      <c r="BRY203" s="387"/>
      <c r="BRZ203" s="387"/>
      <c r="BSA203" s="387"/>
      <c r="BSB203" s="387"/>
      <c r="BSC203" s="387"/>
      <c r="BSD203" s="387"/>
      <c r="BSE203" s="387"/>
      <c r="BSF203" s="387"/>
      <c r="BSG203" s="387"/>
      <c r="BSH203" s="387"/>
      <c r="BSI203" s="387"/>
      <c r="BSJ203" s="387"/>
      <c r="BSK203" s="387"/>
      <c r="BSL203" s="387"/>
      <c r="BSM203" s="387"/>
      <c r="BSN203" s="387"/>
      <c r="BSO203" s="387"/>
      <c r="BSP203" s="387"/>
      <c r="BSQ203" s="387"/>
      <c r="BSR203" s="387"/>
      <c r="BSS203" s="387"/>
      <c r="BST203" s="387"/>
      <c r="BSU203" s="387"/>
      <c r="BSV203" s="387"/>
      <c r="BSW203" s="387"/>
      <c r="BSX203" s="387"/>
      <c r="BSY203" s="387"/>
      <c r="BSZ203" s="387"/>
      <c r="BTA203" s="387"/>
      <c r="BTB203" s="387"/>
      <c r="BTC203" s="387"/>
      <c r="BTD203" s="387"/>
      <c r="BTE203" s="387"/>
      <c r="BTF203" s="387"/>
      <c r="BTG203" s="387"/>
      <c r="BTH203" s="387"/>
      <c r="BTI203" s="387"/>
    </row>
    <row r="204" spans="1:1881" s="384" customFormat="1" ht="81.75" customHeight="1" x14ac:dyDescent="0.25">
      <c r="A204" s="186">
        <v>598</v>
      </c>
      <c r="B204" s="148" t="s">
        <v>82</v>
      </c>
      <c r="C204" s="180" t="s">
        <v>536</v>
      </c>
      <c r="D204" s="227" t="s">
        <v>638</v>
      </c>
      <c r="E204" s="683" t="e">
        <f>HLOOKUP('Unit Data from Audit Worksheet'!$D$2,'2019 Data(H)'!$D$1:$BB$202,178,FALSE)</f>
        <v>#N/A</v>
      </c>
      <c r="F204" s="560"/>
      <c r="G204" s="552">
        <f>IF(F204&lt;0,"Error: Enter as positive.",)</f>
        <v>0</v>
      </c>
      <c r="H204" s="68"/>
      <c r="I204" s="16"/>
      <c r="J204" s="362"/>
      <c r="K204" s="387"/>
      <c r="L204" s="387"/>
      <c r="M204" s="387"/>
      <c r="N204"/>
      <c r="O204" s="387"/>
      <c r="P204" s="387"/>
      <c r="Q204" s="387"/>
      <c r="R204"/>
      <c r="S204" s="682"/>
      <c r="T204" s="387"/>
      <c r="U204" s="387"/>
      <c r="V204" s="387"/>
      <c r="W204" s="387"/>
      <c r="X204" s="682"/>
      <c r="Y204" s="387"/>
      <c r="Z204" s="387"/>
      <c r="AA204" s="387"/>
      <c r="AB204" s="387"/>
      <c r="AC204" s="387"/>
      <c r="AD204" s="387"/>
      <c r="AE204" s="387"/>
      <c r="AF204" s="387"/>
      <c r="AG204" s="387"/>
      <c r="AH204" s="387"/>
      <c r="AI204" s="387"/>
      <c r="AJ204" s="387"/>
      <c r="AK204" s="387"/>
      <c r="AL204" s="387"/>
      <c r="AM204" s="387"/>
      <c r="AN204" s="387"/>
      <c r="AO204" s="387"/>
      <c r="AP204" s="387"/>
      <c r="AQ204" s="387"/>
      <c r="AR204" s="387"/>
      <c r="AS204" s="387"/>
      <c r="AT204" s="387"/>
      <c r="AU204" s="387"/>
      <c r="AV204" s="387"/>
      <c r="AW204" s="387"/>
      <c r="AX204" s="387"/>
      <c r="AY204" s="387"/>
      <c r="AZ204" s="387"/>
      <c r="BA204" s="387"/>
      <c r="BB204" s="387"/>
      <c r="BC204" s="387"/>
      <c r="BD204" s="387"/>
      <c r="BE204" s="387"/>
      <c r="BF204" s="387"/>
      <c r="BG204" s="387"/>
      <c r="BH204" s="387"/>
      <c r="BI204" s="387"/>
      <c r="BJ204" s="387"/>
      <c r="BK204" s="387"/>
      <c r="BL204" s="387"/>
      <c r="BM204" s="387"/>
      <c r="BN204" s="387"/>
      <c r="BO204" s="387"/>
      <c r="BP204" s="387"/>
      <c r="BQ204" s="387"/>
      <c r="BR204" s="387"/>
      <c r="BS204" s="387"/>
      <c r="BT204" s="387"/>
      <c r="BU204" s="387"/>
      <c r="BV204" s="387"/>
      <c r="BW204" s="387"/>
      <c r="BX204" s="387"/>
      <c r="BY204" s="387"/>
      <c r="BZ204" s="387"/>
      <c r="CA204" s="387"/>
      <c r="CB204" s="387"/>
      <c r="CC204" s="387"/>
      <c r="CD204" s="387"/>
      <c r="CE204" s="387"/>
      <c r="CF204" s="387"/>
      <c r="CG204" s="387"/>
      <c r="CH204" s="387"/>
      <c r="CI204" s="387"/>
      <c r="CJ204" s="387"/>
      <c r="CK204" s="387"/>
      <c r="CL204" s="387"/>
      <c r="CM204" s="387"/>
      <c r="CN204" s="387"/>
      <c r="CO204" s="387"/>
      <c r="CP204" s="387"/>
      <c r="CQ204" s="387"/>
      <c r="CR204" s="387"/>
      <c r="CS204" s="387"/>
      <c r="CT204" s="387"/>
      <c r="CU204" s="387"/>
      <c r="CV204" s="387"/>
      <c r="CW204" s="387"/>
      <c r="CX204" s="387"/>
      <c r="CY204" s="387"/>
      <c r="CZ204" s="387"/>
      <c r="DA204" s="387"/>
      <c r="DB204" s="387"/>
      <c r="DC204" s="387"/>
      <c r="DD204" s="387"/>
      <c r="DE204" s="387"/>
      <c r="DF204" s="387"/>
      <c r="DG204" s="387"/>
      <c r="DH204" s="387"/>
      <c r="DI204" s="387"/>
      <c r="DJ204" s="387"/>
      <c r="DK204" s="387"/>
      <c r="DL204" s="387"/>
      <c r="DM204" s="387"/>
      <c r="DN204" s="387"/>
      <c r="DO204" s="387"/>
      <c r="DP204" s="387"/>
      <c r="DQ204" s="387"/>
      <c r="DR204" s="387"/>
      <c r="DS204" s="387"/>
      <c r="DT204" s="387"/>
      <c r="DU204" s="387"/>
      <c r="DV204" s="387"/>
      <c r="DW204" s="387"/>
      <c r="DX204" s="387"/>
      <c r="DY204" s="387"/>
      <c r="DZ204" s="387"/>
      <c r="EA204" s="387"/>
      <c r="EB204" s="387"/>
      <c r="EC204" s="387"/>
      <c r="ED204" s="387"/>
      <c r="EE204" s="387"/>
      <c r="EF204" s="387"/>
      <c r="EG204" s="387"/>
      <c r="EH204" s="387"/>
      <c r="EI204" s="387"/>
      <c r="EJ204" s="387"/>
      <c r="EK204" s="387"/>
      <c r="EL204" s="387"/>
      <c r="EM204" s="387"/>
      <c r="EN204" s="387"/>
      <c r="EO204" s="387"/>
      <c r="EP204" s="387"/>
      <c r="EQ204" s="387"/>
      <c r="ER204" s="387"/>
      <c r="ES204" s="387"/>
      <c r="ET204" s="387"/>
      <c r="EU204" s="387"/>
      <c r="EV204" s="387"/>
      <c r="EW204" s="387"/>
      <c r="EX204" s="387"/>
      <c r="EY204" s="387"/>
      <c r="EZ204" s="387"/>
      <c r="FA204" s="387"/>
      <c r="FB204" s="387"/>
      <c r="FC204" s="387"/>
      <c r="FD204" s="387"/>
      <c r="FE204" s="387"/>
      <c r="FF204" s="387"/>
      <c r="FG204" s="387"/>
      <c r="FH204" s="387"/>
      <c r="FI204" s="387"/>
      <c r="FJ204" s="387"/>
      <c r="FK204" s="387"/>
      <c r="FL204" s="387"/>
      <c r="FM204" s="387"/>
      <c r="FN204" s="387"/>
      <c r="FO204" s="387"/>
      <c r="FP204" s="387"/>
      <c r="FQ204" s="387"/>
      <c r="FR204" s="387"/>
      <c r="FS204" s="387"/>
      <c r="FT204" s="387"/>
      <c r="FU204" s="387"/>
      <c r="FV204" s="387"/>
      <c r="FW204" s="387"/>
      <c r="FX204" s="387"/>
      <c r="FY204" s="387"/>
      <c r="FZ204" s="387"/>
      <c r="GA204" s="387"/>
      <c r="GB204" s="387"/>
      <c r="GC204" s="387"/>
      <c r="GD204" s="387"/>
      <c r="GE204" s="387"/>
      <c r="GF204" s="387"/>
      <c r="GG204" s="387"/>
      <c r="GH204" s="387"/>
      <c r="GI204" s="387"/>
      <c r="GJ204" s="387"/>
      <c r="GK204" s="387"/>
      <c r="GL204" s="387"/>
      <c r="GM204" s="387"/>
      <c r="GN204" s="387"/>
      <c r="GO204" s="387"/>
      <c r="GP204" s="387"/>
      <c r="GQ204" s="387"/>
      <c r="GR204" s="387"/>
      <c r="GS204" s="387"/>
      <c r="GT204" s="387"/>
      <c r="GU204" s="387"/>
      <c r="GV204" s="387"/>
      <c r="GW204" s="387"/>
      <c r="GX204" s="387"/>
      <c r="GY204" s="387"/>
      <c r="GZ204" s="387"/>
      <c r="HA204" s="387"/>
      <c r="HB204" s="387"/>
      <c r="HC204" s="387"/>
      <c r="HD204" s="387"/>
      <c r="HE204" s="387"/>
      <c r="HF204" s="387"/>
      <c r="HG204" s="387"/>
      <c r="HH204" s="387"/>
      <c r="HI204" s="387"/>
      <c r="HJ204" s="387"/>
      <c r="HK204" s="387"/>
      <c r="HL204" s="387"/>
      <c r="HM204" s="387"/>
      <c r="HN204" s="387"/>
      <c r="HO204" s="387"/>
      <c r="HP204" s="387"/>
      <c r="HQ204" s="387"/>
      <c r="HR204" s="387"/>
      <c r="HS204" s="387"/>
      <c r="HT204" s="387"/>
      <c r="HU204" s="387"/>
      <c r="HV204" s="387"/>
      <c r="HW204" s="387"/>
      <c r="HX204" s="387"/>
      <c r="HY204" s="387"/>
      <c r="HZ204" s="387"/>
      <c r="IA204" s="387"/>
      <c r="IB204" s="387"/>
      <c r="IC204" s="387"/>
      <c r="ID204" s="387"/>
      <c r="IE204" s="387"/>
      <c r="IF204" s="387"/>
      <c r="IG204" s="387"/>
      <c r="IH204" s="387"/>
      <c r="II204" s="387"/>
      <c r="IJ204" s="387"/>
      <c r="IK204" s="387"/>
      <c r="IL204" s="387"/>
      <c r="IM204" s="387"/>
      <c r="IN204" s="387"/>
      <c r="IO204" s="387"/>
      <c r="IP204" s="387"/>
      <c r="IQ204" s="387"/>
      <c r="IR204" s="387"/>
      <c r="IS204" s="387"/>
      <c r="IT204" s="387"/>
      <c r="IU204" s="387"/>
      <c r="IV204" s="387"/>
      <c r="IW204" s="387"/>
      <c r="IX204" s="387"/>
      <c r="IY204" s="387"/>
      <c r="IZ204" s="387"/>
      <c r="JA204" s="387"/>
      <c r="JB204" s="387"/>
      <c r="JC204" s="387"/>
      <c r="JD204" s="387"/>
      <c r="JE204" s="387"/>
      <c r="JF204" s="387"/>
      <c r="JG204" s="387"/>
      <c r="JH204" s="387"/>
      <c r="JI204" s="387"/>
      <c r="JJ204" s="387"/>
      <c r="JK204" s="387"/>
      <c r="JL204" s="387"/>
      <c r="JM204" s="387"/>
      <c r="JN204" s="387"/>
      <c r="JO204" s="387"/>
      <c r="JP204" s="387"/>
      <c r="JQ204" s="387"/>
      <c r="JR204" s="387"/>
      <c r="JS204" s="387"/>
      <c r="JT204" s="387"/>
      <c r="JU204" s="387"/>
      <c r="JV204" s="387"/>
      <c r="JW204" s="387"/>
      <c r="JX204" s="387"/>
      <c r="JY204" s="387"/>
      <c r="JZ204" s="387"/>
      <c r="KA204" s="387"/>
      <c r="KB204" s="387"/>
      <c r="KC204" s="387"/>
      <c r="KD204" s="387"/>
      <c r="KE204" s="387"/>
      <c r="KF204" s="387"/>
      <c r="KG204" s="387"/>
      <c r="KH204" s="387"/>
      <c r="KI204" s="387"/>
      <c r="KJ204" s="387"/>
      <c r="KK204" s="387"/>
      <c r="KL204" s="387"/>
      <c r="KM204" s="387"/>
      <c r="KN204" s="387"/>
      <c r="KO204" s="387"/>
      <c r="KP204" s="387"/>
      <c r="KQ204" s="387"/>
      <c r="KR204" s="387"/>
      <c r="KS204" s="387"/>
      <c r="KT204" s="387"/>
      <c r="KU204" s="387"/>
      <c r="KV204" s="387"/>
      <c r="KW204" s="387"/>
      <c r="KX204" s="387"/>
      <c r="KY204" s="387"/>
      <c r="KZ204" s="387"/>
      <c r="LA204" s="387"/>
      <c r="LB204" s="387"/>
      <c r="LC204" s="387"/>
      <c r="LD204" s="387"/>
      <c r="LE204" s="387"/>
      <c r="LF204" s="387"/>
      <c r="LG204" s="387"/>
      <c r="LH204" s="387"/>
      <c r="LI204" s="387"/>
      <c r="LJ204" s="387"/>
      <c r="LK204" s="387"/>
      <c r="LL204" s="387"/>
      <c r="LM204" s="387"/>
      <c r="LN204" s="387"/>
      <c r="LO204" s="387"/>
      <c r="LP204" s="387"/>
      <c r="LQ204" s="387"/>
      <c r="LR204" s="387"/>
      <c r="LS204" s="387"/>
      <c r="LT204" s="387"/>
      <c r="LU204" s="387"/>
      <c r="LV204" s="387"/>
      <c r="LW204" s="387"/>
      <c r="LX204" s="387"/>
      <c r="LY204" s="387"/>
      <c r="LZ204" s="387"/>
      <c r="MA204" s="387"/>
      <c r="MB204" s="387"/>
      <c r="MC204" s="387"/>
      <c r="MD204" s="387"/>
      <c r="ME204" s="387"/>
      <c r="MF204" s="387"/>
      <c r="MG204" s="387"/>
      <c r="MH204" s="387"/>
      <c r="MI204" s="387"/>
      <c r="MJ204" s="387"/>
      <c r="MK204" s="387"/>
      <c r="ML204" s="387"/>
      <c r="MM204" s="387"/>
      <c r="MN204" s="387"/>
      <c r="MO204" s="387"/>
      <c r="MP204" s="387"/>
      <c r="MQ204" s="387"/>
      <c r="MR204" s="387"/>
      <c r="MS204" s="387"/>
      <c r="MT204" s="387"/>
      <c r="MU204" s="387"/>
      <c r="MV204" s="387"/>
      <c r="MW204" s="387"/>
      <c r="MX204" s="387"/>
      <c r="MY204" s="387"/>
      <c r="MZ204" s="387"/>
      <c r="NA204" s="387"/>
      <c r="NB204" s="387"/>
      <c r="NC204" s="387"/>
      <c r="ND204" s="387"/>
      <c r="NE204" s="387"/>
      <c r="NF204" s="387"/>
      <c r="NG204" s="387"/>
      <c r="NH204" s="387"/>
      <c r="NI204" s="387"/>
      <c r="NJ204" s="387"/>
      <c r="NK204" s="387"/>
      <c r="NL204" s="387"/>
      <c r="NM204" s="387"/>
      <c r="NN204" s="387"/>
      <c r="NO204" s="387"/>
      <c r="NP204" s="387"/>
      <c r="NQ204" s="387"/>
      <c r="NR204" s="387"/>
      <c r="NS204" s="387"/>
      <c r="NT204" s="387"/>
      <c r="NU204" s="387"/>
      <c r="NV204" s="387"/>
      <c r="NW204" s="387"/>
      <c r="NX204" s="387"/>
      <c r="NY204" s="387"/>
      <c r="NZ204" s="387"/>
      <c r="OA204" s="387"/>
      <c r="OB204" s="387"/>
      <c r="OC204" s="387"/>
      <c r="OD204" s="387"/>
      <c r="OE204" s="387"/>
      <c r="OF204" s="387"/>
      <c r="OG204" s="387"/>
      <c r="OH204" s="387"/>
      <c r="OI204" s="387"/>
      <c r="OJ204" s="387"/>
      <c r="OK204" s="387"/>
      <c r="OL204" s="387"/>
      <c r="OM204" s="387"/>
      <c r="ON204" s="387"/>
      <c r="OO204" s="387"/>
      <c r="OP204" s="387"/>
      <c r="OQ204" s="387"/>
      <c r="OR204" s="387"/>
      <c r="OS204" s="387"/>
      <c r="OT204" s="387"/>
      <c r="OU204" s="387"/>
      <c r="OV204" s="387"/>
      <c r="OW204" s="387"/>
      <c r="OX204" s="387"/>
      <c r="OY204" s="387"/>
      <c r="OZ204" s="387"/>
      <c r="PA204" s="387"/>
      <c r="PB204" s="387"/>
      <c r="PC204" s="387"/>
      <c r="PD204" s="387"/>
      <c r="PE204" s="387"/>
      <c r="PF204" s="387"/>
      <c r="PG204" s="387"/>
      <c r="PH204" s="387"/>
      <c r="PI204" s="387"/>
      <c r="PJ204" s="387"/>
      <c r="PK204" s="387"/>
      <c r="PL204" s="387"/>
      <c r="PM204" s="387"/>
      <c r="PN204" s="387"/>
      <c r="PO204" s="387"/>
      <c r="PP204" s="387"/>
      <c r="PQ204" s="387"/>
      <c r="PR204" s="387"/>
      <c r="PS204" s="387"/>
      <c r="PT204" s="387"/>
      <c r="PU204" s="387"/>
      <c r="PV204" s="387"/>
      <c r="PW204" s="387"/>
      <c r="PX204" s="387"/>
      <c r="PY204" s="387"/>
      <c r="PZ204" s="387"/>
      <c r="QA204" s="387"/>
      <c r="QB204" s="387"/>
      <c r="QC204" s="387"/>
      <c r="QD204" s="387"/>
      <c r="QE204" s="387"/>
      <c r="QF204" s="387"/>
      <c r="QG204" s="387"/>
      <c r="QH204" s="387"/>
      <c r="QI204" s="387"/>
      <c r="QJ204" s="387"/>
      <c r="QK204" s="387"/>
      <c r="QL204" s="387"/>
      <c r="QM204" s="387"/>
      <c r="QN204" s="387"/>
      <c r="QO204" s="387"/>
      <c r="QP204" s="387"/>
      <c r="QQ204" s="387"/>
      <c r="QR204" s="387"/>
      <c r="QS204" s="387"/>
      <c r="QT204" s="387"/>
      <c r="QU204" s="387"/>
      <c r="QV204" s="387"/>
      <c r="QW204" s="387"/>
      <c r="QX204" s="387"/>
      <c r="QY204" s="387"/>
      <c r="QZ204" s="387"/>
      <c r="RA204" s="387"/>
      <c r="RB204" s="387"/>
      <c r="RC204" s="387"/>
      <c r="RD204" s="387"/>
      <c r="RE204" s="387"/>
      <c r="RF204" s="387"/>
      <c r="RG204" s="387"/>
      <c r="RH204" s="387"/>
      <c r="RI204" s="387"/>
      <c r="RJ204" s="387"/>
      <c r="RK204" s="387"/>
      <c r="RL204" s="387"/>
      <c r="RM204" s="387"/>
      <c r="RN204" s="387"/>
      <c r="RO204" s="387"/>
      <c r="RP204" s="387"/>
      <c r="RQ204" s="387"/>
      <c r="RR204" s="387"/>
      <c r="RS204" s="387"/>
      <c r="RT204" s="387"/>
      <c r="RU204" s="387"/>
      <c r="RV204" s="387"/>
      <c r="RW204" s="387"/>
      <c r="RX204" s="387"/>
      <c r="RY204" s="387"/>
      <c r="RZ204" s="387"/>
      <c r="SA204" s="387"/>
      <c r="SB204" s="387"/>
      <c r="SC204" s="387"/>
      <c r="SD204" s="387"/>
      <c r="SE204" s="387"/>
      <c r="SF204" s="387"/>
      <c r="SG204" s="387"/>
      <c r="SH204" s="387"/>
      <c r="SI204" s="387"/>
      <c r="SJ204" s="387"/>
      <c r="SK204" s="387"/>
      <c r="SL204" s="387"/>
      <c r="SM204" s="387"/>
      <c r="SN204" s="387"/>
      <c r="SO204" s="387"/>
      <c r="SP204" s="387"/>
      <c r="SQ204" s="387"/>
      <c r="SR204" s="387"/>
      <c r="SS204" s="387"/>
      <c r="ST204" s="387"/>
      <c r="SU204" s="387"/>
      <c r="SV204" s="387"/>
      <c r="SW204" s="387"/>
      <c r="SX204" s="387"/>
      <c r="SY204" s="387"/>
      <c r="SZ204" s="387"/>
      <c r="TA204" s="387"/>
      <c r="TB204" s="387"/>
      <c r="TC204" s="387"/>
      <c r="TD204" s="387"/>
      <c r="TE204" s="387"/>
      <c r="TF204" s="387"/>
      <c r="TG204" s="387"/>
      <c r="TH204" s="387"/>
      <c r="TI204" s="387"/>
      <c r="TJ204" s="387"/>
      <c r="TK204" s="387"/>
      <c r="TL204" s="387"/>
      <c r="TM204" s="387"/>
      <c r="TN204" s="387"/>
      <c r="TO204" s="387"/>
      <c r="TP204" s="387"/>
      <c r="TQ204" s="387"/>
      <c r="TR204" s="387"/>
      <c r="TS204" s="387"/>
      <c r="TT204" s="387"/>
      <c r="TU204" s="387"/>
      <c r="TV204" s="387"/>
      <c r="TW204" s="387"/>
      <c r="TX204" s="387"/>
      <c r="TY204" s="387"/>
      <c r="TZ204" s="387"/>
      <c r="UA204" s="387"/>
      <c r="UB204" s="387"/>
      <c r="UC204" s="387"/>
      <c r="UD204" s="387"/>
      <c r="UE204" s="387"/>
      <c r="UF204" s="387"/>
      <c r="UG204" s="387"/>
      <c r="UH204" s="387"/>
      <c r="UI204" s="387"/>
      <c r="UJ204" s="387"/>
      <c r="UK204" s="387"/>
      <c r="UL204" s="387"/>
      <c r="UM204" s="387"/>
      <c r="UN204" s="387"/>
      <c r="UO204" s="387"/>
      <c r="UP204" s="387"/>
      <c r="UQ204" s="387"/>
      <c r="UR204" s="387"/>
      <c r="US204" s="387"/>
      <c r="UT204" s="387"/>
      <c r="UU204" s="387"/>
      <c r="UV204" s="387"/>
      <c r="UW204" s="387"/>
      <c r="UX204" s="387"/>
      <c r="UY204" s="387"/>
      <c r="UZ204" s="387"/>
      <c r="VA204" s="387"/>
      <c r="VB204" s="387"/>
      <c r="VC204" s="387"/>
      <c r="VD204" s="387"/>
      <c r="VE204" s="387"/>
      <c r="VF204" s="387"/>
      <c r="VG204" s="387"/>
      <c r="VH204" s="387"/>
      <c r="VI204" s="387"/>
      <c r="VJ204" s="387"/>
      <c r="VK204" s="387"/>
      <c r="VL204" s="387"/>
      <c r="VM204" s="387"/>
      <c r="VN204" s="387"/>
      <c r="VO204" s="387"/>
      <c r="VP204" s="387"/>
      <c r="VQ204" s="387"/>
      <c r="VR204" s="387"/>
      <c r="VS204" s="387"/>
      <c r="VT204" s="387"/>
      <c r="VU204" s="387"/>
      <c r="VV204" s="387"/>
      <c r="VW204" s="387"/>
      <c r="VX204" s="387"/>
      <c r="VY204" s="387"/>
      <c r="VZ204" s="387"/>
      <c r="WA204" s="387"/>
      <c r="WB204" s="387"/>
      <c r="WC204" s="387"/>
      <c r="WD204" s="387"/>
      <c r="WE204" s="387"/>
      <c r="WF204" s="387"/>
      <c r="WG204" s="387"/>
      <c r="WH204" s="387"/>
      <c r="WI204" s="387"/>
      <c r="WJ204" s="387"/>
      <c r="WK204" s="387"/>
      <c r="WL204" s="387"/>
      <c r="WM204" s="387"/>
      <c r="WN204" s="387"/>
      <c r="WO204" s="387"/>
      <c r="WP204" s="387"/>
      <c r="WQ204" s="387"/>
      <c r="WR204" s="387"/>
      <c r="WS204" s="387"/>
      <c r="WT204" s="387"/>
      <c r="WU204" s="387"/>
      <c r="WV204" s="387"/>
      <c r="WW204" s="387"/>
      <c r="WX204" s="387"/>
      <c r="WY204" s="387"/>
      <c r="WZ204" s="387"/>
      <c r="XA204" s="387"/>
      <c r="XB204" s="387"/>
      <c r="XC204" s="387"/>
      <c r="XD204" s="387"/>
      <c r="XE204" s="387"/>
      <c r="XF204" s="387"/>
      <c r="XG204" s="387"/>
      <c r="XH204" s="387"/>
      <c r="XI204" s="387"/>
      <c r="XJ204" s="387"/>
      <c r="XK204" s="387"/>
      <c r="XL204" s="387"/>
      <c r="XM204" s="387"/>
      <c r="XN204" s="387"/>
      <c r="XO204" s="387"/>
      <c r="XP204" s="387"/>
      <c r="XQ204" s="387"/>
      <c r="XR204" s="387"/>
      <c r="XS204" s="387"/>
      <c r="XT204" s="387"/>
      <c r="XU204" s="387"/>
      <c r="XV204" s="387"/>
      <c r="XW204" s="387"/>
      <c r="XX204" s="387"/>
      <c r="XY204" s="387"/>
      <c r="XZ204" s="387"/>
      <c r="YA204" s="387"/>
      <c r="YB204" s="387"/>
      <c r="YC204" s="387"/>
      <c r="YD204" s="387"/>
      <c r="YE204" s="387"/>
      <c r="YF204" s="387"/>
      <c r="YG204" s="387"/>
      <c r="YH204" s="387"/>
      <c r="YI204" s="387"/>
      <c r="YJ204" s="387"/>
      <c r="YK204" s="387"/>
      <c r="YL204" s="387"/>
      <c r="YM204" s="387"/>
      <c r="YN204" s="387"/>
      <c r="YO204" s="387"/>
      <c r="YP204" s="387"/>
      <c r="YQ204" s="387"/>
      <c r="YR204" s="387"/>
      <c r="YS204" s="387"/>
      <c r="YT204" s="387"/>
      <c r="YU204" s="387"/>
      <c r="YV204" s="387"/>
      <c r="YW204" s="387"/>
      <c r="YX204" s="387"/>
      <c r="YY204" s="387"/>
      <c r="YZ204" s="387"/>
      <c r="ZA204" s="387"/>
      <c r="ZB204" s="387"/>
      <c r="ZC204" s="387"/>
      <c r="ZD204" s="387"/>
      <c r="ZE204" s="387"/>
      <c r="ZF204" s="387"/>
      <c r="ZG204" s="387"/>
      <c r="ZH204" s="387"/>
      <c r="ZI204" s="387"/>
      <c r="ZJ204" s="387"/>
      <c r="ZK204" s="387"/>
      <c r="ZL204" s="387"/>
      <c r="ZM204" s="387"/>
      <c r="ZN204" s="387"/>
      <c r="ZO204" s="387"/>
      <c r="ZP204" s="387"/>
      <c r="ZQ204" s="387"/>
      <c r="ZR204" s="387"/>
      <c r="ZS204" s="387"/>
      <c r="ZT204" s="387"/>
      <c r="ZU204" s="387"/>
      <c r="ZV204" s="387"/>
      <c r="ZW204" s="387"/>
      <c r="ZX204" s="387"/>
      <c r="ZY204" s="387"/>
      <c r="ZZ204" s="387"/>
      <c r="AAA204" s="387"/>
      <c r="AAB204" s="387"/>
      <c r="AAC204" s="387"/>
      <c r="AAD204" s="387"/>
      <c r="AAE204" s="387"/>
      <c r="AAF204" s="387"/>
      <c r="AAG204" s="387"/>
      <c r="AAH204" s="387"/>
      <c r="AAI204" s="387"/>
      <c r="AAJ204" s="387"/>
      <c r="AAK204" s="387"/>
      <c r="AAL204" s="387"/>
      <c r="AAM204" s="387"/>
      <c r="AAN204" s="387"/>
      <c r="AAO204" s="387"/>
      <c r="AAP204" s="387"/>
      <c r="AAQ204" s="387"/>
      <c r="AAR204" s="387"/>
      <c r="AAS204" s="387"/>
      <c r="AAT204" s="387"/>
      <c r="AAU204" s="387"/>
      <c r="AAV204" s="387"/>
      <c r="AAW204" s="387"/>
      <c r="AAX204" s="387"/>
      <c r="AAY204" s="387"/>
      <c r="AAZ204" s="387"/>
      <c r="ABA204" s="387"/>
      <c r="ABB204" s="387"/>
      <c r="ABC204" s="387"/>
      <c r="ABD204" s="387"/>
      <c r="ABE204" s="387"/>
      <c r="ABF204" s="387"/>
      <c r="ABG204" s="387"/>
      <c r="ABH204" s="387"/>
      <c r="ABI204" s="387"/>
      <c r="ABJ204" s="387"/>
      <c r="ABK204" s="387"/>
      <c r="ABL204" s="387"/>
      <c r="ABM204" s="387"/>
      <c r="ABN204" s="387"/>
      <c r="ABO204" s="387"/>
      <c r="ABP204" s="387"/>
      <c r="ABQ204" s="387"/>
      <c r="ABR204" s="387"/>
      <c r="ABS204" s="387"/>
      <c r="ABT204" s="387"/>
      <c r="ABU204" s="387"/>
      <c r="ABV204" s="387"/>
      <c r="ABW204" s="387"/>
      <c r="ABX204" s="387"/>
      <c r="ABY204" s="387"/>
      <c r="ABZ204" s="387"/>
      <c r="ACA204" s="387"/>
      <c r="ACB204" s="387"/>
      <c r="ACC204" s="387"/>
      <c r="ACD204" s="387"/>
      <c r="ACE204" s="387"/>
      <c r="ACF204" s="387"/>
      <c r="ACG204" s="387"/>
      <c r="ACH204" s="387"/>
      <c r="ACI204" s="387"/>
      <c r="ACJ204" s="387"/>
      <c r="ACK204" s="387"/>
      <c r="ACL204" s="387"/>
      <c r="ACM204" s="387"/>
      <c r="ACN204" s="387"/>
      <c r="ACO204" s="387"/>
      <c r="ACP204" s="387"/>
      <c r="ACQ204" s="387"/>
      <c r="ACR204" s="387"/>
      <c r="ACS204" s="387"/>
      <c r="ACT204" s="387"/>
      <c r="ACU204" s="387"/>
      <c r="ACV204" s="387"/>
      <c r="ACW204" s="387"/>
      <c r="ACX204" s="387"/>
      <c r="ACY204" s="387"/>
      <c r="ACZ204" s="387"/>
      <c r="ADA204" s="387"/>
      <c r="ADB204" s="387"/>
      <c r="ADC204" s="387"/>
      <c r="ADD204" s="387"/>
      <c r="ADE204" s="387"/>
      <c r="ADF204" s="387"/>
      <c r="ADG204" s="387"/>
      <c r="ADH204" s="387"/>
      <c r="ADI204" s="387"/>
      <c r="ADJ204" s="387"/>
      <c r="ADK204" s="387"/>
      <c r="ADL204" s="387"/>
      <c r="ADM204" s="387"/>
      <c r="ADN204" s="387"/>
      <c r="ADO204" s="387"/>
      <c r="ADP204" s="387"/>
      <c r="ADQ204" s="387"/>
      <c r="ADR204" s="387"/>
      <c r="ADS204" s="387"/>
      <c r="ADT204" s="387"/>
      <c r="ADU204" s="387"/>
      <c r="ADV204" s="387"/>
      <c r="ADW204" s="387"/>
      <c r="ADX204" s="387"/>
      <c r="ADY204" s="387"/>
      <c r="ADZ204" s="387"/>
      <c r="AEA204" s="387"/>
      <c r="AEB204" s="387"/>
      <c r="AEC204" s="387"/>
      <c r="AED204" s="387"/>
      <c r="AEE204" s="387"/>
      <c r="AEF204" s="387"/>
      <c r="AEG204" s="387"/>
      <c r="AEH204" s="387"/>
      <c r="AEI204" s="387"/>
      <c r="AEJ204" s="387"/>
      <c r="AEK204" s="387"/>
      <c r="AEL204" s="387"/>
      <c r="AEM204" s="387"/>
      <c r="AEN204" s="387"/>
      <c r="AEO204" s="387"/>
      <c r="AEP204" s="387"/>
      <c r="AEQ204" s="387"/>
      <c r="AER204" s="387"/>
      <c r="AES204" s="387"/>
      <c r="AET204" s="387"/>
      <c r="AEU204" s="387"/>
      <c r="AEV204" s="387"/>
      <c r="AEW204" s="387"/>
      <c r="AEX204" s="387"/>
      <c r="AEY204" s="387"/>
      <c r="AEZ204" s="387"/>
      <c r="AFA204" s="387"/>
      <c r="AFB204" s="387"/>
      <c r="AFC204" s="387"/>
      <c r="AFD204" s="387"/>
      <c r="AFE204" s="387"/>
      <c r="AFF204" s="387"/>
      <c r="AFG204" s="387"/>
      <c r="AFH204" s="387"/>
      <c r="AFI204" s="387"/>
      <c r="AFJ204" s="387"/>
      <c r="AFK204" s="387"/>
      <c r="AFL204" s="387"/>
      <c r="AFM204" s="387"/>
      <c r="AFN204" s="387"/>
      <c r="AFO204" s="387"/>
      <c r="AFP204" s="387"/>
      <c r="AFQ204" s="387"/>
      <c r="AFR204" s="387"/>
      <c r="AFS204" s="387"/>
      <c r="AFT204" s="387"/>
      <c r="AFU204" s="387"/>
      <c r="AFV204" s="387"/>
      <c r="AFW204" s="387"/>
      <c r="AFX204" s="387"/>
      <c r="AFY204" s="387"/>
      <c r="AFZ204" s="387"/>
      <c r="AGA204" s="387"/>
      <c r="AGB204" s="387"/>
      <c r="AGC204" s="387"/>
      <c r="AGD204" s="387"/>
      <c r="AGE204" s="387"/>
      <c r="AGF204" s="387"/>
      <c r="AGG204" s="387"/>
      <c r="AGH204" s="387"/>
      <c r="AGI204" s="387"/>
      <c r="AGJ204" s="387"/>
      <c r="AGK204" s="387"/>
      <c r="AGL204" s="387"/>
      <c r="AGM204" s="387"/>
      <c r="AGN204" s="387"/>
      <c r="AGO204" s="387"/>
      <c r="AGP204" s="387"/>
      <c r="AGQ204" s="387"/>
      <c r="AGR204" s="387"/>
      <c r="AGS204" s="387"/>
      <c r="AGT204" s="387"/>
      <c r="AGU204" s="387"/>
      <c r="AGV204" s="387"/>
      <c r="AGW204" s="387"/>
      <c r="AGX204" s="387"/>
      <c r="AGY204" s="387"/>
      <c r="AGZ204" s="387"/>
      <c r="AHA204" s="387"/>
      <c r="AHB204" s="387"/>
      <c r="AHC204" s="387"/>
      <c r="AHD204" s="387"/>
      <c r="AHE204" s="387"/>
      <c r="AHF204" s="387"/>
      <c r="AHG204" s="387"/>
      <c r="AHH204" s="387"/>
      <c r="AHI204" s="387"/>
      <c r="AHJ204" s="387"/>
      <c r="AHK204" s="387"/>
      <c r="AHL204" s="387"/>
      <c r="AHM204" s="387"/>
      <c r="AHN204" s="387"/>
      <c r="AHO204" s="387"/>
      <c r="AHP204" s="387"/>
      <c r="AHQ204" s="387"/>
      <c r="AHR204" s="387"/>
      <c r="AHS204" s="387"/>
      <c r="AHT204" s="387"/>
      <c r="AHU204" s="387"/>
      <c r="AHV204" s="387"/>
      <c r="AHW204" s="387"/>
      <c r="AHX204" s="387"/>
      <c r="AHY204" s="387"/>
      <c r="AHZ204" s="387"/>
      <c r="AIA204" s="387"/>
      <c r="AIB204" s="387"/>
      <c r="AIC204" s="387"/>
      <c r="AID204" s="387"/>
      <c r="AIE204" s="387"/>
      <c r="AIF204" s="387"/>
      <c r="AIG204" s="387"/>
      <c r="AIH204" s="387"/>
      <c r="AII204" s="387"/>
      <c r="AIJ204" s="387"/>
      <c r="AIK204" s="387"/>
      <c r="AIL204" s="387"/>
      <c r="AIM204" s="387"/>
      <c r="AIN204" s="387"/>
      <c r="AIO204" s="387"/>
      <c r="AIP204" s="387"/>
      <c r="AIQ204" s="387"/>
      <c r="AIR204" s="387"/>
      <c r="AIS204" s="387"/>
      <c r="AIT204" s="387"/>
      <c r="AIU204" s="387"/>
      <c r="AIV204" s="387"/>
      <c r="AIW204" s="387"/>
      <c r="AIX204" s="387"/>
      <c r="AIY204" s="387"/>
      <c r="AIZ204" s="387"/>
      <c r="AJA204" s="387"/>
      <c r="AJB204" s="387"/>
      <c r="AJC204" s="387"/>
      <c r="AJD204" s="387"/>
      <c r="AJE204" s="387"/>
      <c r="AJF204" s="387"/>
      <c r="AJG204" s="387"/>
      <c r="AJH204" s="387"/>
      <c r="AJI204" s="387"/>
      <c r="AJJ204" s="387"/>
      <c r="AJK204" s="387"/>
      <c r="AJL204" s="387"/>
      <c r="AJM204" s="387"/>
      <c r="AJN204" s="387"/>
      <c r="AJO204" s="387"/>
      <c r="AJP204" s="387"/>
      <c r="AJQ204" s="387"/>
      <c r="AJR204" s="387"/>
      <c r="AJS204" s="387"/>
      <c r="AJT204" s="387"/>
      <c r="AJU204" s="387"/>
      <c r="AJV204" s="387"/>
      <c r="AJW204" s="387"/>
      <c r="AJX204" s="387"/>
      <c r="AJY204" s="387"/>
      <c r="AJZ204" s="387"/>
      <c r="AKA204" s="387"/>
      <c r="AKB204" s="387"/>
      <c r="AKC204" s="387"/>
      <c r="AKD204" s="387"/>
      <c r="AKE204" s="387"/>
      <c r="AKF204" s="387"/>
      <c r="AKG204" s="387"/>
      <c r="AKH204" s="387"/>
      <c r="AKI204" s="387"/>
      <c r="AKJ204" s="387"/>
      <c r="AKK204" s="387"/>
      <c r="AKL204" s="387"/>
      <c r="AKM204" s="387"/>
      <c r="AKN204" s="387"/>
      <c r="AKO204" s="387"/>
      <c r="AKP204" s="387"/>
      <c r="AKQ204" s="387"/>
      <c r="AKR204" s="387"/>
      <c r="AKS204" s="387"/>
      <c r="AKT204" s="387"/>
      <c r="AKU204" s="387"/>
      <c r="AKV204" s="387"/>
      <c r="AKW204" s="387"/>
      <c r="AKX204" s="387"/>
      <c r="AKY204" s="387"/>
      <c r="AKZ204" s="387"/>
      <c r="ALA204" s="387"/>
      <c r="ALB204" s="387"/>
      <c r="ALC204" s="387"/>
      <c r="ALD204" s="387"/>
      <c r="ALE204" s="387"/>
      <c r="ALF204" s="387"/>
      <c r="ALG204" s="387"/>
      <c r="ALH204" s="387"/>
      <c r="ALI204" s="387"/>
      <c r="ALJ204" s="387"/>
      <c r="ALK204" s="387"/>
      <c r="ALL204" s="387"/>
      <c r="ALM204" s="387"/>
      <c r="ALN204" s="387"/>
      <c r="ALO204" s="387"/>
      <c r="ALP204" s="387"/>
      <c r="ALQ204" s="387"/>
      <c r="ALR204" s="387"/>
      <c r="ALS204" s="387"/>
      <c r="ALT204" s="387"/>
      <c r="ALU204" s="387"/>
      <c r="ALV204" s="387"/>
      <c r="ALW204" s="387"/>
      <c r="ALX204" s="387"/>
      <c r="ALY204" s="387"/>
      <c r="ALZ204" s="387"/>
      <c r="AMA204" s="387"/>
      <c r="AMB204" s="387"/>
      <c r="AMC204" s="387"/>
      <c r="AMD204" s="387"/>
      <c r="AME204" s="387"/>
      <c r="AMF204" s="387"/>
      <c r="AMG204" s="387"/>
      <c r="AMH204" s="387"/>
      <c r="AMI204" s="387"/>
      <c r="AMJ204" s="387"/>
      <c r="AMK204" s="387"/>
      <c r="AML204" s="387"/>
      <c r="AMM204" s="387"/>
      <c r="AMN204" s="387"/>
      <c r="AMO204" s="387"/>
      <c r="AMP204" s="387"/>
      <c r="AMQ204" s="387"/>
      <c r="AMR204" s="387"/>
      <c r="AMS204" s="387"/>
      <c r="AMT204" s="387"/>
      <c r="AMU204" s="387"/>
      <c r="AMV204" s="387"/>
      <c r="AMW204" s="387"/>
      <c r="AMX204" s="387"/>
      <c r="AMY204" s="387"/>
      <c r="AMZ204" s="387"/>
      <c r="ANA204" s="387"/>
      <c r="ANB204" s="387"/>
      <c r="ANC204" s="387"/>
      <c r="AND204" s="387"/>
      <c r="ANE204" s="387"/>
      <c r="ANF204" s="387"/>
      <c r="ANG204" s="387"/>
      <c r="ANH204" s="387"/>
      <c r="ANI204" s="387"/>
      <c r="ANJ204" s="387"/>
      <c r="ANK204" s="387"/>
      <c r="ANL204" s="387"/>
      <c r="ANM204" s="387"/>
      <c r="ANN204" s="387"/>
      <c r="ANO204" s="387"/>
      <c r="ANP204" s="387"/>
      <c r="ANQ204" s="387"/>
      <c r="ANR204" s="387"/>
      <c r="ANS204" s="387"/>
      <c r="ANT204" s="387"/>
      <c r="ANU204" s="387"/>
      <c r="ANV204" s="387"/>
      <c r="ANW204" s="387"/>
      <c r="ANX204" s="387"/>
      <c r="ANY204" s="387"/>
      <c r="ANZ204" s="387"/>
      <c r="AOA204" s="387"/>
      <c r="AOB204" s="387"/>
      <c r="AOC204" s="387"/>
      <c r="AOD204" s="387"/>
      <c r="AOE204" s="387"/>
      <c r="AOF204" s="387"/>
      <c r="AOG204" s="387"/>
      <c r="AOH204" s="387"/>
      <c r="AOI204" s="387"/>
      <c r="AOJ204" s="387"/>
      <c r="AOK204" s="387"/>
      <c r="AOL204" s="387"/>
      <c r="AOM204" s="387"/>
      <c r="AON204" s="387"/>
      <c r="AOO204" s="387"/>
      <c r="AOP204" s="387"/>
      <c r="AOQ204" s="387"/>
      <c r="AOR204" s="387"/>
      <c r="AOS204" s="387"/>
      <c r="AOT204" s="387"/>
      <c r="AOU204" s="387"/>
      <c r="AOV204" s="387"/>
      <c r="AOW204" s="387"/>
      <c r="AOX204" s="387"/>
      <c r="AOY204" s="387"/>
      <c r="AOZ204" s="387"/>
      <c r="APA204" s="387"/>
      <c r="APB204" s="387"/>
      <c r="APC204" s="387"/>
      <c r="APD204" s="387"/>
      <c r="APE204" s="387"/>
      <c r="APF204" s="387"/>
      <c r="APG204" s="387"/>
      <c r="APH204" s="387"/>
      <c r="API204" s="387"/>
      <c r="APJ204" s="387"/>
      <c r="APK204" s="387"/>
      <c r="APL204" s="387"/>
      <c r="APM204" s="387"/>
      <c r="APN204" s="387"/>
      <c r="APO204" s="387"/>
      <c r="APP204" s="387"/>
      <c r="APQ204" s="387"/>
      <c r="APR204" s="387"/>
      <c r="APS204" s="387"/>
      <c r="APT204" s="387"/>
      <c r="APU204" s="387"/>
      <c r="APV204" s="387"/>
      <c r="APW204" s="387"/>
      <c r="APX204" s="387"/>
      <c r="APY204" s="387"/>
      <c r="APZ204" s="387"/>
      <c r="AQA204" s="387"/>
      <c r="AQB204" s="387"/>
      <c r="AQC204" s="387"/>
      <c r="AQD204" s="387"/>
      <c r="AQE204" s="387"/>
      <c r="AQF204" s="387"/>
      <c r="AQG204" s="387"/>
      <c r="AQH204" s="387"/>
      <c r="AQI204" s="387"/>
      <c r="AQJ204" s="387"/>
      <c r="AQK204" s="387"/>
      <c r="AQL204" s="387"/>
      <c r="AQM204" s="387"/>
      <c r="AQN204" s="387"/>
      <c r="AQO204" s="387"/>
      <c r="AQP204" s="387"/>
      <c r="AQQ204" s="387"/>
      <c r="AQR204" s="387"/>
      <c r="AQS204" s="387"/>
      <c r="AQT204" s="387"/>
      <c r="AQU204" s="387"/>
      <c r="AQV204" s="387"/>
      <c r="AQW204" s="387"/>
      <c r="AQX204" s="387"/>
      <c r="AQY204" s="387"/>
      <c r="AQZ204" s="387"/>
      <c r="ARA204" s="387"/>
      <c r="ARB204" s="387"/>
      <c r="ARC204" s="387"/>
      <c r="ARD204" s="387"/>
      <c r="ARE204" s="387"/>
      <c r="ARF204" s="387"/>
      <c r="ARG204" s="387"/>
      <c r="ARH204" s="387"/>
      <c r="ARI204" s="387"/>
      <c r="ARJ204" s="387"/>
      <c r="ARK204" s="387"/>
      <c r="ARL204" s="387"/>
      <c r="ARM204" s="387"/>
      <c r="ARN204" s="387"/>
      <c r="ARO204" s="387"/>
      <c r="ARP204" s="387"/>
      <c r="ARQ204" s="387"/>
      <c r="ARR204" s="387"/>
      <c r="ARS204" s="387"/>
      <c r="ART204" s="387"/>
      <c r="ARU204" s="387"/>
      <c r="ARV204" s="387"/>
      <c r="ARW204" s="387"/>
      <c r="ARX204" s="387"/>
      <c r="ARY204" s="387"/>
      <c r="ARZ204" s="387"/>
      <c r="ASA204" s="387"/>
      <c r="ASB204" s="387"/>
      <c r="ASC204" s="387"/>
      <c r="ASD204" s="387"/>
      <c r="ASE204" s="387"/>
      <c r="ASF204" s="387"/>
      <c r="ASG204" s="387"/>
      <c r="ASH204" s="387"/>
      <c r="ASI204" s="387"/>
      <c r="ASJ204" s="387"/>
      <c r="ASK204" s="387"/>
      <c r="ASL204" s="387"/>
      <c r="ASM204" s="387"/>
      <c r="ASN204" s="387"/>
      <c r="ASO204" s="387"/>
      <c r="ASP204" s="387"/>
      <c r="ASQ204" s="387"/>
      <c r="ASR204" s="387"/>
      <c r="ASS204" s="387"/>
      <c r="AST204" s="387"/>
      <c r="ASU204" s="387"/>
      <c r="ASV204" s="387"/>
      <c r="ASW204" s="387"/>
      <c r="ASX204" s="387"/>
      <c r="ASY204" s="387"/>
      <c r="ASZ204" s="387"/>
      <c r="ATA204" s="387"/>
      <c r="ATB204" s="387"/>
      <c r="ATC204" s="387"/>
      <c r="ATD204" s="387"/>
      <c r="ATE204" s="387"/>
      <c r="ATF204" s="387"/>
      <c r="ATG204" s="387"/>
      <c r="ATH204" s="387"/>
      <c r="ATI204" s="387"/>
      <c r="ATJ204" s="387"/>
      <c r="ATK204" s="387"/>
      <c r="ATL204" s="387"/>
      <c r="ATM204" s="387"/>
      <c r="ATN204" s="387"/>
      <c r="ATO204" s="387"/>
      <c r="ATP204" s="387"/>
      <c r="ATQ204" s="387"/>
      <c r="ATR204" s="387"/>
      <c r="ATS204" s="387"/>
      <c r="ATT204" s="387"/>
      <c r="ATU204" s="387"/>
      <c r="ATV204" s="387"/>
      <c r="ATW204" s="387"/>
      <c r="ATX204" s="387"/>
      <c r="ATY204" s="387"/>
      <c r="ATZ204" s="387"/>
      <c r="AUA204" s="387"/>
      <c r="AUB204" s="387"/>
      <c r="AUC204" s="387"/>
      <c r="AUD204" s="387"/>
      <c r="AUE204" s="387"/>
      <c r="AUF204" s="387"/>
      <c r="AUG204" s="387"/>
      <c r="AUH204" s="387"/>
      <c r="AUI204" s="387"/>
      <c r="AUJ204" s="387"/>
      <c r="AUK204" s="387"/>
      <c r="AUL204" s="387"/>
      <c r="AUM204" s="387"/>
      <c r="AUN204" s="387"/>
      <c r="AUO204" s="387"/>
      <c r="AUP204" s="387"/>
      <c r="AUQ204" s="387"/>
      <c r="AUR204" s="387"/>
      <c r="AUS204" s="387"/>
      <c r="AUT204" s="387"/>
      <c r="AUU204" s="387"/>
      <c r="AUV204" s="387"/>
      <c r="AUW204" s="387"/>
      <c r="AUX204" s="387"/>
      <c r="AUY204" s="387"/>
      <c r="AUZ204" s="387"/>
      <c r="AVA204" s="387"/>
      <c r="AVB204" s="387"/>
      <c r="AVC204" s="387"/>
      <c r="AVD204" s="387"/>
      <c r="AVE204" s="387"/>
      <c r="AVF204" s="387"/>
      <c r="AVG204" s="387"/>
      <c r="AVH204" s="387"/>
      <c r="AVI204" s="387"/>
      <c r="AVJ204" s="387"/>
      <c r="AVK204" s="387"/>
      <c r="AVL204" s="387"/>
      <c r="AVM204" s="387"/>
      <c r="AVN204" s="387"/>
      <c r="AVO204" s="387"/>
      <c r="AVP204" s="387"/>
      <c r="AVQ204" s="387"/>
      <c r="AVR204" s="387"/>
      <c r="AVS204" s="387"/>
      <c r="AVT204" s="387"/>
      <c r="AVU204" s="387"/>
      <c r="AVV204" s="387"/>
      <c r="AVW204" s="387"/>
      <c r="AVX204" s="387"/>
      <c r="AVY204" s="387"/>
      <c r="AVZ204" s="387"/>
      <c r="AWA204" s="387"/>
      <c r="AWB204" s="387"/>
      <c r="AWC204" s="387"/>
      <c r="AWD204" s="387"/>
      <c r="AWE204" s="387"/>
      <c r="AWF204" s="387"/>
      <c r="AWG204" s="387"/>
      <c r="AWH204" s="387"/>
      <c r="AWI204" s="387"/>
      <c r="AWJ204" s="387"/>
      <c r="AWK204" s="387"/>
      <c r="AWL204" s="387"/>
      <c r="AWM204" s="387"/>
      <c r="AWN204" s="387"/>
      <c r="AWO204" s="387"/>
      <c r="AWP204" s="387"/>
      <c r="AWQ204" s="387"/>
      <c r="AWR204" s="387"/>
      <c r="AWS204" s="387"/>
      <c r="AWT204" s="387"/>
      <c r="AWU204" s="387"/>
      <c r="AWV204" s="387"/>
      <c r="AWW204" s="387"/>
      <c r="AWX204" s="387"/>
      <c r="AWY204" s="387"/>
      <c r="AWZ204" s="387"/>
      <c r="AXA204" s="387"/>
      <c r="AXB204" s="387"/>
      <c r="AXC204" s="387"/>
      <c r="AXD204" s="387"/>
      <c r="AXE204" s="387"/>
      <c r="AXF204" s="387"/>
      <c r="AXG204" s="387"/>
      <c r="AXH204" s="387"/>
      <c r="AXI204" s="387"/>
      <c r="AXJ204" s="387"/>
      <c r="AXK204" s="387"/>
      <c r="AXL204" s="387"/>
      <c r="AXM204" s="387"/>
      <c r="AXN204" s="387"/>
      <c r="AXO204" s="387"/>
      <c r="AXP204" s="387"/>
      <c r="AXQ204" s="387"/>
      <c r="AXR204" s="387"/>
      <c r="AXS204" s="387"/>
      <c r="AXT204" s="387"/>
      <c r="AXU204" s="387"/>
      <c r="AXV204" s="387"/>
      <c r="AXW204" s="387"/>
      <c r="AXX204" s="387"/>
      <c r="AXY204" s="387"/>
      <c r="AXZ204" s="387"/>
      <c r="AYA204" s="387"/>
      <c r="AYB204" s="387"/>
      <c r="AYC204" s="387"/>
      <c r="AYD204" s="387"/>
      <c r="AYE204" s="387"/>
      <c r="AYF204" s="387"/>
      <c r="AYG204" s="387"/>
      <c r="AYH204" s="387"/>
      <c r="AYI204" s="387"/>
      <c r="AYJ204" s="387"/>
      <c r="AYK204" s="387"/>
      <c r="AYL204" s="387"/>
      <c r="AYM204" s="387"/>
      <c r="AYN204" s="387"/>
      <c r="AYO204" s="387"/>
      <c r="AYP204" s="387"/>
      <c r="AYQ204" s="387"/>
      <c r="AYR204" s="387"/>
      <c r="AYS204" s="387"/>
      <c r="AYT204" s="387"/>
      <c r="AYU204" s="387"/>
      <c r="AYV204" s="387"/>
      <c r="AYW204" s="387"/>
      <c r="AYX204" s="387"/>
      <c r="AYY204" s="387"/>
      <c r="AYZ204" s="387"/>
      <c r="AZA204" s="387"/>
      <c r="AZB204" s="387"/>
      <c r="AZC204" s="387"/>
      <c r="AZD204" s="387"/>
      <c r="AZE204" s="387"/>
      <c r="AZF204" s="387"/>
      <c r="AZG204" s="387"/>
      <c r="AZH204" s="387"/>
      <c r="AZI204" s="387"/>
      <c r="AZJ204" s="387"/>
      <c r="AZK204" s="387"/>
      <c r="AZL204" s="387"/>
      <c r="AZM204" s="387"/>
      <c r="AZN204" s="387"/>
      <c r="AZO204" s="387"/>
      <c r="AZP204" s="387"/>
      <c r="AZQ204" s="387"/>
      <c r="AZR204" s="387"/>
      <c r="AZS204" s="387"/>
      <c r="AZT204" s="387"/>
      <c r="AZU204" s="387"/>
      <c r="AZV204" s="387"/>
      <c r="AZW204" s="387"/>
      <c r="AZX204" s="387"/>
      <c r="AZY204" s="387"/>
      <c r="AZZ204" s="387"/>
      <c r="BAA204" s="387"/>
      <c r="BAB204" s="387"/>
      <c r="BAC204" s="387"/>
      <c r="BAD204" s="387"/>
      <c r="BAE204" s="387"/>
      <c r="BAF204" s="387"/>
      <c r="BAG204" s="387"/>
      <c r="BAH204" s="387"/>
      <c r="BAI204" s="387"/>
      <c r="BAJ204" s="387"/>
      <c r="BAK204" s="387"/>
      <c r="BAL204" s="387"/>
      <c r="BAM204" s="387"/>
      <c r="BAN204" s="387"/>
      <c r="BAO204" s="387"/>
      <c r="BAP204" s="387"/>
      <c r="BAQ204" s="387"/>
      <c r="BAR204" s="387"/>
      <c r="BAS204" s="387"/>
      <c r="BAT204" s="387"/>
      <c r="BAU204" s="387"/>
      <c r="BAV204" s="387"/>
      <c r="BAW204" s="387"/>
      <c r="BAX204" s="387"/>
      <c r="BAY204" s="387"/>
      <c r="BAZ204" s="387"/>
      <c r="BBA204" s="387"/>
      <c r="BBB204" s="387"/>
      <c r="BBC204" s="387"/>
      <c r="BBD204" s="387"/>
      <c r="BBE204" s="387"/>
      <c r="BBF204" s="387"/>
      <c r="BBG204" s="387"/>
      <c r="BBH204" s="387"/>
      <c r="BBI204" s="387"/>
      <c r="BBJ204" s="387"/>
      <c r="BBK204" s="387"/>
      <c r="BBL204" s="387"/>
      <c r="BBM204" s="387"/>
      <c r="BBN204" s="387"/>
      <c r="BBO204" s="387"/>
      <c r="BBP204" s="387"/>
      <c r="BBQ204" s="387"/>
      <c r="BBR204" s="387"/>
      <c r="BBS204" s="387"/>
      <c r="BBT204" s="387"/>
      <c r="BBU204" s="387"/>
      <c r="BBV204" s="387"/>
      <c r="BBW204" s="387"/>
      <c r="BBX204" s="387"/>
      <c r="BBY204" s="387"/>
      <c r="BBZ204" s="387"/>
      <c r="BCA204" s="387"/>
      <c r="BCB204" s="387"/>
      <c r="BCC204" s="387"/>
      <c r="BCD204" s="387"/>
      <c r="BCE204" s="387"/>
      <c r="BCF204" s="387"/>
      <c r="BCG204" s="387"/>
      <c r="BCH204" s="387"/>
      <c r="BCI204" s="387"/>
      <c r="BCJ204" s="387"/>
      <c r="BCK204" s="387"/>
      <c r="BCL204" s="387"/>
      <c r="BCM204" s="387"/>
      <c r="BCN204" s="387"/>
      <c r="BCO204" s="387"/>
      <c r="BCP204" s="387"/>
      <c r="BCQ204" s="387"/>
      <c r="BCR204" s="387"/>
      <c r="BCS204" s="387"/>
      <c r="BCT204" s="387"/>
      <c r="BCU204" s="387"/>
      <c r="BCV204" s="387"/>
      <c r="BCW204" s="387"/>
      <c r="BCX204" s="387"/>
      <c r="BCY204" s="387"/>
      <c r="BCZ204" s="387"/>
      <c r="BDA204" s="387"/>
      <c r="BDB204" s="387"/>
      <c r="BDC204" s="387"/>
      <c r="BDD204" s="387"/>
      <c r="BDE204" s="387"/>
      <c r="BDF204" s="387"/>
      <c r="BDG204" s="387"/>
      <c r="BDH204" s="387"/>
      <c r="BDI204" s="387"/>
      <c r="BDJ204" s="387"/>
      <c r="BDK204" s="387"/>
      <c r="BDL204" s="387"/>
      <c r="BDM204" s="387"/>
      <c r="BDN204" s="387"/>
      <c r="BDO204" s="387"/>
      <c r="BDP204" s="387"/>
      <c r="BDQ204" s="387"/>
      <c r="BDR204" s="387"/>
      <c r="BDS204" s="387"/>
      <c r="BDT204" s="387"/>
      <c r="BDU204" s="387"/>
      <c r="BDV204" s="387"/>
      <c r="BDW204" s="387"/>
      <c r="BDX204" s="387"/>
      <c r="BDY204" s="387"/>
      <c r="BDZ204" s="387"/>
      <c r="BEA204" s="387"/>
      <c r="BEB204" s="387"/>
      <c r="BEC204" s="387"/>
      <c r="BED204" s="387"/>
      <c r="BEE204" s="387"/>
      <c r="BEF204" s="387"/>
      <c r="BEG204" s="387"/>
      <c r="BEH204" s="387"/>
      <c r="BEI204" s="387"/>
      <c r="BEJ204" s="387"/>
      <c r="BEK204" s="387"/>
      <c r="BEL204" s="387"/>
      <c r="BEM204" s="387"/>
      <c r="BEN204" s="387"/>
      <c r="BEO204" s="387"/>
      <c r="BEP204" s="387"/>
      <c r="BEQ204" s="387"/>
      <c r="BER204" s="387"/>
      <c r="BES204" s="387"/>
      <c r="BET204" s="387"/>
      <c r="BEU204" s="387"/>
      <c r="BEV204" s="387"/>
      <c r="BEW204" s="387"/>
      <c r="BEX204" s="387"/>
      <c r="BEY204" s="387"/>
      <c r="BEZ204" s="387"/>
      <c r="BFA204" s="387"/>
      <c r="BFB204" s="387"/>
      <c r="BFC204" s="387"/>
      <c r="BFD204" s="387"/>
      <c r="BFE204" s="387"/>
      <c r="BFF204" s="387"/>
      <c r="BFG204" s="387"/>
      <c r="BFH204" s="387"/>
      <c r="BFI204" s="387"/>
      <c r="BFJ204" s="387"/>
      <c r="BFK204" s="387"/>
      <c r="BFL204" s="387"/>
      <c r="BFM204" s="387"/>
      <c r="BFN204" s="387"/>
      <c r="BFO204" s="387"/>
      <c r="BFP204" s="387"/>
      <c r="BFQ204" s="387"/>
      <c r="BFR204" s="387"/>
      <c r="BFS204" s="387"/>
      <c r="BFT204" s="387"/>
      <c r="BFU204" s="387"/>
      <c r="BFV204" s="387"/>
      <c r="BFW204" s="387"/>
      <c r="BFX204" s="387"/>
      <c r="BFY204" s="387"/>
      <c r="BFZ204" s="387"/>
      <c r="BGA204" s="387"/>
      <c r="BGB204" s="387"/>
      <c r="BGC204" s="387"/>
      <c r="BGD204" s="387"/>
      <c r="BGE204" s="387"/>
      <c r="BGF204" s="387"/>
      <c r="BGG204" s="387"/>
      <c r="BGH204" s="387"/>
      <c r="BGI204" s="387"/>
      <c r="BGJ204" s="387"/>
      <c r="BGK204" s="387"/>
      <c r="BGL204" s="387"/>
      <c r="BGM204" s="387"/>
      <c r="BGN204" s="387"/>
      <c r="BGO204" s="387"/>
      <c r="BGP204" s="387"/>
      <c r="BGQ204" s="387"/>
      <c r="BGR204" s="387"/>
      <c r="BGS204" s="387"/>
      <c r="BGT204" s="387"/>
      <c r="BGU204" s="387"/>
      <c r="BGV204" s="387"/>
      <c r="BGW204" s="387"/>
      <c r="BGX204" s="387"/>
      <c r="BGY204" s="387"/>
      <c r="BGZ204" s="387"/>
      <c r="BHA204" s="387"/>
      <c r="BHB204" s="387"/>
      <c r="BHC204" s="387"/>
      <c r="BHD204" s="387"/>
      <c r="BHE204" s="387"/>
      <c r="BHF204" s="387"/>
      <c r="BHG204" s="387"/>
      <c r="BHH204" s="387"/>
      <c r="BHI204" s="387"/>
      <c r="BHJ204" s="387"/>
      <c r="BHK204" s="387"/>
      <c r="BHL204" s="387"/>
      <c r="BHM204" s="387"/>
      <c r="BHN204" s="387"/>
      <c r="BHO204" s="387"/>
      <c r="BHP204" s="387"/>
      <c r="BHQ204" s="387"/>
      <c r="BHR204" s="387"/>
      <c r="BHS204" s="387"/>
      <c r="BHT204" s="387"/>
      <c r="BHU204" s="387"/>
      <c r="BHV204" s="387"/>
      <c r="BHW204" s="387"/>
      <c r="BHX204" s="387"/>
      <c r="BHY204" s="387"/>
      <c r="BHZ204" s="387"/>
      <c r="BIA204" s="387"/>
      <c r="BIB204" s="387"/>
      <c r="BIC204" s="387"/>
      <c r="BID204" s="387"/>
      <c r="BIE204" s="387"/>
      <c r="BIF204" s="387"/>
      <c r="BIG204" s="387"/>
      <c r="BIH204" s="387"/>
      <c r="BII204" s="387"/>
      <c r="BIJ204" s="387"/>
      <c r="BIK204" s="387"/>
      <c r="BIL204" s="387"/>
      <c r="BIM204" s="387"/>
      <c r="BIN204" s="387"/>
      <c r="BIO204" s="387"/>
      <c r="BIP204" s="387"/>
      <c r="BIQ204" s="387"/>
      <c r="BIR204" s="387"/>
      <c r="BIS204" s="387"/>
      <c r="BIT204" s="387"/>
      <c r="BIU204" s="387"/>
      <c r="BIV204" s="387"/>
      <c r="BIW204" s="387"/>
      <c r="BIX204" s="387"/>
      <c r="BIY204" s="387"/>
      <c r="BIZ204" s="387"/>
      <c r="BJA204" s="387"/>
      <c r="BJB204" s="387"/>
      <c r="BJC204" s="387"/>
      <c r="BJD204" s="387"/>
      <c r="BJE204" s="387"/>
      <c r="BJF204" s="387"/>
      <c r="BJG204" s="387"/>
      <c r="BJH204" s="387"/>
      <c r="BJI204" s="387"/>
      <c r="BJJ204" s="387"/>
      <c r="BJK204" s="387"/>
      <c r="BJL204" s="387"/>
      <c r="BJM204" s="387"/>
      <c r="BJN204" s="387"/>
      <c r="BJO204" s="387"/>
      <c r="BJP204" s="387"/>
      <c r="BJQ204" s="387"/>
      <c r="BJR204" s="387"/>
      <c r="BJS204" s="387"/>
      <c r="BJT204" s="387"/>
      <c r="BJU204" s="387"/>
      <c r="BJV204" s="387"/>
      <c r="BJW204" s="387"/>
      <c r="BJX204" s="387"/>
      <c r="BJY204" s="387"/>
      <c r="BJZ204" s="387"/>
      <c r="BKA204" s="387"/>
      <c r="BKB204" s="387"/>
      <c r="BKC204" s="387"/>
      <c r="BKD204" s="387"/>
      <c r="BKE204" s="387"/>
      <c r="BKF204" s="387"/>
      <c r="BKG204" s="387"/>
      <c r="BKH204" s="387"/>
      <c r="BKI204" s="387"/>
      <c r="BKJ204" s="387"/>
      <c r="BKK204" s="387"/>
      <c r="BKL204" s="387"/>
      <c r="BKM204" s="387"/>
      <c r="BKN204" s="387"/>
      <c r="BKO204" s="387"/>
      <c r="BKP204" s="387"/>
      <c r="BKQ204" s="387"/>
      <c r="BKR204" s="387"/>
      <c r="BKS204" s="387"/>
      <c r="BKT204" s="387"/>
      <c r="BKU204" s="387"/>
      <c r="BKV204" s="387"/>
      <c r="BKW204" s="387"/>
      <c r="BKX204" s="387"/>
      <c r="BKY204" s="387"/>
      <c r="BKZ204" s="387"/>
      <c r="BLA204" s="387"/>
      <c r="BLB204" s="387"/>
      <c r="BLC204" s="387"/>
      <c r="BLD204" s="387"/>
      <c r="BLE204" s="387"/>
      <c r="BLF204" s="387"/>
      <c r="BLG204" s="387"/>
      <c r="BLH204" s="387"/>
      <c r="BLI204" s="387"/>
      <c r="BLJ204" s="387"/>
      <c r="BLK204" s="387"/>
      <c r="BLL204" s="387"/>
      <c r="BLM204" s="387"/>
      <c r="BLN204" s="387"/>
      <c r="BLO204" s="387"/>
      <c r="BLP204" s="387"/>
      <c r="BLQ204" s="387"/>
      <c r="BLR204" s="387"/>
      <c r="BLS204" s="387"/>
      <c r="BLT204" s="387"/>
      <c r="BLU204" s="387"/>
      <c r="BLV204" s="387"/>
      <c r="BLW204" s="387"/>
      <c r="BLX204" s="387"/>
      <c r="BLY204" s="387"/>
      <c r="BLZ204" s="387"/>
      <c r="BMA204" s="387"/>
      <c r="BMB204" s="387"/>
      <c r="BMC204" s="387"/>
      <c r="BMD204" s="387"/>
      <c r="BME204" s="387"/>
      <c r="BMF204" s="387"/>
      <c r="BMG204" s="387"/>
      <c r="BMH204" s="387"/>
      <c r="BMI204" s="387"/>
      <c r="BMJ204" s="387"/>
      <c r="BMK204" s="387"/>
      <c r="BML204" s="387"/>
      <c r="BMM204" s="387"/>
      <c r="BMN204" s="387"/>
      <c r="BMO204" s="387"/>
      <c r="BMP204" s="387"/>
      <c r="BMQ204" s="387"/>
      <c r="BMR204" s="387"/>
      <c r="BMS204" s="387"/>
      <c r="BMT204" s="387"/>
      <c r="BMU204" s="387"/>
      <c r="BMV204" s="387"/>
      <c r="BMW204" s="387"/>
      <c r="BMX204" s="387"/>
      <c r="BMY204" s="387"/>
      <c r="BMZ204" s="387"/>
      <c r="BNA204" s="387"/>
      <c r="BNB204" s="387"/>
      <c r="BNC204" s="387"/>
      <c r="BND204" s="387"/>
      <c r="BNE204" s="387"/>
      <c r="BNF204" s="387"/>
      <c r="BNG204" s="387"/>
      <c r="BNH204" s="387"/>
      <c r="BNI204" s="387"/>
      <c r="BNJ204" s="387"/>
      <c r="BNK204" s="387"/>
      <c r="BNL204" s="387"/>
      <c r="BNM204" s="387"/>
      <c r="BNN204" s="387"/>
      <c r="BNO204" s="387"/>
      <c r="BNP204" s="387"/>
      <c r="BNQ204" s="387"/>
      <c r="BNR204" s="387"/>
      <c r="BNS204" s="387"/>
      <c r="BNT204" s="387"/>
      <c r="BNU204" s="387"/>
      <c r="BNV204" s="387"/>
      <c r="BNW204" s="387"/>
      <c r="BNX204" s="387"/>
      <c r="BNY204" s="387"/>
      <c r="BNZ204" s="387"/>
      <c r="BOA204" s="387"/>
      <c r="BOB204" s="387"/>
      <c r="BOC204" s="387"/>
      <c r="BOD204" s="387"/>
      <c r="BOE204" s="387"/>
      <c r="BOF204" s="387"/>
      <c r="BOG204" s="387"/>
      <c r="BOH204" s="387"/>
      <c r="BOI204" s="387"/>
      <c r="BOJ204" s="387"/>
      <c r="BOK204" s="387"/>
      <c r="BOL204" s="387"/>
      <c r="BOM204" s="387"/>
      <c r="BON204" s="387"/>
      <c r="BOO204" s="387"/>
      <c r="BOP204" s="387"/>
      <c r="BOQ204" s="387"/>
      <c r="BOR204" s="387"/>
      <c r="BOS204" s="387"/>
      <c r="BOT204" s="387"/>
      <c r="BOU204" s="387"/>
      <c r="BOV204" s="387"/>
      <c r="BOW204" s="387"/>
      <c r="BOX204" s="387"/>
      <c r="BOY204" s="387"/>
      <c r="BOZ204" s="387"/>
      <c r="BPA204" s="387"/>
      <c r="BPB204" s="387"/>
      <c r="BPC204" s="387"/>
      <c r="BPD204" s="387"/>
      <c r="BPE204" s="387"/>
      <c r="BPF204" s="387"/>
      <c r="BPG204" s="387"/>
      <c r="BPH204" s="387"/>
      <c r="BPI204" s="387"/>
      <c r="BPJ204" s="387"/>
      <c r="BPK204" s="387"/>
      <c r="BPL204" s="387"/>
      <c r="BPM204" s="387"/>
      <c r="BPN204" s="387"/>
      <c r="BPO204" s="387"/>
      <c r="BPP204" s="387"/>
      <c r="BPQ204" s="387"/>
      <c r="BPR204" s="387"/>
      <c r="BPS204" s="387"/>
      <c r="BPT204" s="387"/>
      <c r="BPU204" s="387"/>
      <c r="BPV204" s="387"/>
      <c r="BPW204" s="387"/>
      <c r="BPX204" s="387"/>
      <c r="BPY204" s="387"/>
      <c r="BPZ204" s="387"/>
      <c r="BQA204" s="387"/>
      <c r="BQB204" s="387"/>
      <c r="BQC204" s="387"/>
      <c r="BQD204" s="387"/>
      <c r="BQE204" s="387"/>
      <c r="BQF204" s="387"/>
      <c r="BQG204" s="387"/>
      <c r="BQH204" s="387"/>
      <c r="BQI204" s="387"/>
      <c r="BQJ204" s="387"/>
      <c r="BQK204" s="387"/>
      <c r="BQL204" s="387"/>
      <c r="BQM204" s="387"/>
      <c r="BQN204" s="387"/>
      <c r="BQO204" s="387"/>
      <c r="BQP204" s="387"/>
      <c r="BQQ204" s="387"/>
      <c r="BQR204" s="387"/>
      <c r="BQS204" s="387"/>
      <c r="BQT204" s="387"/>
      <c r="BQU204" s="387"/>
      <c r="BQV204" s="387"/>
      <c r="BQW204" s="387"/>
      <c r="BQX204" s="387"/>
      <c r="BQY204" s="387"/>
      <c r="BQZ204" s="387"/>
      <c r="BRA204" s="387"/>
      <c r="BRB204" s="387"/>
      <c r="BRC204" s="387"/>
      <c r="BRD204" s="387"/>
      <c r="BRE204" s="387"/>
      <c r="BRF204" s="387"/>
      <c r="BRG204" s="387"/>
      <c r="BRH204" s="387"/>
      <c r="BRI204" s="387"/>
      <c r="BRJ204" s="387"/>
      <c r="BRK204" s="387"/>
      <c r="BRL204" s="387"/>
      <c r="BRM204" s="387"/>
      <c r="BRN204" s="387"/>
      <c r="BRO204" s="387"/>
      <c r="BRP204" s="387"/>
      <c r="BRQ204" s="387"/>
      <c r="BRR204" s="387"/>
      <c r="BRS204" s="387"/>
      <c r="BRT204" s="387"/>
      <c r="BRU204" s="387"/>
      <c r="BRV204" s="387"/>
      <c r="BRW204" s="387"/>
      <c r="BRX204" s="387"/>
      <c r="BRY204" s="387"/>
      <c r="BRZ204" s="387"/>
      <c r="BSA204" s="387"/>
      <c r="BSB204" s="387"/>
      <c r="BSC204" s="387"/>
      <c r="BSD204" s="387"/>
      <c r="BSE204" s="387"/>
      <c r="BSF204" s="387"/>
      <c r="BSG204" s="387"/>
      <c r="BSH204" s="387"/>
      <c r="BSI204" s="387"/>
      <c r="BSJ204" s="387"/>
      <c r="BSK204" s="387"/>
      <c r="BSL204" s="387"/>
      <c r="BSM204" s="387"/>
      <c r="BSN204" s="387"/>
      <c r="BSO204" s="387"/>
      <c r="BSP204" s="387"/>
      <c r="BSQ204" s="387"/>
      <c r="BSR204" s="387"/>
      <c r="BSS204" s="387"/>
      <c r="BST204" s="387"/>
      <c r="BSU204" s="387"/>
      <c r="BSV204" s="387"/>
      <c r="BSW204" s="387"/>
      <c r="BSX204" s="387"/>
      <c r="BSY204" s="387"/>
      <c r="BSZ204" s="387"/>
      <c r="BTA204" s="387"/>
      <c r="BTB204" s="387"/>
      <c r="BTC204" s="387"/>
      <c r="BTD204" s="387"/>
      <c r="BTE204" s="387"/>
      <c r="BTF204" s="387"/>
      <c r="BTG204" s="387"/>
      <c r="BTH204" s="387"/>
      <c r="BTI204" s="387"/>
    </row>
    <row r="205" spans="1:1881" s="384" customFormat="1" ht="53.25" customHeight="1" x14ac:dyDescent="0.25">
      <c r="A205" s="186">
        <v>599</v>
      </c>
      <c r="B205" s="148" t="s">
        <v>82</v>
      </c>
      <c r="C205" s="148" t="s">
        <v>536</v>
      </c>
      <c r="D205" s="173" t="s">
        <v>639</v>
      </c>
      <c r="E205" s="683" t="e">
        <f>HLOOKUP('Unit Data from Audit Worksheet'!$D$2,'2019 Data(H)'!$D$1:$BB$202,179,FALSE)</f>
        <v>#N/A</v>
      </c>
      <c r="F205" s="560"/>
      <c r="G205" s="534" t="str">
        <f>IF(ISBLANK(F205),"Please do not leave blank","")</f>
        <v>Please do not leave blank</v>
      </c>
      <c r="H205" s="68">
        <f>IF(F205&lt;0,"Error: Enter as positive.",)</f>
        <v>0</v>
      </c>
      <c r="I205" s="31"/>
      <c r="J205" s="356"/>
      <c r="K205" s="387"/>
      <c r="L205" s="387"/>
      <c r="M205" s="387"/>
      <c r="N205"/>
      <c r="O205" s="387"/>
      <c r="P205" s="387"/>
      <c r="Q205" s="387"/>
      <c r="R205"/>
      <c r="S205" s="682"/>
      <c r="T205" s="387"/>
      <c r="U205" s="387"/>
      <c r="V205" s="387"/>
      <c r="W205" s="387"/>
      <c r="X205" s="682"/>
      <c r="Y205" s="387"/>
      <c r="Z205" s="387"/>
      <c r="AA205" s="387"/>
      <c r="AB205" s="387"/>
      <c r="AC205" s="387"/>
      <c r="AD205" s="387"/>
      <c r="AE205" s="387"/>
      <c r="AF205" s="387"/>
      <c r="AG205" s="387"/>
      <c r="AH205" s="387"/>
      <c r="AI205" s="387"/>
      <c r="AJ205" s="387"/>
      <c r="AK205" s="387"/>
      <c r="AL205" s="387"/>
      <c r="AM205" s="387"/>
      <c r="AN205" s="387"/>
      <c r="AO205" s="387"/>
      <c r="AP205" s="387"/>
      <c r="AQ205" s="387"/>
      <c r="AR205" s="387"/>
      <c r="AS205" s="387"/>
      <c r="AT205" s="387"/>
      <c r="AU205" s="387"/>
      <c r="AV205" s="387"/>
      <c r="AW205" s="387"/>
      <c r="AX205" s="387"/>
      <c r="AY205" s="387"/>
      <c r="AZ205" s="387"/>
      <c r="BA205" s="387"/>
      <c r="BB205" s="387"/>
      <c r="BC205" s="387"/>
      <c r="BD205" s="387"/>
      <c r="BE205" s="387"/>
      <c r="BF205" s="387"/>
      <c r="BG205" s="387"/>
      <c r="BH205" s="387"/>
      <c r="BI205" s="387"/>
      <c r="BJ205" s="387"/>
      <c r="BK205" s="387"/>
      <c r="BL205" s="387"/>
      <c r="BM205" s="387"/>
      <c r="BN205" s="387"/>
      <c r="BO205" s="387"/>
      <c r="BP205" s="387"/>
      <c r="BQ205" s="387"/>
      <c r="BR205" s="387"/>
      <c r="BS205" s="387"/>
      <c r="BT205" s="387"/>
      <c r="BU205" s="387"/>
      <c r="BV205" s="387"/>
      <c r="BW205" s="387"/>
      <c r="BX205" s="387"/>
      <c r="BY205" s="387"/>
      <c r="BZ205" s="387"/>
      <c r="CA205" s="387"/>
      <c r="CB205" s="387"/>
      <c r="CC205" s="387"/>
      <c r="CD205" s="387"/>
      <c r="CE205" s="387"/>
      <c r="CF205" s="387"/>
      <c r="CG205" s="387"/>
      <c r="CH205" s="387"/>
      <c r="CI205" s="387"/>
      <c r="CJ205" s="387"/>
      <c r="CK205" s="387"/>
      <c r="CL205" s="387"/>
      <c r="CM205" s="387"/>
      <c r="CN205" s="387"/>
      <c r="CO205" s="387"/>
      <c r="CP205" s="387"/>
      <c r="CQ205" s="387"/>
      <c r="CR205" s="387"/>
      <c r="CS205" s="387"/>
      <c r="CT205" s="387"/>
      <c r="CU205" s="387"/>
      <c r="CV205" s="387"/>
      <c r="CW205" s="387"/>
      <c r="CX205" s="387"/>
      <c r="CY205" s="387"/>
      <c r="CZ205" s="387"/>
      <c r="DA205" s="387"/>
      <c r="DB205" s="387"/>
      <c r="DC205" s="387"/>
      <c r="DD205" s="387"/>
      <c r="DE205" s="387"/>
      <c r="DF205" s="387"/>
      <c r="DG205" s="387"/>
      <c r="DH205" s="387"/>
      <c r="DI205" s="387"/>
      <c r="DJ205" s="387"/>
      <c r="DK205" s="387"/>
      <c r="DL205" s="387"/>
      <c r="DM205" s="387"/>
      <c r="DN205" s="387"/>
      <c r="DO205" s="387"/>
      <c r="DP205" s="387"/>
      <c r="DQ205" s="387"/>
      <c r="DR205" s="387"/>
      <c r="DS205" s="387"/>
      <c r="DT205" s="387"/>
      <c r="DU205" s="387"/>
      <c r="DV205" s="387"/>
      <c r="DW205" s="387"/>
      <c r="DX205" s="387"/>
      <c r="DY205" s="387"/>
      <c r="DZ205" s="387"/>
      <c r="EA205" s="387"/>
      <c r="EB205" s="387"/>
      <c r="EC205" s="387"/>
      <c r="ED205" s="387"/>
      <c r="EE205" s="387"/>
      <c r="EF205" s="387"/>
      <c r="EG205" s="387"/>
      <c r="EH205" s="387"/>
      <c r="EI205" s="387"/>
      <c r="EJ205" s="387"/>
      <c r="EK205" s="387"/>
      <c r="EL205" s="387"/>
      <c r="EM205" s="387"/>
      <c r="EN205" s="387"/>
      <c r="EO205" s="387"/>
      <c r="EP205" s="387"/>
      <c r="EQ205" s="387"/>
      <c r="ER205" s="387"/>
      <c r="ES205" s="387"/>
      <c r="ET205" s="387"/>
      <c r="EU205" s="387"/>
      <c r="EV205" s="387"/>
      <c r="EW205" s="387"/>
      <c r="EX205" s="387"/>
      <c r="EY205" s="387"/>
      <c r="EZ205" s="387"/>
      <c r="FA205" s="387"/>
      <c r="FB205" s="387"/>
      <c r="FC205" s="387"/>
      <c r="FD205" s="387"/>
      <c r="FE205" s="387"/>
      <c r="FF205" s="387"/>
      <c r="FG205" s="387"/>
      <c r="FH205" s="387"/>
      <c r="FI205" s="387"/>
      <c r="FJ205" s="387"/>
      <c r="FK205" s="387"/>
      <c r="FL205" s="387"/>
      <c r="FM205" s="387"/>
      <c r="FN205" s="387"/>
      <c r="FO205" s="387"/>
      <c r="FP205" s="387"/>
      <c r="FQ205" s="387"/>
      <c r="FR205" s="387"/>
      <c r="FS205" s="387"/>
      <c r="FT205" s="387"/>
      <c r="FU205" s="387"/>
      <c r="FV205" s="387"/>
      <c r="FW205" s="387"/>
      <c r="FX205" s="387"/>
      <c r="FY205" s="387"/>
      <c r="FZ205" s="387"/>
      <c r="GA205" s="387"/>
      <c r="GB205" s="387"/>
      <c r="GC205" s="387"/>
      <c r="GD205" s="387"/>
      <c r="GE205" s="387"/>
      <c r="GF205" s="387"/>
      <c r="GG205" s="387"/>
      <c r="GH205" s="387"/>
      <c r="GI205" s="387"/>
      <c r="GJ205" s="387"/>
      <c r="GK205" s="387"/>
      <c r="GL205" s="387"/>
      <c r="GM205" s="387"/>
      <c r="GN205" s="387"/>
      <c r="GO205" s="387"/>
      <c r="GP205" s="387"/>
      <c r="GQ205" s="387"/>
      <c r="GR205" s="387"/>
      <c r="GS205" s="387"/>
      <c r="GT205" s="387"/>
      <c r="GU205" s="387"/>
      <c r="GV205" s="387"/>
      <c r="GW205" s="387"/>
      <c r="GX205" s="387"/>
      <c r="GY205" s="387"/>
      <c r="GZ205" s="387"/>
      <c r="HA205" s="387"/>
      <c r="HB205" s="387"/>
      <c r="HC205" s="387"/>
      <c r="HD205" s="387"/>
      <c r="HE205" s="387"/>
      <c r="HF205" s="387"/>
      <c r="HG205" s="387"/>
      <c r="HH205" s="387"/>
      <c r="HI205" s="387"/>
      <c r="HJ205" s="387"/>
      <c r="HK205" s="387"/>
      <c r="HL205" s="387"/>
      <c r="HM205" s="387"/>
      <c r="HN205" s="387"/>
      <c r="HO205" s="387"/>
      <c r="HP205" s="387"/>
      <c r="HQ205" s="387"/>
      <c r="HR205" s="387"/>
      <c r="HS205" s="387"/>
      <c r="HT205" s="387"/>
      <c r="HU205" s="387"/>
      <c r="HV205" s="387"/>
      <c r="HW205" s="387"/>
      <c r="HX205" s="387"/>
      <c r="HY205" s="387"/>
      <c r="HZ205" s="387"/>
      <c r="IA205" s="387"/>
      <c r="IB205" s="387"/>
      <c r="IC205" s="387"/>
      <c r="ID205" s="387"/>
      <c r="IE205" s="387"/>
      <c r="IF205" s="387"/>
      <c r="IG205" s="387"/>
      <c r="IH205" s="387"/>
      <c r="II205" s="387"/>
      <c r="IJ205" s="387"/>
      <c r="IK205" s="387"/>
      <c r="IL205" s="387"/>
      <c r="IM205" s="387"/>
      <c r="IN205" s="387"/>
      <c r="IO205" s="387"/>
      <c r="IP205" s="387"/>
      <c r="IQ205" s="387"/>
      <c r="IR205" s="387"/>
      <c r="IS205" s="387"/>
      <c r="IT205" s="387"/>
      <c r="IU205" s="387"/>
      <c r="IV205" s="387"/>
      <c r="IW205" s="387"/>
      <c r="IX205" s="387"/>
      <c r="IY205" s="387"/>
      <c r="IZ205" s="387"/>
      <c r="JA205" s="387"/>
      <c r="JB205" s="387"/>
      <c r="JC205" s="387"/>
      <c r="JD205" s="387"/>
      <c r="JE205" s="387"/>
      <c r="JF205" s="387"/>
      <c r="JG205" s="387"/>
      <c r="JH205" s="387"/>
      <c r="JI205" s="387"/>
      <c r="JJ205" s="387"/>
      <c r="JK205" s="387"/>
      <c r="JL205" s="387"/>
      <c r="JM205" s="387"/>
      <c r="JN205" s="387"/>
      <c r="JO205" s="387"/>
      <c r="JP205" s="387"/>
      <c r="JQ205" s="387"/>
      <c r="JR205" s="387"/>
      <c r="JS205" s="387"/>
      <c r="JT205" s="387"/>
      <c r="JU205" s="387"/>
      <c r="JV205" s="387"/>
      <c r="JW205" s="387"/>
      <c r="JX205" s="387"/>
      <c r="JY205" s="387"/>
      <c r="JZ205" s="387"/>
      <c r="KA205" s="387"/>
      <c r="KB205" s="387"/>
      <c r="KC205" s="387"/>
      <c r="KD205" s="387"/>
      <c r="KE205" s="387"/>
      <c r="KF205" s="387"/>
      <c r="KG205" s="387"/>
      <c r="KH205" s="387"/>
      <c r="KI205" s="387"/>
      <c r="KJ205" s="387"/>
      <c r="KK205" s="387"/>
      <c r="KL205" s="387"/>
      <c r="KM205" s="387"/>
      <c r="KN205" s="387"/>
      <c r="KO205" s="387"/>
      <c r="KP205" s="387"/>
      <c r="KQ205" s="387"/>
      <c r="KR205" s="387"/>
      <c r="KS205" s="387"/>
      <c r="KT205" s="387"/>
      <c r="KU205" s="387"/>
      <c r="KV205" s="387"/>
      <c r="KW205" s="387"/>
      <c r="KX205" s="387"/>
      <c r="KY205" s="387"/>
      <c r="KZ205" s="387"/>
      <c r="LA205" s="387"/>
      <c r="LB205" s="387"/>
      <c r="LC205" s="387"/>
      <c r="LD205" s="387"/>
      <c r="LE205" s="387"/>
      <c r="LF205" s="387"/>
      <c r="LG205" s="387"/>
      <c r="LH205" s="387"/>
      <c r="LI205" s="387"/>
      <c r="LJ205" s="387"/>
      <c r="LK205" s="387"/>
      <c r="LL205" s="387"/>
      <c r="LM205" s="387"/>
      <c r="LN205" s="387"/>
      <c r="LO205" s="387"/>
      <c r="LP205" s="387"/>
      <c r="LQ205" s="387"/>
      <c r="LR205" s="387"/>
      <c r="LS205" s="387"/>
      <c r="LT205" s="387"/>
      <c r="LU205" s="387"/>
      <c r="LV205" s="387"/>
      <c r="LW205" s="387"/>
      <c r="LX205" s="387"/>
      <c r="LY205" s="387"/>
      <c r="LZ205" s="387"/>
      <c r="MA205" s="387"/>
      <c r="MB205" s="387"/>
      <c r="MC205" s="387"/>
      <c r="MD205" s="387"/>
      <c r="ME205" s="387"/>
      <c r="MF205" s="387"/>
      <c r="MG205" s="387"/>
      <c r="MH205" s="387"/>
      <c r="MI205" s="387"/>
      <c r="MJ205" s="387"/>
      <c r="MK205" s="387"/>
      <c r="ML205" s="387"/>
      <c r="MM205" s="387"/>
      <c r="MN205" s="387"/>
      <c r="MO205" s="387"/>
      <c r="MP205" s="387"/>
      <c r="MQ205" s="387"/>
      <c r="MR205" s="387"/>
      <c r="MS205" s="387"/>
      <c r="MT205" s="387"/>
      <c r="MU205" s="387"/>
      <c r="MV205" s="387"/>
      <c r="MW205" s="387"/>
      <c r="MX205" s="387"/>
      <c r="MY205" s="387"/>
      <c r="MZ205" s="387"/>
      <c r="NA205" s="387"/>
      <c r="NB205" s="387"/>
      <c r="NC205" s="387"/>
      <c r="ND205" s="387"/>
      <c r="NE205" s="387"/>
      <c r="NF205" s="387"/>
      <c r="NG205" s="387"/>
      <c r="NH205" s="387"/>
      <c r="NI205" s="387"/>
      <c r="NJ205" s="387"/>
      <c r="NK205" s="387"/>
      <c r="NL205" s="387"/>
      <c r="NM205" s="387"/>
      <c r="NN205" s="387"/>
      <c r="NO205" s="387"/>
      <c r="NP205" s="387"/>
      <c r="NQ205" s="387"/>
      <c r="NR205" s="387"/>
      <c r="NS205" s="387"/>
      <c r="NT205" s="387"/>
      <c r="NU205" s="387"/>
      <c r="NV205" s="387"/>
      <c r="NW205" s="387"/>
      <c r="NX205" s="387"/>
      <c r="NY205" s="387"/>
      <c r="NZ205" s="387"/>
      <c r="OA205" s="387"/>
      <c r="OB205" s="387"/>
      <c r="OC205" s="387"/>
      <c r="OD205" s="387"/>
      <c r="OE205" s="387"/>
      <c r="OF205" s="387"/>
      <c r="OG205" s="387"/>
      <c r="OH205" s="387"/>
      <c r="OI205" s="387"/>
      <c r="OJ205" s="387"/>
      <c r="OK205" s="387"/>
      <c r="OL205" s="387"/>
      <c r="OM205" s="387"/>
      <c r="ON205" s="387"/>
      <c r="OO205" s="387"/>
      <c r="OP205" s="387"/>
      <c r="OQ205" s="387"/>
      <c r="OR205" s="387"/>
      <c r="OS205" s="387"/>
      <c r="OT205" s="387"/>
      <c r="OU205" s="387"/>
      <c r="OV205" s="387"/>
      <c r="OW205" s="387"/>
      <c r="OX205" s="387"/>
      <c r="OY205" s="387"/>
      <c r="OZ205" s="387"/>
      <c r="PA205" s="387"/>
      <c r="PB205" s="387"/>
      <c r="PC205" s="387"/>
      <c r="PD205" s="387"/>
      <c r="PE205" s="387"/>
      <c r="PF205" s="387"/>
      <c r="PG205" s="387"/>
      <c r="PH205" s="387"/>
      <c r="PI205" s="387"/>
      <c r="PJ205" s="387"/>
      <c r="PK205" s="387"/>
      <c r="PL205" s="387"/>
      <c r="PM205" s="387"/>
      <c r="PN205" s="387"/>
      <c r="PO205" s="387"/>
      <c r="PP205" s="387"/>
      <c r="PQ205" s="387"/>
      <c r="PR205" s="387"/>
      <c r="PS205" s="387"/>
      <c r="PT205" s="387"/>
      <c r="PU205" s="387"/>
      <c r="PV205" s="387"/>
      <c r="PW205" s="387"/>
      <c r="PX205" s="387"/>
      <c r="PY205" s="387"/>
      <c r="PZ205" s="387"/>
      <c r="QA205" s="387"/>
      <c r="QB205" s="387"/>
      <c r="QC205" s="387"/>
      <c r="QD205" s="387"/>
      <c r="QE205" s="387"/>
      <c r="QF205" s="387"/>
      <c r="QG205" s="387"/>
      <c r="QH205" s="387"/>
      <c r="QI205" s="387"/>
      <c r="QJ205" s="387"/>
      <c r="QK205" s="387"/>
      <c r="QL205" s="387"/>
      <c r="QM205" s="387"/>
      <c r="QN205" s="387"/>
      <c r="QO205" s="387"/>
      <c r="QP205" s="387"/>
      <c r="QQ205" s="387"/>
      <c r="QR205" s="387"/>
      <c r="QS205" s="387"/>
      <c r="QT205" s="387"/>
      <c r="QU205" s="387"/>
      <c r="QV205" s="387"/>
      <c r="QW205" s="387"/>
      <c r="QX205" s="387"/>
      <c r="QY205" s="387"/>
      <c r="QZ205" s="387"/>
      <c r="RA205" s="387"/>
      <c r="RB205" s="387"/>
      <c r="RC205" s="387"/>
      <c r="RD205" s="387"/>
      <c r="RE205" s="387"/>
      <c r="RF205" s="387"/>
      <c r="RG205" s="387"/>
      <c r="RH205" s="387"/>
      <c r="RI205" s="387"/>
      <c r="RJ205" s="387"/>
      <c r="RK205" s="387"/>
      <c r="RL205" s="387"/>
      <c r="RM205" s="387"/>
      <c r="RN205" s="387"/>
      <c r="RO205" s="387"/>
      <c r="RP205" s="387"/>
      <c r="RQ205" s="387"/>
      <c r="RR205" s="387"/>
      <c r="RS205" s="387"/>
      <c r="RT205" s="387"/>
      <c r="RU205" s="387"/>
      <c r="RV205" s="387"/>
      <c r="RW205" s="387"/>
      <c r="RX205" s="387"/>
      <c r="RY205" s="387"/>
      <c r="RZ205" s="387"/>
      <c r="SA205" s="387"/>
      <c r="SB205" s="387"/>
      <c r="SC205" s="387"/>
      <c r="SD205" s="387"/>
      <c r="SE205" s="387"/>
      <c r="SF205" s="387"/>
      <c r="SG205" s="387"/>
      <c r="SH205" s="387"/>
      <c r="SI205" s="387"/>
      <c r="SJ205" s="387"/>
      <c r="SK205" s="387"/>
      <c r="SL205" s="387"/>
      <c r="SM205" s="387"/>
      <c r="SN205" s="387"/>
      <c r="SO205" s="387"/>
      <c r="SP205" s="387"/>
      <c r="SQ205" s="387"/>
      <c r="SR205" s="387"/>
      <c r="SS205" s="387"/>
      <c r="ST205" s="387"/>
      <c r="SU205" s="387"/>
      <c r="SV205" s="387"/>
      <c r="SW205" s="387"/>
      <c r="SX205" s="387"/>
      <c r="SY205" s="387"/>
      <c r="SZ205" s="387"/>
      <c r="TA205" s="387"/>
      <c r="TB205" s="387"/>
      <c r="TC205" s="387"/>
      <c r="TD205" s="387"/>
      <c r="TE205" s="387"/>
      <c r="TF205" s="387"/>
      <c r="TG205" s="387"/>
      <c r="TH205" s="387"/>
      <c r="TI205" s="387"/>
      <c r="TJ205" s="387"/>
      <c r="TK205" s="387"/>
      <c r="TL205" s="387"/>
      <c r="TM205" s="387"/>
      <c r="TN205" s="387"/>
      <c r="TO205" s="387"/>
      <c r="TP205" s="387"/>
      <c r="TQ205" s="387"/>
      <c r="TR205" s="387"/>
      <c r="TS205" s="387"/>
      <c r="TT205" s="387"/>
      <c r="TU205" s="387"/>
      <c r="TV205" s="387"/>
      <c r="TW205" s="387"/>
      <c r="TX205" s="387"/>
      <c r="TY205" s="387"/>
      <c r="TZ205" s="387"/>
      <c r="UA205" s="387"/>
      <c r="UB205" s="387"/>
      <c r="UC205" s="387"/>
      <c r="UD205" s="387"/>
      <c r="UE205" s="387"/>
      <c r="UF205" s="387"/>
      <c r="UG205" s="387"/>
      <c r="UH205" s="387"/>
      <c r="UI205" s="387"/>
      <c r="UJ205" s="387"/>
      <c r="UK205" s="387"/>
      <c r="UL205" s="387"/>
      <c r="UM205" s="387"/>
      <c r="UN205" s="387"/>
      <c r="UO205" s="387"/>
      <c r="UP205" s="387"/>
      <c r="UQ205" s="387"/>
      <c r="UR205" s="387"/>
      <c r="US205" s="387"/>
      <c r="UT205" s="387"/>
      <c r="UU205" s="387"/>
      <c r="UV205" s="387"/>
      <c r="UW205" s="387"/>
      <c r="UX205" s="387"/>
      <c r="UY205" s="387"/>
      <c r="UZ205" s="387"/>
      <c r="VA205" s="387"/>
      <c r="VB205" s="387"/>
      <c r="VC205" s="387"/>
      <c r="VD205" s="387"/>
      <c r="VE205" s="387"/>
      <c r="VF205" s="387"/>
      <c r="VG205" s="387"/>
      <c r="VH205" s="387"/>
      <c r="VI205" s="387"/>
      <c r="VJ205" s="387"/>
      <c r="VK205" s="387"/>
      <c r="VL205" s="387"/>
      <c r="VM205" s="387"/>
      <c r="VN205" s="387"/>
      <c r="VO205" s="387"/>
      <c r="VP205" s="387"/>
      <c r="VQ205" s="387"/>
      <c r="VR205" s="387"/>
      <c r="VS205" s="387"/>
      <c r="VT205" s="387"/>
      <c r="VU205" s="387"/>
      <c r="VV205" s="387"/>
      <c r="VW205" s="387"/>
      <c r="VX205" s="387"/>
      <c r="VY205" s="387"/>
      <c r="VZ205" s="387"/>
      <c r="WA205" s="387"/>
      <c r="WB205" s="387"/>
      <c r="WC205" s="387"/>
      <c r="WD205" s="387"/>
      <c r="WE205" s="387"/>
      <c r="WF205" s="387"/>
      <c r="WG205" s="387"/>
      <c r="WH205" s="387"/>
      <c r="WI205" s="387"/>
      <c r="WJ205" s="387"/>
      <c r="WK205" s="387"/>
      <c r="WL205" s="387"/>
      <c r="WM205" s="387"/>
      <c r="WN205" s="387"/>
      <c r="WO205" s="387"/>
      <c r="WP205" s="387"/>
      <c r="WQ205" s="387"/>
      <c r="WR205" s="387"/>
      <c r="WS205" s="387"/>
      <c r="WT205" s="387"/>
      <c r="WU205" s="387"/>
      <c r="WV205" s="387"/>
      <c r="WW205" s="387"/>
      <c r="WX205" s="387"/>
      <c r="WY205" s="387"/>
      <c r="WZ205" s="387"/>
      <c r="XA205" s="387"/>
      <c r="XB205" s="387"/>
      <c r="XC205" s="387"/>
      <c r="XD205" s="387"/>
      <c r="XE205" s="387"/>
      <c r="XF205" s="387"/>
      <c r="XG205" s="387"/>
      <c r="XH205" s="387"/>
      <c r="XI205" s="387"/>
      <c r="XJ205" s="387"/>
      <c r="XK205" s="387"/>
      <c r="XL205" s="387"/>
      <c r="XM205" s="387"/>
      <c r="XN205" s="387"/>
      <c r="XO205" s="387"/>
      <c r="XP205" s="387"/>
      <c r="XQ205" s="387"/>
      <c r="XR205" s="387"/>
      <c r="XS205" s="387"/>
      <c r="XT205" s="387"/>
      <c r="XU205" s="387"/>
      <c r="XV205" s="387"/>
      <c r="XW205" s="387"/>
      <c r="XX205" s="387"/>
      <c r="XY205" s="387"/>
      <c r="XZ205" s="387"/>
      <c r="YA205" s="387"/>
      <c r="YB205" s="387"/>
      <c r="YC205" s="387"/>
      <c r="YD205" s="387"/>
      <c r="YE205" s="387"/>
      <c r="YF205" s="387"/>
      <c r="YG205" s="387"/>
      <c r="YH205" s="387"/>
      <c r="YI205" s="387"/>
      <c r="YJ205" s="387"/>
      <c r="YK205" s="387"/>
      <c r="YL205" s="387"/>
      <c r="YM205" s="387"/>
      <c r="YN205" s="387"/>
      <c r="YO205" s="387"/>
      <c r="YP205" s="387"/>
      <c r="YQ205" s="387"/>
      <c r="YR205" s="387"/>
      <c r="YS205" s="387"/>
      <c r="YT205" s="387"/>
      <c r="YU205" s="387"/>
      <c r="YV205" s="387"/>
      <c r="YW205" s="387"/>
      <c r="YX205" s="387"/>
      <c r="YY205" s="387"/>
      <c r="YZ205" s="387"/>
      <c r="ZA205" s="387"/>
      <c r="ZB205" s="387"/>
      <c r="ZC205" s="387"/>
      <c r="ZD205" s="387"/>
      <c r="ZE205" s="387"/>
      <c r="ZF205" s="387"/>
      <c r="ZG205" s="387"/>
      <c r="ZH205" s="387"/>
      <c r="ZI205" s="387"/>
      <c r="ZJ205" s="387"/>
      <c r="ZK205" s="387"/>
      <c r="ZL205" s="387"/>
      <c r="ZM205" s="387"/>
      <c r="ZN205" s="387"/>
      <c r="ZO205" s="387"/>
      <c r="ZP205" s="387"/>
      <c r="ZQ205" s="387"/>
      <c r="ZR205" s="387"/>
      <c r="ZS205" s="387"/>
      <c r="ZT205" s="387"/>
      <c r="ZU205" s="387"/>
      <c r="ZV205" s="387"/>
      <c r="ZW205" s="387"/>
      <c r="ZX205" s="387"/>
      <c r="ZY205" s="387"/>
      <c r="ZZ205" s="387"/>
      <c r="AAA205" s="387"/>
      <c r="AAB205" s="387"/>
      <c r="AAC205" s="387"/>
      <c r="AAD205" s="387"/>
      <c r="AAE205" s="387"/>
      <c r="AAF205" s="387"/>
      <c r="AAG205" s="387"/>
      <c r="AAH205" s="387"/>
      <c r="AAI205" s="387"/>
      <c r="AAJ205" s="387"/>
      <c r="AAK205" s="387"/>
      <c r="AAL205" s="387"/>
      <c r="AAM205" s="387"/>
      <c r="AAN205" s="387"/>
      <c r="AAO205" s="387"/>
      <c r="AAP205" s="387"/>
      <c r="AAQ205" s="387"/>
      <c r="AAR205" s="387"/>
      <c r="AAS205" s="387"/>
      <c r="AAT205" s="387"/>
      <c r="AAU205" s="387"/>
      <c r="AAV205" s="387"/>
      <c r="AAW205" s="387"/>
      <c r="AAX205" s="387"/>
      <c r="AAY205" s="387"/>
      <c r="AAZ205" s="387"/>
      <c r="ABA205" s="387"/>
      <c r="ABB205" s="387"/>
      <c r="ABC205" s="387"/>
      <c r="ABD205" s="387"/>
      <c r="ABE205" s="387"/>
      <c r="ABF205" s="387"/>
      <c r="ABG205" s="387"/>
      <c r="ABH205" s="387"/>
      <c r="ABI205" s="387"/>
      <c r="ABJ205" s="387"/>
      <c r="ABK205" s="387"/>
      <c r="ABL205" s="387"/>
      <c r="ABM205" s="387"/>
      <c r="ABN205" s="387"/>
      <c r="ABO205" s="387"/>
      <c r="ABP205" s="387"/>
      <c r="ABQ205" s="387"/>
      <c r="ABR205" s="387"/>
      <c r="ABS205" s="387"/>
      <c r="ABT205" s="387"/>
      <c r="ABU205" s="387"/>
      <c r="ABV205" s="387"/>
      <c r="ABW205" s="387"/>
      <c r="ABX205" s="387"/>
      <c r="ABY205" s="387"/>
      <c r="ABZ205" s="387"/>
      <c r="ACA205" s="387"/>
      <c r="ACB205" s="387"/>
      <c r="ACC205" s="387"/>
      <c r="ACD205" s="387"/>
      <c r="ACE205" s="387"/>
      <c r="ACF205" s="387"/>
      <c r="ACG205" s="387"/>
      <c r="ACH205" s="387"/>
      <c r="ACI205" s="387"/>
      <c r="ACJ205" s="387"/>
      <c r="ACK205" s="387"/>
      <c r="ACL205" s="387"/>
      <c r="ACM205" s="387"/>
      <c r="ACN205" s="387"/>
      <c r="ACO205" s="387"/>
      <c r="ACP205" s="387"/>
      <c r="ACQ205" s="387"/>
      <c r="ACR205" s="387"/>
      <c r="ACS205" s="387"/>
      <c r="ACT205" s="387"/>
      <c r="ACU205" s="387"/>
      <c r="ACV205" s="387"/>
      <c r="ACW205" s="387"/>
      <c r="ACX205" s="387"/>
      <c r="ACY205" s="387"/>
      <c r="ACZ205" s="387"/>
      <c r="ADA205" s="387"/>
      <c r="ADB205" s="387"/>
      <c r="ADC205" s="387"/>
      <c r="ADD205" s="387"/>
      <c r="ADE205" s="387"/>
      <c r="ADF205" s="387"/>
      <c r="ADG205" s="387"/>
      <c r="ADH205" s="387"/>
      <c r="ADI205" s="387"/>
      <c r="ADJ205" s="387"/>
      <c r="ADK205" s="387"/>
      <c r="ADL205" s="387"/>
      <c r="ADM205" s="387"/>
      <c r="ADN205" s="387"/>
      <c r="ADO205" s="387"/>
      <c r="ADP205" s="387"/>
      <c r="ADQ205" s="387"/>
      <c r="ADR205" s="387"/>
      <c r="ADS205" s="387"/>
      <c r="ADT205" s="387"/>
      <c r="ADU205" s="387"/>
      <c r="ADV205" s="387"/>
      <c r="ADW205" s="387"/>
      <c r="ADX205" s="387"/>
      <c r="ADY205" s="387"/>
      <c r="ADZ205" s="387"/>
      <c r="AEA205" s="387"/>
      <c r="AEB205" s="387"/>
      <c r="AEC205" s="387"/>
      <c r="AED205" s="387"/>
      <c r="AEE205" s="387"/>
      <c r="AEF205" s="387"/>
      <c r="AEG205" s="387"/>
      <c r="AEH205" s="387"/>
      <c r="AEI205" s="387"/>
      <c r="AEJ205" s="387"/>
      <c r="AEK205" s="387"/>
      <c r="AEL205" s="387"/>
      <c r="AEM205" s="387"/>
      <c r="AEN205" s="387"/>
      <c r="AEO205" s="387"/>
      <c r="AEP205" s="387"/>
      <c r="AEQ205" s="387"/>
      <c r="AER205" s="387"/>
      <c r="AES205" s="387"/>
      <c r="AET205" s="387"/>
      <c r="AEU205" s="387"/>
      <c r="AEV205" s="387"/>
      <c r="AEW205" s="387"/>
      <c r="AEX205" s="387"/>
      <c r="AEY205" s="387"/>
      <c r="AEZ205" s="387"/>
      <c r="AFA205" s="387"/>
      <c r="AFB205" s="387"/>
      <c r="AFC205" s="387"/>
      <c r="AFD205" s="387"/>
      <c r="AFE205" s="387"/>
      <c r="AFF205" s="387"/>
      <c r="AFG205" s="387"/>
      <c r="AFH205" s="387"/>
      <c r="AFI205" s="387"/>
      <c r="AFJ205" s="387"/>
      <c r="AFK205" s="387"/>
      <c r="AFL205" s="387"/>
      <c r="AFM205" s="387"/>
      <c r="AFN205" s="387"/>
      <c r="AFO205" s="387"/>
      <c r="AFP205" s="387"/>
      <c r="AFQ205" s="387"/>
      <c r="AFR205" s="387"/>
      <c r="AFS205" s="387"/>
      <c r="AFT205" s="387"/>
      <c r="AFU205" s="387"/>
      <c r="AFV205" s="387"/>
      <c r="AFW205" s="387"/>
      <c r="AFX205" s="387"/>
      <c r="AFY205" s="387"/>
      <c r="AFZ205" s="387"/>
      <c r="AGA205" s="387"/>
      <c r="AGB205" s="387"/>
      <c r="AGC205" s="387"/>
      <c r="AGD205" s="387"/>
      <c r="AGE205" s="387"/>
      <c r="AGF205" s="387"/>
      <c r="AGG205" s="387"/>
      <c r="AGH205" s="387"/>
      <c r="AGI205" s="387"/>
      <c r="AGJ205" s="387"/>
      <c r="AGK205" s="387"/>
      <c r="AGL205" s="387"/>
      <c r="AGM205" s="387"/>
      <c r="AGN205" s="387"/>
      <c r="AGO205" s="387"/>
      <c r="AGP205" s="387"/>
      <c r="AGQ205" s="387"/>
      <c r="AGR205" s="387"/>
      <c r="AGS205" s="387"/>
      <c r="AGT205" s="387"/>
      <c r="AGU205" s="387"/>
      <c r="AGV205" s="387"/>
      <c r="AGW205" s="387"/>
      <c r="AGX205" s="387"/>
      <c r="AGY205" s="387"/>
      <c r="AGZ205" s="387"/>
      <c r="AHA205" s="387"/>
      <c r="AHB205" s="387"/>
      <c r="AHC205" s="387"/>
      <c r="AHD205" s="387"/>
      <c r="AHE205" s="387"/>
      <c r="AHF205" s="387"/>
      <c r="AHG205" s="387"/>
      <c r="AHH205" s="387"/>
      <c r="AHI205" s="387"/>
      <c r="AHJ205" s="387"/>
      <c r="AHK205" s="387"/>
      <c r="AHL205" s="387"/>
      <c r="AHM205" s="387"/>
      <c r="AHN205" s="387"/>
      <c r="AHO205" s="387"/>
      <c r="AHP205" s="387"/>
      <c r="AHQ205" s="387"/>
      <c r="AHR205" s="387"/>
      <c r="AHS205" s="387"/>
      <c r="AHT205" s="387"/>
      <c r="AHU205" s="387"/>
      <c r="AHV205" s="387"/>
      <c r="AHW205" s="387"/>
      <c r="AHX205" s="387"/>
      <c r="AHY205" s="387"/>
      <c r="AHZ205" s="387"/>
      <c r="AIA205" s="387"/>
      <c r="AIB205" s="387"/>
      <c r="AIC205" s="387"/>
      <c r="AID205" s="387"/>
      <c r="AIE205" s="387"/>
      <c r="AIF205" s="387"/>
      <c r="AIG205" s="387"/>
      <c r="AIH205" s="387"/>
      <c r="AII205" s="387"/>
      <c r="AIJ205" s="387"/>
      <c r="AIK205" s="387"/>
      <c r="AIL205" s="387"/>
      <c r="AIM205" s="387"/>
      <c r="AIN205" s="387"/>
      <c r="AIO205" s="387"/>
      <c r="AIP205" s="387"/>
      <c r="AIQ205" s="387"/>
      <c r="AIR205" s="387"/>
      <c r="AIS205" s="387"/>
      <c r="AIT205" s="387"/>
      <c r="AIU205" s="387"/>
      <c r="AIV205" s="387"/>
      <c r="AIW205" s="387"/>
      <c r="AIX205" s="387"/>
      <c r="AIY205" s="387"/>
      <c r="AIZ205" s="387"/>
      <c r="AJA205" s="387"/>
      <c r="AJB205" s="387"/>
      <c r="AJC205" s="387"/>
      <c r="AJD205" s="387"/>
      <c r="AJE205" s="387"/>
      <c r="AJF205" s="387"/>
      <c r="AJG205" s="387"/>
      <c r="AJH205" s="387"/>
      <c r="AJI205" s="387"/>
      <c r="AJJ205" s="387"/>
      <c r="AJK205" s="387"/>
      <c r="AJL205" s="387"/>
      <c r="AJM205" s="387"/>
      <c r="AJN205" s="387"/>
      <c r="AJO205" s="387"/>
      <c r="AJP205" s="387"/>
      <c r="AJQ205" s="387"/>
      <c r="AJR205" s="387"/>
      <c r="AJS205" s="387"/>
      <c r="AJT205" s="387"/>
      <c r="AJU205" s="387"/>
      <c r="AJV205" s="387"/>
      <c r="AJW205" s="387"/>
      <c r="AJX205" s="387"/>
      <c r="AJY205" s="387"/>
      <c r="AJZ205" s="387"/>
      <c r="AKA205" s="387"/>
      <c r="AKB205" s="387"/>
      <c r="AKC205" s="387"/>
      <c r="AKD205" s="387"/>
      <c r="AKE205" s="387"/>
      <c r="AKF205" s="387"/>
      <c r="AKG205" s="387"/>
      <c r="AKH205" s="387"/>
      <c r="AKI205" s="387"/>
      <c r="AKJ205" s="387"/>
      <c r="AKK205" s="387"/>
      <c r="AKL205" s="387"/>
      <c r="AKM205" s="387"/>
      <c r="AKN205" s="387"/>
      <c r="AKO205" s="387"/>
      <c r="AKP205" s="387"/>
      <c r="AKQ205" s="387"/>
      <c r="AKR205" s="387"/>
      <c r="AKS205" s="387"/>
      <c r="AKT205" s="387"/>
      <c r="AKU205" s="387"/>
      <c r="AKV205" s="387"/>
      <c r="AKW205" s="387"/>
      <c r="AKX205" s="387"/>
      <c r="AKY205" s="387"/>
      <c r="AKZ205" s="387"/>
      <c r="ALA205" s="387"/>
      <c r="ALB205" s="387"/>
      <c r="ALC205" s="387"/>
      <c r="ALD205" s="387"/>
      <c r="ALE205" s="387"/>
      <c r="ALF205" s="387"/>
      <c r="ALG205" s="387"/>
      <c r="ALH205" s="387"/>
      <c r="ALI205" s="387"/>
      <c r="ALJ205" s="387"/>
      <c r="ALK205" s="387"/>
      <c r="ALL205" s="387"/>
      <c r="ALM205" s="387"/>
      <c r="ALN205" s="387"/>
      <c r="ALO205" s="387"/>
      <c r="ALP205" s="387"/>
      <c r="ALQ205" s="387"/>
      <c r="ALR205" s="387"/>
      <c r="ALS205" s="387"/>
      <c r="ALT205" s="387"/>
      <c r="ALU205" s="387"/>
      <c r="ALV205" s="387"/>
      <c r="ALW205" s="387"/>
      <c r="ALX205" s="387"/>
      <c r="ALY205" s="387"/>
      <c r="ALZ205" s="387"/>
      <c r="AMA205" s="387"/>
      <c r="AMB205" s="387"/>
      <c r="AMC205" s="387"/>
      <c r="AMD205" s="387"/>
      <c r="AME205" s="387"/>
      <c r="AMF205" s="387"/>
      <c r="AMG205" s="387"/>
      <c r="AMH205" s="387"/>
      <c r="AMI205" s="387"/>
      <c r="AMJ205" s="387"/>
      <c r="AMK205" s="387"/>
      <c r="AML205" s="387"/>
      <c r="AMM205" s="387"/>
      <c r="AMN205" s="387"/>
      <c r="AMO205" s="387"/>
      <c r="AMP205" s="387"/>
      <c r="AMQ205" s="387"/>
      <c r="AMR205" s="387"/>
      <c r="AMS205" s="387"/>
      <c r="AMT205" s="387"/>
      <c r="AMU205" s="387"/>
      <c r="AMV205" s="387"/>
      <c r="AMW205" s="387"/>
      <c r="AMX205" s="387"/>
      <c r="AMY205" s="387"/>
      <c r="AMZ205" s="387"/>
      <c r="ANA205" s="387"/>
      <c r="ANB205" s="387"/>
      <c r="ANC205" s="387"/>
      <c r="AND205" s="387"/>
      <c r="ANE205" s="387"/>
      <c r="ANF205" s="387"/>
      <c r="ANG205" s="387"/>
      <c r="ANH205" s="387"/>
      <c r="ANI205" s="387"/>
      <c r="ANJ205" s="387"/>
      <c r="ANK205" s="387"/>
      <c r="ANL205" s="387"/>
      <c r="ANM205" s="387"/>
      <c r="ANN205" s="387"/>
      <c r="ANO205" s="387"/>
      <c r="ANP205" s="387"/>
      <c r="ANQ205" s="387"/>
      <c r="ANR205" s="387"/>
      <c r="ANS205" s="387"/>
      <c r="ANT205" s="387"/>
      <c r="ANU205" s="387"/>
      <c r="ANV205" s="387"/>
      <c r="ANW205" s="387"/>
      <c r="ANX205" s="387"/>
      <c r="ANY205" s="387"/>
      <c r="ANZ205" s="387"/>
      <c r="AOA205" s="387"/>
      <c r="AOB205" s="387"/>
      <c r="AOC205" s="387"/>
      <c r="AOD205" s="387"/>
      <c r="AOE205" s="387"/>
      <c r="AOF205" s="387"/>
      <c r="AOG205" s="387"/>
      <c r="AOH205" s="387"/>
      <c r="AOI205" s="387"/>
      <c r="AOJ205" s="387"/>
      <c r="AOK205" s="387"/>
      <c r="AOL205" s="387"/>
      <c r="AOM205" s="387"/>
      <c r="AON205" s="387"/>
      <c r="AOO205" s="387"/>
      <c r="AOP205" s="387"/>
      <c r="AOQ205" s="387"/>
      <c r="AOR205" s="387"/>
      <c r="AOS205" s="387"/>
      <c r="AOT205" s="387"/>
      <c r="AOU205" s="387"/>
      <c r="AOV205" s="387"/>
      <c r="AOW205" s="387"/>
      <c r="AOX205" s="387"/>
      <c r="AOY205" s="387"/>
      <c r="AOZ205" s="387"/>
      <c r="APA205" s="387"/>
      <c r="APB205" s="387"/>
      <c r="APC205" s="387"/>
      <c r="APD205" s="387"/>
      <c r="APE205" s="387"/>
      <c r="APF205" s="387"/>
      <c r="APG205" s="387"/>
      <c r="APH205" s="387"/>
      <c r="API205" s="387"/>
      <c r="APJ205" s="387"/>
      <c r="APK205" s="387"/>
      <c r="APL205" s="387"/>
      <c r="APM205" s="387"/>
      <c r="APN205" s="387"/>
      <c r="APO205" s="387"/>
      <c r="APP205" s="387"/>
      <c r="APQ205" s="387"/>
      <c r="APR205" s="387"/>
      <c r="APS205" s="387"/>
      <c r="APT205" s="387"/>
      <c r="APU205" s="387"/>
      <c r="APV205" s="387"/>
      <c r="APW205" s="387"/>
      <c r="APX205" s="387"/>
      <c r="APY205" s="387"/>
      <c r="APZ205" s="387"/>
      <c r="AQA205" s="387"/>
      <c r="AQB205" s="387"/>
      <c r="AQC205" s="387"/>
      <c r="AQD205" s="387"/>
      <c r="AQE205" s="387"/>
      <c r="AQF205" s="387"/>
      <c r="AQG205" s="387"/>
      <c r="AQH205" s="387"/>
      <c r="AQI205" s="387"/>
      <c r="AQJ205" s="387"/>
      <c r="AQK205" s="387"/>
      <c r="AQL205" s="387"/>
      <c r="AQM205" s="387"/>
      <c r="AQN205" s="387"/>
      <c r="AQO205" s="387"/>
      <c r="AQP205" s="387"/>
      <c r="AQQ205" s="387"/>
      <c r="AQR205" s="387"/>
      <c r="AQS205" s="387"/>
      <c r="AQT205" s="387"/>
      <c r="AQU205" s="387"/>
      <c r="AQV205" s="387"/>
      <c r="AQW205" s="387"/>
      <c r="AQX205" s="387"/>
      <c r="AQY205" s="387"/>
      <c r="AQZ205" s="387"/>
      <c r="ARA205" s="387"/>
      <c r="ARB205" s="387"/>
      <c r="ARC205" s="387"/>
      <c r="ARD205" s="387"/>
      <c r="ARE205" s="387"/>
      <c r="ARF205" s="387"/>
      <c r="ARG205" s="387"/>
      <c r="ARH205" s="387"/>
      <c r="ARI205" s="387"/>
      <c r="ARJ205" s="387"/>
      <c r="ARK205" s="387"/>
      <c r="ARL205" s="387"/>
      <c r="ARM205" s="387"/>
      <c r="ARN205" s="387"/>
      <c r="ARO205" s="387"/>
      <c r="ARP205" s="387"/>
      <c r="ARQ205" s="387"/>
      <c r="ARR205" s="387"/>
      <c r="ARS205" s="387"/>
      <c r="ART205" s="387"/>
      <c r="ARU205" s="387"/>
      <c r="ARV205" s="387"/>
      <c r="ARW205" s="387"/>
      <c r="ARX205" s="387"/>
      <c r="ARY205" s="387"/>
      <c r="ARZ205" s="387"/>
      <c r="ASA205" s="387"/>
      <c r="ASB205" s="387"/>
      <c r="ASC205" s="387"/>
      <c r="ASD205" s="387"/>
      <c r="ASE205" s="387"/>
      <c r="ASF205" s="387"/>
      <c r="ASG205" s="387"/>
      <c r="ASH205" s="387"/>
      <c r="ASI205" s="387"/>
      <c r="ASJ205" s="387"/>
      <c r="ASK205" s="387"/>
      <c r="ASL205" s="387"/>
      <c r="ASM205" s="387"/>
      <c r="ASN205" s="387"/>
      <c r="ASO205" s="387"/>
      <c r="ASP205" s="387"/>
      <c r="ASQ205" s="387"/>
      <c r="ASR205" s="387"/>
      <c r="ASS205" s="387"/>
      <c r="AST205" s="387"/>
      <c r="ASU205" s="387"/>
      <c r="ASV205" s="387"/>
      <c r="ASW205" s="387"/>
      <c r="ASX205" s="387"/>
      <c r="ASY205" s="387"/>
      <c r="ASZ205" s="387"/>
      <c r="ATA205" s="387"/>
      <c r="ATB205" s="387"/>
      <c r="ATC205" s="387"/>
      <c r="ATD205" s="387"/>
      <c r="ATE205" s="387"/>
      <c r="ATF205" s="387"/>
      <c r="ATG205" s="387"/>
      <c r="ATH205" s="387"/>
      <c r="ATI205" s="387"/>
      <c r="ATJ205" s="387"/>
      <c r="ATK205" s="387"/>
      <c r="ATL205" s="387"/>
      <c r="ATM205" s="387"/>
      <c r="ATN205" s="387"/>
      <c r="ATO205" s="387"/>
      <c r="ATP205" s="387"/>
      <c r="ATQ205" s="387"/>
      <c r="ATR205" s="387"/>
      <c r="ATS205" s="387"/>
      <c r="ATT205" s="387"/>
      <c r="ATU205" s="387"/>
      <c r="ATV205" s="387"/>
      <c r="ATW205" s="387"/>
      <c r="ATX205" s="387"/>
      <c r="ATY205" s="387"/>
      <c r="ATZ205" s="387"/>
      <c r="AUA205" s="387"/>
      <c r="AUB205" s="387"/>
      <c r="AUC205" s="387"/>
      <c r="AUD205" s="387"/>
      <c r="AUE205" s="387"/>
      <c r="AUF205" s="387"/>
      <c r="AUG205" s="387"/>
      <c r="AUH205" s="387"/>
      <c r="AUI205" s="387"/>
      <c r="AUJ205" s="387"/>
      <c r="AUK205" s="387"/>
      <c r="AUL205" s="387"/>
      <c r="AUM205" s="387"/>
      <c r="AUN205" s="387"/>
      <c r="AUO205" s="387"/>
      <c r="AUP205" s="387"/>
      <c r="AUQ205" s="387"/>
      <c r="AUR205" s="387"/>
      <c r="AUS205" s="387"/>
      <c r="AUT205" s="387"/>
      <c r="AUU205" s="387"/>
      <c r="AUV205" s="387"/>
      <c r="AUW205" s="387"/>
      <c r="AUX205" s="387"/>
      <c r="AUY205" s="387"/>
      <c r="AUZ205" s="387"/>
      <c r="AVA205" s="387"/>
      <c r="AVB205" s="387"/>
      <c r="AVC205" s="387"/>
      <c r="AVD205" s="387"/>
      <c r="AVE205" s="387"/>
      <c r="AVF205" s="387"/>
      <c r="AVG205" s="387"/>
      <c r="AVH205" s="387"/>
      <c r="AVI205" s="387"/>
      <c r="AVJ205" s="387"/>
      <c r="AVK205" s="387"/>
      <c r="AVL205" s="387"/>
      <c r="AVM205" s="387"/>
      <c r="AVN205" s="387"/>
      <c r="AVO205" s="387"/>
      <c r="AVP205" s="387"/>
      <c r="AVQ205" s="387"/>
      <c r="AVR205" s="387"/>
      <c r="AVS205" s="387"/>
      <c r="AVT205" s="387"/>
      <c r="AVU205" s="387"/>
      <c r="AVV205" s="387"/>
      <c r="AVW205" s="387"/>
      <c r="AVX205" s="387"/>
      <c r="AVY205" s="387"/>
      <c r="AVZ205" s="387"/>
      <c r="AWA205" s="387"/>
      <c r="AWB205" s="387"/>
      <c r="AWC205" s="387"/>
      <c r="AWD205" s="387"/>
      <c r="AWE205" s="387"/>
      <c r="AWF205" s="387"/>
      <c r="AWG205" s="387"/>
      <c r="AWH205" s="387"/>
      <c r="AWI205" s="387"/>
      <c r="AWJ205" s="387"/>
      <c r="AWK205" s="387"/>
      <c r="AWL205" s="387"/>
      <c r="AWM205" s="387"/>
      <c r="AWN205" s="387"/>
      <c r="AWO205" s="387"/>
      <c r="AWP205" s="387"/>
      <c r="AWQ205" s="387"/>
      <c r="AWR205" s="387"/>
      <c r="AWS205" s="387"/>
      <c r="AWT205" s="387"/>
      <c r="AWU205" s="387"/>
      <c r="AWV205" s="387"/>
      <c r="AWW205" s="387"/>
      <c r="AWX205" s="387"/>
      <c r="AWY205" s="387"/>
      <c r="AWZ205" s="387"/>
      <c r="AXA205" s="387"/>
      <c r="AXB205" s="387"/>
      <c r="AXC205" s="387"/>
      <c r="AXD205" s="387"/>
      <c r="AXE205" s="387"/>
      <c r="AXF205" s="387"/>
      <c r="AXG205" s="387"/>
      <c r="AXH205" s="387"/>
      <c r="AXI205" s="387"/>
      <c r="AXJ205" s="387"/>
      <c r="AXK205" s="387"/>
      <c r="AXL205" s="387"/>
      <c r="AXM205" s="387"/>
      <c r="AXN205" s="387"/>
      <c r="AXO205" s="387"/>
      <c r="AXP205" s="387"/>
      <c r="AXQ205" s="387"/>
      <c r="AXR205" s="387"/>
      <c r="AXS205" s="387"/>
      <c r="AXT205" s="387"/>
      <c r="AXU205" s="387"/>
      <c r="AXV205" s="387"/>
      <c r="AXW205" s="387"/>
      <c r="AXX205" s="387"/>
      <c r="AXY205" s="387"/>
      <c r="AXZ205" s="387"/>
      <c r="AYA205" s="387"/>
      <c r="AYB205" s="387"/>
      <c r="AYC205" s="387"/>
      <c r="AYD205" s="387"/>
      <c r="AYE205" s="387"/>
      <c r="AYF205" s="387"/>
      <c r="AYG205" s="387"/>
      <c r="AYH205" s="387"/>
      <c r="AYI205" s="387"/>
      <c r="AYJ205" s="387"/>
      <c r="AYK205" s="387"/>
      <c r="AYL205" s="387"/>
      <c r="AYM205" s="387"/>
      <c r="AYN205" s="387"/>
      <c r="AYO205" s="387"/>
      <c r="AYP205" s="387"/>
      <c r="AYQ205" s="387"/>
      <c r="AYR205" s="387"/>
      <c r="AYS205" s="387"/>
      <c r="AYT205" s="387"/>
      <c r="AYU205" s="387"/>
      <c r="AYV205" s="387"/>
      <c r="AYW205" s="387"/>
      <c r="AYX205" s="387"/>
      <c r="AYY205" s="387"/>
      <c r="AYZ205" s="387"/>
      <c r="AZA205" s="387"/>
      <c r="AZB205" s="387"/>
      <c r="AZC205" s="387"/>
      <c r="AZD205" s="387"/>
      <c r="AZE205" s="387"/>
      <c r="AZF205" s="387"/>
      <c r="AZG205" s="387"/>
      <c r="AZH205" s="387"/>
      <c r="AZI205" s="387"/>
      <c r="AZJ205" s="387"/>
      <c r="AZK205" s="387"/>
      <c r="AZL205" s="387"/>
      <c r="AZM205" s="387"/>
      <c r="AZN205" s="387"/>
      <c r="AZO205" s="387"/>
      <c r="AZP205" s="387"/>
      <c r="AZQ205" s="387"/>
      <c r="AZR205" s="387"/>
      <c r="AZS205" s="387"/>
      <c r="AZT205" s="387"/>
      <c r="AZU205" s="387"/>
      <c r="AZV205" s="387"/>
      <c r="AZW205" s="387"/>
      <c r="AZX205" s="387"/>
      <c r="AZY205" s="387"/>
      <c r="AZZ205" s="387"/>
      <c r="BAA205" s="387"/>
      <c r="BAB205" s="387"/>
      <c r="BAC205" s="387"/>
      <c r="BAD205" s="387"/>
      <c r="BAE205" s="387"/>
      <c r="BAF205" s="387"/>
      <c r="BAG205" s="387"/>
      <c r="BAH205" s="387"/>
      <c r="BAI205" s="387"/>
      <c r="BAJ205" s="387"/>
      <c r="BAK205" s="387"/>
      <c r="BAL205" s="387"/>
      <c r="BAM205" s="387"/>
      <c r="BAN205" s="387"/>
      <c r="BAO205" s="387"/>
      <c r="BAP205" s="387"/>
      <c r="BAQ205" s="387"/>
      <c r="BAR205" s="387"/>
      <c r="BAS205" s="387"/>
      <c r="BAT205" s="387"/>
      <c r="BAU205" s="387"/>
      <c r="BAV205" s="387"/>
      <c r="BAW205" s="387"/>
      <c r="BAX205" s="387"/>
      <c r="BAY205" s="387"/>
      <c r="BAZ205" s="387"/>
      <c r="BBA205" s="387"/>
      <c r="BBB205" s="387"/>
      <c r="BBC205" s="387"/>
      <c r="BBD205" s="387"/>
      <c r="BBE205" s="387"/>
      <c r="BBF205" s="387"/>
      <c r="BBG205" s="387"/>
      <c r="BBH205" s="387"/>
      <c r="BBI205" s="387"/>
      <c r="BBJ205" s="387"/>
      <c r="BBK205" s="387"/>
      <c r="BBL205" s="387"/>
      <c r="BBM205" s="387"/>
      <c r="BBN205" s="387"/>
      <c r="BBO205" s="387"/>
      <c r="BBP205" s="387"/>
      <c r="BBQ205" s="387"/>
      <c r="BBR205" s="387"/>
      <c r="BBS205" s="387"/>
      <c r="BBT205" s="387"/>
      <c r="BBU205" s="387"/>
      <c r="BBV205" s="387"/>
      <c r="BBW205" s="387"/>
      <c r="BBX205" s="387"/>
      <c r="BBY205" s="387"/>
      <c r="BBZ205" s="387"/>
      <c r="BCA205" s="387"/>
      <c r="BCB205" s="387"/>
      <c r="BCC205" s="387"/>
      <c r="BCD205" s="387"/>
      <c r="BCE205" s="387"/>
      <c r="BCF205" s="387"/>
      <c r="BCG205" s="387"/>
      <c r="BCH205" s="387"/>
      <c r="BCI205" s="387"/>
      <c r="BCJ205" s="387"/>
      <c r="BCK205" s="387"/>
      <c r="BCL205" s="387"/>
      <c r="BCM205" s="387"/>
      <c r="BCN205" s="387"/>
      <c r="BCO205" s="387"/>
      <c r="BCP205" s="387"/>
      <c r="BCQ205" s="387"/>
      <c r="BCR205" s="387"/>
      <c r="BCS205" s="387"/>
      <c r="BCT205" s="387"/>
      <c r="BCU205" s="387"/>
      <c r="BCV205" s="387"/>
      <c r="BCW205" s="387"/>
      <c r="BCX205" s="387"/>
      <c r="BCY205" s="387"/>
      <c r="BCZ205" s="387"/>
      <c r="BDA205" s="387"/>
      <c r="BDB205" s="387"/>
      <c r="BDC205" s="387"/>
      <c r="BDD205" s="387"/>
      <c r="BDE205" s="387"/>
      <c r="BDF205" s="387"/>
      <c r="BDG205" s="387"/>
      <c r="BDH205" s="387"/>
      <c r="BDI205" s="387"/>
      <c r="BDJ205" s="387"/>
      <c r="BDK205" s="387"/>
      <c r="BDL205" s="387"/>
      <c r="BDM205" s="387"/>
      <c r="BDN205" s="387"/>
      <c r="BDO205" s="387"/>
      <c r="BDP205" s="387"/>
      <c r="BDQ205" s="387"/>
      <c r="BDR205" s="387"/>
      <c r="BDS205" s="387"/>
      <c r="BDT205" s="387"/>
      <c r="BDU205" s="387"/>
      <c r="BDV205" s="387"/>
      <c r="BDW205" s="387"/>
      <c r="BDX205" s="387"/>
      <c r="BDY205" s="387"/>
      <c r="BDZ205" s="387"/>
      <c r="BEA205" s="387"/>
      <c r="BEB205" s="387"/>
      <c r="BEC205" s="387"/>
      <c r="BED205" s="387"/>
      <c r="BEE205" s="387"/>
      <c r="BEF205" s="387"/>
      <c r="BEG205" s="387"/>
      <c r="BEH205" s="387"/>
      <c r="BEI205" s="387"/>
      <c r="BEJ205" s="387"/>
      <c r="BEK205" s="387"/>
      <c r="BEL205" s="387"/>
      <c r="BEM205" s="387"/>
      <c r="BEN205" s="387"/>
      <c r="BEO205" s="387"/>
      <c r="BEP205" s="387"/>
      <c r="BEQ205" s="387"/>
      <c r="BER205" s="387"/>
      <c r="BES205" s="387"/>
      <c r="BET205" s="387"/>
      <c r="BEU205" s="387"/>
      <c r="BEV205" s="387"/>
      <c r="BEW205" s="387"/>
      <c r="BEX205" s="387"/>
      <c r="BEY205" s="387"/>
      <c r="BEZ205" s="387"/>
      <c r="BFA205" s="387"/>
      <c r="BFB205" s="387"/>
      <c r="BFC205" s="387"/>
      <c r="BFD205" s="387"/>
      <c r="BFE205" s="387"/>
      <c r="BFF205" s="387"/>
      <c r="BFG205" s="387"/>
      <c r="BFH205" s="387"/>
      <c r="BFI205" s="387"/>
      <c r="BFJ205" s="387"/>
      <c r="BFK205" s="387"/>
      <c r="BFL205" s="387"/>
      <c r="BFM205" s="387"/>
      <c r="BFN205" s="387"/>
      <c r="BFO205" s="387"/>
      <c r="BFP205" s="387"/>
      <c r="BFQ205" s="387"/>
      <c r="BFR205" s="387"/>
      <c r="BFS205" s="387"/>
      <c r="BFT205" s="387"/>
      <c r="BFU205" s="387"/>
      <c r="BFV205" s="387"/>
      <c r="BFW205" s="387"/>
      <c r="BFX205" s="387"/>
      <c r="BFY205" s="387"/>
      <c r="BFZ205" s="387"/>
      <c r="BGA205" s="387"/>
      <c r="BGB205" s="387"/>
      <c r="BGC205" s="387"/>
      <c r="BGD205" s="387"/>
      <c r="BGE205" s="387"/>
      <c r="BGF205" s="387"/>
      <c r="BGG205" s="387"/>
      <c r="BGH205" s="387"/>
      <c r="BGI205" s="387"/>
      <c r="BGJ205" s="387"/>
      <c r="BGK205" s="387"/>
      <c r="BGL205" s="387"/>
      <c r="BGM205" s="387"/>
      <c r="BGN205" s="387"/>
      <c r="BGO205" s="387"/>
      <c r="BGP205" s="387"/>
      <c r="BGQ205" s="387"/>
      <c r="BGR205" s="387"/>
      <c r="BGS205" s="387"/>
      <c r="BGT205" s="387"/>
      <c r="BGU205" s="387"/>
      <c r="BGV205" s="387"/>
      <c r="BGW205" s="387"/>
      <c r="BGX205" s="387"/>
      <c r="BGY205" s="387"/>
      <c r="BGZ205" s="387"/>
      <c r="BHA205" s="387"/>
      <c r="BHB205" s="387"/>
      <c r="BHC205" s="387"/>
      <c r="BHD205" s="387"/>
      <c r="BHE205" s="387"/>
      <c r="BHF205" s="387"/>
      <c r="BHG205" s="387"/>
      <c r="BHH205" s="387"/>
      <c r="BHI205" s="387"/>
      <c r="BHJ205" s="387"/>
      <c r="BHK205" s="387"/>
      <c r="BHL205" s="387"/>
      <c r="BHM205" s="387"/>
      <c r="BHN205" s="387"/>
      <c r="BHO205" s="387"/>
      <c r="BHP205" s="387"/>
      <c r="BHQ205" s="387"/>
      <c r="BHR205" s="387"/>
      <c r="BHS205" s="387"/>
      <c r="BHT205" s="387"/>
      <c r="BHU205" s="387"/>
      <c r="BHV205" s="387"/>
      <c r="BHW205" s="387"/>
      <c r="BHX205" s="387"/>
      <c r="BHY205" s="387"/>
      <c r="BHZ205" s="387"/>
      <c r="BIA205" s="387"/>
      <c r="BIB205" s="387"/>
      <c r="BIC205" s="387"/>
      <c r="BID205" s="387"/>
      <c r="BIE205" s="387"/>
      <c r="BIF205" s="387"/>
      <c r="BIG205" s="387"/>
      <c r="BIH205" s="387"/>
      <c r="BII205" s="387"/>
      <c r="BIJ205" s="387"/>
      <c r="BIK205" s="387"/>
      <c r="BIL205" s="387"/>
      <c r="BIM205" s="387"/>
      <c r="BIN205" s="387"/>
      <c r="BIO205" s="387"/>
      <c r="BIP205" s="387"/>
      <c r="BIQ205" s="387"/>
      <c r="BIR205" s="387"/>
      <c r="BIS205" s="387"/>
      <c r="BIT205" s="387"/>
      <c r="BIU205" s="387"/>
      <c r="BIV205" s="387"/>
      <c r="BIW205" s="387"/>
      <c r="BIX205" s="387"/>
      <c r="BIY205" s="387"/>
      <c r="BIZ205" s="387"/>
      <c r="BJA205" s="387"/>
      <c r="BJB205" s="387"/>
      <c r="BJC205" s="387"/>
      <c r="BJD205" s="387"/>
      <c r="BJE205" s="387"/>
      <c r="BJF205" s="387"/>
      <c r="BJG205" s="387"/>
      <c r="BJH205" s="387"/>
      <c r="BJI205" s="387"/>
      <c r="BJJ205" s="387"/>
      <c r="BJK205" s="387"/>
      <c r="BJL205" s="387"/>
      <c r="BJM205" s="387"/>
      <c r="BJN205" s="387"/>
      <c r="BJO205" s="387"/>
      <c r="BJP205" s="387"/>
      <c r="BJQ205" s="387"/>
      <c r="BJR205" s="387"/>
      <c r="BJS205" s="387"/>
      <c r="BJT205" s="387"/>
      <c r="BJU205" s="387"/>
      <c r="BJV205" s="387"/>
      <c r="BJW205" s="387"/>
      <c r="BJX205" s="387"/>
      <c r="BJY205" s="387"/>
      <c r="BJZ205" s="387"/>
      <c r="BKA205" s="387"/>
      <c r="BKB205" s="387"/>
      <c r="BKC205" s="387"/>
      <c r="BKD205" s="387"/>
      <c r="BKE205" s="387"/>
      <c r="BKF205" s="387"/>
      <c r="BKG205" s="387"/>
      <c r="BKH205" s="387"/>
      <c r="BKI205" s="387"/>
      <c r="BKJ205" s="387"/>
      <c r="BKK205" s="387"/>
      <c r="BKL205" s="387"/>
      <c r="BKM205" s="387"/>
      <c r="BKN205" s="387"/>
      <c r="BKO205" s="387"/>
      <c r="BKP205" s="387"/>
      <c r="BKQ205" s="387"/>
      <c r="BKR205" s="387"/>
      <c r="BKS205" s="387"/>
      <c r="BKT205" s="387"/>
      <c r="BKU205" s="387"/>
      <c r="BKV205" s="387"/>
      <c r="BKW205" s="387"/>
      <c r="BKX205" s="387"/>
      <c r="BKY205" s="387"/>
      <c r="BKZ205" s="387"/>
      <c r="BLA205" s="387"/>
      <c r="BLB205" s="387"/>
      <c r="BLC205" s="387"/>
      <c r="BLD205" s="387"/>
      <c r="BLE205" s="387"/>
      <c r="BLF205" s="387"/>
      <c r="BLG205" s="387"/>
      <c r="BLH205" s="387"/>
      <c r="BLI205" s="387"/>
      <c r="BLJ205" s="387"/>
      <c r="BLK205" s="387"/>
      <c r="BLL205" s="387"/>
      <c r="BLM205" s="387"/>
      <c r="BLN205" s="387"/>
      <c r="BLO205" s="387"/>
      <c r="BLP205" s="387"/>
      <c r="BLQ205" s="387"/>
      <c r="BLR205" s="387"/>
      <c r="BLS205" s="387"/>
      <c r="BLT205" s="387"/>
      <c r="BLU205" s="387"/>
      <c r="BLV205" s="387"/>
      <c r="BLW205" s="387"/>
      <c r="BLX205" s="387"/>
      <c r="BLY205" s="387"/>
      <c r="BLZ205" s="387"/>
      <c r="BMA205" s="387"/>
      <c r="BMB205" s="387"/>
      <c r="BMC205" s="387"/>
      <c r="BMD205" s="387"/>
      <c r="BME205" s="387"/>
      <c r="BMF205" s="387"/>
      <c r="BMG205" s="387"/>
      <c r="BMH205" s="387"/>
      <c r="BMI205" s="387"/>
      <c r="BMJ205" s="387"/>
      <c r="BMK205" s="387"/>
      <c r="BML205" s="387"/>
      <c r="BMM205" s="387"/>
      <c r="BMN205" s="387"/>
      <c r="BMO205" s="387"/>
      <c r="BMP205" s="387"/>
      <c r="BMQ205" s="387"/>
      <c r="BMR205" s="387"/>
      <c r="BMS205" s="387"/>
      <c r="BMT205" s="387"/>
      <c r="BMU205" s="387"/>
      <c r="BMV205" s="387"/>
      <c r="BMW205" s="387"/>
      <c r="BMX205" s="387"/>
      <c r="BMY205" s="387"/>
      <c r="BMZ205" s="387"/>
      <c r="BNA205" s="387"/>
      <c r="BNB205" s="387"/>
      <c r="BNC205" s="387"/>
      <c r="BND205" s="387"/>
      <c r="BNE205" s="387"/>
      <c r="BNF205" s="387"/>
      <c r="BNG205" s="387"/>
      <c r="BNH205" s="387"/>
      <c r="BNI205" s="387"/>
      <c r="BNJ205" s="387"/>
      <c r="BNK205" s="387"/>
      <c r="BNL205" s="387"/>
      <c r="BNM205" s="387"/>
      <c r="BNN205" s="387"/>
      <c r="BNO205" s="387"/>
      <c r="BNP205" s="387"/>
      <c r="BNQ205" s="387"/>
      <c r="BNR205" s="387"/>
      <c r="BNS205" s="387"/>
      <c r="BNT205" s="387"/>
      <c r="BNU205" s="387"/>
      <c r="BNV205" s="387"/>
      <c r="BNW205" s="387"/>
      <c r="BNX205" s="387"/>
      <c r="BNY205" s="387"/>
      <c r="BNZ205" s="387"/>
      <c r="BOA205" s="387"/>
      <c r="BOB205" s="387"/>
      <c r="BOC205" s="387"/>
      <c r="BOD205" s="387"/>
      <c r="BOE205" s="387"/>
      <c r="BOF205" s="387"/>
      <c r="BOG205" s="387"/>
      <c r="BOH205" s="387"/>
      <c r="BOI205" s="387"/>
      <c r="BOJ205" s="387"/>
      <c r="BOK205" s="387"/>
      <c r="BOL205" s="387"/>
      <c r="BOM205" s="387"/>
      <c r="BON205" s="387"/>
      <c r="BOO205" s="387"/>
      <c r="BOP205" s="387"/>
      <c r="BOQ205" s="387"/>
      <c r="BOR205" s="387"/>
      <c r="BOS205" s="387"/>
      <c r="BOT205" s="387"/>
      <c r="BOU205" s="387"/>
      <c r="BOV205" s="387"/>
      <c r="BOW205" s="387"/>
      <c r="BOX205" s="387"/>
      <c r="BOY205" s="387"/>
      <c r="BOZ205" s="387"/>
      <c r="BPA205" s="387"/>
      <c r="BPB205" s="387"/>
      <c r="BPC205" s="387"/>
      <c r="BPD205" s="387"/>
      <c r="BPE205" s="387"/>
      <c r="BPF205" s="387"/>
      <c r="BPG205" s="387"/>
      <c r="BPH205" s="387"/>
      <c r="BPI205" s="387"/>
      <c r="BPJ205" s="387"/>
      <c r="BPK205" s="387"/>
      <c r="BPL205" s="387"/>
      <c r="BPM205" s="387"/>
      <c r="BPN205" s="387"/>
      <c r="BPO205" s="387"/>
      <c r="BPP205" s="387"/>
      <c r="BPQ205" s="387"/>
      <c r="BPR205" s="387"/>
      <c r="BPS205" s="387"/>
      <c r="BPT205" s="387"/>
      <c r="BPU205" s="387"/>
      <c r="BPV205" s="387"/>
      <c r="BPW205" s="387"/>
      <c r="BPX205" s="387"/>
      <c r="BPY205" s="387"/>
      <c r="BPZ205" s="387"/>
      <c r="BQA205" s="387"/>
      <c r="BQB205" s="387"/>
      <c r="BQC205" s="387"/>
      <c r="BQD205" s="387"/>
      <c r="BQE205" s="387"/>
      <c r="BQF205" s="387"/>
      <c r="BQG205" s="387"/>
      <c r="BQH205" s="387"/>
      <c r="BQI205" s="387"/>
      <c r="BQJ205" s="387"/>
      <c r="BQK205" s="387"/>
      <c r="BQL205" s="387"/>
      <c r="BQM205" s="387"/>
      <c r="BQN205" s="387"/>
      <c r="BQO205" s="387"/>
      <c r="BQP205" s="387"/>
      <c r="BQQ205" s="387"/>
      <c r="BQR205" s="387"/>
      <c r="BQS205" s="387"/>
      <c r="BQT205" s="387"/>
      <c r="BQU205" s="387"/>
      <c r="BQV205" s="387"/>
      <c r="BQW205" s="387"/>
      <c r="BQX205" s="387"/>
      <c r="BQY205" s="387"/>
      <c r="BQZ205" s="387"/>
      <c r="BRA205" s="387"/>
      <c r="BRB205" s="387"/>
      <c r="BRC205" s="387"/>
      <c r="BRD205" s="387"/>
      <c r="BRE205" s="387"/>
      <c r="BRF205" s="387"/>
      <c r="BRG205" s="387"/>
      <c r="BRH205" s="387"/>
      <c r="BRI205" s="387"/>
      <c r="BRJ205" s="387"/>
      <c r="BRK205" s="387"/>
      <c r="BRL205" s="387"/>
      <c r="BRM205" s="387"/>
      <c r="BRN205" s="387"/>
      <c r="BRO205" s="387"/>
      <c r="BRP205" s="387"/>
      <c r="BRQ205" s="387"/>
      <c r="BRR205" s="387"/>
      <c r="BRS205" s="387"/>
      <c r="BRT205" s="387"/>
      <c r="BRU205" s="387"/>
      <c r="BRV205" s="387"/>
      <c r="BRW205" s="387"/>
      <c r="BRX205" s="387"/>
      <c r="BRY205" s="387"/>
      <c r="BRZ205" s="387"/>
      <c r="BSA205" s="387"/>
      <c r="BSB205" s="387"/>
      <c r="BSC205" s="387"/>
      <c r="BSD205" s="387"/>
      <c r="BSE205" s="387"/>
      <c r="BSF205" s="387"/>
      <c r="BSG205" s="387"/>
      <c r="BSH205" s="387"/>
      <c r="BSI205" s="387"/>
      <c r="BSJ205" s="387"/>
      <c r="BSK205" s="387"/>
      <c r="BSL205" s="387"/>
      <c r="BSM205" s="387"/>
      <c r="BSN205" s="387"/>
      <c r="BSO205" s="387"/>
      <c r="BSP205" s="387"/>
      <c r="BSQ205" s="387"/>
      <c r="BSR205" s="387"/>
      <c r="BSS205" s="387"/>
      <c r="BST205" s="387"/>
      <c r="BSU205" s="387"/>
      <c r="BSV205" s="387"/>
      <c r="BSW205" s="387"/>
      <c r="BSX205" s="387"/>
      <c r="BSY205" s="387"/>
      <c r="BSZ205" s="387"/>
      <c r="BTA205" s="387"/>
      <c r="BTB205" s="387"/>
      <c r="BTC205" s="387"/>
      <c r="BTD205" s="387"/>
      <c r="BTE205" s="387"/>
      <c r="BTF205" s="387"/>
      <c r="BTG205" s="387"/>
      <c r="BTH205" s="387"/>
      <c r="BTI205" s="387"/>
    </row>
    <row r="206" spans="1:1881" s="384" customFormat="1" ht="93.75" customHeight="1" x14ac:dyDescent="0.25">
      <c r="A206" s="186">
        <v>602</v>
      </c>
      <c r="B206" s="148" t="s">
        <v>82</v>
      </c>
      <c r="C206" s="148" t="s">
        <v>536</v>
      </c>
      <c r="D206" s="243" t="s">
        <v>646</v>
      </c>
      <c r="E206" s="683" t="e">
        <f>HLOOKUP('Unit Data from Audit Worksheet'!$D$2,'2019 Data(H)'!$D$1:$BB$202,182,FALSE)</f>
        <v>#N/A</v>
      </c>
      <c r="F206" s="560"/>
      <c r="G206" s="534" t="str">
        <f>IF(ISBLANK(F206),"Please do not leave blank","")</f>
        <v>Please do not leave blank</v>
      </c>
      <c r="H206" s="360">
        <f>IF(F206&lt;0,"Note: Number is normally positive.",)</f>
        <v>0</v>
      </c>
      <c r="I206" s="31"/>
      <c r="J206" s="362"/>
      <c r="K206" s="387"/>
      <c r="L206" s="387"/>
      <c r="M206" s="387"/>
      <c r="N206"/>
      <c r="O206" s="387"/>
      <c r="P206" s="387"/>
      <c r="Q206" s="387"/>
      <c r="R206"/>
      <c r="S206" s="682"/>
      <c r="T206" s="387"/>
      <c r="U206" s="387"/>
      <c r="V206" s="387"/>
      <c r="W206" s="387"/>
      <c r="X206" s="682"/>
      <c r="Y206" s="387"/>
      <c r="Z206" s="387"/>
      <c r="AA206" s="387"/>
      <c r="AB206" s="387"/>
      <c r="AC206" s="387"/>
      <c r="AD206" s="387"/>
      <c r="AE206" s="387"/>
      <c r="AF206" s="387"/>
      <c r="AG206" s="387"/>
      <c r="AH206" s="387"/>
      <c r="AI206" s="387"/>
      <c r="AJ206" s="387"/>
      <c r="AK206" s="387"/>
      <c r="AL206" s="387"/>
      <c r="AM206" s="387"/>
      <c r="AN206" s="387"/>
      <c r="AO206" s="387"/>
      <c r="AP206" s="387"/>
      <c r="AQ206" s="387"/>
      <c r="AR206" s="387"/>
      <c r="AS206" s="387"/>
      <c r="AT206" s="387"/>
      <c r="AU206" s="387"/>
      <c r="AV206" s="387"/>
      <c r="AW206" s="387"/>
      <c r="AX206" s="387"/>
      <c r="AY206" s="387"/>
      <c r="AZ206" s="387"/>
      <c r="BA206" s="387"/>
      <c r="BB206" s="387"/>
      <c r="BC206" s="387"/>
      <c r="BD206" s="387"/>
      <c r="BE206" s="387"/>
      <c r="BF206" s="387"/>
      <c r="BG206" s="387"/>
      <c r="BH206" s="387"/>
      <c r="BI206" s="387"/>
      <c r="BJ206" s="387"/>
      <c r="BK206" s="387"/>
      <c r="BL206" s="387"/>
      <c r="BM206" s="387"/>
      <c r="BN206" s="387"/>
      <c r="BO206" s="387"/>
      <c r="BP206" s="387"/>
      <c r="BQ206" s="387"/>
      <c r="BR206" s="387"/>
      <c r="BS206" s="387"/>
      <c r="BT206" s="387"/>
      <c r="BU206" s="387"/>
      <c r="BV206" s="387"/>
      <c r="BW206" s="387"/>
      <c r="BX206" s="387"/>
      <c r="BY206" s="387"/>
      <c r="BZ206" s="387"/>
      <c r="CA206" s="387"/>
      <c r="CB206" s="387"/>
      <c r="CC206" s="387"/>
      <c r="CD206" s="387"/>
      <c r="CE206" s="387"/>
      <c r="CF206" s="387"/>
      <c r="CG206" s="387"/>
      <c r="CH206" s="387"/>
      <c r="CI206" s="387"/>
      <c r="CJ206" s="387"/>
      <c r="CK206" s="387"/>
      <c r="CL206" s="387"/>
      <c r="CM206" s="387"/>
      <c r="CN206" s="387"/>
      <c r="CO206" s="387"/>
      <c r="CP206" s="387"/>
      <c r="CQ206" s="387"/>
      <c r="CR206" s="387"/>
      <c r="CS206" s="387"/>
      <c r="CT206" s="387"/>
      <c r="CU206" s="387"/>
      <c r="CV206" s="387"/>
      <c r="CW206" s="387"/>
      <c r="CX206" s="387"/>
      <c r="CY206" s="387"/>
      <c r="CZ206" s="387"/>
      <c r="DA206" s="387"/>
      <c r="DB206" s="387"/>
      <c r="DC206" s="387"/>
      <c r="DD206" s="387"/>
      <c r="DE206" s="387"/>
      <c r="DF206" s="387"/>
      <c r="DG206" s="387"/>
      <c r="DH206" s="387"/>
      <c r="DI206" s="387"/>
      <c r="DJ206" s="387"/>
      <c r="DK206" s="387"/>
      <c r="DL206" s="387"/>
      <c r="DM206" s="387"/>
      <c r="DN206" s="387"/>
      <c r="DO206" s="387"/>
      <c r="DP206" s="387"/>
      <c r="DQ206" s="387"/>
      <c r="DR206" s="387"/>
      <c r="DS206" s="387"/>
      <c r="DT206" s="387"/>
      <c r="DU206" s="387"/>
      <c r="DV206" s="387"/>
      <c r="DW206" s="387"/>
      <c r="DX206" s="387"/>
      <c r="DY206" s="387"/>
      <c r="DZ206" s="387"/>
      <c r="EA206" s="387"/>
      <c r="EB206" s="387"/>
      <c r="EC206" s="387"/>
      <c r="ED206" s="387"/>
      <c r="EE206" s="387"/>
      <c r="EF206" s="387"/>
      <c r="EG206" s="387"/>
      <c r="EH206" s="387"/>
      <c r="EI206" s="387"/>
      <c r="EJ206" s="387"/>
      <c r="EK206" s="387"/>
      <c r="EL206" s="387"/>
      <c r="EM206" s="387"/>
      <c r="EN206" s="387"/>
      <c r="EO206" s="387"/>
      <c r="EP206" s="387"/>
      <c r="EQ206" s="387"/>
      <c r="ER206" s="387"/>
      <c r="ES206" s="387"/>
      <c r="ET206" s="387"/>
      <c r="EU206" s="387"/>
      <c r="EV206" s="387"/>
      <c r="EW206" s="387"/>
      <c r="EX206" s="387"/>
      <c r="EY206" s="387"/>
      <c r="EZ206" s="387"/>
      <c r="FA206" s="387"/>
      <c r="FB206" s="387"/>
      <c r="FC206" s="387"/>
      <c r="FD206" s="387"/>
      <c r="FE206" s="387"/>
      <c r="FF206" s="387"/>
      <c r="FG206" s="387"/>
      <c r="FH206" s="387"/>
      <c r="FI206" s="387"/>
      <c r="FJ206" s="387"/>
      <c r="FK206" s="387"/>
      <c r="FL206" s="387"/>
      <c r="FM206" s="387"/>
      <c r="FN206" s="387"/>
      <c r="FO206" s="387"/>
      <c r="FP206" s="387"/>
      <c r="FQ206" s="387"/>
      <c r="FR206" s="387"/>
      <c r="FS206" s="387"/>
      <c r="FT206" s="387"/>
      <c r="FU206" s="387"/>
      <c r="FV206" s="387"/>
      <c r="FW206" s="387"/>
      <c r="FX206" s="387"/>
      <c r="FY206" s="387"/>
      <c r="FZ206" s="387"/>
      <c r="GA206" s="387"/>
      <c r="GB206" s="387"/>
      <c r="GC206" s="387"/>
      <c r="GD206" s="387"/>
      <c r="GE206" s="387"/>
      <c r="GF206" s="387"/>
      <c r="GG206" s="387"/>
      <c r="GH206" s="387"/>
      <c r="GI206" s="387"/>
      <c r="GJ206" s="387"/>
      <c r="GK206" s="387"/>
      <c r="GL206" s="387"/>
      <c r="GM206" s="387"/>
      <c r="GN206" s="387"/>
      <c r="GO206" s="387"/>
      <c r="GP206" s="387"/>
      <c r="GQ206" s="387"/>
      <c r="GR206" s="387"/>
      <c r="GS206" s="387"/>
      <c r="GT206" s="387"/>
      <c r="GU206" s="387"/>
      <c r="GV206" s="387"/>
      <c r="GW206" s="387"/>
      <c r="GX206" s="387"/>
      <c r="GY206" s="387"/>
      <c r="GZ206" s="387"/>
      <c r="HA206" s="387"/>
      <c r="HB206" s="387"/>
      <c r="HC206" s="387"/>
      <c r="HD206" s="387"/>
      <c r="HE206" s="387"/>
      <c r="HF206" s="387"/>
      <c r="HG206" s="387"/>
      <c r="HH206" s="387"/>
      <c r="HI206" s="387"/>
      <c r="HJ206" s="387"/>
      <c r="HK206" s="387"/>
      <c r="HL206" s="387"/>
      <c r="HM206" s="387"/>
      <c r="HN206" s="387"/>
      <c r="HO206" s="387"/>
      <c r="HP206" s="387"/>
      <c r="HQ206" s="387"/>
      <c r="HR206" s="387"/>
      <c r="HS206" s="387"/>
      <c r="HT206" s="387"/>
      <c r="HU206" s="387"/>
      <c r="HV206" s="387"/>
      <c r="HW206" s="387"/>
      <c r="HX206" s="387"/>
      <c r="HY206" s="387"/>
      <c r="HZ206" s="387"/>
      <c r="IA206" s="387"/>
      <c r="IB206" s="387"/>
      <c r="IC206" s="387"/>
      <c r="ID206" s="387"/>
      <c r="IE206" s="387"/>
      <c r="IF206" s="387"/>
      <c r="IG206" s="387"/>
      <c r="IH206" s="387"/>
      <c r="II206" s="387"/>
      <c r="IJ206" s="387"/>
      <c r="IK206" s="387"/>
      <c r="IL206" s="387"/>
      <c r="IM206" s="387"/>
      <c r="IN206" s="387"/>
      <c r="IO206" s="387"/>
      <c r="IP206" s="387"/>
      <c r="IQ206" s="387"/>
      <c r="IR206" s="387"/>
      <c r="IS206" s="387"/>
      <c r="IT206" s="387"/>
      <c r="IU206" s="387"/>
      <c r="IV206" s="387"/>
      <c r="IW206" s="387"/>
      <c r="IX206" s="387"/>
      <c r="IY206" s="387"/>
      <c r="IZ206" s="387"/>
      <c r="JA206" s="387"/>
      <c r="JB206" s="387"/>
      <c r="JC206" s="387"/>
      <c r="JD206" s="387"/>
      <c r="JE206" s="387"/>
      <c r="JF206" s="387"/>
      <c r="JG206" s="387"/>
      <c r="JH206" s="387"/>
      <c r="JI206" s="387"/>
      <c r="JJ206" s="387"/>
      <c r="JK206" s="387"/>
      <c r="JL206" s="387"/>
      <c r="JM206" s="387"/>
      <c r="JN206" s="387"/>
      <c r="JO206" s="387"/>
      <c r="JP206" s="387"/>
      <c r="JQ206" s="387"/>
      <c r="JR206" s="387"/>
      <c r="JS206" s="387"/>
      <c r="JT206" s="387"/>
      <c r="JU206" s="387"/>
      <c r="JV206" s="387"/>
      <c r="JW206" s="387"/>
      <c r="JX206" s="387"/>
      <c r="JY206" s="387"/>
      <c r="JZ206" s="387"/>
      <c r="KA206" s="387"/>
      <c r="KB206" s="387"/>
      <c r="KC206" s="387"/>
      <c r="KD206" s="387"/>
      <c r="KE206" s="387"/>
      <c r="KF206" s="387"/>
      <c r="KG206" s="387"/>
      <c r="KH206" s="387"/>
      <c r="KI206" s="387"/>
      <c r="KJ206" s="387"/>
      <c r="KK206" s="387"/>
      <c r="KL206" s="387"/>
      <c r="KM206" s="387"/>
      <c r="KN206" s="387"/>
      <c r="KO206" s="387"/>
      <c r="KP206" s="387"/>
      <c r="KQ206" s="387"/>
      <c r="KR206" s="387"/>
      <c r="KS206" s="387"/>
      <c r="KT206" s="387"/>
      <c r="KU206" s="387"/>
      <c r="KV206" s="387"/>
      <c r="KW206" s="387"/>
      <c r="KX206" s="387"/>
      <c r="KY206" s="387"/>
      <c r="KZ206" s="387"/>
      <c r="LA206" s="387"/>
      <c r="LB206" s="387"/>
      <c r="LC206" s="387"/>
      <c r="LD206" s="387"/>
      <c r="LE206" s="387"/>
      <c r="LF206" s="387"/>
      <c r="LG206" s="387"/>
      <c r="LH206" s="387"/>
      <c r="LI206" s="387"/>
      <c r="LJ206" s="387"/>
      <c r="LK206" s="387"/>
      <c r="LL206" s="387"/>
      <c r="LM206" s="387"/>
      <c r="LN206" s="387"/>
      <c r="LO206" s="387"/>
      <c r="LP206" s="387"/>
      <c r="LQ206" s="387"/>
      <c r="LR206" s="387"/>
      <c r="LS206" s="387"/>
      <c r="LT206" s="387"/>
      <c r="LU206" s="387"/>
      <c r="LV206" s="387"/>
      <c r="LW206" s="387"/>
      <c r="LX206" s="387"/>
      <c r="LY206" s="387"/>
      <c r="LZ206" s="387"/>
      <c r="MA206" s="387"/>
      <c r="MB206" s="387"/>
      <c r="MC206" s="387"/>
      <c r="MD206" s="387"/>
      <c r="ME206" s="387"/>
      <c r="MF206" s="387"/>
      <c r="MG206" s="387"/>
      <c r="MH206" s="387"/>
      <c r="MI206" s="387"/>
      <c r="MJ206" s="387"/>
      <c r="MK206" s="387"/>
      <c r="ML206" s="387"/>
      <c r="MM206" s="387"/>
      <c r="MN206" s="387"/>
      <c r="MO206" s="387"/>
      <c r="MP206" s="387"/>
      <c r="MQ206" s="387"/>
      <c r="MR206" s="387"/>
      <c r="MS206" s="387"/>
      <c r="MT206" s="387"/>
      <c r="MU206" s="387"/>
      <c r="MV206" s="387"/>
      <c r="MW206" s="387"/>
      <c r="MX206" s="387"/>
      <c r="MY206" s="387"/>
      <c r="MZ206" s="387"/>
      <c r="NA206" s="387"/>
      <c r="NB206" s="387"/>
      <c r="NC206" s="387"/>
      <c r="ND206" s="387"/>
      <c r="NE206" s="387"/>
      <c r="NF206" s="387"/>
      <c r="NG206" s="387"/>
      <c r="NH206" s="387"/>
      <c r="NI206" s="387"/>
      <c r="NJ206" s="387"/>
      <c r="NK206" s="387"/>
      <c r="NL206" s="387"/>
      <c r="NM206" s="387"/>
      <c r="NN206" s="387"/>
      <c r="NO206" s="387"/>
      <c r="NP206" s="387"/>
      <c r="NQ206" s="387"/>
      <c r="NR206" s="387"/>
      <c r="NS206" s="387"/>
      <c r="NT206" s="387"/>
      <c r="NU206" s="387"/>
      <c r="NV206" s="387"/>
      <c r="NW206" s="387"/>
      <c r="NX206" s="387"/>
      <c r="NY206" s="387"/>
      <c r="NZ206" s="387"/>
      <c r="OA206" s="387"/>
      <c r="OB206" s="387"/>
      <c r="OC206" s="387"/>
      <c r="OD206" s="387"/>
      <c r="OE206" s="387"/>
      <c r="OF206" s="387"/>
      <c r="OG206" s="387"/>
      <c r="OH206" s="387"/>
      <c r="OI206" s="387"/>
      <c r="OJ206" s="387"/>
      <c r="OK206" s="387"/>
      <c r="OL206" s="387"/>
      <c r="OM206" s="387"/>
      <c r="ON206" s="387"/>
      <c r="OO206" s="387"/>
      <c r="OP206" s="387"/>
      <c r="OQ206" s="387"/>
      <c r="OR206" s="387"/>
      <c r="OS206" s="387"/>
      <c r="OT206" s="387"/>
      <c r="OU206" s="387"/>
      <c r="OV206" s="387"/>
      <c r="OW206" s="387"/>
      <c r="OX206" s="387"/>
      <c r="OY206" s="387"/>
      <c r="OZ206" s="387"/>
      <c r="PA206" s="387"/>
      <c r="PB206" s="387"/>
      <c r="PC206" s="387"/>
      <c r="PD206" s="387"/>
      <c r="PE206" s="387"/>
      <c r="PF206" s="387"/>
      <c r="PG206" s="387"/>
      <c r="PH206" s="387"/>
      <c r="PI206" s="387"/>
      <c r="PJ206" s="387"/>
      <c r="PK206" s="387"/>
      <c r="PL206" s="387"/>
      <c r="PM206" s="387"/>
      <c r="PN206" s="387"/>
      <c r="PO206" s="387"/>
      <c r="PP206" s="387"/>
      <c r="PQ206" s="387"/>
      <c r="PR206" s="387"/>
      <c r="PS206" s="387"/>
      <c r="PT206" s="387"/>
      <c r="PU206" s="387"/>
      <c r="PV206" s="387"/>
      <c r="PW206" s="387"/>
      <c r="PX206" s="387"/>
      <c r="PY206" s="387"/>
      <c r="PZ206" s="387"/>
      <c r="QA206" s="387"/>
      <c r="QB206" s="387"/>
      <c r="QC206" s="387"/>
      <c r="QD206" s="387"/>
      <c r="QE206" s="387"/>
      <c r="QF206" s="387"/>
      <c r="QG206" s="387"/>
      <c r="QH206" s="387"/>
      <c r="QI206" s="387"/>
      <c r="QJ206" s="387"/>
      <c r="QK206" s="387"/>
      <c r="QL206" s="387"/>
      <c r="QM206" s="387"/>
      <c r="QN206" s="387"/>
      <c r="QO206" s="387"/>
      <c r="QP206" s="387"/>
      <c r="QQ206" s="387"/>
      <c r="QR206" s="387"/>
      <c r="QS206" s="387"/>
      <c r="QT206" s="387"/>
      <c r="QU206" s="387"/>
      <c r="QV206" s="387"/>
      <c r="QW206" s="387"/>
      <c r="QX206" s="387"/>
      <c r="QY206" s="387"/>
      <c r="QZ206" s="387"/>
      <c r="RA206" s="387"/>
      <c r="RB206" s="387"/>
      <c r="RC206" s="387"/>
      <c r="RD206" s="387"/>
      <c r="RE206" s="387"/>
      <c r="RF206" s="387"/>
      <c r="RG206" s="387"/>
      <c r="RH206" s="387"/>
      <c r="RI206" s="387"/>
      <c r="RJ206" s="387"/>
      <c r="RK206" s="387"/>
      <c r="RL206" s="387"/>
      <c r="RM206" s="387"/>
      <c r="RN206" s="387"/>
      <c r="RO206" s="387"/>
      <c r="RP206" s="387"/>
      <c r="RQ206" s="387"/>
      <c r="RR206" s="387"/>
      <c r="RS206" s="387"/>
      <c r="RT206" s="387"/>
      <c r="RU206" s="387"/>
      <c r="RV206" s="387"/>
      <c r="RW206" s="387"/>
      <c r="RX206" s="387"/>
      <c r="RY206" s="387"/>
      <c r="RZ206" s="387"/>
      <c r="SA206" s="387"/>
      <c r="SB206" s="387"/>
      <c r="SC206" s="387"/>
      <c r="SD206" s="387"/>
      <c r="SE206" s="387"/>
      <c r="SF206" s="387"/>
      <c r="SG206" s="387"/>
      <c r="SH206" s="387"/>
      <c r="SI206" s="387"/>
      <c r="SJ206" s="387"/>
      <c r="SK206" s="387"/>
      <c r="SL206" s="387"/>
      <c r="SM206" s="387"/>
      <c r="SN206" s="387"/>
      <c r="SO206" s="387"/>
      <c r="SP206" s="387"/>
      <c r="SQ206" s="387"/>
      <c r="SR206" s="387"/>
      <c r="SS206" s="387"/>
      <c r="ST206" s="387"/>
      <c r="SU206" s="387"/>
      <c r="SV206" s="387"/>
      <c r="SW206" s="387"/>
      <c r="SX206" s="387"/>
      <c r="SY206" s="387"/>
      <c r="SZ206" s="387"/>
      <c r="TA206" s="387"/>
      <c r="TB206" s="387"/>
      <c r="TC206" s="387"/>
      <c r="TD206" s="387"/>
      <c r="TE206" s="387"/>
      <c r="TF206" s="387"/>
      <c r="TG206" s="387"/>
      <c r="TH206" s="387"/>
      <c r="TI206" s="387"/>
      <c r="TJ206" s="387"/>
      <c r="TK206" s="387"/>
      <c r="TL206" s="387"/>
      <c r="TM206" s="387"/>
      <c r="TN206" s="387"/>
      <c r="TO206" s="387"/>
      <c r="TP206" s="387"/>
      <c r="TQ206" s="387"/>
      <c r="TR206" s="387"/>
      <c r="TS206" s="387"/>
      <c r="TT206" s="387"/>
      <c r="TU206" s="387"/>
      <c r="TV206" s="387"/>
      <c r="TW206" s="387"/>
      <c r="TX206" s="387"/>
      <c r="TY206" s="387"/>
      <c r="TZ206" s="387"/>
      <c r="UA206" s="387"/>
      <c r="UB206" s="387"/>
      <c r="UC206" s="387"/>
      <c r="UD206" s="387"/>
      <c r="UE206" s="387"/>
      <c r="UF206" s="387"/>
      <c r="UG206" s="387"/>
      <c r="UH206" s="387"/>
      <c r="UI206" s="387"/>
      <c r="UJ206" s="387"/>
      <c r="UK206" s="387"/>
      <c r="UL206" s="387"/>
      <c r="UM206" s="387"/>
      <c r="UN206" s="387"/>
      <c r="UO206" s="387"/>
      <c r="UP206" s="387"/>
      <c r="UQ206" s="387"/>
      <c r="UR206" s="387"/>
      <c r="US206" s="387"/>
      <c r="UT206" s="387"/>
      <c r="UU206" s="387"/>
      <c r="UV206" s="387"/>
      <c r="UW206" s="387"/>
      <c r="UX206" s="387"/>
      <c r="UY206" s="387"/>
      <c r="UZ206" s="387"/>
      <c r="VA206" s="387"/>
      <c r="VB206" s="387"/>
      <c r="VC206" s="387"/>
      <c r="VD206" s="387"/>
      <c r="VE206" s="387"/>
      <c r="VF206" s="387"/>
      <c r="VG206" s="387"/>
      <c r="VH206" s="387"/>
      <c r="VI206" s="387"/>
      <c r="VJ206" s="387"/>
      <c r="VK206" s="387"/>
      <c r="VL206" s="387"/>
      <c r="VM206" s="387"/>
      <c r="VN206" s="387"/>
      <c r="VO206" s="387"/>
      <c r="VP206" s="387"/>
      <c r="VQ206" s="387"/>
      <c r="VR206" s="387"/>
      <c r="VS206" s="387"/>
      <c r="VT206" s="387"/>
      <c r="VU206" s="387"/>
      <c r="VV206" s="387"/>
      <c r="VW206" s="387"/>
      <c r="VX206" s="387"/>
      <c r="VY206" s="387"/>
      <c r="VZ206" s="387"/>
      <c r="WA206" s="387"/>
      <c r="WB206" s="387"/>
      <c r="WC206" s="387"/>
      <c r="WD206" s="387"/>
      <c r="WE206" s="387"/>
      <c r="WF206" s="387"/>
      <c r="WG206" s="387"/>
      <c r="WH206" s="387"/>
      <c r="WI206" s="387"/>
      <c r="WJ206" s="387"/>
      <c r="WK206" s="387"/>
      <c r="WL206" s="387"/>
      <c r="WM206" s="387"/>
      <c r="WN206" s="387"/>
      <c r="WO206" s="387"/>
      <c r="WP206" s="387"/>
      <c r="WQ206" s="387"/>
      <c r="WR206" s="387"/>
      <c r="WS206" s="387"/>
      <c r="WT206" s="387"/>
      <c r="WU206" s="387"/>
      <c r="WV206" s="387"/>
      <c r="WW206" s="387"/>
      <c r="WX206" s="387"/>
      <c r="WY206" s="387"/>
      <c r="WZ206" s="387"/>
      <c r="XA206" s="387"/>
      <c r="XB206" s="387"/>
      <c r="XC206" s="387"/>
      <c r="XD206" s="387"/>
      <c r="XE206" s="387"/>
      <c r="XF206" s="387"/>
      <c r="XG206" s="387"/>
      <c r="XH206" s="387"/>
      <c r="XI206" s="387"/>
      <c r="XJ206" s="387"/>
      <c r="XK206" s="387"/>
      <c r="XL206" s="387"/>
      <c r="XM206" s="387"/>
      <c r="XN206" s="387"/>
      <c r="XO206" s="387"/>
      <c r="XP206" s="387"/>
      <c r="XQ206" s="387"/>
      <c r="XR206" s="387"/>
      <c r="XS206" s="387"/>
      <c r="XT206" s="387"/>
      <c r="XU206" s="387"/>
      <c r="XV206" s="387"/>
      <c r="XW206" s="387"/>
      <c r="XX206" s="387"/>
      <c r="XY206" s="387"/>
      <c r="XZ206" s="387"/>
      <c r="YA206" s="387"/>
      <c r="YB206" s="387"/>
      <c r="YC206" s="387"/>
      <c r="YD206" s="387"/>
      <c r="YE206" s="387"/>
      <c r="YF206" s="387"/>
      <c r="YG206" s="387"/>
      <c r="YH206" s="387"/>
      <c r="YI206" s="387"/>
      <c r="YJ206" s="387"/>
      <c r="YK206" s="387"/>
      <c r="YL206" s="387"/>
      <c r="YM206" s="387"/>
      <c r="YN206" s="387"/>
      <c r="YO206" s="387"/>
      <c r="YP206" s="387"/>
      <c r="YQ206" s="387"/>
      <c r="YR206" s="387"/>
      <c r="YS206" s="387"/>
      <c r="YT206" s="387"/>
      <c r="YU206" s="387"/>
      <c r="YV206" s="387"/>
      <c r="YW206" s="387"/>
      <c r="YX206" s="387"/>
      <c r="YY206" s="387"/>
      <c r="YZ206" s="387"/>
      <c r="ZA206" s="387"/>
      <c r="ZB206" s="387"/>
      <c r="ZC206" s="387"/>
      <c r="ZD206" s="387"/>
      <c r="ZE206" s="387"/>
      <c r="ZF206" s="387"/>
      <c r="ZG206" s="387"/>
      <c r="ZH206" s="387"/>
      <c r="ZI206" s="387"/>
      <c r="ZJ206" s="387"/>
      <c r="ZK206" s="387"/>
      <c r="ZL206" s="387"/>
      <c r="ZM206" s="387"/>
      <c r="ZN206" s="387"/>
      <c r="ZO206" s="387"/>
      <c r="ZP206" s="387"/>
      <c r="ZQ206" s="387"/>
      <c r="ZR206" s="387"/>
      <c r="ZS206" s="387"/>
      <c r="ZT206" s="387"/>
      <c r="ZU206" s="387"/>
      <c r="ZV206" s="387"/>
      <c r="ZW206" s="387"/>
      <c r="ZX206" s="387"/>
      <c r="ZY206" s="387"/>
      <c r="ZZ206" s="387"/>
      <c r="AAA206" s="387"/>
      <c r="AAB206" s="387"/>
      <c r="AAC206" s="387"/>
      <c r="AAD206" s="387"/>
      <c r="AAE206" s="387"/>
      <c r="AAF206" s="387"/>
      <c r="AAG206" s="387"/>
      <c r="AAH206" s="387"/>
      <c r="AAI206" s="387"/>
      <c r="AAJ206" s="387"/>
      <c r="AAK206" s="387"/>
      <c r="AAL206" s="387"/>
      <c r="AAM206" s="387"/>
      <c r="AAN206" s="387"/>
      <c r="AAO206" s="387"/>
      <c r="AAP206" s="387"/>
      <c r="AAQ206" s="387"/>
      <c r="AAR206" s="387"/>
      <c r="AAS206" s="387"/>
      <c r="AAT206" s="387"/>
      <c r="AAU206" s="387"/>
      <c r="AAV206" s="387"/>
      <c r="AAW206" s="387"/>
      <c r="AAX206" s="387"/>
      <c r="AAY206" s="387"/>
      <c r="AAZ206" s="387"/>
      <c r="ABA206" s="387"/>
      <c r="ABB206" s="387"/>
      <c r="ABC206" s="387"/>
      <c r="ABD206" s="387"/>
      <c r="ABE206" s="387"/>
      <c r="ABF206" s="387"/>
      <c r="ABG206" s="387"/>
      <c r="ABH206" s="387"/>
      <c r="ABI206" s="387"/>
      <c r="ABJ206" s="387"/>
      <c r="ABK206" s="387"/>
      <c r="ABL206" s="387"/>
      <c r="ABM206" s="387"/>
      <c r="ABN206" s="387"/>
      <c r="ABO206" s="387"/>
      <c r="ABP206" s="387"/>
      <c r="ABQ206" s="387"/>
      <c r="ABR206" s="387"/>
      <c r="ABS206" s="387"/>
      <c r="ABT206" s="387"/>
      <c r="ABU206" s="387"/>
      <c r="ABV206" s="387"/>
      <c r="ABW206" s="387"/>
      <c r="ABX206" s="387"/>
      <c r="ABY206" s="387"/>
      <c r="ABZ206" s="387"/>
      <c r="ACA206" s="387"/>
      <c r="ACB206" s="387"/>
      <c r="ACC206" s="387"/>
      <c r="ACD206" s="387"/>
      <c r="ACE206" s="387"/>
      <c r="ACF206" s="387"/>
      <c r="ACG206" s="387"/>
      <c r="ACH206" s="387"/>
      <c r="ACI206" s="387"/>
      <c r="ACJ206" s="387"/>
      <c r="ACK206" s="387"/>
      <c r="ACL206" s="387"/>
      <c r="ACM206" s="387"/>
      <c r="ACN206" s="387"/>
      <c r="ACO206" s="387"/>
      <c r="ACP206" s="387"/>
      <c r="ACQ206" s="387"/>
      <c r="ACR206" s="387"/>
      <c r="ACS206" s="387"/>
      <c r="ACT206" s="387"/>
      <c r="ACU206" s="387"/>
      <c r="ACV206" s="387"/>
      <c r="ACW206" s="387"/>
      <c r="ACX206" s="387"/>
      <c r="ACY206" s="387"/>
      <c r="ACZ206" s="387"/>
      <c r="ADA206" s="387"/>
      <c r="ADB206" s="387"/>
      <c r="ADC206" s="387"/>
      <c r="ADD206" s="387"/>
      <c r="ADE206" s="387"/>
      <c r="ADF206" s="387"/>
      <c r="ADG206" s="387"/>
      <c r="ADH206" s="387"/>
      <c r="ADI206" s="387"/>
      <c r="ADJ206" s="387"/>
      <c r="ADK206" s="387"/>
      <c r="ADL206" s="387"/>
      <c r="ADM206" s="387"/>
      <c r="ADN206" s="387"/>
      <c r="ADO206" s="387"/>
      <c r="ADP206" s="387"/>
      <c r="ADQ206" s="387"/>
      <c r="ADR206" s="387"/>
      <c r="ADS206" s="387"/>
      <c r="ADT206" s="387"/>
      <c r="ADU206" s="387"/>
      <c r="ADV206" s="387"/>
      <c r="ADW206" s="387"/>
      <c r="ADX206" s="387"/>
      <c r="ADY206" s="387"/>
      <c r="ADZ206" s="387"/>
      <c r="AEA206" s="387"/>
      <c r="AEB206" s="387"/>
      <c r="AEC206" s="387"/>
      <c r="AED206" s="387"/>
      <c r="AEE206" s="387"/>
      <c r="AEF206" s="387"/>
      <c r="AEG206" s="387"/>
      <c r="AEH206" s="387"/>
      <c r="AEI206" s="387"/>
      <c r="AEJ206" s="387"/>
      <c r="AEK206" s="387"/>
      <c r="AEL206" s="387"/>
      <c r="AEM206" s="387"/>
      <c r="AEN206" s="387"/>
      <c r="AEO206" s="387"/>
      <c r="AEP206" s="387"/>
      <c r="AEQ206" s="387"/>
      <c r="AER206" s="387"/>
      <c r="AES206" s="387"/>
      <c r="AET206" s="387"/>
      <c r="AEU206" s="387"/>
      <c r="AEV206" s="387"/>
      <c r="AEW206" s="387"/>
      <c r="AEX206" s="387"/>
      <c r="AEY206" s="387"/>
      <c r="AEZ206" s="387"/>
      <c r="AFA206" s="387"/>
      <c r="AFB206" s="387"/>
      <c r="AFC206" s="387"/>
      <c r="AFD206" s="387"/>
      <c r="AFE206" s="387"/>
      <c r="AFF206" s="387"/>
      <c r="AFG206" s="387"/>
      <c r="AFH206" s="387"/>
      <c r="AFI206" s="387"/>
      <c r="AFJ206" s="387"/>
      <c r="AFK206" s="387"/>
      <c r="AFL206" s="387"/>
      <c r="AFM206" s="387"/>
      <c r="AFN206" s="387"/>
      <c r="AFO206" s="387"/>
      <c r="AFP206" s="387"/>
      <c r="AFQ206" s="387"/>
      <c r="AFR206" s="387"/>
      <c r="AFS206" s="387"/>
      <c r="AFT206" s="387"/>
      <c r="AFU206" s="387"/>
      <c r="AFV206" s="387"/>
      <c r="AFW206" s="387"/>
      <c r="AFX206" s="387"/>
      <c r="AFY206" s="387"/>
      <c r="AFZ206" s="387"/>
      <c r="AGA206" s="387"/>
      <c r="AGB206" s="387"/>
      <c r="AGC206" s="387"/>
      <c r="AGD206" s="387"/>
      <c r="AGE206" s="387"/>
      <c r="AGF206" s="387"/>
      <c r="AGG206" s="387"/>
      <c r="AGH206" s="387"/>
      <c r="AGI206" s="387"/>
      <c r="AGJ206" s="387"/>
      <c r="AGK206" s="387"/>
      <c r="AGL206" s="387"/>
      <c r="AGM206" s="387"/>
      <c r="AGN206" s="387"/>
      <c r="AGO206" s="387"/>
      <c r="AGP206" s="387"/>
      <c r="AGQ206" s="387"/>
      <c r="AGR206" s="387"/>
      <c r="AGS206" s="387"/>
      <c r="AGT206" s="387"/>
      <c r="AGU206" s="387"/>
      <c r="AGV206" s="387"/>
      <c r="AGW206" s="387"/>
      <c r="AGX206" s="387"/>
      <c r="AGY206" s="387"/>
      <c r="AGZ206" s="387"/>
      <c r="AHA206" s="387"/>
      <c r="AHB206" s="387"/>
      <c r="AHC206" s="387"/>
      <c r="AHD206" s="387"/>
      <c r="AHE206" s="387"/>
      <c r="AHF206" s="387"/>
      <c r="AHG206" s="387"/>
      <c r="AHH206" s="387"/>
      <c r="AHI206" s="387"/>
      <c r="AHJ206" s="387"/>
      <c r="AHK206" s="387"/>
      <c r="AHL206" s="387"/>
      <c r="AHM206" s="387"/>
      <c r="AHN206" s="387"/>
      <c r="AHO206" s="387"/>
      <c r="AHP206" s="387"/>
      <c r="AHQ206" s="387"/>
      <c r="AHR206" s="387"/>
      <c r="AHS206" s="387"/>
      <c r="AHT206" s="387"/>
      <c r="AHU206" s="387"/>
      <c r="AHV206" s="387"/>
      <c r="AHW206" s="387"/>
      <c r="AHX206" s="387"/>
      <c r="AHY206" s="387"/>
      <c r="AHZ206" s="387"/>
      <c r="AIA206" s="387"/>
      <c r="AIB206" s="387"/>
      <c r="AIC206" s="387"/>
      <c r="AID206" s="387"/>
      <c r="AIE206" s="387"/>
      <c r="AIF206" s="387"/>
      <c r="AIG206" s="387"/>
      <c r="AIH206" s="387"/>
      <c r="AII206" s="387"/>
      <c r="AIJ206" s="387"/>
      <c r="AIK206" s="387"/>
      <c r="AIL206" s="387"/>
      <c r="AIM206" s="387"/>
      <c r="AIN206" s="387"/>
      <c r="AIO206" s="387"/>
      <c r="AIP206" s="387"/>
      <c r="AIQ206" s="387"/>
      <c r="AIR206" s="387"/>
      <c r="AIS206" s="387"/>
      <c r="AIT206" s="387"/>
      <c r="AIU206" s="387"/>
      <c r="AIV206" s="387"/>
      <c r="AIW206" s="387"/>
      <c r="AIX206" s="387"/>
      <c r="AIY206" s="387"/>
      <c r="AIZ206" s="387"/>
      <c r="AJA206" s="387"/>
      <c r="AJB206" s="387"/>
      <c r="AJC206" s="387"/>
      <c r="AJD206" s="387"/>
      <c r="AJE206" s="387"/>
      <c r="AJF206" s="387"/>
      <c r="AJG206" s="387"/>
      <c r="AJH206" s="387"/>
      <c r="AJI206" s="387"/>
      <c r="AJJ206" s="387"/>
      <c r="AJK206" s="387"/>
      <c r="AJL206" s="387"/>
      <c r="AJM206" s="387"/>
      <c r="AJN206" s="387"/>
      <c r="AJO206" s="387"/>
      <c r="AJP206" s="387"/>
      <c r="AJQ206" s="387"/>
      <c r="AJR206" s="387"/>
      <c r="AJS206" s="387"/>
      <c r="AJT206" s="387"/>
      <c r="AJU206" s="387"/>
      <c r="AJV206" s="387"/>
      <c r="AJW206" s="387"/>
      <c r="AJX206" s="387"/>
      <c r="AJY206" s="387"/>
      <c r="AJZ206" s="387"/>
      <c r="AKA206" s="387"/>
      <c r="AKB206" s="387"/>
      <c r="AKC206" s="387"/>
      <c r="AKD206" s="387"/>
      <c r="AKE206" s="387"/>
      <c r="AKF206" s="387"/>
      <c r="AKG206" s="387"/>
      <c r="AKH206" s="387"/>
      <c r="AKI206" s="387"/>
      <c r="AKJ206" s="387"/>
      <c r="AKK206" s="387"/>
      <c r="AKL206" s="387"/>
      <c r="AKM206" s="387"/>
      <c r="AKN206" s="387"/>
      <c r="AKO206" s="387"/>
      <c r="AKP206" s="387"/>
      <c r="AKQ206" s="387"/>
      <c r="AKR206" s="387"/>
      <c r="AKS206" s="387"/>
      <c r="AKT206" s="387"/>
      <c r="AKU206" s="387"/>
      <c r="AKV206" s="387"/>
      <c r="AKW206" s="387"/>
      <c r="AKX206" s="387"/>
      <c r="AKY206" s="387"/>
      <c r="AKZ206" s="387"/>
      <c r="ALA206" s="387"/>
      <c r="ALB206" s="387"/>
      <c r="ALC206" s="387"/>
      <c r="ALD206" s="387"/>
      <c r="ALE206" s="387"/>
      <c r="ALF206" s="387"/>
      <c r="ALG206" s="387"/>
      <c r="ALH206" s="387"/>
      <c r="ALI206" s="387"/>
      <c r="ALJ206" s="387"/>
      <c r="ALK206" s="387"/>
      <c r="ALL206" s="387"/>
      <c r="ALM206" s="387"/>
      <c r="ALN206" s="387"/>
      <c r="ALO206" s="387"/>
      <c r="ALP206" s="387"/>
      <c r="ALQ206" s="387"/>
      <c r="ALR206" s="387"/>
      <c r="ALS206" s="387"/>
      <c r="ALT206" s="387"/>
      <c r="ALU206" s="387"/>
      <c r="ALV206" s="387"/>
      <c r="ALW206" s="387"/>
      <c r="ALX206" s="387"/>
      <c r="ALY206" s="387"/>
      <c r="ALZ206" s="387"/>
      <c r="AMA206" s="387"/>
      <c r="AMB206" s="387"/>
      <c r="AMC206" s="387"/>
      <c r="AMD206" s="387"/>
      <c r="AME206" s="387"/>
      <c r="AMF206" s="387"/>
      <c r="AMG206" s="387"/>
      <c r="AMH206" s="387"/>
      <c r="AMI206" s="387"/>
      <c r="AMJ206" s="387"/>
      <c r="AMK206" s="387"/>
      <c r="AML206" s="387"/>
      <c r="AMM206" s="387"/>
      <c r="AMN206" s="387"/>
      <c r="AMO206" s="387"/>
      <c r="AMP206" s="387"/>
      <c r="AMQ206" s="387"/>
      <c r="AMR206" s="387"/>
      <c r="AMS206" s="387"/>
      <c r="AMT206" s="387"/>
      <c r="AMU206" s="387"/>
      <c r="AMV206" s="387"/>
      <c r="AMW206" s="387"/>
      <c r="AMX206" s="387"/>
      <c r="AMY206" s="387"/>
      <c r="AMZ206" s="387"/>
      <c r="ANA206" s="387"/>
      <c r="ANB206" s="387"/>
      <c r="ANC206" s="387"/>
      <c r="AND206" s="387"/>
      <c r="ANE206" s="387"/>
      <c r="ANF206" s="387"/>
      <c r="ANG206" s="387"/>
      <c r="ANH206" s="387"/>
      <c r="ANI206" s="387"/>
      <c r="ANJ206" s="387"/>
      <c r="ANK206" s="387"/>
      <c r="ANL206" s="387"/>
      <c r="ANM206" s="387"/>
      <c r="ANN206" s="387"/>
      <c r="ANO206" s="387"/>
      <c r="ANP206" s="387"/>
      <c r="ANQ206" s="387"/>
      <c r="ANR206" s="387"/>
      <c r="ANS206" s="387"/>
      <c r="ANT206" s="387"/>
      <c r="ANU206" s="387"/>
      <c r="ANV206" s="387"/>
      <c r="ANW206" s="387"/>
      <c r="ANX206" s="387"/>
      <c r="ANY206" s="387"/>
      <c r="ANZ206" s="387"/>
      <c r="AOA206" s="387"/>
      <c r="AOB206" s="387"/>
      <c r="AOC206" s="387"/>
      <c r="AOD206" s="387"/>
      <c r="AOE206" s="387"/>
      <c r="AOF206" s="387"/>
      <c r="AOG206" s="387"/>
      <c r="AOH206" s="387"/>
      <c r="AOI206" s="387"/>
      <c r="AOJ206" s="387"/>
      <c r="AOK206" s="387"/>
      <c r="AOL206" s="387"/>
      <c r="AOM206" s="387"/>
      <c r="AON206" s="387"/>
      <c r="AOO206" s="387"/>
      <c r="AOP206" s="387"/>
      <c r="AOQ206" s="387"/>
      <c r="AOR206" s="387"/>
      <c r="AOS206" s="387"/>
      <c r="AOT206" s="387"/>
      <c r="AOU206" s="387"/>
      <c r="AOV206" s="387"/>
      <c r="AOW206" s="387"/>
      <c r="AOX206" s="387"/>
      <c r="AOY206" s="387"/>
      <c r="AOZ206" s="387"/>
      <c r="APA206" s="387"/>
      <c r="APB206" s="387"/>
      <c r="APC206" s="387"/>
      <c r="APD206" s="387"/>
      <c r="APE206" s="387"/>
      <c r="APF206" s="387"/>
      <c r="APG206" s="387"/>
      <c r="APH206" s="387"/>
      <c r="API206" s="387"/>
      <c r="APJ206" s="387"/>
      <c r="APK206" s="387"/>
      <c r="APL206" s="387"/>
      <c r="APM206" s="387"/>
      <c r="APN206" s="387"/>
      <c r="APO206" s="387"/>
      <c r="APP206" s="387"/>
      <c r="APQ206" s="387"/>
      <c r="APR206" s="387"/>
      <c r="APS206" s="387"/>
      <c r="APT206" s="387"/>
      <c r="APU206" s="387"/>
      <c r="APV206" s="387"/>
      <c r="APW206" s="387"/>
      <c r="APX206" s="387"/>
      <c r="APY206" s="387"/>
      <c r="APZ206" s="387"/>
      <c r="AQA206" s="387"/>
      <c r="AQB206" s="387"/>
      <c r="AQC206" s="387"/>
      <c r="AQD206" s="387"/>
      <c r="AQE206" s="387"/>
      <c r="AQF206" s="387"/>
      <c r="AQG206" s="387"/>
      <c r="AQH206" s="387"/>
      <c r="AQI206" s="387"/>
      <c r="AQJ206" s="387"/>
      <c r="AQK206" s="387"/>
      <c r="AQL206" s="387"/>
      <c r="AQM206" s="387"/>
      <c r="AQN206" s="387"/>
      <c r="AQO206" s="387"/>
      <c r="AQP206" s="387"/>
      <c r="AQQ206" s="387"/>
      <c r="AQR206" s="387"/>
      <c r="AQS206" s="387"/>
      <c r="AQT206" s="387"/>
      <c r="AQU206" s="387"/>
      <c r="AQV206" s="387"/>
      <c r="AQW206" s="387"/>
      <c r="AQX206" s="387"/>
      <c r="AQY206" s="387"/>
      <c r="AQZ206" s="387"/>
      <c r="ARA206" s="387"/>
      <c r="ARB206" s="387"/>
      <c r="ARC206" s="387"/>
      <c r="ARD206" s="387"/>
      <c r="ARE206" s="387"/>
      <c r="ARF206" s="387"/>
      <c r="ARG206" s="387"/>
      <c r="ARH206" s="387"/>
      <c r="ARI206" s="387"/>
      <c r="ARJ206" s="387"/>
      <c r="ARK206" s="387"/>
      <c r="ARL206" s="387"/>
      <c r="ARM206" s="387"/>
      <c r="ARN206" s="387"/>
      <c r="ARO206" s="387"/>
      <c r="ARP206" s="387"/>
      <c r="ARQ206" s="387"/>
      <c r="ARR206" s="387"/>
      <c r="ARS206" s="387"/>
      <c r="ART206" s="387"/>
      <c r="ARU206" s="387"/>
      <c r="ARV206" s="387"/>
      <c r="ARW206" s="387"/>
      <c r="ARX206" s="387"/>
      <c r="ARY206" s="387"/>
      <c r="ARZ206" s="387"/>
      <c r="ASA206" s="387"/>
      <c r="ASB206" s="387"/>
      <c r="ASC206" s="387"/>
      <c r="ASD206" s="387"/>
      <c r="ASE206" s="387"/>
      <c r="ASF206" s="387"/>
      <c r="ASG206" s="387"/>
      <c r="ASH206" s="387"/>
      <c r="ASI206" s="387"/>
      <c r="ASJ206" s="387"/>
      <c r="ASK206" s="387"/>
      <c r="ASL206" s="387"/>
      <c r="ASM206" s="387"/>
      <c r="ASN206" s="387"/>
      <c r="ASO206" s="387"/>
      <c r="ASP206" s="387"/>
      <c r="ASQ206" s="387"/>
      <c r="ASR206" s="387"/>
      <c r="ASS206" s="387"/>
      <c r="AST206" s="387"/>
      <c r="ASU206" s="387"/>
      <c r="ASV206" s="387"/>
      <c r="ASW206" s="387"/>
      <c r="ASX206" s="387"/>
      <c r="ASY206" s="387"/>
      <c r="ASZ206" s="387"/>
      <c r="ATA206" s="387"/>
      <c r="ATB206" s="387"/>
      <c r="ATC206" s="387"/>
      <c r="ATD206" s="387"/>
      <c r="ATE206" s="387"/>
      <c r="ATF206" s="387"/>
      <c r="ATG206" s="387"/>
      <c r="ATH206" s="387"/>
      <c r="ATI206" s="387"/>
      <c r="ATJ206" s="387"/>
      <c r="ATK206" s="387"/>
      <c r="ATL206" s="387"/>
      <c r="ATM206" s="387"/>
      <c r="ATN206" s="387"/>
      <c r="ATO206" s="387"/>
      <c r="ATP206" s="387"/>
      <c r="ATQ206" s="387"/>
      <c r="ATR206" s="387"/>
      <c r="ATS206" s="387"/>
      <c r="ATT206" s="387"/>
      <c r="ATU206" s="387"/>
      <c r="ATV206" s="387"/>
      <c r="ATW206" s="387"/>
      <c r="ATX206" s="387"/>
      <c r="ATY206" s="387"/>
      <c r="ATZ206" s="387"/>
      <c r="AUA206" s="387"/>
      <c r="AUB206" s="387"/>
      <c r="AUC206" s="387"/>
      <c r="AUD206" s="387"/>
      <c r="AUE206" s="387"/>
      <c r="AUF206" s="387"/>
      <c r="AUG206" s="387"/>
      <c r="AUH206" s="387"/>
      <c r="AUI206" s="387"/>
      <c r="AUJ206" s="387"/>
      <c r="AUK206" s="387"/>
      <c r="AUL206" s="387"/>
      <c r="AUM206" s="387"/>
      <c r="AUN206" s="387"/>
      <c r="AUO206" s="387"/>
      <c r="AUP206" s="387"/>
      <c r="AUQ206" s="387"/>
      <c r="AUR206" s="387"/>
      <c r="AUS206" s="387"/>
      <c r="AUT206" s="387"/>
      <c r="AUU206" s="387"/>
      <c r="AUV206" s="387"/>
      <c r="AUW206" s="387"/>
      <c r="AUX206" s="387"/>
      <c r="AUY206" s="387"/>
      <c r="AUZ206" s="387"/>
      <c r="AVA206" s="387"/>
      <c r="AVB206" s="387"/>
      <c r="AVC206" s="387"/>
      <c r="AVD206" s="387"/>
      <c r="AVE206" s="387"/>
      <c r="AVF206" s="387"/>
      <c r="AVG206" s="387"/>
      <c r="AVH206" s="387"/>
      <c r="AVI206" s="387"/>
      <c r="AVJ206" s="387"/>
      <c r="AVK206" s="387"/>
      <c r="AVL206" s="387"/>
      <c r="AVM206" s="387"/>
      <c r="AVN206" s="387"/>
      <c r="AVO206" s="387"/>
      <c r="AVP206" s="387"/>
      <c r="AVQ206" s="387"/>
      <c r="AVR206" s="387"/>
      <c r="AVS206" s="387"/>
      <c r="AVT206" s="387"/>
      <c r="AVU206" s="387"/>
      <c r="AVV206" s="387"/>
      <c r="AVW206" s="387"/>
      <c r="AVX206" s="387"/>
      <c r="AVY206" s="387"/>
      <c r="AVZ206" s="387"/>
      <c r="AWA206" s="387"/>
      <c r="AWB206" s="387"/>
      <c r="AWC206" s="387"/>
      <c r="AWD206" s="387"/>
      <c r="AWE206" s="387"/>
      <c r="AWF206" s="387"/>
      <c r="AWG206" s="387"/>
      <c r="AWH206" s="387"/>
      <c r="AWI206" s="387"/>
      <c r="AWJ206" s="387"/>
      <c r="AWK206" s="387"/>
      <c r="AWL206" s="387"/>
      <c r="AWM206" s="387"/>
      <c r="AWN206" s="387"/>
      <c r="AWO206" s="387"/>
      <c r="AWP206" s="387"/>
      <c r="AWQ206" s="387"/>
      <c r="AWR206" s="387"/>
      <c r="AWS206" s="387"/>
      <c r="AWT206" s="387"/>
      <c r="AWU206" s="387"/>
      <c r="AWV206" s="387"/>
      <c r="AWW206" s="387"/>
      <c r="AWX206" s="387"/>
      <c r="AWY206" s="387"/>
      <c r="AWZ206" s="387"/>
      <c r="AXA206" s="387"/>
      <c r="AXB206" s="387"/>
      <c r="AXC206" s="387"/>
      <c r="AXD206" s="387"/>
      <c r="AXE206" s="387"/>
      <c r="AXF206" s="387"/>
      <c r="AXG206" s="387"/>
      <c r="AXH206" s="387"/>
      <c r="AXI206" s="387"/>
      <c r="AXJ206" s="387"/>
      <c r="AXK206" s="387"/>
      <c r="AXL206" s="387"/>
      <c r="AXM206" s="387"/>
      <c r="AXN206" s="387"/>
      <c r="AXO206" s="387"/>
      <c r="AXP206" s="387"/>
      <c r="AXQ206" s="387"/>
      <c r="AXR206" s="387"/>
      <c r="AXS206" s="387"/>
      <c r="AXT206" s="387"/>
      <c r="AXU206" s="387"/>
      <c r="AXV206" s="387"/>
      <c r="AXW206" s="387"/>
      <c r="AXX206" s="387"/>
      <c r="AXY206" s="387"/>
      <c r="AXZ206" s="387"/>
      <c r="AYA206" s="387"/>
      <c r="AYB206" s="387"/>
      <c r="AYC206" s="387"/>
      <c r="AYD206" s="387"/>
      <c r="AYE206" s="387"/>
      <c r="AYF206" s="387"/>
      <c r="AYG206" s="387"/>
      <c r="AYH206" s="387"/>
      <c r="AYI206" s="387"/>
      <c r="AYJ206" s="387"/>
      <c r="AYK206" s="387"/>
      <c r="AYL206" s="387"/>
      <c r="AYM206" s="387"/>
      <c r="AYN206" s="387"/>
      <c r="AYO206" s="387"/>
      <c r="AYP206" s="387"/>
      <c r="AYQ206" s="387"/>
      <c r="AYR206" s="387"/>
      <c r="AYS206" s="387"/>
      <c r="AYT206" s="387"/>
      <c r="AYU206" s="387"/>
      <c r="AYV206" s="387"/>
      <c r="AYW206" s="387"/>
      <c r="AYX206" s="387"/>
      <c r="AYY206" s="387"/>
      <c r="AYZ206" s="387"/>
      <c r="AZA206" s="387"/>
      <c r="AZB206" s="387"/>
      <c r="AZC206" s="387"/>
      <c r="AZD206" s="387"/>
      <c r="AZE206" s="387"/>
      <c r="AZF206" s="387"/>
      <c r="AZG206" s="387"/>
      <c r="AZH206" s="387"/>
      <c r="AZI206" s="387"/>
      <c r="AZJ206" s="387"/>
      <c r="AZK206" s="387"/>
      <c r="AZL206" s="387"/>
      <c r="AZM206" s="387"/>
      <c r="AZN206" s="387"/>
      <c r="AZO206" s="387"/>
      <c r="AZP206" s="387"/>
      <c r="AZQ206" s="387"/>
      <c r="AZR206" s="387"/>
      <c r="AZS206" s="387"/>
      <c r="AZT206" s="387"/>
      <c r="AZU206" s="387"/>
      <c r="AZV206" s="387"/>
      <c r="AZW206" s="387"/>
      <c r="AZX206" s="387"/>
      <c r="AZY206" s="387"/>
      <c r="AZZ206" s="387"/>
      <c r="BAA206" s="387"/>
      <c r="BAB206" s="387"/>
      <c r="BAC206" s="387"/>
      <c r="BAD206" s="387"/>
      <c r="BAE206" s="387"/>
      <c r="BAF206" s="387"/>
      <c r="BAG206" s="387"/>
      <c r="BAH206" s="387"/>
      <c r="BAI206" s="387"/>
      <c r="BAJ206" s="387"/>
      <c r="BAK206" s="387"/>
      <c r="BAL206" s="387"/>
      <c r="BAM206" s="387"/>
      <c r="BAN206" s="387"/>
      <c r="BAO206" s="387"/>
      <c r="BAP206" s="387"/>
      <c r="BAQ206" s="387"/>
      <c r="BAR206" s="387"/>
      <c r="BAS206" s="387"/>
      <c r="BAT206" s="387"/>
      <c r="BAU206" s="387"/>
      <c r="BAV206" s="387"/>
      <c r="BAW206" s="387"/>
      <c r="BAX206" s="387"/>
      <c r="BAY206" s="387"/>
      <c r="BAZ206" s="387"/>
      <c r="BBA206" s="387"/>
      <c r="BBB206" s="387"/>
      <c r="BBC206" s="387"/>
      <c r="BBD206" s="387"/>
      <c r="BBE206" s="387"/>
      <c r="BBF206" s="387"/>
      <c r="BBG206" s="387"/>
      <c r="BBH206" s="387"/>
      <c r="BBI206" s="387"/>
      <c r="BBJ206" s="387"/>
      <c r="BBK206" s="387"/>
      <c r="BBL206" s="387"/>
      <c r="BBM206" s="387"/>
      <c r="BBN206" s="387"/>
      <c r="BBO206" s="387"/>
      <c r="BBP206" s="387"/>
      <c r="BBQ206" s="387"/>
      <c r="BBR206" s="387"/>
      <c r="BBS206" s="387"/>
      <c r="BBT206" s="387"/>
      <c r="BBU206" s="387"/>
      <c r="BBV206" s="387"/>
      <c r="BBW206" s="387"/>
      <c r="BBX206" s="387"/>
      <c r="BBY206" s="387"/>
      <c r="BBZ206" s="387"/>
      <c r="BCA206" s="387"/>
      <c r="BCB206" s="387"/>
      <c r="BCC206" s="387"/>
      <c r="BCD206" s="387"/>
      <c r="BCE206" s="387"/>
      <c r="BCF206" s="387"/>
      <c r="BCG206" s="387"/>
      <c r="BCH206" s="387"/>
      <c r="BCI206" s="387"/>
      <c r="BCJ206" s="387"/>
      <c r="BCK206" s="387"/>
      <c r="BCL206" s="387"/>
      <c r="BCM206" s="387"/>
      <c r="BCN206" s="387"/>
      <c r="BCO206" s="387"/>
      <c r="BCP206" s="387"/>
      <c r="BCQ206" s="387"/>
      <c r="BCR206" s="387"/>
      <c r="BCS206" s="387"/>
      <c r="BCT206" s="387"/>
      <c r="BCU206" s="387"/>
      <c r="BCV206" s="387"/>
      <c r="BCW206" s="387"/>
      <c r="BCX206" s="387"/>
      <c r="BCY206" s="387"/>
      <c r="BCZ206" s="387"/>
      <c r="BDA206" s="387"/>
      <c r="BDB206" s="387"/>
      <c r="BDC206" s="387"/>
      <c r="BDD206" s="387"/>
      <c r="BDE206" s="387"/>
      <c r="BDF206" s="387"/>
      <c r="BDG206" s="387"/>
      <c r="BDH206" s="387"/>
      <c r="BDI206" s="387"/>
      <c r="BDJ206" s="387"/>
      <c r="BDK206" s="387"/>
      <c r="BDL206" s="387"/>
      <c r="BDM206" s="387"/>
      <c r="BDN206" s="387"/>
      <c r="BDO206" s="387"/>
      <c r="BDP206" s="387"/>
      <c r="BDQ206" s="387"/>
      <c r="BDR206" s="387"/>
      <c r="BDS206" s="387"/>
      <c r="BDT206" s="387"/>
      <c r="BDU206" s="387"/>
      <c r="BDV206" s="387"/>
      <c r="BDW206" s="387"/>
      <c r="BDX206" s="387"/>
      <c r="BDY206" s="387"/>
      <c r="BDZ206" s="387"/>
      <c r="BEA206" s="387"/>
      <c r="BEB206" s="387"/>
      <c r="BEC206" s="387"/>
      <c r="BED206" s="387"/>
      <c r="BEE206" s="387"/>
      <c r="BEF206" s="387"/>
      <c r="BEG206" s="387"/>
      <c r="BEH206" s="387"/>
      <c r="BEI206" s="387"/>
      <c r="BEJ206" s="387"/>
      <c r="BEK206" s="387"/>
      <c r="BEL206" s="387"/>
      <c r="BEM206" s="387"/>
      <c r="BEN206" s="387"/>
      <c r="BEO206" s="387"/>
      <c r="BEP206" s="387"/>
      <c r="BEQ206" s="387"/>
      <c r="BER206" s="387"/>
      <c r="BES206" s="387"/>
      <c r="BET206" s="387"/>
      <c r="BEU206" s="387"/>
      <c r="BEV206" s="387"/>
      <c r="BEW206" s="387"/>
      <c r="BEX206" s="387"/>
      <c r="BEY206" s="387"/>
      <c r="BEZ206" s="387"/>
      <c r="BFA206" s="387"/>
      <c r="BFB206" s="387"/>
      <c r="BFC206" s="387"/>
      <c r="BFD206" s="387"/>
      <c r="BFE206" s="387"/>
      <c r="BFF206" s="387"/>
      <c r="BFG206" s="387"/>
      <c r="BFH206" s="387"/>
      <c r="BFI206" s="387"/>
      <c r="BFJ206" s="387"/>
      <c r="BFK206" s="387"/>
      <c r="BFL206" s="387"/>
      <c r="BFM206" s="387"/>
      <c r="BFN206" s="387"/>
      <c r="BFO206" s="387"/>
      <c r="BFP206" s="387"/>
      <c r="BFQ206" s="387"/>
      <c r="BFR206" s="387"/>
      <c r="BFS206" s="387"/>
      <c r="BFT206" s="387"/>
      <c r="BFU206" s="387"/>
      <c r="BFV206" s="387"/>
      <c r="BFW206" s="387"/>
      <c r="BFX206" s="387"/>
      <c r="BFY206" s="387"/>
      <c r="BFZ206" s="387"/>
      <c r="BGA206" s="387"/>
      <c r="BGB206" s="387"/>
      <c r="BGC206" s="387"/>
      <c r="BGD206" s="387"/>
      <c r="BGE206" s="387"/>
      <c r="BGF206" s="387"/>
      <c r="BGG206" s="387"/>
      <c r="BGH206" s="387"/>
      <c r="BGI206" s="387"/>
      <c r="BGJ206" s="387"/>
      <c r="BGK206" s="387"/>
      <c r="BGL206" s="387"/>
      <c r="BGM206" s="387"/>
      <c r="BGN206" s="387"/>
      <c r="BGO206" s="387"/>
      <c r="BGP206" s="387"/>
      <c r="BGQ206" s="387"/>
      <c r="BGR206" s="387"/>
      <c r="BGS206" s="387"/>
      <c r="BGT206" s="387"/>
      <c r="BGU206" s="387"/>
      <c r="BGV206" s="387"/>
      <c r="BGW206" s="387"/>
      <c r="BGX206" s="387"/>
      <c r="BGY206" s="387"/>
      <c r="BGZ206" s="387"/>
      <c r="BHA206" s="387"/>
      <c r="BHB206" s="387"/>
      <c r="BHC206" s="387"/>
      <c r="BHD206" s="387"/>
      <c r="BHE206" s="387"/>
      <c r="BHF206" s="387"/>
      <c r="BHG206" s="387"/>
      <c r="BHH206" s="387"/>
      <c r="BHI206" s="387"/>
      <c r="BHJ206" s="387"/>
      <c r="BHK206" s="387"/>
      <c r="BHL206" s="387"/>
      <c r="BHM206" s="387"/>
      <c r="BHN206" s="387"/>
      <c r="BHO206" s="387"/>
      <c r="BHP206" s="387"/>
      <c r="BHQ206" s="387"/>
      <c r="BHR206" s="387"/>
      <c r="BHS206" s="387"/>
      <c r="BHT206" s="387"/>
      <c r="BHU206" s="387"/>
      <c r="BHV206" s="387"/>
      <c r="BHW206" s="387"/>
      <c r="BHX206" s="387"/>
      <c r="BHY206" s="387"/>
      <c r="BHZ206" s="387"/>
      <c r="BIA206" s="387"/>
      <c r="BIB206" s="387"/>
      <c r="BIC206" s="387"/>
      <c r="BID206" s="387"/>
      <c r="BIE206" s="387"/>
      <c r="BIF206" s="387"/>
      <c r="BIG206" s="387"/>
      <c r="BIH206" s="387"/>
      <c r="BII206" s="387"/>
      <c r="BIJ206" s="387"/>
      <c r="BIK206" s="387"/>
      <c r="BIL206" s="387"/>
      <c r="BIM206" s="387"/>
      <c r="BIN206" s="387"/>
      <c r="BIO206" s="387"/>
      <c r="BIP206" s="387"/>
      <c r="BIQ206" s="387"/>
      <c r="BIR206" s="387"/>
      <c r="BIS206" s="387"/>
      <c r="BIT206" s="387"/>
      <c r="BIU206" s="387"/>
      <c r="BIV206" s="387"/>
      <c r="BIW206" s="387"/>
      <c r="BIX206" s="387"/>
      <c r="BIY206" s="387"/>
      <c r="BIZ206" s="387"/>
      <c r="BJA206" s="387"/>
      <c r="BJB206" s="387"/>
      <c r="BJC206" s="387"/>
      <c r="BJD206" s="387"/>
      <c r="BJE206" s="387"/>
      <c r="BJF206" s="387"/>
      <c r="BJG206" s="387"/>
      <c r="BJH206" s="387"/>
      <c r="BJI206" s="387"/>
      <c r="BJJ206" s="387"/>
      <c r="BJK206" s="387"/>
      <c r="BJL206" s="387"/>
      <c r="BJM206" s="387"/>
      <c r="BJN206" s="387"/>
      <c r="BJO206" s="387"/>
      <c r="BJP206" s="387"/>
      <c r="BJQ206" s="387"/>
      <c r="BJR206" s="387"/>
      <c r="BJS206" s="387"/>
      <c r="BJT206" s="387"/>
      <c r="BJU206" s="387"/>
      <c r="BJV206" s="387"/>
      <c r="BJW206" s="387"/>
      <c r="BJX206" s="387"/>
      <c r="BJY206" s="387"/>
      <c r="BJZ206" s="387"/>
      <c r="BKA206" s="387"/>
      <c r="BKB206" s="387"/>
      <c r="BKC206" s="387"/>
      <c r="BKD206" s="387"/>
      <c r="BKE206" s="387"/>
      <c r="BKF206" s="387"/>
      <c r="BKG206" s="387"/>
      <c r="BKH206" s="387"/>
      <c r="BKI206" s="387"/>
      <c r="BKJ206" s="387"/>
      <c r="BKK206" s="387"/>
      <c r="BKL206" s="387"/>
      <c r="BKM206" s="387"/>
      <c r="BKN206" s="387"/>
      <c r="BKO206" s="387"/>
      <c r="BKP206" s="387"/>
      <c r="BKQ206" s="387"/>
      <c r="BKR206" s="387"/>
      <c r="BKS206" s="387"/>
      <c r="BKT206" s="387"/>
      <c r="BKU206" s="387"/>
      <c r="BKV206" s="387"/>
      <c r="BKW206" s="387"/>
      <c r="BKX206" s="387"/>
      <c r="BKY206" s="387"/>
      <c r="BKZ206" s="387"/>
      <c r="BLA206" s="387"/>
      <c r="BLB206" s="387"/>
      <c r="BLC206" s="387"/>
      <c r="BLD206" s="387"/>
      <c r="BLE206" s="387"/>
      <c r="BLF206" s="387"/>
      <c r="BLG206" s="387"/>
      <c r="BLH206" s="387"/>
      <c r="BLI206" s="387"/>
      <c r="BLJ206" s="387"/>
      <c r="BLK206" s="387"/>
      <c r="BLL206" s="387"/>
      <c r="BLM206" s="387"/>
      <c r="BLN206" s="387"/>
      <c r="BLO206" s="387"/>
      <c r="BLP206" s="387"/>
      <c r="BLQ206" s="387"/>
      <c r="BLR206" s="387"/>
      <c r="BLS206" s="387"/>
      <c r="BLT206" s="387"/>
      <c r="BLU206" s="387"/>
      <c r="BLV206" s="387"/>
      <c r="BLW206" s="387"/>
      <c r="BLX206" s="387"/>
      <c r="BLY206" s="387"/>
      <c r="BLZ206" s="387"/>
      <c r="BMA206" s="387"/>
      <c r="BMB206" s="387"/>
      <c r="BMC206" s="387"/>
      <c r="BMD206" s="387"/>
      <c r="BME206" s="387"/>
      <c r="BMF206" s="387"/>
      <c r="BMG206" s="387"/>
      <c r="BMH206" s="387"/>
      <c r="BMI206" s="387"/>
      <c r="BMJ206" s="387"/>
      <c r="BMK206" s="387"/>
      <c r="BML206" s="387"/>
      <c r="BMM206" s="387"/>
      <c r="BMN206" s="387"/>
      <c r="BMO206" s="387"/>
      <c r="BMP206" s="387"/>
      <c r="BMQ206" s="387"/>
      <c r="BMR206" s="387"/>
      <c r="BMS206" s="387"/>
      <c r="BMT206" s="387"/>
      <c r="BMU206" s="387"/>
      <c r="BMV206" s="387"/>
      <c r="BMW206" s="387"/>
      <c r="BMX206" s="387"/>
      <c r="BMY206" s="387"/>
      <c r="BMZ206" s="387"/>
      <c r="BNA206" s="387"/>
      <c r="BNB206" s="387"/>
      <c r="BNC206" s="387"/>
      <c r="BND206" s="387"/>
      <c r="BNE206" s="387"/>
      <c r="BNF206" s="387"/>
      <c r="BNG206" s="387"/>
      <c r="BNH206" s="387"/>
      <c r="BNI206" s="387"/>
      <c r="BNJ206" s="387"/>
      <c r="BNK206" s="387"/>
      <c r="BNL206" s="387"/>
      <c r="BNM206" s="387"/>
      <c r="BNN206" s="387"/>
      <c r="BNO206" s="387"/>
      <c r="BNP206" s="387"/>
      <c r="BNQ206" s="387"/>
      <c r="BNR206" s="387"/>
      <c r="BNS206" s="387"/>
      <c r="BNT206" s="387"/>
      <c r="BNU206" s="387"/>
      <c r="BNV206" s="387"/>
      <c r="BNW206" s="387"/>
      <c r="BNX206" s="387"/>
      <c r="BNY206" s="387"/>
      <c r="BNZ206" s="387"/>
      <c r="BOA206" s="387"/>
      <c r="BOB206" s="387"/>
      <c r="BOC206" s="387"/>
      <c r="BOD206" s="387"/>
      <c r="BOE206" s="387"/>
      <c r="BOF206" s="387"/>
      <c r="BOG206" s="387"/>
      <c r="BOH206" s="387"/>
      <c r="BOI206" s="387"/>
      <c r="BOJ206" s="387"/>
      <c r="BOK206" s="387"/>
      <c r="BOL206" s="387"/>
      <c r="BOM206" s="387"/>
      <c r="BON206" s="387"/>
      <c r="BOO206" s="387"/>
      <c r="BOP206" s="387"/>
      <c r="BOQ206" s="387"/>
      <c r="BOR206" s="387"/>
      <c r="BOS206" s="387"/>
      <c r="BOT206" s="387"/>
      <c r="BOU206" s="387"/>
      <c r="BOV206" s="387"/>
      <c r="BOW206" s="387"/>
      <c r="BOX206" s="387"/>
      <c r="BOY206" s="387"/>
      <c r="BOZ206" s="387"/>
      <c r="BPA206" s="387"/>
      <c r="BPB206" s="387"/>
      <c r="BPC206" s="387"/>
      <c r="BPD206" s="387"/>
      <c r="BPE206" s="387"/>
      <c r="BPF206" s="387"/>
      <c r="BPG206" s="387"/>
      <c r="BPH206" s="387"/>
      <c r="BPI206" s="387"/>
      <c r="BPJ206" s="387"/>
      <c r="BPK206" s="387"/>
      <c r="BPL206" s="387"/>
      <c r="BPM206" s="387"/>
      <c r="BPN206" s="387"/>
      <c r="BPO206" s="387"/>
      <c r="BPP206" s="387"/>
      <c r="BPQ206" s="387"/>
      <c r="BPR206" s="387"/>
      <c r="BPS206" s="387"/>
      <c r="BPT206" s="387"/>
      <c r="BPU206" s="387"/>
      <c r="BPV206" s="387"/>
      <c r="BPW206" s="387"/>
      <c r="BPX206" s="387"/>
      <c r="BPY206" s="387"/>
      <c r="BPZ206" s="387"/>
      <c r="BQA206" s="387"/>
      <c r="BQB206" s="387"/>
      <c r="BQC206" s="387"/>
      <c r="BQD206" s="387"/>
      <c r="BQE206" s="387"/>
      <c r="BQF206" s="387"/>
      <c r="BQG206" s="387"/>
      <c r="BQH206" s="387"/>
      <c r="BQI206" s="387"/>
      <c r="BQJ206" s="387"/>
      <c r="BQK206" s="387"/>
      <c r="BQL206" s="387"/>
      <c r="BQM206" s="387"/>
      <c r="BQN206" s="387"/>
      <c r="BQO206" s="387"/>
      <c r="BQP206" s="387"/>
      <c r="BQQ206" s="387"/>
      <c r="BQR206" s="387"/>
      <c r="BQS206" s="387"/>
      <c r="BQT206" s="387"/>
      <c r="BQU206" s="387"/>
      <c r="BQV206" s="387"/>
      <c r="BQW206" s="387"/>
      <c r="BQX206" s="387"/>
      <c r="BQY206" s="387"/>
      <c r="BQZ206" s="387"/>
      <c r="BRA206" s="387"/>
      <c r="BRB206" s="387"/>
      <c r="BRC206" s="387"/>
      <c r="BRD206" s="387"/>
      <c r="BRE206" s="387"/>
      <c r="BRF206" s="387"/>
      <c r="BRG206" s="387"/>
      <c r="BRH206" s="387"/>
      <c r="BRI206" s="387"/>
      <c r="BRJ206" s="387"/>
      <c r="BRK206" s="387"/>
      <c r="BRL206" s="387"/>
      <c r="BRM206" s="387"/>
      <c r="BRN206" s="387"/>
      <c r="BRO206" s="387"/>
      <c r="BRP206" s="387"/>
      <c r="BRQ206" s="387"/>
      <c r="BRR206" s="387"/>
      <c r="BRS206" s="387"/>
      <c r="BRT206" s="387"/>
      <c r="BRU206" s="387"/>
      <c r="BRV206" s="387"/>
      <c r="BRW206" s="387"/>
      <c r="BRX206" s="387"/>
      <c r="BRY206" s="387"/>
      <c r="BRZ206" s="387"/>
      <c r="BSA206" s="387"/>
      <c r="BSB206" s="387"/>
      <c r="BSC206" s="387"/>
      <c r="BSD206" s="387"/>
      <c r="BSE206" s="387"/>
      <c r="BSF206" s="387"/>
      <c r="BSG206" s="387"/>
      <c r="BSH206" s="387"/>
      <c r="BSI206" s="387"/>
      <c r="BSJ206" s="387"/>
      <c r="BSK206" s="387"/>
      <c r="BSL206" s="387"/>
      <c r="BSM206" s="387"/>
      <c r="BSN206" s="387"/>
      <c r="BSO206" s="387"/>
      <c r="BSP206" s="387"/>
      <c r="BSQ206" s="387"/>
      <c r="BSR206" s="387"/>
      <c r="BSS206" s="387"/>
      <c r="BST206" s="387"/>
      <c r="BSU206" s="387"/>
      <c r="BSV206" s="387"/>
      <c r="BSW206" s="387"/>
      <c r="BSX206" s="387"/>
      <c r="BSY206" s="387"/>
      <c r="BSZ206" s="387"/>
      <c r="BTA206" s="387"/>
      <c r="BTB206" s="387"/>
      <c r="BTC206" s="387"/>
      <c r="BTD206" s="387"/>
      <c r="BTE206" s="387"/>
      <c r="BTF206" s="387"/>
      <c r="BTG206" s="387"/>
      <c r="BTH206" s="387"/>
      <c r="BTI206" s="387"/>
    </row>
    <row r="207" spans="1:1881" s="384" customFormat="1" ht="95.25" customHeight="1" x14ac:dyDescent="0.25">
      <c r="A207" s="186">
        <v>619</v>
      </c>
      <c r="B207" s="148" t="s">
        <v>82</v>
      </c>
      <c r="C207" s="148" t="s">
        <v>661</v>
      </c>
      <c r="D207" s="363" t="s">
        <v>665</v>
      </c>
      <c r="E207" s="683" t="e">
        <f>HLOOKUP('Unit Data from Audit Worksheet'!$D$2,'2019 Data(H)'!$D$1:$BB$202,199,FALSE)</f>
        <v>#N/A</v>
      </c>
      <c r="F207" s="789"/>
      <c r="G207" s="534" t="str">
        <f>IF(ISBLANK(F207),"Please do not leave blank ",IF(F207=H207,"","Please review percentage"))</f>
        <v xml:space="preserve">Please do not leave blank </v>
      </c>
      <c r="H207" s="355">
        <f>ROUND(IFERROR((F206/F205)*100,0),1)</f>
        <v>0</v>
      </c>
      <c r="I207"/>
      <c r="J207" s="387"/>
      <c r="K207" s="387"/>
      <c r="L207" s="387"/>
      <c r="M207" s="387"/>
      <c r="N207"/>
      <c r="O207" s="387"/>
      <c r="P207" s="387"/>
      <c r="Q207" s="387"/>
      <c r="R207"/>
      <c r="S207" s="682"/>
      <c r="T207" s="387"/>
      <c r="U207" s="387"/>
      <c r="V207" s="387"/>
      <c r="W207" s="387"/>
      <c r="X207" s="682"/>
      <c r="Y207" s="387"/>
      <c r="Z207" s="387"/>
      <c r="AA207" s="387"/>
      <c r="AB207" s="387"/>
      <c r="AC207" s="387"/>
      <c r="AD207" s="387"/>
      <c r="AE207" s="387"/>
      <c r="AF207" s="387"/>
      <c r="AG207" s="387"/>
      <c r="AH207" s="387"/>
      <c r="AI207" s="387"/>
      <c r="AJ207" s="387"/>
      <c r="AK207" s="387"/>
      <c r="AL207" s="387"/>
      <c r="AM207" s="387"/>
      <c r="AN207" s="387"/>
      <c r="AO207" s="387"/>
      <c r="AP207" s="387"/>
      <c r="AQ207" s="387"/>
      <c r="AR207" s="387"/>
      <c r="AS207" s="387"/>
      <c r="AT207" s="387"/>
      <c r="AU207" s="387"/>
      <c r="AV207" s="387"/>
      <c r="AW207" s="387"/>
      <c r="AX207" s="387"/>
      <c r="AY207" s="387"/>
      <c r="AZ207" s="387"/>
      <c r="BA207" s="387"/>
      <c r="BB207" s="387"/>
      <c r="BC207" s="387"/>
      <c r="BD207" s="387"/>
      <c r="BE207" s="387"/>
      <c r="BF207" s="387"/>
      <c r="BG207" s="387"/>
      <c r="BH207" s="387"/>
      <c r="BI207" s="387"/>
      <c r="BJ207" s="387"/>
      <c r="BK207" s="387"/>
      <c r="BL207" s="387"/>
      <c r="BM207" s="387"/>
      <c r="BN207" s="387"/>
      <c r="BO207" s="387"/>
      <c r="BP207" s="387"/>
      <c r="BQ207" s="387"/>
      <c r="BR207" s="387"/>
      <c r="BS207" s="387"/>
      <c r="BT207" s="387"/>
      <c r="BU207" s="387"/>
      <c r="BV207" s="387"/>
      <c r="BW207" s="387"/>
      <c r="BX207" s="387"/>
      <c r="BY207" s="387"/>
      <c r="BZ207" s="387"/>
      <c r="CA207" s="387"/>
      <c r="CB207" s="387"/>
      <c r="CC207" s="387"/>
      <c r="CD207" s="387"/>
      <c r="CE207" s="387"/>
      <c r="CF207" s="387"/>
      <c r="CG207" s="387"/>
      <c r="CH207" s="387"/>
      <c r="CI207" s="387"/>
      <c r="CJ207" s="387"/>
      <c r="CK207" s="387"/>
      <c r="CL207" s="387"/>
      <c r="CM207" s="387"/>
      <c r="CN207" s="387"/>
      <c r="CO207" s="387"/>
      <c r="CP207" s="387"/>
      <c r="CQ207" s="387"/>
      <c r="CR207" s="387"/>
      <c r="CS207" s="387"/>
      <c r="CT207" s="387"/>
      <c r="CU207" s="387"/>
      <c r="CV207" s="387"/>
      <c r="CW207" s="387"/>
      <c r="CX207" s="387"/>
      <c r="CY207" s="387"/>
      <c r="CZ207" s="387"/>
      <c r="DA207" s="387"/>
      <c r="DB207" s="387"/>
      <c r="DC207" s="387"/>
      <c r="DD207" s="387"/>
      <c r="DE207" s="387"/>
      <c r="DF207" s="387"/>
      <c r="DG207" s="387"/>
      <c r="DH207" s="387"/>
      <c r="DI207" s="387"/>
      <c r="DJ207" s="387"/>
      <c r="DK207" s="387"/>
      <c r="DL207" s="387"/>
      <c r="DM207" s="387"/>
      <c r="DN207" s="387"/>
      <c r="DO207" s="387"/>
      <c r="DP207" s="387"/>
      <c r="DQ207" s="387"/>
      <c r="DR207" s="387"/>
      <c r="DS207" s="387"/>
      <c r="DT207" s="387"/>
      <c r="DU207" s="387"/>
      <c r="DV207" s="387"/>
      <c r="DW207" s="387"/>
      <c r="DX207" s="387"/>
      <c r="DY207" s="387"/>
      <c r="DZ207" s="387"/>
      <c r="EA207" s="387"/>
      <c r="EB207" s="387"/>
      <c r="EC207" s="387"/>
      <c r="ED207" s="387"/>
      <c r="EE207" s="387"/>
      <c r="EF207" s="387"/>
      <c r="EG207" s="387"/>
      <c r="EH207" s="387"/>
      <c r="EI207" s="387"/>
      <c r="EJ207" s="387"/>
      <c r="EK207" s="387"/>
      <c r="EL207" s="387"/>
      <c r="EM207" s="387"/>
      <c r="EN207" s="387"/>
      <c r="EO207" s="387"/>
      <c r="EP207" s="387"/>
      <c r="EQ207" s="387"/>
      <c r="ER207" s="387"/>
      <c r="ES207" s="387"/>
      <c r="ET207" s="387"/>
      <c r="EU207" s="387"/>
      <c r="EV207" s="387"/>
      <c r="EW207" s="387"/>
      <c r="EX207" s="387"/>
      <c r="EY207" s="387"/>
      <c r="EZ207" s="387"/>
      <c r="FA207" s="387"/>
      <c r="FB207" s="387"/>
      <c r="FC207" s="387"/>
      <c r="FD207" s="387"/>
      <c r="FE207" s="387"/>
      <c r="FF207" s="387"/>
      <c r="FG207" s="387"/>
      <c r="FH207" s="387"/>
      <c r="FI207" s="387"/>
      <c r="FJ207" s="387"/>
      <c r="FK207" s="387"/>
      <c r="FL207" s="387"/>
      <c r="FM207" s="387"/>
      <c r="FN207" s="387"/>
      <c r="FO207" s="387"/>
      <c r="FP207" s="387"/>
      <c r="FQ207" s="387"/>
      <c r="FR207" s="387"/>
      <c r="FS207" s="387"/>
      <c r="FT207" s="387"/>
      <c r="FU207" s="387"/>
      <c r="FV207" s="387"/>
      <c r="FW207" s="387"/>
      <c r="FX207" s="387"/>
      <c r="FY207" s="387"/>
      <c r="FZ207" s="387"/>
      <c r="GA207" s="387"/>
      <c r="GB207" s="387"/>
      <c r="GC207" s="387"/>
      <c r="GD207" s="387"/>
      <c r="GE207" s="387"/>
      <c r="GF207" s="387"/>
      <c r="GG207" s="387"/>
      <c r="GH207" s="387"/>
      <c r="GI207" s="387"/>
      <c r="GJ207" s="387"/>
      <c r="GK207" s="387"/>
      <c r="GL207" s="387"/>
      <c r="GM207" s="387"/>
      <c r="GN207" s="387"/>
      <c r="GO207" s="387"/>
      <c r="GP207" s="387"/>
      <c r="GQ207" s="387"/>
      <c r="GR207" s="387"/>
      <c r="GS207" s="387"/>
      <c r="GT207" s="387"/>
      <c r="GU207" s="387"/>
      <c r="GV207" s="387"/>
      <c r="GW207" s="387"/>
      <c r="GX207" s="387"/>
      <c r="GY207" s="387"/>
      <c r="GZ207" s="387"/>
      <c r="HA207" s="387"/>
      <c r="HB207" s="387"/>
      <c r="HC207" s="387"/>
      <c r="HD207" s="387"/>
      <c r="HE207" s="387"/>
      <c r="HF207" s="387"/>
      <c r="HG207" s="387"/>
      <c r="HH207" s="387"/>
      <c r="HI207" s="387"/>
      <c r="HJ207" s="387"/>
      <c r="HK207" s="387"/>
      <c r="HL207" s="387"/>
      <c r="HM207" s="387"/>
      <c r="HN207" s="387"/>
      <c r="HO207" s="387"/>
      <c r="HP207" s="387"/>
      <c r="HQ207" s="387"/>
      <c r="HR207" s="387"/>
      <c r="HS207" s="387"/>
      <c r="HT207" s="387"/>
      <c r="HU207" s="387"/>
      <c r="HV207" s="387"/>
      <c r="HW207" s="387"/>
      <c r="HX207" s="387"/>
      <c r="HY207" s="387"/>
      <c r="HZ207" s="387"/>
      <c r="IA207" s="387"/>
      <c r="IB207" s="387"/>
      <c r="IC207" s="387"/>
      <c r="ID207" s="387"/>
      <c r="IE207" s="387"/>
      <c r="IF207" s="387"/>
      <c r="IG207" s="387"/>
      <c r="IH207" s="387"/>
      <c r="II207" s="387"/>
      <c r="IJ207" s="387"/>
      <c r="IK207" s="387"/>
      <c r="IL207" s="387"/>
      <c r="IM207" s="387"/>
      <c r="IN207" s="387"/>
      <c r="IO207" s="387"/>
      <c r="IP207" s="387"/>
      <c r="IQ207" s="387"/>
      <c r="IR207" s="387"/>
      <c r="IS207" s="387"/>
      <c r="IT207" s="387"/>
      <c r="IU207" s="387"/>
      <c r="IV207" s="387"/>
      <c r="IW207" s="387"/>
      <c r="IX207" s="387"/>
      <c r="IY207" s="387"/>
      <c r="IZ207" s="387"/>
      <c r="JA207" s="387"/>
      <c r="JB207" s="387"/>
      <c r="JC207" s="387"/>
      <c r="JD207" s="387"/>
      <c r="JE207" s="387"/>
      <c r="JF207" s="387"/>
      <c r="JG207" s="387"/>
      <c r="JH207" s="387"/>
      <c r="JI207" s="387"/>
      <c r="JJ207" s="387"/>
      <c r="JK207" s="387"/>
      <c r="JL207" s="387"/>
      <c r="JM207" s="387"/>
      <c r="JN207" s="387"/>
      <c r="JO207" s="387"/>
      <c r="JP207" s="387"/>
      <c r="JQ207" s="387"/>
      <c r="JR207" s="387"/>
      <c r="JS207" s="387"/>
      <c r="JT207" s="387"/>
      <c r="JU207" s="387"/>
      <c r="JV207" s="387"/>
      <c r="JW207" s="387"/>
      <c r="JX207" s="387"/>
      <c r="JY207" s="387"/>
      <c r="JZ207" s="387"/>
      <c r="KA207" s="387"/>
      <c r="KB207" s="387"/>
      <c r="KC207" s="387"/>
      <c r="KD207" s="387"/>
      <c r="KE207" s="387"/>
      <c r="KF207" s="387"/>
      <c r="KG207" s="387"/>
      <c r="KH207" s="387"/>
      <c r="KI207" s="387"/>
      <c r="KJ207" s="387"/>
      <c r="KK207" s="387"/>
      <c r="KL207" s="387"/>
      <c r="KM207" s="387"/>
      <c r="KN207" s="387"/>
      <c r="KO207" s="387"/>
      <c r="KP207" s="387"/>
      <c r="KQ207" s="387"/>
      <c r="KR207" s="387"/>
      <c r="KS207" s="387"/>
      <c r="KT207" s="387"/>
      <c r="KU207" s="387"/>
      <c r="KV207" s="387"/>
      <c r="KW207" s="387"/>
      <c r="KX207" s="387"/>
      <c r="KY207" s="387"/>
      <c r="KZ207" s="387"/>
      <c r="LA207" s="387"/>
      <c r="LB207" s="387"/>
      <c r="LC207" s="387"/>
      <c r="LD207" s="387"/>
      <c r="LE207" s="387"/>
      <c r="LF207" s="387"/>
      <c r="LG207" s="387"/>
      <c r="LH207" s="387"/>
      <c r="LI207" s="387"/>
      <c r="LJ207" s="387"/>
      <c r="LK207" s="387"/>
      <c r="LL207" s="387"/>
      <c r="LM207" s="387"/>
      <c r="LN207" s="387"/>
      <c r="LO207" s="387"/>
      <c r="LP207" s="387"/>
      <c r="LQ207" s="387"/>
      <c r="LR207" s="387"/>
      <c r="LS207" s="387"/>
      <c r="LT207" s="387"/>
      <c r="LU207" s="387"/>
      <c r="LV207" s="387"/>
      <c r="LW207" s="387"/>
      <c r="LX207" s="387"/>
      <c r="LY207" s="387"/>
      <c r="LZ207" s="387"/>
      <c r="MA207" s="387"/>
      <c r="MB207" s="387"/>
      <c r="MC207" s="387"/>
      <c r="MD207" s="387"/>
      <c r="ME207" s="387"/>
      <c r="MF207" s="387"/>
      <c r="MG207" s="387"/>
      <c r="MH207" s="387"/>
      <c r="MI207" s="387"/>
      <c r="MJ207" s="387"/>
      <c r="MK207" s="387"/>
      <c r="ML207" s="387"/>
      <c r="MM207" s="387"/>
      <c r="MN207" s="387"/>
      <c r="MO207" s="387"/>
      <c r="MP207" s="387"/>
      <c r="MQ207" s="387"/>
      <c r="MR207" s="387"/>
      <c r="MS207" s="387"/>
      <c r="MT207" s="387"/>
      <c r="MU207" s="387"/>
      <c r="MV207" s="387"/>
      <c r="MW207" s="387"/>
      <c r="MX207" s="387"/>
      <c r="MY207" s="387"/>
      <c r="MZ207" s="387"/>
      <c r="NA207" s="387"/>
      <c r="NB207" s="387"/>
      <c r="NC207" s="387"/>
      <c r="ND207" s="387"/>
      <c r="NE207" s="387"/>
      <c r="NF207" s="387"/>
      <c r="NG207" s="387"/>
      <c r="NH207" s="387"/>
      <c r="NI207" s="387"/>
      <c r="NJ207" s="387"/>
      <c r="NK207" s="387"/>
      <c r="NL207" s="387"/>
      <c r="NM207" s="387"/>
      <c r="NN207" s="387"/>
      <c r="NO207" s="387"/>
      <c r="NP207" s="387"/>
      <c r="NQ207" s="387"/>
      <c r="NR207" s="387"/>
      <c r="NS207" s="387"/>
      <c r="NT207" s="387"/>
      <c r="NU207" s="387"/>
      <c r="NV207" s="387"/>
      <c r="NW207" s="387"/>
      <c r="NX207" s="387"/>
      <c r="NY207" s="387"/>
      <c r="NZ207" s="387"/>
      <c r="OA207" s="387"/>
      <c r="OB207" s="387"/>
      <c r="OC207" s="387"/>
      <c r="OD207" s="387"/>
      <c r="OE207" s="387"/>
      <c r="OF207" s="387"/>
      <c r="OG207" s="387"/>
      <c r="OH207" s="387"/>
      <c r="OI207" s="387"/>
      <c r="OJ207" s="387"/>
      <c r="OK207" s="387"/>
      <c r="OL207" s="387"/>
      <c r="OM207" s="387"/>
      <c r="ON207" s="387"/>
      <c r="OO207" s="387"/>
      <c r="OP207" s="387"/>
      <c r="OQ207" s="387"/>
      <c r="OR207" s="387"/>
      <c r="OS207" s="387"/>
      <c r="OT207" s="387"/>
      <c r="OU207" s="387"/>
      <c r="OV207" s="387"/>
      <c r="OW207" s="387"/>
      <c r="OX207" s="387"/>
      <c r="OY207" s="387"/>
      <c r="OZ207" s="387"/>
      <c r="PA207" s="387"/>
      <c r="PB207" s="387"/>
      <c r="PC207" s="387"/>
      <c r="PD207" s="387"/>
      <c r="PE207" s="387"/>
      <c r="PF207" s="387"/>
      <c r="PG207" s="387"/>
      <c r="PH207" s="387"/>
      <c r="PI207" s="387"/>
      <c r="PJ207" s="387"/>
      <c r="PK207" s="387"/>
      <c r="PL207" s="387"/>
      <c r="PM207" s="387"/>
      <c r="PN207" s="387"/>
      <c r="PO207" s="387"/>
      <c r="PP207" s="387"/>
      <c r="PQ207" s="387"/>
      <c r="PR207" s="387"/>
      <c r="PS207" s="387"/>
      <c r="PT207" s="387"/>
      <c r="PU207" s="387"/>
      <c r="PV207" s="387"/>
      <c r="PW207" s="387"/>
      <c r="PX207" s="387"/>
      <c r="PY207" s="387"/>
      <c r="PZ207" s="387"/>
      <c r="QA207" s="387"/>
      <c r="QB207" s="387"/>
      <c r="QC207" s="387"/>
      <c r="QD207" s="387"/>
      <c r="QE207" s="387"/>
      <c r="QF207" s="387"/>
      <c r="QG207" s="387"/>
      <c r="QH207" s="387"/>
      <c r="QI207" s="387"/>
      <c r="QJ207" s="387"/>
      <c r="QK207" s="387"/>
      <c r="QL207" s="387"/>
      <c r="QM207" s="387"/>
      <c r="QN207" s="387"/>
      <c r="QO207" s="387"/>
      <c r="QP207" s="387"/>
      <c r="QQ207" s="387"/>
      <c r="QR207" s="387"/>
      <c r="QS207" s="387"/>
      <c r="QT207" s="387"/>
      <c r="QU207" s="387"/>
      <c r="QV207" s="387"/>
      <c r="QW207" s="387"/>
      <c r="QX207" s="387"/>
      <c r="QY207" s="387"/>
      <c r="QZ207" s="387"/>
      <c r="RA207" s="387"/>
      <c r="RB207" s="387"/>
      <c r="RC207" s="387"/>
      <c r="RD207" s="387"/>
      <c r="RE207" s="387"/>
      <c r="RF207" s="387"/>
      <c r="RG207" s="387"/>
      <c r="RH207" s="387"/>
      <c r="RI207" s="387"/>
      <c r="RJ207" s="387"/>
      <c r="RK207" s="387"/>
      <c r="RL207" s="387"/>
      <c r="RM207" s="387"/>
      <c r="RN207" s="387"/>
      <c r="RO207" s="387"/>
      <c r="RP207" s="387"/>
      <c r="RQ207" s="387"/>
      <c r="RR207" s="387"/>
      <c r="RS207" s="387"/>
      <c r="RT207" s="387"/>
      <c r="RU207" s="387"/>
      <c r="RV207" s="387"/>
      <c r="RW207" s="387"/>
      <c r="RX207" s="387"/>
      <c r="RY207" s="387"/>
      <c r="RZ207" s="387"/>
      <c r="SA207" s="387"/>
      <c r="SB207" s="387"/>
      <c r="SC207" s="387"/>
      <c r="SD207" s="387"/>
      <c r="SE207" s="387"/>
      <c r="SF207" s="387"/>
      <c r="SG207" s="387"/>
      <c r="SH207" s="387"/>
      <c r="SI207" s="387"/>
      <c r="SJ207" s="387"/>
      <c r="SK207" s="387"/>
      <c r="SL207" s="387"/>
      <c r="SM207" s="387"/>
      <c r="SN207" s="387"/>
      <c r="SO207" s="387"/>
      <c r="SP207" s="387"/>
      <c r="SQ207" s="387"/>
      <c r="SR207" s="387"/>
      <c r="SS207" s="387"/>
      <c r="ST207" s="387"/>
      <c r="SU207" s="387"/>
      <c r="SV207" s="387"/>
      <c r="SW207" s="387"/>
      <c r="SX207" s="387"/>
      <c r="SY207" s="387"/>
      <c r="SZ207" s="387"/>
      <c r="TA207" s="387"/>
      <c r="TB207" s="387"/>
      <c r="TC207" s="387"/>
      <c r="TD207" s="387"/>
      <c r="TE207" s="387"/>
      <c r="TF207" s="387"/>
      <c r="TG207" s="387"/>
      <c r="TH207" s="387"/>
      <c r="TI207" s="387"/>
      <c r="TJ207" s="387"/>
      <c r="TK207" s="387"/>
      <c r="TL207" s="387"/>
      <c r="TM207" s="387"/>
      <c r="TN207" s="387"/>
      <c r="TO207" s="387"/>
      <c r="TP207" s="387"/>
      <c r="TQ207" s="387"/>
      <c r="TR207" s="387"/>
      <c r="TS207" s="387"/>
      <c r="TT207" s="387"/>
      <c r="TU207" s="387"/>
      <c r="TV207" s="387"/>
      <c r="TW207" s="387"/>
      <c r="TX207" s="387"/>
      <c r="TY207" s="387"/>
      <c r="TZ207" s="387"/>
      <c r="UA207" s="387"/>
      <c r="UB207" s="387"/>
      <c r="UC207" s="387"/>
      <c r="UD207" s="387"/>
      <c r="UE207" s="387"/>
      <c r="UF207" s="387"/>
      <c r="UG207" s="387"/>
      <c r="UH207" s="387"/>
      <c r="UI207" s="387"/>
      <c r="UJ207" s="387"/>
      <c r="UK207" s="387"/>
      <c r="UL207" s="387"/>
      <c r="UM207" s="387"/>
      <c r="UN207" s="387"/>
      <c r="UO207" s="387"/>
      <c r="UP207" s="387"/>
      <c r="UQ207" s="387"/>
      <c r="UR207" s="387"/>
      <c r="US207" s="387"/>
      <c r="UT207" s="387"/>
      <c r="UU207" s="387"/>
      <c r="UV207" s="387"/>
      <c r="UW207" s="387"/>
      <c r="UX207" s="387"/>
      <c r="UY207" s="387"/>
      <c r="UZ207" s="387"/>
      <c r="VA207" s="387"/>
      <c r="VB207" s="387"/>
      <c r="VC207" s="387"/>
      <c r="VD207" s="387"/>
      <c r="VE207" s="387"/>
      <c r="VF207" s="387"/>
      <c r="VG207" s="387"/>
      <c r="VH207" s="387"/>
      <c r="VI207" s="387"/>
      <c r="VJ207" s="387"/>
      <c r="VK207" s="387"/>
      <c r="VL207" s="387"/>
      <c r="VM207" s="387"/>
      <c r="VN207" s="387"/>
      <c r="VO207" s="387"/>
      <c r="VP207" s="387"/>
      <c r="VQ207" s="387"/>
      <c r="VR207" s="387"/>
      <c r="VS207" s="387"/>
      <c r="VT207" s="387"/>
      <c r="VU207" s="387"/>
      <c r="VV207" s="387"/>
      <c r="VW207" s="387"/>
      <c r="VX207" s="387"/>
      <c r="VY207" s="387"/>
      <c r="VZ207" s="387"/>
      <c r="WA207" s="387"/>
      <c r="WB207" s="387"/>
      <c r="WC207" s="387"/>
      <c r="WD207" s="387"/>
      <c r="WE207" s="387"/>
      <c r="WF207" s="387"/>
      <c r="WG207" s="387"/>
      <c r="WH207" s="387"/>
      <c r="WI207" s="387"/>
      <c r="WJ207" s="387"/>
      <c r="WK207" s="387"/>
      <c r="WL207" s="387"/>
      <c r="WM207" s="387"/>
      <c r="WN207" s="387"/>
      <c r="WO207" s="387"/>
      <c r="WP207" s="387"/>
      <c r="WQ207" s="387"/>
      <c r="WR207" s="387"/>
      <c r="WS207" s="387"/>
      <c r="WT207" s="387"/>
      <c r="WU207" s="387"/>
      <c r="WV207" s="387"/>
      <c r="WW207" s="387"/>
      <c r="WX207" s="387"/>
      <c r="WY207" s="387"/>
      <c r="WZ207" s="387"/>
      <c r="XA207" s="387"/>
      <c r="XB207" s="387"/>
      <c r="XC207" s="387"/>
      <c r="XD207" s="387"/>
      <c r="XE207" s="387"/>
      <c r="XF207" s="387"/>
      <c r="XG207" s="387"/>
      <c r="XH207" s="387"/>
      <c r="XI207" s="387"/>
      <c r="XJ207" s="387"/>
      <c r="XK207" s="387"/>
      <c r="XL207" s="387"/>
      <c r="XM207" s="387"/>
      <c r="XN207" s="387"/>
      <c r="XO207" s="387"/>
      <c r="XP207" s="387"/>
      <c r="XQ207" s="387"/>
      <c r="XR207" s="387"/>
      <c r="XS207" s="387"/>
      <c r="XT207" s="387"/>
      <c r="XU207" s="387"/>
      <c r="XV207" s="387"/>
      <c r="XW207" s="387"/>
      <c r="XX207" s="387"/>
      <c r="XY207" s="387"/>
      <c r="XZ207" s="387"/>
      <c r="YA207" s="387"/>
      <c r="YB207" s="387"/>
      <c r="YC207" s="387"/>
      <c r="YD207" s="387"/>
      <c r="YE207" s="387"/>
      <c r="YF207" s="387"/>
      <c r="YG207" s="387"/>
      <c r="YH207" s="387"/>
      <c r="YI207" s="387"/>
      <c r="YJ207" s="387"/>
      <c r="YK207" s="387"/>
      <c r="YL207" s="387"/>
      <c r="YM207" s="387"/>
      <c r="YN207" s="387"/>
      <c r="YO207" s="387"/>
      <c r="YP207" s="387"/>
      <c r="YQ207" s="387"/>
      <c r="YR207" s="387"/>
      <c r="YS207" s="387"/>
      <c r="YT207" s="387"/>
      <c r="YU207" s="387"/>
      <c r="YV207" s="387"/>
      <c r="YW207" s="387"/>
      <c r="YX207" s="387"/>
      <c r="YY207" s="387"/>
      <c r="YZ207" s="387"/>
      <c r="ZA207" s="387"/>
      <c r="ZB207" s="387"/>
      <c r="ZC207" s="387"/>
      <c r="ZD207" s="387"/>
      <c r="ZE207" s="387"/>
      <c r="ZF207" s="387"/>
      <c r="ZG207" s="387"/>
      <c r="ZH207" s="387"/>
      <c r="ZI207" s="387"/>
      <c r="ZJ207" s="387"/>
      <c r="ZK207" s="387"/>
      <c r="ZL207" s="387"/>
      <c r="ZM207" s="387"/>
      <c r="ZN207" s="387"/>
      <c r="ZO207" s="387"/>
      <c r="ZP207" s="387"/>
      <c r="ZQ207" s="387"/>
      <c r="ZR207" s="387"/>
      <c r="ZS207" s="387"/>
      <c r="ZT207" s="387"/>
      <c r="ZU207" s="387"/>
      <c r="ZV207" s="387"/>
      <c r="ZW207" s="387"/>
      <c r="ZX207" s="387"/>
      <c r="ZY207" s="387"/>
      <c r="ZZ207" s="387"/>
      <c r="AAA207" s="387"/>
      <c r="AAB207" s="387"/>
      <c r="AAC207" s="387"/>
      <c r="AAD207" s="387"/>
      <c r="AAE207" s="387"/>
      <c r="AAF207" s="387"/>
      <c r="AAG207" s="387"/>
      <c r="AAH207" s="387"/>
      <c r="AAI207" s="387"/>
      <c r="AAJ207" s="387"/>
      <c r="AAK207" s="387"/>
      <c r="AAL207" s="387"/>
      <c r="AAM207" s="387"/>
      <c r="AAN207" s="387"/>
      <c r="AAO207" s="387"/>
      <c r="AAP207" s="387"/>
      <c r="AAQ207" s="387"/>
      <c r="AAR207" s="387"/>
      <c r="AAS207" s="387"/>
      <c r="AAT207" s="387"/>
      <c r="AAU207" s="387"/>
      <c r="AAV207" s="387"/>
      <c r="AAW207" s="387"/>
      <c r="AAX207" s="387"/>
      <c r="AAY207" s="387"/>
      <c r="AAZ207" s="387"/>
      <c r="ABA207" s="387"/>
      <c r="ABB207" s="387"/>
      <c r="ABC207" s="387"/>
      <c r="ABD207" s="387"/>
      <c r="ABE207" s="387"/>
      <c r="ABF207" s="387"/>
      <c r="ABG207" s="387"/>
      <c r="ABH207" s="387"/>
      <c r="ABI207" s="387"/>
      <c r="ABJ207" s="387"/>
      <c r="ABK207" s="387"/>
      <c r="ABL207" s="387"/>
      <c r="ABM207" s="387"/>
      <c r="ABN207" s="387"/>
      <c r="ABO207" s="387"/>
      <c r="ABP207" s="387"/>
      <c r="ABQ207" s="387"/>
      <c r="ABR207" s="387"/>
      <c r="ABS207" s="387"/>
      <c r="ABT207" s="387"/>
      <c r="ABU207" s="387"/>
      <c r="ABV207" s="387"/>
      <c r="ABW207" s="387"/>
      <c r="ABX207" s="387"/>
      <c r="ABY207" s="387"/>
      <c r="ABZ207" s="387"/>
      <c r="ACA207" s="387"/>
      <c r="ACB207" s="387"/>
      <c r="ACC207" s="387"/>
      <c r="ACD207" s="387"/>
      <c r="ACE207" s="387"/>
      <c r="ACF207" s="387"/>
      <c r="ACG207" s="387"/>
      <c r="ACH207" s="387"/>
      <c r="ACI207" s="387"/>
      <c r="ACJ207" s="387"/>
      <c r="ACK207" s="387"/>
      <c r="ACL207" s="387"/>
      <c r="ACM207" s="387"/>
      <c r="ACN207" s="387"/>
      <c r="ACO207" s="387"/>
      <c r="ACP207" s="387"/>
      <c r="ACQ207" s="387"/>
      <c r="ACR207" s="387"/>
      <c r="ACS207" s="387"/>
      <c r="ACT207" s="387"/>
      <c r="ACU207" s="387"/>
      <c r="ACV207" s="387"/>
      <c r="ACW207" s="387"/>
      <c r="ACX207" s="387"/>
      <c r="ACY207" s="387"/>
      <c r="ACZ207" s="387"/>
      <c r="ADA207" s="387"/>
      <c r="ADB207" s="387"/>
      <c r="ADC207" s="387"/>
      <c r="ADD207" s="387"/>
      <c r="ADE207" s="387"/>
      <c r="ADF207" s="387"/>
      <c r="ADG207" s="387"/>
      <c r="ADH207" s="387"/>
      <c r="ADI207" s="387"/>
      <c r="ADJ207" s="387"/>
      <c r="ADK207" s="387"/>
      <c r="ADL207" s="387"/>
      <c r="ADM207" s="387"/>
      <c r="ADN207" s="387"/>
      <c r="ADO207" s="387"/>
      <c r="ADP207" s="387"/>
      <c r="ADQ207" s="387"/>
      <c r="ADR207" s="387"/>
      <c r="ADS207" s="387"/>
      <c r="ADT207" s="387"/>
      <c r="ADU207" s="387"/>
      <c r="ADV207" s="387"/>
      <c r="ADW207" s="387"/>
      <c r="ADX207" s="387"/>
      <c r="ADY207" s="387"/>
      <c r="ADZ207" s="387"/>
      <c r="AEA207" s="387"/>
      <c r="AEB207" s="387"/>
      <c r="AEC207" s="387"/>
      <c r="AED207" s="387"/>
      <c r="AEE207" s="387"/>
      <c r="AEF207" s="387"/>
      <c r="AEG207" s="387"/>
      <c r="AEH207" s="387"/>
      <c r="AEI207" s="387"/>
      <c r="AEJ207" s="387"/>
      <c r="AEK207" s="387"/>
      <c r="AEL207" s="387"/>
      <c r="AEM207" s="387"/>
      <c r="AEN207" s="387"/>
      <c r="AEO207" s="387"/>
      <c r="AEP207" s="387"/>
      <c r="AEQ207" s="387"/>
      <c r="AER207" s="387"/>
      <c r="AES207" s="387"/>
      <c r="AET207" s="387"/>
      <c r="AEU207" s="387"/>
      <c r="AEV207" s="387"/>
      <c r="AEW207" s="387"/>
      <c r="AEX207" s="387"/>
      <c r="AEY207" s="387"/>
      <c r="AEZ207" s="387"/>
      <c r="AFA207" s="387"/>
      <c r="AFB207" s="387"/>
      <c r="AFC207" s="387"/>
      <c r="AFD207" s="387"/>
      <c r="AFE207" s="387"/>
      <c r="AFF207" s="387"/>
      <c r="AFG207" s="387"/>
      <c r="AFH207" s="387"/>
      <c r="AFI207" s="387"/>
      <c r="AFJ207" s="387"/>
      <c r="AFK207" s="387"/>
      <c r="AFL207" s="387"/>
      <c r="AFM207" s="387"/>
      <c r="AFN207" s="387"/>
      <c r="AFO207" s="387"/>
      <c r="AFP207" s="387"/>
      <c r="AFQ207" s="387"/>
      <c r="AFR207" s="387"/>
      <c r="AFS207" s="387"/>
      <c r="AFT207" s="387"/>
      <c r="AFU207" s="387"/>
      <c r="AFV207" s="387"/>
      <c r="AFW207" s="387"/>
      <c r="AFX207" s="387"/>
      <c r="AFY207" s="387"/>
      <c r="AFZ207" s="387"/>
      <c r="AGA207" s="387"/>
      <c r="AGB207" s="387"/>
      <c r="AGC207" s="387"/>
      <c r="AGD207" s="387"/>
      <c r="AGE207" s="387"/>
      <c r="AGF207" s="387"/>
      <c r="AGG207" s="387"/>
      <c r="AGH207" s="387"/>
      <c r="AGI207" s="387"/>
      <c r="AGJ207" s="387"/>
      <c r="AGK207" s="387"/>
      <c r="AGL207" s="387"/>
      <c r="AGM207" s="387"/>
      <c r="AGN207" s="387"/>
      <c r="AGO207" s="387"/>
      <c r="AGP207" s="387"/>
      <c r="AGQ207" s="387"/>
      <c r="AGR207" s="387"/>
      <c r="AGS207" s="387"/>
      <c r="AGT207" s="387"/>
      <c r="AGU207" s="387"/>
      <c r="AGV207" s="387"/>
      <c r="AGW207" s="387"/>
      <c r="AGX207" s="387"/>
      <c r="AGY207" s="387"/>
      <c r="AGZ207" s="387"/>
      <c r="AHA207" s="387"/>
      <c r="AHB207" s="387"/>
      <c r="AHC207" s="387"/>
      <c r="AHD207" s="387"/>
      <c r="AHE207" s="387"/>
      <c r="AHF207" s="387"/>
      <c r="AHG207" s="387"/>
      <c r="AHH207" s="387"/>
      <c r="AHI207" s="387"/>
      <c r="AHJ207" s="387"/>
      <c r="AHK207" s="387"/>
      <c r="AHL207" s="387"/>
      <c r="AHM207" s="387"/>
      <c r="AHN207" s="387"/>
      <c r="AHO207" s="387"/>
      <c r="AHP207" s="387"/>
      <c r="AHQ207" s="387"/>
      <c r="AHR207" s="387"/>
      <c r="AHS207" s="387"/>
      <c r="AHT207" s="387"/>
      <c r="AHU207" s="387"/>
      <c r="AHV207" s="387"/>
      <c r="AHW207" s="387"/>
      <c r="AHX207" s="387"/>
      <c r="AHY207" s="387"/>
      <c r="AHZ207" s="387"/>
      <c r="AIA207" s="387"/>
      <c r="AIB207" s="387"/>
      <c r="AIC207" s="387"/>
      <c r="AID207" s="387"/>
      <c r="AIE207" s="387"/>
      <c r="AIF207" s="387"/>
      <c r="AIG207" s="387"/>
      <c r="AIH207" s="387"/>
      <c r="AII207" s="387"/>
      <c r="AIJ207" s="387"/>
      <c r="AIK207" s="387"/>
      <c r="AIL207" s="387"/>
      <c r="AIM207" s="387"/>
      <c r="AIN207" s="387"/>
      <c r="AIO207" s="387"/>
      <c r="AIP207" s="387"/>
      <c r="AIQ207" s="387"/>
      <c r="AIR207" s="387"/>
      <c r="AIS207" s="387"/>
      <c r="AIT207" s="387"/>
      <c r="AIU207" s="387"/>
      <c r="AIV207" s="387"/>
      <c r="AIW207" s="387"/>
      <c r="AIX207" s="387"/>
      <c r="AIY207" s="387"/>
      <c r="AIZ207" s="387"/>
      <c r="AJA207" s="387"/>
      <c r="AJB207" s="387"/>
      <c r="AJC207" s="387"/>
      <c r="AJD207" s="387"/>
      <c r="AJE207" s="387"/>
      <c r="AJF207" s="387"/>
      <c r="AJG207" s="387"/>
      <c r="AJH207" s="387"/>
      <c r="AJI207" s="387"/>
      <c r="AJJ207" s="387"/>
      <c r="AJK207" s="387"/>
      <c r="AJL207" s="387"/>
      <c r="AJM207" s="387"/>
      <c r="AJN207" s="387"/>
      <c r="AJO207" s="387"/>
      <c r="AJP207" s="387"/>
      <c r="AJQ207" s="387"/>
      <c r="AJR207" s="387"/>
      <c r="AJS207" s="387"/>
      <c r="AJT207" s="387"/>
      <c r="AJU207" s="387"/>
      <c r="AJV207" s="387"/>
      <c r="AJW207" s="387"/>
      <c r="AJX207" s="387"/>
      <c r="AJY207" s="387"/>
      <c r="AJZ207" s="387"/>
      <c r="AKA207" s="387"/>
      <c r="AKB207" s="387"/>
      <c r="AKC207" s="387"/>
      <c r="AKD207" s="387"/>
      <c r="AKE207" s="387"/>
      <c r="AKF207" s="387"/>
      <c r="AKG207" s="387"/>
      <c r="AKH207" s="387"/>
      <c r="AKI207" s="387"/>
      <c r="AKJ207" s="387"/>
      <c r="AKK207" s="387"/>
      <c r="AKL207" s="387"/>
      <c r="AKM207" s="387"/>
      <c r="AKN207" s="387"/>
      <c r="AKO207" s="387"/>
      <c r="AKP207" s="387"/>
      <c r="AKQ207" s="387"/>
      <c r="AKR207" s="387"/>
      <c r="AKS207" s="387"/>
      <c r="AKT207" s="387"/>
      <c r="AKU207" s="387"/>
      <c r="AKV207" s="387"/>
      <c r="AKW207" s="387"/>
      <c r="AKX207" s="387"/>
      <c r="AKY207" s="387"/>
      <c r="AKZ207" s="387"/>
      <c r="ALA207" s="387"/>
      <c r="ALB207" s="387"/>
      <c r="ALC207" s="387"/>
      <c r="ALD207" s="387"/>
      <c r="ALE207" s="387"/>
      <c r="ALF207" s="387"/>
      <c r="ALG207" s="387"/>
      <c r="ALH207" s="387"/>
      <c r="ALI207" s="387"/>
      <c r="ALJ207" s="387"/>
      <c r="ALK207" s="387"/>
      <c r="ALL207" s="387"/>
      <c r="ALM207" s="387"/>
      <c r="ALN207" s="387"/>
      <c r="ALO207" s="387"/>
      <c r="ALP207" s="387"/>
      <c r="ALQ207" s="387"/>
      <c r="ALR207" s="387"/>
      <c r="ALS207" s="387"/>
      <c r="ALT207" s="387"/>
      <c r="ALU207" s="387"/>
      <c r="ALV207" s="387"/>
      <c r="ALW207" s="387"/>
      <c r="ALX207" s="387"/>
      <c r="ALY207" s="387"/>
      <c r="ALZ207" s="387"/>
      <c r="AMA207" s="387"/>
      <c r="AMB207" s="387"/>
      <c r="AMC207" s="387"/>
      <c r="AMD207" s="387"/>
      <c r="AME207" s="387"/>
      <c r="AMF207" s="387"/>
      <c r="AMG207" s="387"/>
      <c r="AMH207" s="387"/>
      <c r="AMI207" s="387"/>
      <c r="AMJ207" s="387"/>
      <c r="AMK207" s="387"/>
      <c r="AML207" s="387"/>
      <c r="AMM207" s="387"/>
      <c r="AMN207" s="387"/>
      <c r="AMO207" s="387"/>
      <c r="AMP207" s="387"/>
      <c r="AMQ207" s="387"/>
      <c r="AMR207" s="387"/>
      <c r="AMS207" s="387"/>
      <c r="AMT207" s="387"/>
      <c r="AMU207" s="387"/>
      <c r="AMV207" s="387"/>
      <c r="AMW207" s="387"/>
      <c r="AMX207" s="387"/>
      <c r="AMY207" s="387"/>
      <c r="AMZ207" s="387"/>
      <c r="ANA207" s="387"/>
      <c r="ANB207" s="387"/>
      <c r="ANC207" s="387"/>
      <c r="AND207" s="387"/>
      <c r="ANE207" s="387"/>
      <c r="ANF207" s="387"/>
      <c r="ANG207" s="387"/>
      <c r="ANH207" s="387"/>
      <c r="ANI207" s="387"/>
      <c r="ANJ207" s="387"/>
      <c r="ANK207" s="387"/>
      <c r="ANL207" s="387"/>
      <c r="ANM207" s="387"/>
      <c r="ANN207" s="387"/>
      <c r="ANO207" s="387"/>
      <c r="ANP207" s="387"/>
      <c r="ANQ207" s="387"/>
      <c r="ANR207" s="387"/>
      <c r="ANS207" s="387"/>
      <c r="ANT207" s="387"/>
      <c r="ANU207" s="387"/>
      <c r="ANV207" s="387"/>
      <c r="ANW207" s="387"/>
      <c r="ANX207" s="387"/>
      <c r="ANY207" s="387"/>
      <c r="ANZ207" s="387"/>
      <c r="AOA207" s="387"/>
      <c r="AOB207" s="387"/>
      <c r="AOC207" s="387"/>
      <c r="AOD207" s="387"/>
      <c r="AOE207" s="387"/>
      <c r="AOF207" s="387"/>
      <c r="AOG207" s="387"/>
      <c r="AOH207" s="387"/>
      <c r="AOI207" s="387"/>
      <c r="AOJ207" s="387"/>
      <c r="AOK207" s="387"/>
      <c r="AOL207" s="387"/>
      <c r="AOM207" s="387"/>
      <c r="AON207" s="387"/>
      <c r="AOO207" s="387"/>
      <c r="AOP207" s="387"/>
      <c r="AOQ207" s="387"/>
      <c r="AOR207" s="387"/>
      <c r="AOS207" s="387"/>
      <c r="AOT207" s="387"/>
      <c r="AOU207" s="387"/>
      <c r="AOV207" s="387"/>
      <c r="AOW207" s="387"/>
      <c r="AOX207" s="387"/>
      <c r="AOY207" s="387"/>
      <c r="AOZ207" s="387"/>
      <c r="APA207" s="387"/>
      <c r="APB207" s="387"/>
      <c r="APC207" s="387"/>
      <c r="APD207" s="387"/>
      <c r="APE207" s="387"/>
      <c r="APF207" s="387"/>
      <c r="APG207" s="387"/>
      <c r="APH207" s="387"/>
      <c r="API207" s="387"/>
      <c r="APJ207" s="387"/>
      <c r="APK207" s="387"/>
      <c r="APL207" s="387"/>
      <c r="APM207" s="387"/>
      <c r="APN207" s="387"/>
      <c r="APO207" s="387"/>
      <c r="APP207" s="387"/>
      <c r="APQ207" s="387"/>
      <c r="APR207" s="387"/>
      <c r="APS207" s="387"/>
      <c r="APT207" s="387"/>
      <c r="APU207" s="387"/>
      <c r="APV207" s="387"/>
      <c r="APW207" s="387"/>
      <c r="APX207" s="387"/>
      <c r="APY207" s="387"/>
      <c r="APZ207" s="387"/>
      <c r="AQA207" s="387"/>
      <c r="AQB207" s="387"/>
      <c r="AQC207" s="387"/>
      <c r="AQD207" s="387"/>
      <c r="AQE207" s="387"/>
      <c r="AQF207" s="387"/>
      <c r="AQG207" s="387"/>
      <c r="AQH207" s="387"/>
      <c r="AQI207" s="387"/>
      <c r="AQJ207" s="387"/>
      <c r="AQK207" s="387"/>
      <c r="AQL207" s="387"/>
      <c r="AQM207" s="387"/>
      <c r="AQN207" s="387"/>
      <c r="AQO207" s="387"/>
      <c r="AQP207" s="387"/>
      <c r="AQQ207" s="387"/>
      <c r="AQR207" s="387"/>
      <c r="AQS207" s="387"/>
      <c r="AQT207" s="387"/>
      <c r="AQU207" s="387"/>
      <c r="AQV207" s="387"/>
      <c r="AQW207" s="387"/>
      <c r="AQX207" s="387"/>
      <c r="AQY207" s="387"/>
      <c r="AQZ207" s="387"/>
      <c r="ARA207" s="387"/>
      <c r="ARB207" s="387"/>
      <c r="ARC207" s="387"/>
      <c r="ARD207" s="387"/>
      <c r="ARE207" s="387"/>
      <c r="ARF207" s="387"/>
      <c r="ARG207" s="387"/>
      <c r="ARH207" s="387"/>
      <c r="ARI207" s="387"/>
      <c r="ARJ207" s="387"/>
      <c r="ARK207" s="387"/>
      <c r="ARL207" s="387"/>
      <c r="ARM207" s="387"/>
      <c r="ARN207" s="387"/>
      <c r="ARO207" s="387"/>
      <c r="ARP207" s="387"/>
      <c r="ARQ207" s="387"/>
      <c r="ARR207" s="387"/>
      <c r="ARS207" s="387"/>
      <c r="ART207" s="387"/>
      <c r="ARU207" s="387"/>
      <c r="ARV207" s="387"/>
      <c r="ARW207" s="387"/>
      <c r="ARX207" s="387"/>
      <c r="ARY207" s="387"/>
      <c r="ARZ207" s="387"/>
      <c r="ASA207" s="387"/>
      <c r="ASB207" s="387"/>
      <c r="ASC207" s="387"/>
      <c r="ASD207" s="387"/>
      <c r="ASE207" s="387"/>
      <c r="ASF207" s="387"/>
      <c r="ASG207" s="387"/>
      <c r="ASH207" s="387"/>
      <c r="ASI207" s="387"/>
      <c r="ASJ207" s="387"/>
      <c r="ASK207" s="387"/>
      <c r="ASL207" s="387"/>
      <c r="ASM207" s="387"/>
      <c r="ASN207" s="387"/>
      <c r="ASO207" s="387"/>
      <c r="ASP207" s="387"/>
      <c r="ASQ207" s="387"/>
      <c r="ASR207" s="387"/>
      <c r="ASS207" s="387"/>
      <c r="AST207" s="387"/>
      <c r="ASU207" s="387"/>
      <c r="ASV207" s="387"/>
      <c r="ASW207" s="387"/>
      <c r="ASX207" s="387"/>
      <c r="ASY207" s="387"/>
      <c r="ASZ207" s="387"/>
      <c r="ATA207" s="387"/>
      <c r="ATB207" s="387"/>
      <c r="ATC207" s="387"/>
      <c r="ATD207" s="387"/>
      <c r="ATE207" s="387"/>
      <c r="ATF207" s="387"/>
      <c r="ATG207" s="387"/>
      <c r="ATH207" s="387"/>
      <c r="ATI207" s="387"/>
      <c r="ATJ207" s="387"/>
      <c r="ATK207" s="387"/>
      <c r="ATL207" s="387"/>
      <c r="ATM207" s="387"/>
      <c r="ATN207" s="387"/>
      <c r="ATO207" s="387"/>
      <c r="ATP207" s="387"/>
      <c r="ATQ207" s="387"/>
      <c r="ATR207" s="387"/>
      <c r="ATS207" s="387"/>
      <c r="ATT207" s="387"/>
      <c r="ATU207" s="387"/>
      <c r="ATV207" s="387"/>
      <c r="ATW207" s="387"/>
      <c r="ATX207" s="387"/>
      <c r="ATY207" s="387"/>
      <c r="ATZ207" s="387"/>
      <c r="AUA207" s="387"/>
      <c r="AUB207" s="387"/>
      <c r="AUC207" s="387"/>
      <c r="AUD207" s="387"/>
      <c r="AUE207" s="387"/>
      <c r="AUF207" s="387"/>
      <c r="AUG207" s="387"/>
      <c r="AUH207" s="387"/>
      <c r="AUI207" s="387"/>
      <c r="AUJ207" s="387"/>
      <c r="AUK207" s="387"/>
      <c r="AUL207" s="387"/>
      <c r="AUM207" s="387"/>
      <c r="AUN207" s="387"/>
      <c r="AUO207" s="387"/>
      <c r="AUP207" s="387"/>
      <c r="AUQ207" s="387"/>
      <c r="AUR207" s="387"/>
      <c r="AUS207" s="387"/>
      <c r="AUT207" s="387"/>
      <c r="AUU207" s="387"/>
      <c r="AUV207" s="387"/>
      <c r="AUW207" s="387"/>
      <c r="AUX207" s="387"/>
      <c r="AUY207" s="387"/>
      <c r="AUZ207" s="387"/>
      <c r="AVA207" s="387"/>
      <c r="AVB207" s="387"/>
      <c r="AVC207" s="387"/>
      <c r="AVD207" s="387"/>
      <c r="AVE207" s="387"/>
      <c r="AVF207" s="387"/>
      <c r="AVG207" s="387"/>
      <c r="AVH207" s="387"/>
      <c r="AVI207" s="387"/>
      <c r="AVJ207" s="387"/>
      <c r="AVK207" s="387"/>
      <c r="AVL207" s="387"/>
      <c r="AVM207" s="387"/>
      <c r="AVN207" s="387"/>
      <c r="AVO207" s="387"/>
      <c r="AVP207" s="387"/>
      <c r="AVQ207" s="387"/>
      <c r="AVR207" s="387"/>
      <c r="AVS207" s="387"/>
      <c r="AVT207" s="387"/>
      <c r="AVU207" s="387"/>
      <c r="AVV207" s="387"/>
      <c r="AVW207" s="387"/>
      <c r="AVX207" s="387"/>
      <c r="AVY207" s="387"/>
      <c r="AVZ207" s="387"/>
      <c r="AWA207" s="387"/>
      <c r="AWB207" s="387"/>
      <c r="AWC207" s="387"/>
      <c r="AWD207" s="387"/>
      <c r="AWE207" s="387"/>
      <c r="AWF207" s="387"/>
      <c r="AWG207" s="387"/>
      <c r="AWH207" s="387"/>
      <c r="AWI207" s="387"/>
      <c r="AWJ207" s="387"/>
      <c r="AWK207" s="387"/>
      <c r="AWL207" s="387"/>
      <c r="AWM207" s="387"/>
      <c r="AWN207" s="387"/>
      <c r="AWO207" s="387"/>
      <c r="AWP207" s="387"/>
      <c r="AWQ207" s="387"/>
      <c r="AWR207" s="387"/>
      <c r="AWS207" s="387"/>
      <c r="AWT207" s="387"/>
      <c r="AWU207" s="387"/>
      <c r="AWV207" s="387"/>
      <c r="AWW207" s="387"/>
      <c r="AWX207" s="387"/>
      <c r="AWY207" s="387"/>
      <c r="AWZ207" s="387"/>
      <c r="AXA207" s="387"/>
      <c r="AXB207" s="387"/>
      <c r="AXC207" s="387"/>
      <c r="AXD207" s="387"/>
      <c r="AXE207" s="387"/>
      <c r="AXF207" s="387"/>
      <c r="AXG207" s="387"/>
      <c r="AXH207" s="387"/>
      <c r="AXI207" s="387"/>
      <c r="AXJ207" s="387"/>
      <c r="AXK207" s="387"/>
      <c r="AXL207" s="387"/>
      <c r="AXM207" s="387"/>
      <c r="AXN207" s="387"/>
      <c r="AXO207" s="387"/>
      <c r="AXP207" s="387"/>
      <c r="AXQ207" s="387"/>
      <c r="AXR207" s="387"/>
      <c r="AXS207" s="387"/>
      <c r="AXT207" s="387"/>
      <c r="AXU207" s="387"/>
      <c r="AXV207" s="387"/>
      <c r="AXW207" s="387"/>
      <c r="AXX207" s="387"/>
      <c r="AXY207" s="387"/>
      <c r="AXZ207" s="387"/>
      <c r="AYA207" s="387"/>
      <c r="AYB207" s="387"/>
      <c r="AYC207" s="387"/>
      <c r="AYD207" s="387"/>
      <c r="AYE207" s="387"/>
      <c r="AYF207" s="387"/>
      <c r="AYG207" s="387"/>
      <c r="AYH207" s="387"/>
      <c r="AYI207" s="387"/>
      <c r="AYJ207" s="387"/>
      <c r="AYK207" s="387"/>
      <c r="AYL207" s="387"/>
      <c r="AYM207" s="387"/>
      <c r="AYN207" s="387"/>
      <c r="AYO207" s="387"/>
      <c r="AYP207" s="387"/>
      <c r="AYQ207" s="387"/>
      <c r="AYR207" s="387"/>
      <c r="AYS207" s="387"/>
      <c r="AYT207" s="387"/>
      <c r="AYU207" s="387"/>
      <c r="AYV207" s="387"/>
      <c r="AYW207" s="387"/>
      <c r="AYX207" s="387"/>
      <c r="AYY207" s="387"/>
      <c r="AYZ207" s="387"/>
      <c r="AZA207" s="387"/>
      <c r="AZB207" s="387"/>
      <c r="AZC207" s="387"/>
      <c r="AZD207" s="387"/>
      <c r="AZE207" s="387"/>
      <c r="AZF207" s="387"/>
      <c r="AZG207" s="387"/>
      <c r="AZH207" s="387"/>
      <c r="AZI207" s="387"/>
      <c r="AZJ207" s="387"/>
      <c r="AZK207" s="387"/>
      <c r="AZL207" s="387"/>
      <c r="AZM207" s="387"/>
      <c r="AZN207" s="387"/>
      <c r="AZO207" s="387"/>
      <c r="AZP207" s="387"/>
      <c r="AZQ207" s="387"/>
      <c r="AZR207" s="387"/>
      <c r="AZS207" s="387"/>
      <c r="AZT207" s="387"/>
      <c r="AZU207" s="387"/>
      <c r="AZV207" s="387"/>
      <c r="AZW207" s="387"/>
      <c r="AZX207" s="387"/>
      <c r="AZY207" s="387"/>
      <c r="AZZ207" s="387"/>
      <c r="BAA207" s="387"/>
      <c r="BAB207" s="387"/>
      <c r="BAC207" s="387"/>
      <c r="BAD207" s="387"/>
      <c r="BAE207" s="387"/>
      <c r="BAF207" s="387"/>
      <c r="BAG207" s="387"/>
      <c r="BAH207" s="387"/>
      <c r="BAI207" s="387"/>
      <c r="BAJ207" s="387"/>
      <c r="BAK207" s="387"/>
      <c r="BAL207" s="387"/>
      <c r="BAM207" s="387"/>
      <c r="BAN207" s="387"/>
      <c r="BAO207" s="387"/>
      <c r="BAP207" s="387"/>
      <c r="BAQ207" s="387"/>
      <c r="BAR207" s="387"/>
      <c r="BAS207" s="387"/>
      <c r="BAT207" s="387"/>
      <c r="BAU207" s="387"/>
      <c r="BAV207" s="387"/>
      <c r="BAW207" s="387"/>
      <c r="BAX207" s="387"/>
      <c r="BAY207" s="387"/>
      <c r="BAZ207" s="387"/>
      <c r="BBA207" s="387"/>
      <c r="BBB207" s="387"/>
      <c r="BBC207" s="387"/>
      <c r="BBD207" s="387"/>
      <c r="BBE207" s="387"/>
      <c r="BBF207" s="387"/>
      <c r="BBG207" s="387"/>
      <c r="BBH207" s="387"/>
      <c r="BBI207" s="387"/>
      <c r="BBJ207" s="387"/>
      <c r="BBK207" s="387"/>
      <c r="BBL207" s="387"/>
      <c r="BBM207" s="387"/>
      <c r="BBN207" s="387"/>
      <c r="BBO207" s="387"/>
      <c r="BBP207" s="387"/>
      <c r="BBQ207" s="387"/>
      <c r="BBR207" s="387"/>
      <c r="BBS207" s="387"/>
      <c r="BBT207" s="387"/>
      <c r="BBU207" s="387"/>
      <c r="BBV207" s="387"/>
      <c r="BBW207" s="387"/>
      <c r="BBX207" s="387"/>
      <c r="BBY207" s="387"/>
      <c r="BBZ207" s="387"/>
      <c r="BCA207" s="387"/>
      <c r="BCB207" s="387"/>
      <c r="BCC207" s="387"/>
      <c r="BCD207" s="387"/>
      <c r="BCE207" s="387"/>
      <c r="BCF207" s="387"/>
      <c r="BCG207" s="387"/>
      <c r="BCH207" s="387"/>
      <c r="BCI207" s="387"/>
      <c r="BCJ207" s="387"/>
      <c r="BCK207" s="387"/>
      <c r="BCL207" s="387"/>
      <c r="BCM207" s="387"/>
      <c r="BCN207" s="387"/>
      <c r="BCO207" s="387"/>
      <c r="BCP207" s="387"/>
      <c r="BCQ207" s="387"/>
      <c r="BCR207" s="387"/>
      <c r="BCS207" s="387"/>
      <c r="BCT207" s="387"/>
      <c r="BCU207" s="387"/>
      <c r="BCV207" s="387"/>
      <c r="BCW207" s="387"/>
      <c r="BCX207" s="387"/>
      <c r="BCY207" s="387"/>
      <c r="BCZ207" s="387"/>
      <c r="BDA207" s="387"/>
      <c r="BDB207" s="387"/>
      <c r="BDC207" s="387"/>
      <c r="BDD207" s="387"/>
      <c r="BDE207" s="387"/>
      <c r="BDF207" s="387"/>
      <c r="BDG207" s="387"/>
      <c r="BDH207" s="387"/>
      <c r="BDI207" s="387"/>
      <c r="BDJ207" s="387"/>
      <c r="BDK207" s="387"/>
      <c r="BDL207" s="387"/>
      <c r="BDM207" s="387"/>
      <c r="BDN207" s="387"/>
      <c r="BDO207" s="387"/>
      <c r="BDP207" s="387"/>
      <c r="BDQ207" s="387"/>
      <c r="BDR207" s="387"/>
      <c r="BDS207" s="387"/>
      <c r="BDT207" s="387"/>
      <c r="BDU207" s="387"/>
      <c r="BDV207" s="387"/>
      <c r="BDW207" s="387"/>
      <c r="BDX207" s="387"/>
      <c r="BDY207" s="387"/>
      <c r="BDZ207" s="387"/>
      <c r="BEA207" s="387"/>
      <c r="BEB207" s="387"/>
      <c r="BEC207" s="387"/>
      <c r="BED207" s="387"/>
      <c r="BEE207" s="387"/>
      <c r="BEF207" s="387"/>
      <c r="BEG207" s="387"/>
      <c r="BEH207" s="387"/>
      <c r="BEI207" s="387"/>
      <c r="BEJ207" s="387"/>
      <c r="BEK207" s="387"/>
      <c r="BEL207" s="387"/>
      <c r="BEM207" s="387"/>
      <c r="BEN207" s="387"/>
      <c r="BEO207" s="387"/>
      <c r="BEP207" s="387"/>
      <c r="BEQ207" s="387"/>
      <c r="BER207" s="387"/>
      <c r="BES207" s="387"/>
      <c r="BET207" s="387"/>
      <c r="BEU207" s="387"/>
      <c r="BEV207" s="387"/>
      <c r="BEW207" s="387"/>
      <c r="BEX207" s="387"/>
      <c r="BEY207" s="387"/>
      <c r="BEZ207" s="387"/>
      <c r="BFA207" s="387"/>
      <c r="BFB207" s="387"/>
      <c r="BFC207" s="387"/>
      <c r="BFD207" s="387"/>
      <c r="BFE207" s="387"/>
      <c r="BFF207" s="387"/>
      <c r="BFG207" s="387"/>
      <c r="BFH207" s="387"/>
      <c r="BFI207" s="387"/>
      <c r="BFJ207" s="387"/>
      <c r="BFK207" s="387"/>
      <c r="BFL207" s="387"/>
      <c r="BFM207" s="387"/>
      <c r="BFN207" s="387"/>
      <c r="BFO207" s="387"/>
      <c r="BFP207" s="387"/>
      <c r="BFQ207" s="387"/>
      <c r="BFR207" s="387"/>
      <c r="BFS207" s="387"/>
      <c r="BFT207" s="387"/>
      <c r="BFU207" s="387"/>
      <c r="BFV207" s="387"/>
      <c r="BFW207" s="387"/>
      <c r="BFX207" s="387"/>
      <c r="BFY207" s="387"/>
      <c r="BFZ207" s="387"/>
      <c r="BGA207" s="387"/>
      <c r="BGB207" s="387"/>
      <c r="BGC207" s="387"/>
      <c r="BGD207" s="387"/>
      <c r="BGE207" s="387"/>
      <c r="BGF207" s="387"/>
      <c r="BGG207" s="387"/>
      <c r="BGH207" s="387"/>
      <c r="BGI207" s="387"/>
      <c r="BGJ207" s="387"/>
      <c r="BGK207" s="387"/>
      <c r="BGL207" s="387"/>
      <c r="BGM207" s="387"/>
      <c r="BGN207" s="387"/>
      <c r="BGO207" s="387"/>
      <c r="BGP207" s="387"/>
      <c r="BGQ207" s="387"/>
      <c r="BGR207" s="387"/>
      <c r="BGS207" s="387"/>
      <c r="BGT207" s="387"/>
      <c r="BGU207" s="387"/>
      <c r="BGV207" s="387"/>
      <c r="BGW207" s="387"/>
      <c r="BGX207" s="387"/>
      <c r="BGY207" s="387"/>
      <c r="BGZ207" s="387"/>
      <c r="BHA207" s="387"/>
      <c r="BHB207" s="387"/>
      <c r="BHC207" s="387"/>
      <c r="BHD207" s="387"/>
      <c r="BHE207" s="387"/>
      <c r="BHF207" s="387"/>
      <c r="BHG207" s="387"/>
      <c r="BHH207" s="387"/>
      <c r="BHI207" s="387"/>
      <c r="BHJ207" s="387"/>
      <c r="BHK207" s="387"/>
      <c r="BHL207" s="387"/>
      <c r="BHM207" s="387"/>
      <c r="BHN207" s="387"/>
      <c r="BHO207" s="387"/>
      <c r="BHP207" s="387"/>
      <c r="BHQ207" s="387"/>
      <c r="BHR207" s="387"/>
      <c r="BHS207" s="387"/>
      <c r="BHT207" s="387"/>
      <c r="BHU207" s="387"/>
      <c r="BHV207" s="387"/>
      <c r="BHW207" s="387"/>
      <c r="BHX207" s="387"/>
      <c r="BHY207" s="387"/>
      <c r="BHZ207" s="387"/>
      <c r="BIA207" s="387"/>
      <c r="BIB207" s="387"/>
      <c r="BIC207" s="387"/>
      <c r="BID207" s="387"/>
      <c r="BIE207" s="387"/>
      <c r="BIF207" s="387"/>
      <c r="BIG207" s="387"/>
      <c r="BIH207" s="387"/>
      <c r="BII207" s="387"/>
      <c r="BIJ207" s="387"/>
      <c r="BIK207" s="387"/>
      <c r="BIL207" s="387"/>
      <c r="BIM207" s="387"/>
      <c r="BIN207" s="387"/>
      <c r="BIO207" s="387"/>
      <c r="BIP207" s="387"/>
      <c r="BIQ207" s="387"/>
      <c r="BIR207" s="387"/>
      <c r="BIS207" s="387"/>
      <c r="BIT207" s="387"/>
      <c r="BIU207" s="387"/>
      <c r="BIV207" s="387"/>
      <c r="BIW207" s="387"/>
      <c r="BIX207" s="387"/>
      <c r="BIY207" s="387"/>
      <c r="BIZ207" s="387"/>
      <c r="BJA207" s="387"/>
      <c r="BJB207" s="387"/>
      <c r="BJC207" s="387"/>
      <c r="BJD207" s="387"/>
      <c r="BJE207" s="387"/>
      <c r="BJF207" s="387"/>
      <c r="BJG207" s="387"/>
      <c r="BJH207" s="387"/>
      <c r="BJI207" s="387"/>
      <c r="BJJ207" s="387"/>
      <c r="BJK207" s="387"/>
      <c r="BJL207" s="387"/>
      <c r="BJM207" s="387"/>
      <c r="BJN207" s="387"/>
      <c r="BJO207" s="387"/>
      <c r="BJP207" s="387"/>
      <c r="BJQ207" s="387"/>
      <c r="BJR207" s="387"/>
      <c r="BJS207" s="387"/>
      <c r="BJT207" s="387"/>
      <c r="BJU207" s="387"/>
      <c r="BJV207" s="387"/>
      <c r="BJW207" s="387"/>
      <c r="BJX207" s="387"/>
      <c r="BJY207" s="387"/>
      <c r="BJZ207" s="387"/>
      <c r="BKA207" s="387"/>
      <c r="BKB207" s="387"/>
      <c r="BKC207" s="387"/>
      <c r="BKD207" s="387"/>
      <c r="BKE207" s="387"/>
      <c r="BKF207" s="387"/>
      <c r="BKG207" s="387"/>
      <c r="BKH207" s="387"/>
      <c r="BKI207" s="387"/>
      <c r="BKJ207" s="387"/>
      <c r="BKK207" s="387"/>
      <c r="BKL207" s="387"/>
      <c r="BKM207" s="387"/>
      <c r="BKN207" s="387"/>
      <c r="BKO207" s="387"/>
      <c r="BKP207" s="387"/>
      <c r="BKQ207" s="387"/>
      <c r="BKR207" s="387"/>
      <c r="BKS207" s="387"/>
      <c r="BKT207" s="387"/>
      <c r="BKU207" s="387"/>
      <c r="BKV207" s="387"/>
      <c r="BKW207" s="387"/>
      <c r="BKX207" s="387"/>
      <c r="BKY207" s="387"/>
      <c r="BKZ207" s="387"/>
      <c r="BLA207" s="387"/>
      <c r="BLB207" s="387"/>
      <c r="BLC207" s="387"/>
      <c r="BLD207" s="387"/>
      <c r="BLE207" s="387"/>
      <c r="BLF207" s="387"/>
      <c r="BLG207" s="387"/>
      <c r="BLH207" s="387"/>
      <c r="BLI207" s="387"/>
      <c r="BLJ207" s="387"/>
      <c r="BLK207" s="387"/>
      <c r="BLL207" s="387"/>
      <c r="BLM207" s="387"/>
      <c r="BLN207" s="387"/>
      <c r="BLO207" s="387"/>
      <c r="BLP207" s="387"/>
      <c r="BLQ207" s="387"/>
      <c r="BLR207" s="387"/>
      <c r="BLS207" s="387"/>
      <c r="BLT207" s="387"/>
      <c r="BLU207" s="387"/>
      <c r="BLV207" s="387"/>
      <c r="BLW207" s="387"/>
      <c r="BLX207" s="387"/>
      <c r="BLY207" s="387"/>
      <c r="BLZ207" s="387"/>
      <c r="BMA207" s="387"/>
      <c r="BMB207" s="387"/>
      <c r="BMC207" s="387"/>
      <c r="BMD207" s="387"/>
      <c r="BME207" s="387"/>
      <c r="BMF207" s="387"/>
      <c r="BMG207" s="387"/>
      <c r="BMH207" s="387"/>
      <c r="BMI207" s="387"/>
      <c r="BMJ207" s="387"/>
      <c r="BMK207" s="387"/>
      <c r="BML207" s="387"/>
      <c r="BMM207" s="387"/>
      <c r="BMN207" s="387"/>
      <c r="BMO207" s="387"/>
      <c r="BMP207" s="387"/>
      <c r="BMQ207" s="387"/>
      <c r="BMR207" s="387"/>
      <c r="BMS207" s="387"/>
      <c r="BMT207" s="387"/>
      <c r="BMU207" s="387"/>
      <c r="BMV207" s="387"/>
      <c r="BMW207" s="387"/>
      <c r="BMX207" s="387"/>
      <c r="BMY207" s="387"/>
      <c r="BMZ207" s="387"/>
      <c r="BNA207" s="387"/>
      <c r="BNB207" s="387"/>
      <c r="BNC207" s="387"/>
      <c r="BND207" s="387"/>
      <c r="BNE207" s="387"/>
      <c r="BNF207" s="387"/>
      <c r="BNG207" s="387"/>
      <c r="BNH207" s="387"/>
      <c r="BNI207" s="387"/>
      <c r="BNJ207" s="387"/>
      <c r="BNK207" s="387"/>
      <c r="BNL207" s="387"/>
      <c r="BNM207" s="387"/>
      <c r="BNN207" s="387"/>
      <c r="BNO207" s="387"/>
      <c r="BNP207" s="387"/>
      <c r="BNQ207" s="387"/>
      <c r="BNR207" s="387"/>
      <c r="BNS207" s="387"/>
      <c r="BNT207" s="387"/>
      <c r="BNU207" s="387"/>
      <c r="BNV207" s="387"/>
      <c r="BNW207" s="387"/>
      <c r="BNX207" s="387"/>
      <c r="BNY207" s="387"/>
      <c r="BNZ207" s="387"/>
      <c r="BOA207" s="387"/>
      <c r="BOB207" s="387"/>
      <c r="BOC207" s="387"/>
      <c r="BOD207" s="387"/>
      <c r="BOE207" s="387"/>
      <c r="BOF207" s="387"/>
      <c r="BOG207" s="387"/>
      <c r="BOH207" s="387"/>
      <c r="BOI207" s="387"/>
      <c r="BOJ207" s="387"/>
      <c r="BOK207" s="387"/>
      <c r="BOL207" s="387"/>
      <c r="BOM207" s="387"/>
      <c r="BON207" s="387"/>
      <c r="BOO207" s="387"/>
      <c r="BOP207" s="387"/>
      <c r="BOQ207" s="387"/>
      <c r="BOR207" s="387"/>
      <c r="BOS207" s="387"/>
      <c r="BOT207" s="387"/>
      <c r="BOU207" s="387"/>
      <c r="BOV207" s="387"/>
      <c r="BOW207" s="387"/>
      <c r="BOX207" s="387"/>
      <c r="BOY207" s="387"/>
      <c r="BOZ207" s="387"/>
      <c r="BPA207" s="387"/>
      <c r="BPB207" s="387"/>
      <c r="BPC207" s="387"/>
      <c r="BPD207" s="387"/>
      <c r="BPE207" s="387"/>
      <c r="BPF207" s="387"/>
      <c r="BPG207" s="387"/>
      <c r="BPH207" s="387"/>
      <c r="BPI207" s="387"/>
      <c r="BPJ207" s="387"/>
      <c r="BPK207" s="387"/>
      <c r="BPL207" s="387"/>
      <c r="BPM207" s="387"/>
      <c r="BPN207" s="387"/>
      <c r="BPO207" s="387"/>
      <c r="BPP207" s="387"/>
      <c r="BPQ207" s="387"/>
      <c r="BPR207" s="387"/>
      <c r="BPS207" s="387"/>
      <c r="BPT207" s="387"/>
      <c r="BPU207" s="387"/>
      <c r="BPV207" s="387"/>
      <c r="BPW207" s="387"/>
      <c r="BPX207" s="387"/>
      <c r="BPY207" s="387"/>
      <c r="BPZ207" s="387"/>
      <c r="BQA207" s="387"/>
      <c r="BQB207" s="387"/>
      <c r="BQC207" s="387"/>
      <c r="BQD207" s="387"/>
      <c r="BQE207" s="387"/>
      <c r="BQF207" s="387"/>
      <c r="BQG207" s="387"/>
      <c r="BQH207" s="387"/>
      <c r="BQI207" s="387"/>
      <c r="BQJ207" s="387"/>
      <c r="BQK207" s="387"/>
      <c r="BQL207" s="387"/>
      <c r="BQM207" s="387"/>
      <c r="BQN207" s="387"/>
      <c r="BQO207" s="387"/>
      <c r="BQP207" s="387"/>
      <c r="BQQ207" s="387"/>
      <c r="BQR207" s="387"/>
      <c r="BQS207" s="387"/>
      <c r="BQT207" s="387"/>
      <c r="BQU207" s="387"/>
      <c r="BQV207" s="387"/>
      <c r="BQW207" s="387"/>
      <c r="BQX207" s="387"/>
      <c r="BQY207" s="387"/>
      <c r="BQZ207" s="387"/>
      <c r="BRA207" s="387"/>
      <c r="BRB207" s="387"/>
      <c r="BRC207" s="387"/>
      <c r="BRD207" s="387"/>
      <c r="BRE207" s="387"/>
      <c r="BRF207" s="387"/>
      <c r="BRG207" s="387"/>
      <c r="BRH207" s="387"/>
      <c r="BRI207" s="387"/>
      <c r="BRJ207" s="387"/>
      <c r="BRK207" s="387"/>
      <c r="BRL207" s="387"/>
      <c r="BRM207" s="387"/>
      <c r="BRN207" s="387"/>
      <c r="BRO207" s="387"/>
      <c r="BRP207" s="387"/>
      <c r="BRQ207" s="387"/>
      <c r="BRR207" s="387"/>
      <c r="BRS207" s="387"/>
      <c r="BRT207" s="387"/>
      <c r="BRU207" s="387"/>
      <c r="BRV207" s="387"/>
      <c r="BRW207" s="387"/>
      <c r="BRX207" s="387"/>
      <c r="BRY207" s="387"/>
      <c r="BRZ207" s="387"/>
      <c r="BSA207" s="387"/>
      <c r="BSB207" s="387"/>
      <c r="BSC207" s="387"/>
      <c r="BSD207" s="387"/>
      <c r="BSE207" s="387"/>
      <c r="BSF207" s="387"/>
      <c r="BSG207" s="387"/>
      <c r="BSH207" s="387"/>
      <c r="BSI207" s="387"/>
      <c r="BSJ207" s="387"/>
      <c r="BSK207" s="387"/>
      <c r="BSL207" s="387"/>
      <c r="BSM207" s="387"/>
      <c r="BSN207" s="387"/>
      <c r="BSO207" s="387"/>
      <c r="BSP207" s="387"/>
      <c r="BSQ207" s="387"/>
      <c r="BSR207" s="387"/>
      <c r="BSS207" s="387"/>
      <c r="BST207" s="387"/>
      <c r="BSU207" s="387"/>
      <c r="BSV207" s="387"/>
      <c r="BSW207" s="387"/>
      <c r="BSX207" s="387"/>
      <c r="BSY207" s="387"/>
      <c r="BSZ207" s="387"/>
      <c r="BTA207" s="387"/>
      <c r="BTB207" s="387"/>
      <c r="BTC207" s="387"/>
      <c r="BTD207" s="387"/>
      <c r="BTE207" s="387"/>
      <c r="BTF207" s="387"/>
      <c r="BTG207" s="387"/>
      <c r="BTH207" s="387"/>
      <c r="BTI207" s="387"/>
    </row>
    <row r="208" spans="1:1881" s="312" customFormat="1" ht="35.25" customHeight="1" x14ac:dyDescent="0.25">
      <c r="A208" s="187"/>
      <c r="B208" s="159" t="s">
        <v>26</v>
      </c>
      <c r="C208" s="158"/>
      <c r="D208" s="152"/>
      <c r="E208" s="146"/>
      <c r="F208" s="747"/>
      <c r="G208" s="525"/>
      <c r="H208" s="14"/>
      <c r="I208" s="31"/>
      <c r="J208" s="362"/>
      <c r="K208" s="387"/>
      <c r="L208" s="387"/>
      <c r="M208" s="387"/>
      <c r="N208"/>
      <c r="O208" s="387"/>
      <c r="P208" s="387"/>
      <c r="Q208" s="387"/>
      <c r="R208"/>
      <c r="S208" s="682"/>
      <c r="T208" s="387"/>
      <c r="U208" s="387"/>
      <c r="V208" s="387"/>
      <c r="W208" s="387"/>
      <c r="X208" s="682"/>
      <c r="Y208" s="387"/>
      <c r="Z208" s="387"/>
      <c r="AA208" s="387"/>
      <c r="AB208" s="387"/>
      <c r="AC208" s="387"/>
      <c r="AD208" s="387"/>
      <c r="AE208" s="387"/>
      <c r="AF208" s="387"/>
      <c r="AG208" s="387"/>
      <c r="AH208" s="387"/>
      <c r="AI208" s="387"/>
      <c r="AJ208" s="387"/>
      <c r="AK208" s="387"/>
      <c r="AL208" s="387"/>
      <c r="AM208" s="387"/>
      <c r="AN208" s="387"/>
      <c r="AO208" s="387"/>
      <c r="AP208" s="387"/>
      <c r="AQ208" s="387"/>
      <c r="AR208" s="387"/>
      <c r="AS208" s="387"/>
      <c r="AT208" s="387"/>
      <c r="AU208" s="387"/>
      <c r="AV208" s="387"/>
      <c r="AW208" s="387"/>
      <c r="AX208" s="387"/>
      <c r="AY208" s="387"/>
      <c r="AZ208" s="387"/>
      <c r="BA208" s="387"/>
      <c r="BB208" s="387"/>
      <c r="BC208" s="387"/>
      <c r="BD208" s="387"/>
      <c r="BE208" s="387"/>
      <c r="BF208" s="387"/>
      <c r="BG208" s="387"/>
      <c r="BH208" s="387"/>
      <c r="BI208" s="387"/>
      <c r="BJ208" s="387"/>
      <c r="BK208" s="387"/>
      <c r="BL208" s="387"/>
      <c r="BM208" s="387"/>
      <c r="BN208" s="387"/>
      <c r="BO208" s="387"/>
      <c r="BP208" s="387"/>
      <c r="BQ208" s="387"/>
      <c r="BR208" s="387"/>
      <c r="BS208" s="387"/>
      <c r="BT208" s="387"/>
      <c r="BU208" s="387"/>
      <c r="BV208" s="387"/>
      <c r="BW208" s="387"/>
      <c r="BX208" s="387"/>
      <c r="BY208" s="387"/>
      <c r="BZ208" s="387"/>
      <c r="CA208" s="387"/>
      <c r="CB208" s="387"/>
      <c r="CC208" s="387"/>
      <c r="CD208" s="387"/>
      <c r="CE208" s="387"/>
      <c r="CF208" s="387"/>
      <c r="CG208" s="387"/>
      <c r="CH208" s="387"/>
      <c r="CI208" s="387"/>
      <c r="CJ208" s="387"/>
      <c r="CK208" s="387"/>
      <c r="CL208" s="387"/>
      <c r="CM208" s="387"/>
      <c r="CN208" s="387"/>
      <c r="CO208" s="387"/>
      <c r="CP208" s="387"/>
      <c r="CQ208" s="387"/>
      <c r="CR208" s="387"/>
      <c r="CS208" s="387"/>
      <c r="CT208" s="387"/>
      <c r="CU208" s="387"/>
      <c r="CV208" s="387"/>
      <c r="CW208" s="387"/>
      <c r="CX208" s="387"/>
      <c r="CY208" s="387"/>
      <c r="CZ208" s="387"/>
      <c r="DA208" s="387"/>
      <c r="DB208" s="387"/>
      <c r="DC208" s="387"/>
      <c r="DD208" s="387"/>
      <c r="DE208" s="387"/>
      <c r="DF208" s="387"/>
      <c r="DG208" s="387"/>
      <c r="DH208" s="387"/>
      <c r="DI208" s="387"/>
      <c r="DJ208" s="387"/>
      <c r="DK208" s="387"/>
      <c r="DL208" s="387"/>
      <c r="DM208" s="387"/>
      <c r="DN208" s="387"/>
      <c r="DO208" s="387"/>
      <c r="DP208" s="387"/>
      <c r="DQ208" s="387"/>
      <c r="DR208" s="387"/>
      <c r="DS208" s="387"/>
      <c r="DT208" s="387"/>
      <c r="DU208" s="387"/>
      <c r="DV208" s="387"/>
      <c r="DW208" s="387"/>
      <c r="DX208" s="387"/>
      <c r="DY208" s="387"/>
      <c r="DZ208" s="387"/>
      <c r="EA208" s="387"/>
      <c r="EB208" s="387"/>
      <c r="EC208" s="387"/>
      <c r="ED208" s="387"/>
      <c r="EE208" s="387"/>
      <c r="EF208" s="387"/>
      <c r="EG208" s="387"/>
      <c r="EH208" s="387"/>
      <c r="EI208" s="387"/>
      <c r="EJ208" s="387"/>
      <c r="EK208" s="387"/>
      <c r="EL208" s="387"/>
      <c r="EM208" s="387"/>
      <c r="EN208" s="387"/>
      <c r="EO208" s="387"/>
      <c r="EP208" s="387"/>
      <c r="EQ208" s="387"/>
      <c r="ER208" s="387"/>
      <c r="ES208" s="387"/>
      <c r="ET208" s="387"/>
      <c r="EU208" s="387"/>
      <c r="EV208" s="387"/>
      <c r="EW208" s="387"/>
      <c r="EX208" s="387"/>
      <c r="EY208" s="387"/>
      <c r="EZ208" s="387"/>
      <c r="FA208" s="387"/>
      <c r="FB208" s="387"/>
      <c r="FC208" s="387"/>
      <c r="FD208" s="387"/>
      <c r="FE208" s="387"/>
      <c r="FF208" s="387"/>
      <c r="FG208" s="387"/>
      <c r="FH208" s="387"/>
      <c r="FI208" s="387"/>
      <c r="FJ208" s="387"/>
      <c r="FK208" s="387"/>
      <c r="FL208" s="387"/>
      <c r="FM208" s="387"/>
      <c r="FN208" s="387"/>
      <c r="FO208" s="387"/>
      <c r="FP208" s="387"/>
      <c r="FQ208" s="387"/>
      <c r="FR208" s="387"/>
      <c r="FS208" s="387"/>
      <c r="FT208" s="387"/>
      <c r="FU208" s="387"/>
      <c r="FV208" s="387"/>
      <c r="FW208" s="387"/>
      <c r="FX208" s="387"/>
      <c r="FY208" s="387"/>
      <c r="FZ208" s="387"/>
      <c r="GA208" s="387"/>
      <c r="GB208" s="387"/>
      <c r="GC208" s="387"/>
      <c r="GD208" s="387"/>
      <c r="GE208" s="387"/>
      <c r="GF208" s="387"/>
      <c r="GG208" s="387"/>
      <c r="GH208" s="387"/>
      <c r="GI208" s="387"/>
      <c r="GJ208" s="387"/>
      <c r="GK208" s="387"/>
      <c r="GL208" s="387"/>
      <c r="GM208" s="387"/>
      <c r="GN208" s="387"/>
      <c r="GO208" s="387"/>
      <c r="GP208" s="387"/>
      <c r="GQ208" s="387"/>
      <c r="GR208" s="387"/>
      <c r="GS208" s="387"/>
      <c r="GT208" s="387"/>
      <c r="GU208" s="387"/>
      <c r="GV208" s="387"/>
      <c r="GW208" s="387"/>
      <c r="GX208" s="387"/>
      <c r="GY208" s="387"/>
      <c r="GZ208" s="387"/>
      <c r="HA208" s="387"/>
      <c r="HB208" s="387"/>
      <c r="HC208" s="387"/>
      <c r="HD208" s="387"/>
      <c r="HE208" s="387"/>
      <c r="HF208" s="387"/>
      <c r="HG208" s="387"/>
      <c r="HH208" s="387"/>
      <c r="HI208" s="387"/>
      <c r="HJ208" s="387"/>
      <c r="HK208" s="387"/>
      <c r="HL208" s="387"/>
      <c r="HM208" s="387"/>
      <c r="HN208" s="387"/>
      <c r="HO208" s="387"/>
      <c r="HP208" s="387"/>
      <c r="HQ208" s="387"/>
      <c r="HR208" s="387"/>
      <c r="HS208" s="387"/>
      <c r="HT208" s="387"/>
      <c r="HU208" s="387"/>
      <c r="HV208" s="387"/>
      <c r="HW208" s="387"/>
      <c r="HX208" s="387"/>
      <c r="HY208" s="387"/>
      <c r="HZ208" s="387"/>
      <c r="IA208" s="387"/>
      <c r="IB208" s="387"/>
      <c r="IC208" s="387"/>
      <c r="ID208" s="387"/>
      <c r="IE208" s="387"/>
      <c r="IF208" s="387"/>
      <c r="IG208" s="387"/>
      <c r="IH208" s="387"/>
      <c r="II208" s="387"/>
      <c r="IJ208" s="387"/>
      <c r="IK208" s="387"/>
      <c r="IL208" s="387"/>
      <c r="IM208" s="387"/>
      <c r="IN208" s="387"/>
      <c r="IO208" s="387"/>
      <c r="IP208" s="387"/>
      <c r="IQ208" s="387"/>
      <c r="IR208" s="387"/>
      <c r="IS208" s="387"/>
      <c r="IT208" s="387"/>
      <c r="IU208" s="387"/>
      <c r="IV208" s="387"/>
      <c r="IW208" s="387"/>
      <c r="IX208" s="387"/>
      <c r="IY208" s="387"/>
      <c r="IZ208" s="387"/>
      <c r="JA208" s="387"/>
      <c r="JB208" s="387"/>
      <c r="JC208" s="387"/>
      <c r="JD208" s="387"/>
      <c r="JE208" s="387"/>
      <c r="JF208" s="387"/>
      <c r="JG208" s="387"/>
      <c r="JH208" s="387"/>
      <c r="JI208" s="387"/>
      <c r="JJ208" s="387"/>
      <c r="JK208" s="387"/>
      <c r="JL208" s="387"/>
      <c r="JM208" s="387"/>
      <c r="JN208" s="387"/>
      <c r="JO208" s="387"/>
      <c r="JP208" s="387"/>
      <c r="JQ208" s="387"/>
      <c r="JR208" s="387"/>
      <c r="JS208" s="387"/>
      <c r="JT208" s="387"/>
      <c r="JU208" s="387"/>
      <c r="JV208" s="387"/>
      <c r="JW208" s="387"/>
      <c r="JX208" s="387"/>
      <c r="JY208" s="387"/>
      <c r="JZ208" s="387"/>
      <c r="KA208" s="387"/>
      <c r="KB208" s="387"/>
      <c r="KC208" s="387"/>
      <c r="KD208" s="387"/>
      <c r="KE208" s="387"/>
      <c r="KF208" s="387"/>
      <c r="KG208" s="387"/>
      <c r="KH208" s="387"/>
      <c r="KI208" s="387"/>
      <c r="KJ208" s="387"/>
      <c r="KK208" s="387"/>
      <c r="KL208" s="387"/>
      <c r="KM208" s="387"/>
      <c r="KN208" s="387"/>
      <c r="KO208" s="387"/>
      <c r="KP208" s="387"/>
      <c r="KQ208" s="387"/>
      <c r="KR208" s="387"/>
      <c r="KS208" s="387"/>
      <c r="KT208" s="387"/>
      <c r="KU208" s="387"/>
      <c r="KV208" s="387"/>
      <c r="KW208" s="387"/>
      <c r="KX208" s="387"/>
      <c r="KY208" s="387"/>
      <c r="KZ208" s="387"/>
      <c r="LA208" s="387"/>
      <c r="LB208" s="387"/>
      <c r="LC208" s="387"/>
      <c r="LD208" s="387"/>
      <c r="LE208" s="387"/>
      <c r="LF208" s="387"/>
      <c r="LG208" s="387"/>
      <c r="LH208" s="387"/>
      <c r="LI208" s="387"/>
      <c r="LJ208" s="387"/>
      <c r="LK208" s="387"/>
      <c r="LL208" s="387"/>
      <c r="LM208" s="387"/>
      <c r="LN208" s="387"/>
      <c r="LO208" s="387"/>
      <c r="LP208" s="387"/>
      <c r="LQ208" s="387"/>
      <c r="LR208" s="387"/>
      <c r="LS208" s="387"/>
      <c r="LT208" s="387"/>
      <c r="LU208" s="387"/>
      <c r="LV208" s="387"/>
      <c r="LW208" s="387"/>
      <c r="LX208" s="387"/>
      <c r="LY208" s="387"/>
      <c r="LZ208" s="387"/>
      <c r="MA208" s="387"/>
      <c r="MB208" s="387"/>
      <c r="MC208" s="387"/>
      <c r="MD208" s="387"/>
      <c r="ME208" s="387"/>
      <c r="MF208" s="387"/>
      <c r="MG208" s="387"/>
      <c r="MH208" s="387"/>
      <c r="MI208" s="387"/>
      <c r="MJ208" s="387"/>
      <c r="MK208" s="387"/>
      <c r="ML208" s="387"/>
      <c r="MM208" s="387"/>
      <c r="MN208" s="387"/>
      <c r="MO208" s="387"/>
      <c r="MP208" s="387"/>
      <c r="MQ208" s="387"/>
      <c r="MR208" s="387"/>
      <c r="MS208" s="387"/>
      <c r="MT208" s="387"/>
      <c r="MU208" s="387"/>
      <c r="MV208" s="387"/>
      <c r="MW208" s="387"/>
      <c r="MX208" s="387"/>
      <c r="MY208" s="387"/>
      <c r="MZ208" s="387"/>
      <c r="NA208" s="387"/>
      <c r="NB208" s="387"/>
      <c r="NC208" s="387"/>
      <c r="ND208" s="387"/>
      <c r="NE208" s="387"/>
      <c r="NF208" s="387"/>
      <c r="NG208" s="387"/>
      <c r="NH208" s="387"/>
      <c r="NI208" s="387"/>
      <c r="NJ208" s="387"/>
      <c r="NK208" s="387"/>
      <c r="NL208" s="387"/>
      <c r="NM208" s="387"/>
      <c r="NN208" s="387"/>
      <c r="NO208" s="387"/>
      <c r="NP208" s="387"/>
      <c r="NQ208" s="387"/>
      <c r="NR208" s="387"/>
      <c r="NS208" s="387"/>
      <c r="NT208" s="387"/>
      <c r="NU208" s="387"/>
      <c r="NV208" s="387"/>
      <c r="NW208" s="387"/>
      <c r="NX208" s="387"/>
      <c r="NY208" s="387"/>
      <c r="NZ208" s="387"/>
      <c r="OA208" s="387"/>
      <c r="OB208" s="387"/>
      <c r="OC208" s="387"/>
      <c r="OD208" s="387"/>
      <c r="OE208" s="387"/>
      <c r="OF208" s="387"/>
      <c r="OG208" s="387"/>
      <c r="OH208" s="387"/>
      <c r="OI208" s="387"/>
      <c r="OJ208" s="387"/>
      <c r="OK208" s="387"/>
      <c r="OL208" s="387"/>
      <c r="OM208" s="387"/>
      <c r="ON208" s="387"/>
      <c r="OO208" s="387"/>
      <c r="OP208" s="387"/>
      <c r="OQ208" s="387"/>
      <c r="OR208" s="387"/>
      <c r="OS208" s="387"/>
      <c r="OT208" s="387"/>
      <c r="OU208" s="387"/>
      <c r="OV208" s="387"/>
      <c r="OW208" s="387"/>
      <c r="OX208" s="387"/>
      <c r="OY208" s="387"/>
      <c r="OZ208" s="387"/>
      <c r="PA208" s="387"/>
      <c r="PB208" s="387"/>
      <c r="PC208" s="387"/>
      <c r="PD208" s="387"/>
      <c r="PE208" s="387"/>
      <c r="PF208" s="387"/>
      <c r="PG208" s="387"/>
      <c r="PH208" s="387"/>
      <c r="PI208" s="387"/>
      <c r="PJ208" s="387"/>
      <c r="PK208" s="387"/>
      <c r="PL208" s="387"/>
      <c r="PM208" s="387"/>
      <c r="PN208" s="387"/>
      <c r="PO208" s="387"/>
      <c r="PP208" s="387"/>
      <c r="PQ208" s="387"/>
      <c r="PR208" s="387"/>
      <c r="PS208" s="387"/>
      <c r="PT208" s="387"/>
      <c r="PU208" s="387"/>
      <c r="PV208" s="387"/>
      <c r="PW208" s="387"/>
      <c r="PX208" s="387"/>
      <c r="PY208" s="387"/>
      <c r="PZ208" s="387"/>
      <c r="QA208" s="387"/>
      <c r="QB208" s="387"/>
      <c r="QC208" s="387"/>
      <c r="QD208" s="387"/>
      <c r="QE208" s="387"/>
      <c r="QF208" s="387"/>
      <c r="QG208" s="387"/>
      <c r="QH208" s="387"/>
      <c r="QI208" s="387"/>
      <c r="QJ208" s="387"/>
      <c r="QK208" s="387"/>
      <c r="QL208" s="387"/>
      <c r="QM208" s="387"/>
      <c r="QN208" s="387"/>
      <c r="QO208" s="387"/>
      <c r="QP208" s="387"/>
      <c r="QQ208" s="387"/>
      <c r="QR208" s="387"/>
      <c r="QS208" s="387"/>
      <c r="QT208" s="387"/>
      <c r="QU208" s="387"/>
      <c r="QV208" s="387"/>
      <c r="QW208" s="387"/>
      <c r="QX208" s="387"/>
      <c r="QY208" s="387"/>
      <c r="QZ208" s="387"/>
      <c r="RA208" s="387"/>
      <c r="RB208" s="387"/>
      <c r="RC208" s="387"/>
      <c r="RD208" s="387"/>
      <c r="RE208" s="387"/>
      <c r="RF208" s="387"/>
      <c r="RG208" s="387"/>
      <c r="RH208" s="387"/>
      <c r="RI208" s="387"/>
      <c r="RJ208" s="387"/>
      <c r="RK208" s="387"/>
      <c r="RL208" s="387"/>
      <c r="RM208" s="387"/>
      <c r="RN208" s="387"/>
      <c r="RO208" s="387"/>
      <c r="RP208" s="387"/>
      <c r="RQ208" s="387"/>
      <c r="RR208" s="387"/>
      <c r="RS208" s="387"/>
      <c r="RT208" s="387"/>
      <c r="RU208" s="387"/>
      <c r="RV208" s="387"/>
      <c r="RW208" s="387"/>
      <c r="RX208" s="387"/>
      <c r="RY208" s="387"/>
      <c r="RZ208" s="387"/>
      <c r="SA208" s="387"/>
      <c r="SB208" s="387"/>
      <c r="SC208" s="387"/>
      <c r="SD208" s="387"/>
      <c r="SE208" s="387"/>
      <c r="SF208" s="387"/>
      <c r="SG208" s="387"/>
      <c r="SH208" s="387"/>
      <c r="SI208" s="387"/>
      <c r="SJ208" s="387"/>
      <c r="SK208" s="387"/>
      <c r="SL208" s="387"/>
      <c r="SM208" s="387"/>
      <c r="SN208" s="387"/>
      <c r="SO208" s="387"/>
      <c r="SP208" s="387"/>
      <c r="SQ208" s="387"/>
      <c r="SR208" s="387"/>
      <c r="SS208" s="387"/>
      <c r="ST208" s="387"/>
      <c r="SU208" s="387"/>
      <c r="SV208" s="387"/>
      <c r="SW208" s="387"/>
      <c r="SX208" s="387"/>
      <c r="SY208" s="387"/>
      <c r="SZ208" s="387"/>
      <c r="TA208" s="387"/>
      <c r="TB208" s="387"/>
      <c r="TC208" s="387"/>
      <c r="TD208" s="387"/>
      <c r="TE208" s="387"/>
      <c r="TF208" s="387"/>
      <c r="TG208" s="387"/>
      <c r="TH208" s="387"/>
      <c r="TI208" s="387"/>
      <c r="TJ208" s="387"/>
      <c r="TK208" s="387"/>
      <c r="TL208" s="387"/>
      <c r="TM208" s="387"/>
      <c r="TN208" s="387"/>
      <c r="TO208" s="387"/>
      <c r="TP208" s="387"/>
      <c r="TQ208" s="387"/>
      <c r="TR208" s="387"/>
      <c r="TS208" s="387"/>
      <c r="TT208" s="387"/>
      <c r="TU208" s="387"/>
      <c r="TV208" s="387"/>
      <c r="TW208" s="387"/>
      <c r="TX208" s="387"/>
      <c r="TY208" s="387"/>
      <c r="TZ208" s="387"/>
      <c r="UA208" s="387"/>
      <c r="UB208" s="387"/>
      <c r="UC208" s="387"/>
      <c r="UD208" s="387"/>
      <c r="UE208" s="387"/>
      <c r="UF208" s="387"/>
      <c r="UG208" s="387"/>
      <c r="UH208" s="387"/>
      <c r="UI208" s="387"/>
      <c r="UJ208" s="387"/>
      <c r="UK208" s="387"/>
      <c r="UL208" s="387"/>
      <c r="UM208" s="387"/>
      <c r="UN208" s="387"/>
      <c r="UO208" s="387"/>
      <c r="UP208" s="387"/>
      <c r="UQ208" s="387"/>
      <c r="UR208" s="387"/>
      <c r="US208" s="387"/>
      <c r="UT208" s="387"/>
      <c r="UU208" s="387"/>
      <c r="UV208" s="387"/>
      <c r="UW208" s="387"/>
      <c r="UX208" s="387"/>
      <c r="UY208" s="387"/>
      <c r="UZ208" s="387"/>
      <c r="VA208" s="387"/>
      <c r="VB208" s="387"/>
      <c r="VC208" s="387"/>
      <c r="VD208" s="387"/>
      <c r="VE208" s="387"/>
      <c r="VF208" s="387"/>
      <c r="VG208" s="387"/>
      <c r="VH208" s="387"/>
      <c r="VI208" s="387"/>
      <c r="VJ208" s="387"/>
      <c r="VK208" s="387"/>
      <c r="VL208" s="387"/>
      <c r="VM208" s="387"/>
      <c r="VN208" s="387"/>
      <c r="VO208" s="387"/>
      <c r="VP208" s="387"/>
      <c r="VQ208" s="387"/>
      <c r="VR208" s="387"/>
      <c r="VS208" s="387"/>
      <c r="VT208" s="387"/>
      <c r="VU208" s="387"/>
      <c r="VV208" s="387"/>
      <c r="VW208" s="387"/>
      <c r="VX208" s="387"/>
      <c r="VY208" s="387"/>
      <c r="VZ208" s="387"/>
      <c r="WA208" s="387"/>
      <c r="WB208" s="387"/>
      <c r="WC208" s="387"/>
      <c r="WD208" s="387"/>
      <c r="WE208" s="387"/>
      <c r="WF208" s="387"/>
      <c r="WG208" s="387"/>
      <c r="WH208" s="387"/>
      <c r="WI208" s="387"/>
      <c r="WJ208" s="387"/>
      <c r="WK208" s="387"/>
      <c r="WL208" s="387"/>
      <c r="WM208" s="387"/>
      <c r="WN208" s="387"/>
      <c r="WO208" s="387"/>
      <c r="WP208" s="387"/>
      <c r="WQ208" s="387"/>
      <c r="WR208" s="387"/>
      <c r="WS208" s="387"/>
      <c r="WT208" s="387"/>
      <c r="WU208" s="387"/>
      <c r="WV208" s="387"/>
      <c r="WW208" s="387"/>
      <c r="WX208" s="387"/>
      <c r="WY208" s="387"/>
      <c r="WZ208" s="387"/>
      <c r="XA208" s="387"/>
      <c r="XB208" s="387"/>
      <c r="XC208" s="387"/>
      <c r="XD208" s="387"/>
      <c r="XE208" s="387"/>
      <c r="XF208" s="387"/>
      <c r="XG208" s="387"/>
      <c r="XH208" s="387"/>
      <c r="XI208" s="387"/>
      <c r="XJ208" s="387"/>
      <c r="XK208" s="387"/>
      <c r="XL208" s="387"/>
      <c r="XM208" s="387"/>
      <c r="XN208" s="387"/>
      <c r="XO208" s="387"/>
      <c r="XP208" s="387"/>
      <c r="XQ208" s="387"/>
      <c r="XR208" s="387"/>
      <c r="XS208" s="387"/>
      <c r="XT208" s="387"/>
      <c r="XU208" s="387"/>
      <c r="XV208" s="387"/>
      <c r="XW208" s="387"/>
      <c r="XX208" s="387"/>
      <c r="XY208" s="387"/>
      <c r="XZ208" s="387"/>
      <c r="YA208" s="387"/>
      <c r="YB208" s="387"/>
      <c r="YC208" s="387"/>
      <c r="YD208" s="387"/>
      <c r="YE208" s="387"/>
      <c r="YF208" s="387"/>
      <c r="YG208" s="387"/>
      <c r="YH208" s="387"/>
      <c r="YI208" s="387"/>
      <c r="YJ208" s="387"/>
      <c r="YK208" s="387"/>
      <c r="YL208" s="387"/>
      <c r="YM208" s="387"/>
      <c r="YN208" s="387"/>
      <c r="YO208" s="387"/>
      <c r="YP208" s="387"/>
      <c r="YQ208" s="387"/>
      <c r="YR208" s="387"/>
      <c r="YS208" s="387"/>
      <c r="YT208" s="387"/>
      <c r="YU208" s="387"/>
      <c r="YV208" s="387"/>
      <c r="YW208" s="387"/>
      <c r="YX208" s="387"/>
      <c r="YY208" s="387"/>
      <c r="YZ208" s="387"/>
      <c r="ZA208" s="387"/>
      <c r="ZB208" s="387"/>
      <c r="ZC208" s="387"/>
      <c r="ZD208" s="387"/>
      <c r="ZE208" s="387"/>
      <c r="ZF208" s="387"/>
      <c r="ZG208" s="387"/>
      <c r="ZH208" s="387"/>
      <c r="ZI208" s="387"/>
      <c r="ZJ208" s="387"/>
      <c r="ZK208" s="387"/>
      <c r="ZL208" s="387"/>
      <c r="ZM208" s="387"/>
      <c r="ZN208" s="387"/>
      <c r="ZO208" s="387"/>
      <c r="ZP208" s="387"/>
      <c r="ZQ208" s="387"/>
      <c r="ZR208" s="387"/>
      <c r="ZS208" s="387"/>
      <c r="ZT208" s="387"/>
      <c r="ZU208" s="387"/>
      <c r="ZV208" s="387"/>
      <c r="ZW208" s="387"/>
      <c r="ZX208" s="387"/>
      <c r="ZY208" s="387"/>
      <c r="ZZ208" s="387"/>
      <c r="AAA208" s="387"/>
      <c r="AAB208" s="387"/>
      <c r="AAC208" s="387"/>
      <c r="AAD208" s="387"/>
      <c r="AAE208" s="387"/>
      <c r="AAF208" s="387"/>
      <c r="AAG208" s="387"/>
      <c r="AAH208" s="387"/>
      <c r="AAI208" s="387"/>
      <c r="AAJ208" s="387"/>
      <c r="AAK208" s="387"/>
      <c r="AAL208" s="387"/>
      <c r="AAM208" s="387"/>
      <c r="AAN208" s="387"/>
      <c r="AAO208" s="387"/>
      <c r="AAP208" s="387"/>
      <c r="AAQ208" s="387"/>
      <c r="AAR208" s="387"/>
      <c r="AAS208" s="387"/>
      <c r="AAT208" s="387"/>
      <c r="AAU208" s="387"/>
      <c r="AAV208" s="387"/>
      <c r="AAW208" s="387"/>
      <c r="AAX208" s="387"/>
      <c r="AAY208" s="387"/>
      <c r="AAZ208" s="387"/>
      <c r="ABA208" s="387"/>
      <c r="ABB208" s="387"/>
      <c r="ABC208" s="387"/>
      <c r="ABD208" s="387"/>
      <c r="ABE208" s="387"/>
      <c r="ABF208" s="387"/>
      <c r="ABG208" s="387"/>
      <c r="ABH208" s="387"/>
      <c r="ABI208" s="387"/>
      <c r="ABJ208" s="387"/>
      <c r="ABK208" s="387"/>
      <c r="ABL208" s="387"/>
      <c r="ABM208" s="387"/>
      <c r="ABN208" s="387"/>
      <c r="ABO208" s="387"/>
      <c r="ABP208" s="387"/>
      <c r="ABQ208" s="387"/>
      <c r="ABR208" s="387"/>
      <c r="ABS208" s="387"/>
      <c r="ABT208" s="387"/>
      <c r="ABU208" s="387"/>
      <c r="ABV208" s="387"/>
      <c r="ABW208" s="387"/>
      <c r="ABX208" s="387"/>
      <c r="ABY208" s="387"/>
      <c r="ABZ208" s="387"/>
      <c r="ACA208" s="387"/>
      <c r="ACB208" s="387"/>
      <c r="ACC208" s="387"/>
      <c r="ACD208" s="387"/>
      <c r="ACE208" s="387"/>
      <c r="ACF208" s="387"/>
      <c r="ACG208" s="387"/>
      <c r="ACH208" s="387"/>
      <c r="ACI208" s="387"/>
      <c r="ACJ208" s="387"/>
      <c r="ACK208" s="387"/>
      <c r="ACL208" s="387"/>
      <c r="ACM208" s="387"/>
      <c r="ACN208" s="387"/>
      <c r="ACO208" s="387"/>
      <c r="ACP208" s="387"/>
      <c r="ACQ208" s="387"/>
      <c r="ACR208" s="387"/>
      <c r="ACS208" s="387"/>
      <c r="ACT208" s="387"/>
      <c r="ACU208" s="387"/>
      <c r="ACV208" s="387"/>
      <c r="ACW208" s="387"/>
      <c r="ACX208" s="387"/>
      <c r="ACY208" s="387"/>
      <c r="ACZ208" s="387"/>
      <c r="ADA208" s="387"/>
      <c r="ADB208" s="387"/>
      <c r="ADC208" s="387"/>
      <c r="ADD208" s="387"/>
      <c r="ADE208" s="387"/>
      <c r="ADF208" s="387"/>
      <c r="ADG208" s="387"/>
      <c r="ADH208" s="387"/>
      <c r="ADI208" s="387"/>
      <c r="ADJ208" s="387"/>
      <c r="ADK208" s="387"/>
      <c r="ADL208" s="387"/>
      <c r="ADM208" s="387"/>
      <c r="ADN208" s="387"/>
      <c r="ADO208" s="387"/>
      <c r="ADP208" s="387"/>
      <c r="ADQ208" s="387"/>
      <c r="ADR208" s="387"/>
      <c r="ADS208" s="387"/>
      <c r="ADT208" s="387"/>
      <c r="ADU208" s="387"/>
      <c r="ADV208" s="387"/>
      <c r="ADW208" s="387"/>
      <c r="ADX208" s="387"/>
      <c r="ADY208" s="387"/>
      <c r="ADZ208" s="387"/>
      <c r="AEA208" s="387"/>
      <c r="AEB208" s="387"/>
      <c r="AEC208" s="387"/>
      <c r="AED208" s="387"/>
      <c r="AEE208" s="387"/>
      <c r="AEF208" s="387"/>
      <c r="AEG208" s="387"/>
      <c r="AEH208" s="387"/>
      <c r="AEI208" s="387"/>
      <c r="AEJ208" s="387"/>
      <c r="AEK208" s="387"/>
      <c r="AEL208" s="387"/>
      <c r="AEM208" s="387"/>
      <c r="AEN208" s="387"/>
      <c r="AEO208" s="387"/>
      <c r="AEP208" s="387"/>
      <c r="AEQ208" s="387"/>
      <c r="AER208" s="387"/>
      <c r="AES208" s="387"/>
      <c r="AET208" s="387"/>
      <c r="AEU208" s="387"/>
      <c r="AEV208" s="387"/>
      <c r="AEW208" s="387"/>
      <c r="AEX208" s="387"/>
      <c r="AEY208" s="387"/>
      <c r="AEZ208" s="387"/>
      <c r="AFA208" s="387"/>
      <c r="AFB208" s="387"/>
      <c r="AFC208" s="387"/>
      <c r="AFD208" s="387"/>
      <c r="AFE208" s="387"/>
      <c r="AFF208" s="387"/>
      <c r="AFG208" s="387"/>
      <c r="AFH208" s="387"/>
      <c r="AFI208" s="387"/>
      <c r="AFJ208" s="387"/>
      <c r="AFK208" s="387"/>
      <c r="AFL208" s="387"/>
      <c r="AFM208" s="387"/>
      <c r="AFN208" s="387"/>
      <c r="AFO208" s="387"/>
      <c r="AFP208" s="387"/>
      <c r="AFQ208" s="387"/>
      <c r="AFR208" s="387"/>
      <c r="AFS208" s="387"/>
      <c r="AFT208" s="387"/>
      <c r="AFU208" s="387"/>
      <c r="AFV208" s="387"/>
      <c r="AFW208" s="387"/>
      <c r="AFX208" s="387"/>
      <c r="AFY208" s="387"/>
      <c r="AFZ208" s="387"/>
      <c r="AGA208" s="387"/>
      <c r="AGB208" s="387"/>
      <c r="AGC208" s="387"/>
      <c r="AGD208" s="387"/>
      <c r="AGE208" s="387"/>
      <c r="AGF208" s="387"/>
      <c r="AGG208" s="387"/>
      <c r="AGH208" s="387"/>
      <c r="AGI208" s="387"/>
      <c r="AGJ208" s="387"/>
      <c r="AGK208" s="387"/>
      <c r="AGL208" s="387"/>
      <c r="AGM208" s="387"/>
      <c r="AGN208" s="387"/>
      <c r="AGO208" s="387"/>
      <c r="AGP208" s="387"/>
      <c r="AGQ208" s="387"/>
      <c r="AGR208" s="387"/>
      <c r="AGS208" s="387"/>
      <c r="AGT208" s="387"/>
      <c r="AGU208" s="387"/>
      <c r="AGV208" s="387"/>
      <c r="AGW208" s="387"/>
      <c r="AGX208" s="387"/>
      <c r="AGY208" s="387"/>
      <c r="AGZ208" s="387"/>
      <c r="AHA208" s="387"/>
      <c r="AHB208" s="387"/>
      <c r="AHC208" s="387"/>
      <c r="AHD208" s="387"/>
      <c r="AHE208" s="387"/>
      <c r="AHF208" s="387"/>
      <c r="AHG208" s="387"/>
      <c r="AHH208" s="387"/>
      <c r="AHI208" s="387"/>
      <c r="AHJ208" s="387"/>
      <c r="AHK208" s="387"/>
      <c r="AHL208" s="387"/>
      <c r="AHM208" s="387"/>
      <c r="AHN208" s="387"/>
      <c r="AHO208" s="387"/>
      <c r="AHP208" s="387"/>
      <c r="AHQ208" s="387"/>
      <c r="AHR208" s="387"/>
      <c r="AHS208" s="387"/>
      <c r="AHT208" s="387"/>
      <c r="AHU208" s="387"/>
      <c r="AHV208" s="387"/>
      <c r="AHW208" s="387"/>
      <c r="AHX208" s="387"/>
      <c r="AHY208" s="387"/>
      <c r="AHZ208" s="387"/>
      <c r="AIA208" s="387"/>
      <c r="AIB208" s="387"/>
      <c r="AIC208" s="387"/>
      <c r="AID208" s="387"/>
      <c r="AIE208" s="387"/>
      <c r="AIF208" s="387"/>
      <c r="AIG208" s="387"/>
      <c r="AIH208" s="387"/>
      <c r="AII208" s="387"/>
      <c r="AIJ208" s="387"/>
      <c r="AIK208" s="387"/>
      <c r="AIL208" s="387"/>
      <c r="AIM208" s="387"/>
      <c r="AIN208" s="387"/>
      <c r="AIO208" s="387"/>
      <c r="AIP208" s="387"/>
      <c r="AIQ208" s="387"/>
      <c r="AIR208" s="387"/>
      <c r="AIS208" s="387"/>
      <c r="AIT208" s="387"/>
      <c r="AIU208" s="387"/>
      <c r="AIV208" s="387"/>
      <c r="AIW208" s="387"/>
      <c r="AIX208" s="387"/>
      <c r="AIY208" s="387"/>
      <c r="AIZ208" s="387"/>
      <c r="AJA208" s="387"/>
      <c r="AJB208" s="387"/>
      <c r="AJC208" s="387"/>
      <c r="AJD208" s="387"/>
      <c r="AJE208" s="387"/>
      <c r="AJF208" s="387"/>
      <c r="AJG208" s="387"/>
      <c r="AJH208" s="387"/>
      <c r="AJI208" s="387"/>
      <c r="AJJ208" s="387"/>
      <c r="AJK208" s="387"/>
      <c r="AJL208" s="387"/>
      <c r="AJM208" s="387"/>
      <c r="AJN208" s="387"/>
      <c r="AJO208" s="387"/>
      <c r="AJP208" s="387"/>
      <c r="AJQ208" s="387"/>
      <c r="AJR208" s="387"/>
      <c r="AJS208" s="387"/>
      <c r="AJT208" s="387"/>
      <c r="AJU208" s="387"/>
      <c r="AJV208" s="387"/>
      <c r="AJW208" s="387"/>
      <c r="AJX208" s="387"/>
      <c r="AJY208" s="387"/>
      <c r="AJZ208" s="387"/>
      <c r="AKA208" s="387"/>
      <c r="AKB208" s="387"/>
      <c r="AKC208" s="387"/>
      <c r="AKD208" s="387"/>
      <c r="AKE208" s="387"/>
      <c r="AKF208" s="387"/>
      <c r="AKG208" s="387"/>
      <c r="AKH208" s="387"/>
      <c r="AKI208" s="387"/>
      <c r="AKJ208" s="387"/>
      <c r="AKK208" s="387"/>
      <c r="AKL208" s="387"/>
      <c r="AKM208" s="387"/>
      <c r="AKN208" s="387"/>
      <c r="AKO208" s="387"/>
      <c r="AKP208" s="387"/>
      <c r="AKQ208" s="387"/>
      <c r="AKR208" s="387"/>
      <c r="AKS208" s="387"/>
      <c r="AKT208" s="387"/>
      <c r="AKU208" s="387"/>
      <c r="AKV208" s="387"/>
      <c r="AKW208" s="387"/>
      <c r="AKX208" s="387"/>
      <c r="AKY208" s="387"/>
      <c r="AKZ208" s="387"/>
      <c r="ALA208" s="387"/>
      <c r="ALB208" s="387"/>
      <c r="ALC208" s="387"/>
      <c r="ALD208" s="387"/>
      <c r="ALE208" s="387"/>
      <c r="ALF208" s="387"/>
      <c r="ALG208" s="387"/>
      <c r="ALH208" s="387"/>
      <c r="ALI208" s="387"/>
      <c r="ALJ208" s="387"/>
      <c r="ALK208" s="387"/>
      <c r="ALL208" s="387"/>
      <c r="ALM208" s="387"/>
      <c r="ALN208" s="387"/>
      <c r="ALO208" s="387"/>
      <c r="ALP208" s="387"/>
      <c r="ALQ208" s="387"/>
      <c r="ALR208" s="387"/>
      <c r="ALS208" s="387"/>
      <c r="ALT208" s="387"/>
      <c r="ALU208" s="387"/>
      <c r="ALV208" s="387"/>
      <c r="ALW208" s="387"/>
      <c r="ALX208" s="387"/>
      <c r="ALY208" s="387"/>
      <c r="ALZ208" s="387"/>
      <c r="AMA208" s="387"/>
      <c r="AMB208" s="387"/>
      <c r="AMC208" s="387"/>
      <c r="AMD208" s="387"/>
      <c r="AME208" s="387"/>
      <c r="AMF208" s="387"/>
      <c r="AMG208" s="387"/>
      <c r="AMH208" s="387"/>
      <c r="AMI208" s="387"/>
      <c r="AMJ208" s="387"/>
      <c r="AMK208" s="387"/>
      <c r="AML208" s="387"/>
      <c r="AMM208" s="387"/>
      <c r="AMN208" s="387"/>
      <c r="AMO208" s="387"/>
      <c r="AMP208" s="387"/>
      <c r="AMQ208" s="387"/>
      <c r="AMR208" s="387"/>
      <c r="AMS208" s="387"/>
      <c r="AMT208" s="387"/>
      <c r="AMU208" s="387"/>
      <c r="AMV208" s="387"/>
      <c r="AMW208" s="387"/>
      <c r="AMX208" s="387"/>
      <c r="AMY208" s="387"/>
      <c r="AMZ208" s="387"/>
      <c r="ANA208" s="387"/>
      <c r="ANB208" s="387"/>
      <c r="ANC208" s="387"/>
      <c r="AND208" s="387"/>
      <c r="ANE208" s="387"/>
      <c r="ANF208" s="387"/>
      <c r="ANG208" s="387"/>
      <c r="ANH208" s="387"/>
      <c r="ANI208" s="387"/>
      <c r="ANJ208" s="387"/>
      <c r="ANK208" s="387"/>
      <c r="ANL208" s="387"/>
      <c r="ANM208" s="387"/>
      <c r="ANN208" s="387"/>
      <c r="ANO208" s="387"/>
      <c r="ANP208" s="387"/>
      <c r="ANQ208" s="387"/>
      <c r="ANR208" s="387"/>
      <c r="ANS208" s="387"/>
      <c r="ANT208" s="387"/>
      <c r="ANU208" s="387"/>
      <c r="ANV208" s="387"/>
      <c r="ANW208" s="387"/>
      <c r="ANX208" s="387"/>
      <c r="ANY208" s="387"/>
      <c r="ANZ208" s="387"/>
      <c r="AOA208" s="387"/>
      <c r="AOB208" s="387"/>
      <c r="AOC208" s="387"/>
      <c r="AOD208" s="387"/>
      <c r="AOE208" s="387"/>
      <c r="AOF208" s="387"/>
      <c r="AOG208" s="387"/>
      <c r="AOH208" s="387"/>
      <c r="AOI208" s="387"/>
      <c r="AOJ208" s="387"/>
      <c r="AOK208" s="387"/>
      <c r="AOL208" s="387"/>
      <c r="AOM208" s="387"/>
      <c r="AON208" s="387"/>
      <c r="AOO208" s="387"/>
      <c r="AOP208" s="387"/>
      <c r="AOQ208" s="387"/>
      <c r="AOR208" s="387"/>
      <c r="AOS208" s="387"/>
      <c r="AOT208" s="387"/>
      <c r="AOU208" s="387"/>
      <c r="AOV208" s="387"/>
      <c r="AOW208" s="387"/>
      <c r="AOX208" s="387"/>
      <c r="AOY208" s="387"/>
      <c r="AOZ208" s="387"/>
      <c r="APA208" s="387"/>
      <c r="APB208" s="387"/>
      <c r="APC208" s="387"/>
      <c r="APD208" s="387"/>
      <c r="APE208" s="387"/>
      <c r="APF208" s="387"/>
      <c r="APG208" s="387"/>
      <c r="APH208" s="387"/>
      <c r="API208" s="387"/>
      <c r="APJ208" s="387"/>
      <c r="APK208" s="387"/>
      <c r="APL208" s="387"/>
      <c r="APM208" s="387"/>
      <c r="APN208" s="387"/>
      <c r="APO208" s="387"/>
      <c r="APP208" s="387"/>
      <c r="APQ208" s="387"/>
      <c r="APR208" s="387"/>
      <c r="APS208" s="387"/>
      <c r="APT208" s="387"/>
      <c r="APU208" s="387"/>
      <c r="APV208" s="387"/>
      <c r="APW208" s="387"/>
      <c r="APX208" s="387"/>
      <c r="APY208" s="387"/>
      <c r="APZ208" s="387"/>
      <c r="AQA208" s="387"/>
      <c r="AQB208" s="387"/>
      <c r="AQC208" s="387"/>
      <c r="AQD208" s="387"/>
      <c r="AQE208" s="387"/>
      <c r="AQF208" s="387"/>
      <c r="AQG208" s="387"/>
      <c r="AQH208" s="387"/>
      <c r="AQI208" s="387"/>
      <c r="AQJ208" s="387"/>
      <c r="AQK208" s="387"/>
      <c r="AQL208" s="387"/>
      <c r="AQM208" s="387"/>
      <c r="AQN208" s="387"/>
      <c r="AQO208" s="387"/>
      <c r="AQP208" s="387"/>
      <c r="AQQ208" s="387"/>
      <c r="AQR208" s="387"/>
      <c r="AQS208" s="387"/>
      <c r="AQT208" s="387"/>
      <c r="AQU208" s="387"/>
      <c r="AQV208" s="387"/>
      <c r="AQW208" s="387"/>
      <c r="AQX208" s="387"/>
      <c r="AQY208" s="387"/>
      <c r="AQZ208" s="387"/>
      <c r="ARA208" s="387"/>
      <c r="ARB208" s="387"/>
      <c r="ARC208" s="387"/>
      <c r="ARD208" s="387"/>
      <c r="ARE208" s="387"/>
      <c r="ARF208" s="387"/>
      <c r="ARG208" s="387"/>
      <c r="ARH208" s="387"/>
      <c r="ARI208" s="387"/>
      <c r="ARJ208" s="387"/>
      <c r="ARK208" s="387"/>
      <c r="ARL208" s="387"/>
      <c r="ARM208" s="387"/>
      <c r="ARN208" s="387"/>
      <c r="ARO208" s="387"/>
      <c r="ARP208" s="387"/>
      <c r="ARQ208" s="387"/>
      <c r="ARR208" s="387"/>
      <c r="ARS208" s="387"/>
      <c r="ART208" s="387"/>
      <c r="ARU208" s="387"/>
      <c r="ARV208" s="387"/>
      <c r="ARW208" s="387"/>
      <c r="ARX208" s="387"/>
      <c r="ARY208" s="387"/>
      <c r="ARZ208" s="387"/>
      <c r="ASA208" s="387"/>
      <c r="ASB208" s="387"/>
      <c r="ASC208" s="387"/>
      <c r="ASD208" s="387"/>
      <c r="ASE208" s="387"/>
      <c r="ASF208" s="387"/>
      <c r="ASG208" s="387"/>
      <c r="ASH208" s="387"/>
      <c r="ASI208" s="387"/>
      <c r="ASJ208" s="387"/>
      <c r="ASK208" s="387"/>
      <c r="ASL208" s="387"/>
      <c r="ASM208" s="387"/>
      <c r="ASN208" s="387"/>
      <c r="ASO208" s="387"/>
      <c r="ASP208" s="387"/>
      <c r="ASQ208" s="387"/>
      <c r="ASR208" s="387"/>
      <c r="ASS208" s="387"/>
      <c r="AST208" s="387"/>
      <c r="ASU208" s="387"/>
      <c r="ASV208" s="387"/>
      <c r="ASW208" s="387"/>
      <c r="ASX208" s="387"/>
      <c r="ASY208" s="387"/>
      <c r="ASZ208" s="387"/>
      <c r="ATA208" s="387"/>
      <c r="ATB208" s="387"/>
      <c r="ATC208" s="387"/>
      <c r="ATD208" s="387"/>
      <c r="ATE208" s="387"/>
      <c r="ATF208" s="387"/>
      <c r="ATG208" s="387"/>
      <c r="ATH208" s="387"/>
      <c r="ATI208" s="387"/>
      <c r="ATJ208" s="387"/>
      <c r="ATK208" s="387"/>
      <c r="ATL208" s="387"/>
      <c r="ATM208" s="387"/>
      <c r="ATN208" s="387"/>
      <c r="ATO208" s="387"/>
      <c r="ATP208" s="387"/>
      <c r="ATQ208" s="387"/>
      <c r="ATR208" s="387"/>
      <c r="ATS208" s="387"/>
      <c r="ATT208" s="387"/>
      <c r="ATU208" s="387"/>
      <c r="ATV208" s="387"/>
      <c r="ATW208" s="387"/>
      <c r="ATX208" s="387"/>
      <c r="ATY208" s="387"/>
      <c r="ATZ208" s="387"/>
      <c r="AUA208" s="387"/>
      <c r="AUB208" s="387"/>
      <c r="AUC208" s="387"/>
      <c r="AUD208" s="387"/>
      <c r="AUE208" s="387"/>
      <c r="AUF208" s="387"/>
      <c r="AUG208" s="387"/>
      <c r="AUH208" s="387"/>
      <c r="AUI208" s="387"/>
      <c r="AUJ208" s="387"/>
      <c r="AUK208" s="387"/>
      <c r="AUL208" s="387"/>
      <c r="AUM208" s="387"/>
      <c r="AUN208" s="387"/>
      <c r="AUO208" s="387"/>
      <c r="AUP208" s="387"/>
      <c r="AUQ208" s="387"/>
      <c r="AUR208" s="387"/>
      <c r="AUS208" s="387"/>
      <c r="AUT208" s="387"/>
      <c r="AUU208" s="387"/>
      <c r="AUV208" s="387"/>
      <c r="AUW208" s="387"/>
      <c r="AUX208" s="387"/>
      <c r="AUY208" s="387"/>
      <c r="AUZ208" s="387"/>
      <c r="AVA208" s="387"/>
      <c r="AVB208" s="387"/>
      <c r="AVC208" s="387"/>
      <c r="AVD208" s="387"/>
      <c r="AVE208" s="387"/>
      <c r="AVF208" s="387"/>
      <c r="AVG208" s="387"/>
      <c r="AVH208" s="387"/>
      <c r="AVI208" s="387"/>
      <c r="AVJ208" s="387"/>
      <c r="AVK208" s="387"/>
      <c r="AVL208" s="387"/>
      <c r="AVM208" s="387"/>
      <c r="AVN208" s="387"/>
      <c r="AVO208" s="387"/>
      <c r="AVP208" s="387"/>
      <c r="AVQ208" s="387"/>
      <c r="AVR208" s="387"/>
      <c r="AVS208" s="387"/>
      <c r="AVT208" s="387"/>
      <c r="AVU208" s="387"/>
      <c r="AVV208" s="387"/>
      <c r="AVW208" s="387"/>
      <c r="AVX208" s="387"/>
      <c r="AVY208" s="387"/>
      <c r="AVZ208" s="387"/>
      <c r="AWA208" s="387"/>
      <c r="AWB208" s="387"/>
      <c r="AWC208" s="387"/>
      <c r="AWD208" s="387"/>
      <c r="AWE208" s="387"/>
      <c r="AWF208" s="387"/>
      <c r="AWG208" s="387"/>
      <c r="AWH208" s="387"/>
      <c r="AWI208" s="387"/>
      <c r="AWJ208" s="387"/>
      <c r="AWK208" s="387"/>
      <c r="AWL208" s="387"/>
      <c r="AWM208" s="387"/>
      <c r="AWN208" s="387"/>
      <c r="AWO208" s="387"/>
      <c r="AWP208" s="387"/>
      <c r="AWQ208" s="387"/>
      <c r="AWR208" s="387"/>
      <c r="AWS208" s="387"/>
      <c r="AWT208" s="387"/>
      <c r="AWU208" s="387"/>
      <c r="AWV208" s="387"/>
      <c r="AWW208" s="387"/>
      <c r="AWX208" s="387"/>
      <c r="AWY208" s="387"/>
      <c r="AWZ208" s="387"/>
      <c r="AXA208" s="387"/>
      <c r="AXB208" s="387"/>
      <c r="AXC208" s="387"/>
      <c r="AXD208" s="387"/>
      <c r="AXE208" s="387"/>
      <c r="AXF208" s="387"/>
      <c r="AXG208" s="387"/>
      <c r="AXH208" s="387"/>
      <c r="AXI208" s="387"/>
      <c r="AXJ208" s="387"/>
      <c r="AXK208" s="387"/>
      <c r="AXL208" s="387"/>
      <c r="AXM208" s="387"/>
      <c r="AXN208" s="387"/>
      <c r="AXO208" s="387"/>
      <c r="AXP208" s="387"/>
      <c r="AXQ208" s="387"/>
      <c r="AXR208" s="387"/>
      <c r="AXS208" s="387"/>
      <c r="AXT208" s="387"/>
      <c r="AXU208" s="387"/>
      <c r="AXV208" s="387"/>
      <c r="AXW208" s="387"/>
      <c r="AXX208" s="387"/>
      <c r="AXY208" s="387"/>
      <c r="AXZ208" s="387"/>
      <c r="AYA208" s="387"/>
      <c r="AYB208" s="387"/>
      <c r="AYC208" s="387"/>
      <c r="AYD208" s="387"/>
      <c r="AYE208" s="387"/>
      <c r="AYF208" s="387"/>
      <c r="AYG208" s="387"/>
      <c r="AYH208" s="387"/>
      <c r="AYI208" s="387"/>
      <c r="AYJ208" s="387"/>
      <c r="AYK208" s="387"/>
      <c r="AYL208" s="387"/>
      <c r="AYM208" s="387"/>
      <c r="AYN208" s="387"/>
      <c r="AYO208" s="387"/>
      <c r="AYP208" s="387"/>
      <c r="AYQ208" s="387"/>
      <c r="AYR208" s="387"/>
      <c r="AYS208" s="387"/>
      <c r="AYT208" s="387"/>
      <c r="AYU208" s="387"/>
      <c r="AYV208" s="387"/>
      <c r="AYW208" s="387"/>
      <c r="AYX208" s="387"/>
      <c r="AYY208" s="387"/>
      <c r="AYZ208" s="387"/>
      <c r="AZA208" s="387"/>
      <c r="AZB208" s="387"/>
      <c r="AZC208" s="387"/>
      <c r="AZD208" s="387"/>
      <c r="AZE208" s="387"/>
      <c r="AZF208" s="387"/>
      <c r="AZG208" s="387"/>
      <c r="AZH208" s="387"/>
      <c r="AZI208" s="387"/>
      <c r="AZJ208" s="387"/>
      <c r="AZK208" s="387"/>
      <c r="AZL208" s="387"/>
      <c r="AZM208" s="387"/>
      <c r="AZN208" s="387"/>
      <c r="AZO208" s="387"/>
      <c r="AZP208" s="387"/>
      <c r="AZQ208" s="387"/>
      <c r="AZR208" s="387"/>
      <c r="AZS208" s="387"/>
      <c r="AZT208" s="387"/>
      <c r="AZU208" s="387"/>
      <c r="AZV208" s="387"/>
      <c r="AZW208" s="387"/>
      <c r="AZX208" s="387"/>
      <c r="AZY208" s="387"/>
      <c r="AZZ208" s="387"/>
      <c r="BAA208" s="387"/>
      <c r="BAB208" s="387"/>
      <c r="BAC208" s="387"/>
      <c r="BAD208" s="387"/>
      <c r="BAE208" s="387"/>
      <c r="BAF208" s="387"/>
      <c r="BAG208" s="387"/>
      <c r="BAH208" s="387"/>
      <c r="BAI208" s="387"/>
      <c r="BAJ208" s="387"/>
      <c r="BAK208" s="387"/>
      <c r="BAL208" s="387"/>
      <c r="BAM208" s="387"/>
      <c r="BAN208" s="387"/>
      <c r="BAO208" s="387"/>
      <c r="BAP208" s="387"/>
      <c r="BAQ208" s="387"/>
      <c r="BAR208" s="387"/>
      <c r="BAS208" s="387"/>
      <c r="BAT208" s="387"/>
      <c r="BAU208" s="387"/>
      <c r="BAV208" s="387"/>
      <c r="BAW208" s="387"/>
      <c r="BAX208" s="387"/>
      <c r="BAY208" s="387"/>
      <c r="BAZ208" s="387"/>
      <c r="BBA208" s="387"/>
      <c r="BBB208" s="387"/>
      <c r="BBC208" s="387"/>
      <c r="BBD208" s="387"/>
      <c r="BBE208" s="387"/>
      <c r="BBF208" s="387"/>
      <c r="BBG208" s="387"/>
      <c r="BBH208" s="387"/>
      <c r="BBI208" s="387"/>
      <c r="BBJ208" s="387"/>
      <c r="BBK208" s="387"/>
      <c r="BBL208" s="387"/>
      <c r="BBM208" s="387"/>
      <c r="BBN208" s="387"/>
      <c r="BBO208" s="387"/>
      <c r="BBP208" s="387"/>
      <c r="BBQ208" s="387"/>
      <c r="BBR208" s="387"/>
      <c r="BBS208" s="387"/>
      <c r="BBT208" s="387"/>
      <c r="BBU208" s="387"/>
      <c r="BBV208" s="387"/>
      <c r="BBW208" s="387"/>
      <c r="BBX208" s="387"/>
      <c r="BBY208" s="387"/>
      <c r="BBZ208" s="387"/>
      <c r="BCA208" s="387"/>
      <c r="BCB208" s="387"/>
      <c r="BCC208" s="387"/>
      <c r="BCD208" s="387"/>
      <c r="BCE208" s="387"/>
      <c r="BCF208" s="387"/>
      <c r="BCG208" s="387"/>
      <c r="BCH208" s="387"/>
      <c r="BCI208" s="387"/>
      <c r="BCJ208" s="387"/>
      <c r="BCK208" s="387"/>
      <c r="BCL208" s="387"/>
      <c r="BCM208" s="387"/>
      <c r="BCN208" s="387"/>
      <c r="BCO208" s="387"/>
      <c r="BCP208" s="387"/>
      <c r="BCQ208" s="387"/>
      <c r="BCR208" s="387"/>
      <c r="BCS208" s="387"/>
      <c r="BCT208" s="387"/>
      <c r="BCU208" s="387"/>
      <c r="BCV208" s="387"/>
      <c r="BCW208" s="387"/>
      <c r="BCX208" s="387"/>
      <c r="BCY208" s="387"/>
      <c r="BCZ208" s="387"/>
      <c r="BDA208" s="387"/>
      <c r="BDB208" s="387"/>
      <c r="BDC208" s="387"/>
      <c r="BDD208" s="387"/>
      <c r="BDE208" s="387"/>
      <c r="BDF208" s="387"/>
      <c r="BDG208" s="387"/>
      <c r="BDH208" s="387"/>
      <c r="BDI208" s="387"/>
      <c r="BDJ208" s="387"/>
      <c r="BDK208" s="387"/>
      <c r="BDL208" s="387"/>
      <c r="BDM208" s="387"/>
      <c r="BDN208" s="387"/>
      <c r="BDO208" s="387"/>
      <c r="BDP208" s="387"/>
      <c r="BDQ208" s="387"/>
      <c r="BDR208" s="387"/>
      <c r="BDS208" s="387"/>
      <c r="BDT208" s="387"/>
      <c r="BDU208" s="387"/>
      <c r="BDV208" s="387"/>
      <c r="BDW208" s="387"/>
      <c r="BDX208" s="387"/>
      <c r="BDY208" s="387"/>
      <c r="BDZ208" s="387"/>
      <c r="BEA208" s="387"/>
      <c r="BEB208" s="387"/>
      <c r="BEC208" s="387"/>
      <c r="BED208" s="387"/>
      <c r="BEE208" s="387"/>
      <c r="BEF208" s="387"/>
      <c r="BEG208" s="387"/>
      <c r="BEH208" s="387"/>
      <c r="BEI208" s="387"/>
      <c r="BEJ208" s="387"/>
      <c r="BEK208" s="387"/>
      <c r="BEL208" s="387"/>
      <c r="BEM208" s="387"/>
      <c r="BEN208" s="387"/>
      <c r="BEO208" s="387"/>
      <c r="BEP208" s="387"/>
      <c r="BEQ208" s="387"/>
      <c r="BER208" s="387"/>
      <c r="BES208" s="387"/>
      <c r="BET208" s="387"/>
      <c r="BEU208" s="387"/>
      <c r="BEV208" s="387"/>
      <c r="BEW208" s="387"/>
      <c r="BEX208" s="387"/>
      <c r="BEY208" s="387"/>
      <c r="BEZ208" s="387"/>
      <c r="BFA208" s="387"/>
      <c r="BFB208" s="387"/>
      <c r="BFC208" s="387"/>
      <c r="BFD208" s="387"/>
      <c r="BFE208" s="387"/>
      <c r="BFF208" s="387"/>
      <c r="BFG208" s="387"/>
      <c r="BFH208" s="387"/>
      <c r="BFI208" s="387"/>
      <c r="BFJ208" s="387"/>
      <c r="BFK208" s="387"/>
      <c r="BFL208" s="387"/>
      <c r="BFM208" s="387"/>
      <c r="BFN208" s="387"/>
      <c r="BFO208" s="387"/>
      <c r="BFP208" s="387"/>
      <c r="BFQ208" s="387"/>
      <c r="BFR208" s="387"/>
      <c r="BFS208" s="387"/>
      <c r="BFT208" s="387"/>
      <c r="BFU208" s="387"/>
      <c r="BFV208" s="387"/>
      <c r="BFW208" s="387"/>
      <c r="BFX208" s="387"/>
      <c r="BFY208" s="387"/>
      <c r="BFZ208" s="387"/>
      <c r="BGA208" s="387"/>
      <c r="BGB208" s="387"/>
      <c r="BGC208" s="387"/>
      <c r="BGD208" s="387"/>
      <c r="BGE208" s="387"/>
      <c r="BGF208" s="387"/>
      <c r="BGG208" s="387"/>
      <c r="BGH208" s="387"/>
      <c r="BGI208" s="387"/>
      <c r="BGJ208" s="387"/>
      <c r="BGK208" s="387"/>
      <c r="BGL208" s="387"/>
      <c r="BGM208" s="387"/>
      <c r="BGN208" s="387"/>
      <c r="BGO208" s="387"/>
      <c r="BGP208" s="387"/>
      <c r="BGQ208" s="387"/>
      <c r="BGR208" s="387"/>
      <c r="BGS208" s="387"/>
      <c r="BGT208" s="387"/>
      <c r="BGU208" s="387"/>
      <c r="BGV208" s="387"/>
      <c r="BGW208" s="387"/>
      <c r="BGX208" s="387"/>
      <c r="BGY208" s="387"/>
      <c r="BGZ208" s="387"/>
      <c r="BHA208" s="387"/>
      <c r="BHB208" s="387"/>
      <c r="BHC208" s="387"/>
      <c r="BHD208" s="387"/>
      <c r="BHE208" s="387"/>
      <c r="BHF208" s="387"/>
      <c r="BHG208" s="387"/>
      <c r="BHH208" s="387"/>
      <c r="BHI208" s="387"/>
      <c r="BHJ208" s="387"/>
      <c r="BHK208" s="387"/>
      <c r="BHL208" s="387"/>
      <c r="BHM208" s="387"/>
      <c r="BHN208" s="387"/>
      <c r="BHO208" s="387"/>
      <c r="BHP208" s="387"/>
      <c r="BHQ208" s="387"/>
      <c r="BHR208" s="387"/>
      <c r="BHS208" s="387"/>
      <c r="BHT208" s="387"/>
      <c r="BHU208" s="387"/>
      <c r="BHV208" s="387"/>
      <c r="BHW208" s="387"/>
      <c r="BHX208" s="387"/>
      <c r="BHY208" s="387"/>
      <c r="BHZ208" s="387"/>
      <c r="BIA208" s="387"/>
      <c r="BIB208" s="387"/>
      <c r="BIC208" s="387"/>
      <c r="BID208" s="387"/>
      <c r="BIE208" s="387"/>
      <c r="BIF208" s="387"/>
      <c r="BIG208" s="387"/>
      <c r="BIH208" s="387"/>
      <c r="BII208" s="387"/>
      <c r="BIJ208" s="387"/>
      <c r="BIK208" s="387"/>
      <c r="BIL208" s="387"/>
      <c r="BIM208" s="387"/>
      <c r="BIN208" s="387"/>
      <c r="BIO208" s="387"/>
      <c r="BIP208" s="387"/>
      <c r="BIQ208" s="387"/>
      <c r="BIR208" s="387"/>
      <c r="BIS208" s="387"/>
      <c r="BIT208" s="387"/>
      <c r="BIU208" s="387"/>
      <c r="BIV208" s="387"/>
      <c r="BIW208" s="387"/>
      <c r="BIX208" s="387"/>
      <c r="BIY208" s="387"/>
      <c r="BIZ208" s="387"/>
      <c r="BJA208" s="387"/>
      <c r="BJB208" s="387"/>
      <c r="BJC208" s="387"/>
      <c r="BJD208" s="387"/>
      <c r="BJE208" s="387"/>
      <c r="BJF208" s="387"/>
      <c r="BJG208" s="387"/>
      <c r="BJH208" s="387"/>
      <c r="BJI208" s="387"/>
      <c r="BJJ208" s="387"/>
      <c r="BJK208" s="387"/>
      <c r="BJL208" s="387"/>
      <c r="BJM208" s="387"/>
      <c r="BJN208" s="387"/>
      <c r="BJO208" s="387"/>
      <c r="BJP208" s="387"/>
      <c r="BJQ208" s="387"/>
      <c r="BJR208" s="387"/>
      <c r="BJS208" s="387"/>
      <c r="BJT208" s="387"/>
      <c r="BJU208" s="387"/>
      <c r="BJV208" s="387"/>
      <c r="BJW208" s="387"/>
      <c r="BJX208" s="387"/>
      <c r="BJY208" s="387"/>
      <c r="BJZ208" s="387"/>
      <c r="BKA208" s="387"/>
      <c r="BKB208" s="387"/>
      <c r="BKC208" s="387"/>
      <c r="BKD208" s="387"/>
      <c r="BKE208" s="387"/>
      <c r="BKF208" s="387"/>
      <c r="BKG208" s="387"/>
      <c r="BKH208" s="387"/>
      <c r="BKI208" s="387"/>
      <c r="BKJ208" s="387"/>
      <c r="BKK208" s="387"/>
      <c r="BKL208" s="387"/>
      <c r="BKM208" s="387"/>
      <c r="BKN208" s="387"/>
      <c r="BKO208" s="387"/>
      <c r="BKP208" s="387"/>
      <c r="BKQ208" s="387"/>
      <c r="BKR208" s="387"/>
      <c r="BKS208" s="387"/>
      <c r="BKT208" s="387"/>
      <c r="BKU208" s="387"/>
      <c r="BKV208" s="387"/>
      <c r="BKW208" s="387"/>
      <c r="BKX208" s="387"/>
      <c r="BKY208" s="387"/>
      <c r="BKZ208" s="387"/>
      <c r="BLA208" s="387"/>
      <c r="BLB208" s="387"/>
      <c r="BLC208" s="387"/>
      <c r="BLD208" s="387"/>
      <c r="BLE208" s="387"/>
      <c r="BLF208" s="387"/>
      <c r="BLG208" s="387"/>
      <c r="BLH208" s="387"/>
      <c r="BLI208" s="387"/>
      <c r="BLJ208" s="387"/>
      <c r="BLK208" s="387"/>
      <c r="BLL208" s="387"/>
      <c r="BLM208" s="387"/>
      <c r="BLN208" s="387"/>
      <c r="BLO208" s="387"/>
      <c r="BLP208" s="387"/>
      <c r="BLQ208" s="387"/>
      <c r="BLR208" s="387"/>
      <c r="BLS208" s="387"/>
      <c r="BLT208" s="387"/>
      <c r="BLU208" s="387"/>
      <c r="BLV208" s="387"/>
      <c r="BLW208" s="387"/>
      <c r="BLX208" s="387"/>
      <c r="BLY208" s="387"/>
      <c r="BLZ208" s="387"/>
      <c r="BMA208" s="387"/>
      <c r="BMB208" s="387"/>
      <c r="BMC208" s="387"/>
      <c r="BMD208" s="387"/>
      <c r="BME208" s="387"/>
      <c r="BMF208" s="387"/>
      <c r="BMG208" s="387"/>
      <c r="BMH208" s="387"/>
      <c r="BMI208" s="387"/>
      <c r="BMJ208" s="387"/>
      <c r="BMK208" s="387"/>
      <c r="BML208" s="387"/>
      <c r="BMM208" s="387"/>
      <c r="BMN208" s="387"/>
      <c r="BMO208" s="387"/>
      <c r="BMP208" s="387"/>
      <c r="BMQ208" s="387"/>
      <c r="BMR208" s="387"/>
      <c r="BMS208" s="387"/>
      <c r="BMT208" s="387"/>
      <c r="BMU208" s="387"/>
      <c r="BMV208" s="387"/>
      <c r="BMW208" s="387"/>
      <c r="BMX208" s="387"/>
      <c r="BMY208" s="387"/>
      <c r="BMZ208" s="387"/>
      <c r="BNA208" s="387"/>
      <c r="BNB208" s="387"/>
      <c r="BNC208" s="387"/>
      <c r="BND208" s="387"/>
      <c r="BNE208" s="387"/>
      <c r="BNF208" s="387"/>
      <c r="BNG208" s="387"/>
      <c r="BNH208" s="387"/>
      <c r="BNI208" s="387"/>
      <c r="BNJ208" s="387"/>
      <c r="BNK208" s="387"/>
      <c r="BNL208" s="387"/>
      <c r="BNM208" s="387"/>
      <c r="BNN208" s="387"/>
      <c r="BNO208" s="387"/>
      <c r="BNP208" s="387"/>
      <c r="BNQ208" s="387"/>
      <c r="BNR208" s="387"/>
      <c r="BNS208" s="387"/>
      <c r="BNT208" s="387"/>
      <c r="BNU208" s="387"/>
      <c r="BNV208" s="387"/>
      <c r="BNW208" s="387"/>
      <c r="BNX208" s="387"/>
      <c r="BNY208" s="387"/>
      <c r="BNZ208" s="387"/>
      <c r="BOA208" s="387"/>
      <c r="BOB208" s="387"/>
      <c r="BOC208" s="387"/>
      <c r="BOD208" s="387"/>
      <c r="BOE208" s="387"/>
      <c r="BOF208" s="387"/>
      <c r="BOG208" s="387"/>
      <c r="BOH208" s="387"/>
      <c r="BOI208" s="387"/>
      <c r="BOJ208" s="387"/>
      <c r="BOK208" s="387"/>
      <c r="BOL208" s="387"/>
      <c r="BOM208" s="387"/>
      <c r="BON208" s="387"/>
      <c r="BOO208" s="387"/>
      <c r="BOP208" s="387"/>
      <c r="BOQ208" s="387"/>
      <c r="BOR208" s="387"/>
      <c r="BOS208" s="387"/>
      <c r="BOT208" s="387"/>
      <c r="BOU208" s="387"/>
      <c r="BOV208" s="387"/>
      <c r="BOW208" s="387"/>
      <c r="BOX208" s="387"/>
      <c r="BOY208" s="387"/>
      <c r="BOZ208" s="387"/>
      <c r="BPA208" s="387"/>
      <c r="BPB208" s="387"/>
      <c r="BPC208" s="387"/>
      <c r="BPD208" s="387"/>
      <c r="BPE208" s="387"/>
      <c r="BPF208" s="387"/>
      <c r="BPG208" s="387"/>
      <c r="BPH208" s="387"/>
      <c r="BPI208" s="387"/>
      <c r="BPJ208" s="387"/>
      <c r="BPK208" s="387"/>
      <c r="BPL208" s="387"/>
      <c r="BPM208" s="387"/>
      <c r="BPN208" s="387"/>
      <c r="BPO208" s="387"/>
      <c r="BPP208" s="387"/>
      <c r="BPQ208" s="387"/>
      <c r="BPR208" s="387"/>
      <c r="BPS208" s="387"/>
      <c r="BPT208" s="387"/>
      <c r="BPU208" s="387"/>
      <c r="BPV208" s="387"/>
      <c r="BPW208" s="387"/>
      <c r="BPX208" s="387"/>
      <c r="BPY208" s="387"/>
      <c r="BPZ208" s="387"/>
      <c r="BQA208" s="387"/>
      <c r="BQB208" s="387"/>
      <c r="BQC208" s="387"/>
      <c r="BQD208" s="387"/>
      <c r="BQE208" s="387"/>
      <c r="BQF208" s="387"/>
      <c r="BQG208" s="387"/>
      <c r="BQH208" s="387"/>
      <c r="BQI208" s="387"/>
      <c r="BQJ208" s="387"/>
      <c r="BQK208" s="387"/>
      <c r="BQL208" s="387"/>
      <c r="BQM208" s="387"/>
      <c r="BQN208" s="387"/>
      <c r="BQO208" s="387"/>
      <c r="BQP208" s="387"/>
      <c r="BQQ208" s="387"/>
      <c r="BQR208" s="387"/>
      <c r="BQS208" s="387"/>
      <c r="BQT208" s="387"/>
      <c r="BQU208" s="387"/>
      <c r="BQV208" s="387"/>
      <c r="BQW208" s="387"/>
      <c r="BQX208" s="387"/>
      <c r="BQY208" s="387"/>
      <c r="BQZ208" s="387"/>
      <c r="BRA208" s="387"/>
      <c r="BRB208" s="387"/>
      <c r="BRC208" s="387"/>
      <c r="BRD208" s="387"/>
      <c r="BRE208" s="387"/>
      <c r="BRF208" s="387"/>
      <c r="BRG208" s="387"/>
      <c r="BRH208" s="387"/>
      <c r="BRI208" s="387"/>
      <c r="BRJ208" s="387"/>
      <c r="BRK208" s="387"/>
      <c r="BRL208" s="387"/>
      <c r="BRM208" s="387"/>
      <c r="BRN208" s="387"/>
      <c r="BRO208" s="387"/>
      <c r="BRP208" s="387"/>
      <c r="BRQ208" s="387"/>
      <c r="BRR208" s="387"/>
      <c r="BRS208" s="387"/>
      <c r="BRT208" s="387"/>
      <c r="BRU208" s="387"/>
      <c r="BRV208" s="387"/>
      <c r="BRW208" s="387"/>
      <c r="BRX208" s="387"/>
      <c r="BRY208" s="387"/>
      <c r="BRZ208" s="387"/>
      <c r="BSA208" s="387"/>
      <c r="BSB208" s="387"/>
      <c r="BSC208" s="387"/>
      <c r="BSD208" s="387"/>
      <c r="BSE208" s="387"/>
      <c r="BSF208" s="387"/>
      <c r="BSG208" s="387"/>
      <c r="BSH208" s="387"/>
      <c r="BSI208" s="387"/>
      <c r="BSJ208" s="387"/>
      <c r="BSK208" s="387"/>
      <c r="BSL208" s="387"/>
      <c r="BSM208" s="387"/>
      <c r="BSN208" s="387"/>
      <c r="BSO208" s="387"/>
      <c r="BSP208" s="387"/>
      <c r="BSQ208" s="387"/>
      <c r="BSR208" s="387"/>
      <c r="BSS208" s="387"/>
      <c r="BST208" s="387"/>
      <c r="BSU208" s="387"/>
      <c r="BSV208" s="387"/>
      <c r="BSW208" s="387"/>
      <c r="BSX208" s="387"/>
      <c r="BSY208" s="387"/>
      <c r="BSZ208" s="387"/>
      <c r="BTA208" s="387"/>
      <c r="BTB208" s="387"/>
      <c r="BTC208" s="387"/>
      <c r="BTD208" s="387"/>
      <c r="BTE208" s="387"/>
      <c r="BTF208" s="387"/>
      <c r="BTG208" s="387"/>
      <c r="BTH208" s="387"/>
      <c r="BTI208" s="387"/>
    </row>
    <row r="209" spans="1:1881" ht="78.75" customHeight="1" x14ac:dyDescent="0.25">
      <c r="A209" s="688">
        <v>621</v>
      </c>
      <c r="B209" s="688" t="s">
        <v>598</v>
      </c>
      <c r="C209" s="687" t="s">
        <v>671</v>
      </c>
      <c r="D209" s="737" t="s">
        <v>1030</v>
      </c>
      <c r="E209" s="730" t="s">
        <v>676</v>
      </c>
      <c r="F209" s="686"/>
      <c r="G209" s="535"/>
      <c r="H209" s="147"/>
      <c r="I209" s="292"/>
      <c r="S209" s="682"/>
      <c r="X209" s="682"/>
    </row>
    <row r="210" spans="1:1881" ht="167.25" customHeight="1" x14ac:dyDescent="0.25">
      <c r="A210" s="186">
        <v>547</v>
      </c>
      <c r="B210" s="148"/>
      <c r="C210" s="148" t="s">
        <v>231</v>
      </c>
      <c r="D210" s="238" t="s">
        <v>549</v>
      </c>
      <c r="E210" s="683" t="e">
        <f>HLOOKUP('Unit Data from Audit Worksheet'!$D$2,'2019 Data(H)'!$D$1:$BB$202,153,FALSE)</f>
        <v>#N/A</v>
      </c>
      <c r="F210" s="559"/>
      <c r="G210" s="536" t="str">
        <f>IF(F210&lt;1,"Please answer this question","")</f>
        <v>Please answer this question</v>
      </c>
      <c r="H210" s="147"/>
      <c r="I210" s="292"/>
      <c r="S210" s="682"/>
      <c r="X210" s="682"/>
    </row>
    <row r="211" spans="1:1881" s="4" customFormat="1" ht="54.75" customHeight="1" x14ac:dyDescent="0.25">
      <c r="A211" s="726">
        <v>659</v>
      </c>
      <c r="B211" s="733" t="s">
        <v>82</v>
      </c>
      <c r="C211" s="733" t="s">
        <v>656</v>
      </c>
      <c r="D211" s="738" t="s">
        <v>805</v>
      </c>
      <c r="E211" s="730" t="s">
        <v>676</v>
      </c>
      <c r="F211" s="686"/>
      <c r="G211" s="535" t="str">
        <f>IF(ISBLANK(F211),"Please do not leave blank","")</f>
        <v>Please do not leave blank</v>
      </c>
      <c r="H211" s="360">
        <f>IF(F208&lt;0,"Error: Enter as positive.",)</f>
        <v>0</v>
      </c>
      <c r="I211" s="65"/>
      <c r="J211" s="387"/>
      <c r="K211" s="387"/>
      <c r="L211" s="387"/>
      <c r="M211" s="387"/>
      <c r="N211"/>
      <c r="O211" s="387"/>
      <c r="P211" s="387"/>
      <c r="Q211" s="387"/>
      <c r="R211"/>
      <c r="S211" s="682"/>
      <c r="T211" s="387"/>
      <c r="U211" s="387"/>
      <c r="V211" s="387"/>
      <c r="W211" s="387"/>
      <c r="X211" s="682"/>
      <c r="Y211" s="387"/>
      <c r="Z211" s="387"/>
      <c r="AA211" s="387"/>
      <c r="AB211" s="387"/>
      <c r="AC211" s="387"/>
      <c r="AD211" s="387"/>
      <c r="AE211" s="387"/>
      <c r="AF211" s="387"/>
      <c r="AG211" s="387"/>
      <c r="AH211" s="387"/>
      <c r="AI211" s="387"/>
      <c r="AJ211" s="387"/>
      <c r="AK211" s="387"/>
      <c r="AL211" s="387"/>
      <c r="AM211" s="387"/>
      <c r="AN211" s="387"/>
      <c r="AO211" s="387"/>
      <c r="AP211" s="387"/>
      <c r="AQ211" s="387"/>
      <c r="AR211" s="387"/>
      <c r="AS211" s="387"/>
      <c r="AT211" s="387"/>
      <c r="AU211" s="387"/>
      <c r="AV211" s="387"/>
      <c r="AW211" s="387"/>
      <c r="AX211" s="387"/>
      <c r="AY211" s="387"/>
      <c r="AZ211" s="387"/>
      <c r="BA211" s="387"/>
      <c r="BB211" s="387"/>
      <c r="BC211" s="387"/>
      <c r="BD211" s="387"/>
      <c r="BE211" s="387"/>
      <c r="BF211" s="387"/>
      <c r="BG211" s="387"/>
      <c r="BH211" s="387"/>
      <c r="BI211" s="387"/>
      <c r="BJ211" s="387"/>
      <c r="BK211" s="387"/>
      <c r="BL211" s="387"/>
      <c r="BM211" s="387"/>
      <c r="BN211" s="387"/>
      <c r="BO211" s="387"/>
      <c r="BP211" s="387"/>
      <c r="BQ211" s="387"/>
      <c r="BR211" s="387"/>
      <c r="BS211" s="387"/>
      <c r="BT211" s="387"/>
      <c r="BU211" s="387"/>
      <c r="BV211" s="387"/>
      <c r="BW211" s="387"/>
      <c r="BX211" s="387"/>
      <c r="BY211" s="387"/>
      <c r="BZ211" s="387"/>
      <c r="CA211" s="387"/>
      <c r="CB211" s="387"/>
      <c r="CC211" s="387"/>
      <c r="CD211" s="387"/>
      <c r="CE211" s="387"/>
      <c r="CF211" s="387"/>
      <c r="CG211" s="387"/>
      <c r="CH211" s="387"/>
      <c r="CI211" s="387"/>
      <c r="CJ211" s="387"/>
      <c r="CK211" s="387"/>
      <c r="CL211" s="387"/>
      <c r="CM211" s="387"/>
      <c r="CN211" s="387"/>
      <c r="CO211" s="387"/>
      <c r="CP211" s="387"/>
      <c r="CQ211" s="387"/>
      <c r="CR211" s="387"/>
      <c r="CS211" s="387"/>
      <c r="CT211" s="387"/>
      <c r="CU211" s="387"/>
      <c r="CV211" s="387"/>
      <c r="CW211" s="387"/>
      <c r="CX211" s="387"/>
      <c r="CY211" s="387"/>
      <c r="CZ211" s="387"/>
      <c r="DA211" s="387"/>
      <c r="DB211" s="387"/>
      <c r="DC211" s="387"/>
      <c r="DD211" s="387"/>
      <c r="DE211" s="387"/>
      <c r="DF211" s="387"/>
      <c r="DG211" s="387"/>
      <c r="DH211" s="387"/>
      <c r="DI211" s="387"/>
      <c r="DJ211" s="387"/>
      <c r="DK211" s="387"/>
      <c r="DL211" s="387"/>
      <c r="DM211" s="387"/>
      <c r="DN211" s="387"/>
      <c r="DO211" s="387"/>
      <c r="DP211" s="387"/>
      <c r="DQ211" s="387"/>
      <c r="DR211" s="387"/>
      <c r="DS211" s="387"/>
      <c r="DT211" s="387"/>
      <c r="DU211" s="387"/>
      <c r="DV211" s="387"/>
      <c r="DW211" s="387"/>
      <c r="DX211" s="387"/>
      <c r="DY211" s="387"/>
      <c r="DZ211" s="387"/>
      <c r="EA211" s="387"/>
      <c r="EB211" s="387"/>
      <c r="EC211" s="387"/>
      <c r="ED211" s="387"/>
      <c r="EE211" s="387"/>
      <c r="EF211" s="387"/>
      <c r="EG211" s="387"/>
      <c r="EH211" s="387"/>
      <c r="EI211" s="387"/>
      <c r="EJ211" s="387"/>
      <c r="EK211" s="387"/>
      <c r="EL211" s="387"/>
      <c r="EM211" s="387"/>
      <c r="EN211" s="387"/>
      <c r="EO211" s="387"/>
      <c r="EP211" s="387"/>
      <c r="EQ211" s="387"/>
      <c r="ER211" s="387"/>
      <c r="ES211" s="387"/>
      <c r="ET211" s="387"/>
      <c r="EU211" s="387"/>
      <c r="EV211" s="387"/>
      <c r="EW211" s="387"/>
      <c r="EX211" s="387"/>
      <c r="EY211" s="387"/>
      <c r="EZ211" s="387"/>
      <c r="FA211" s="387"/>
      <c r="FB211" s="387"/>
      <c r="FC211" s="387"/>
      <c r="FD211" s="387"/>
      <c r="FE211" s="387"/>
      <c r="FF211" s="387"/>
      <c r="FG211" s="387"/>
      <c r="FH211" s="387"/>
      <c r="FI211" s="387"/>
      <c r="FJ211" s="387"/>
      <c r="FK211" s="387"/>
      <c r="FL211" s="387"/>
      <c r="FM211" s="387"/>
      <c r="FN211" s="387"/>
      <c r="FO211" s="387"/>
      <c r="FP211" s="387"/>
      <c r="FQ211" s="387"/>
      <c r="FR211" s="387"/>
      <c r="FS211" s="387"/>
      <c r="FT211" s="387"/>
      <c r="FU211" s="387"/>
      <c r="FV211" s="387"/>
      <c r="FW211" s="387"/>
      <c r="FX211" s="387"/>
      <c r="FY211" s="387"/>
      <c r="FZ211" s="387"/>
      <c r="GA211" s="387"/>
      <c r="GB211" s="387"/>
      <c r="GC211" s="387"/>
      <c r="GD211" s="387"/>
      <c r="GE211" s="387"/>
      <c r="GF211" s="387"/>
      <c r="GG211" s="387"/>
      <c r="GH211" s="387"/>
      <c r="GI211" s="387"/>
      <c r="GJ211" s="387"/>
      <c r="GK211" s="387"/>
      <c r="GL211" s="387"/>
      <c r="GM211" s="387"/>
      <c r="GN211" s="387"/>
      <c r="GO211" s="387"/>
      <c r="GP211" s="387"/>
      <c r="GQ211" s="387"/>
      <c r="GR211" s="387"/>
      <c r="GS211" s="387"/>
      <c r="GT211" s="387"/>
      <c r="GU211" s="387"/>
      <c r="GV211" s="387"/>
      <c r="GW211" s="387"/>
      <c r="GX211" s="387"/>
      <c r="GY211" s="387"/>
      <c r="GZ211" s="387"/>
      <c r="HA211" s="387"/>
      <c r="HB211" s="387"/>
      <c r="HC211" s="387"/>
      <c r="HD211" s="387"/>
      <c r="HE211" s="387"/>
      <c r="HF211" s="387"/>
      <c r="HG211" s="387"/>
      <c r="HH211" s="387"/>
      <c r="HI211" s="387"/>
      <c r="HJ211" s="387"/>
      <c r="HK211" s="387"/>
      <c r="HL211" s="387"/>
      <c r="HM211" s="387"/>
      <c r="HN211" s="387"/>
      <c r="HO211" s="387"/>
      <c r="HP211" s="387"/>
      <c r="HQ211" s="387"/>
      <c r="HR211" s="387"/>
      <c r="HS211" s="387"/>
      <c r="HT211" s="387"/>
      <c r="HU211" s="387"/>
      <c r="HV211" s="387"/>
      <c r="HW211" s="387"/>
      <c r="HX211" s="387"/>
      <c r="HY211" s="387"/>
      <c r="HZ211" s="387"/>
      <c r="IA211" s="387"/>
      <c r="IB211" s="387"/>
      <c r="IC211" s="387"/>
      <c r="ID211" s="387"/>
      <c r="IE211" s="387"/>
      <c r="IF211" s="387"/>
      <c r="IG211" s="387"/>
      <c r="IH211" s="387"/>
      <c r="II211" s="387"/>
      <c r="IJ211" s="387"/>
      <c r="IK211" s="387"/>
      <c r="IL211" s="387"/>
      <c r="IM211" s="387"/>
      <c r="IN211" s="387"/>
      <c r="IO211" s="387"/>
      <c r="IP211" s="387"/>
      <c r="IQ211" s="387"/>
      <c r="IR211" s="387"/>
      <c r="IS211" s="387"/>
      <c r="IT211" s="387"/>
      <c r="IU211" s="387"/>
      <c r="IV211" s="387"/>
      <c r="IW211" s="387"/>
      <c r="IX211" s="387"/>
      <c r="IY211" s="387"/>
      <c r="IZ211" s="387"/>
      <c r="JA211" s="387"/>
      <c r="JB211" s="387"/>
      <c r="JC211" s="387"/>
      <c r="JD211" s="387"/>
      <c r="JE211" s="387"/>
      <c r="JF211" s="387"/>
      <c r="JG211" s="387"/>
      <c r="JH211" s="387"/>
      <c r="JI211" s="387"/>
      <c r="JJ211" s="387"/>
      <c r="JK211" s="387"/>
      <c r="JL211" s="387"/>
      <c r="JM211" s="387"/>
      <c r="JN211" s="387"/>
      <c r="JO211" s="387"/>
      <c r="JP211" s="387"/>
      <c r="JQ211" s="387"/>
      <c r="JR211" s="387"/>
      <c r="JS211" s="387"/>
      <c r="JT211" s="387"/>
      <c r="JU211" s="387"/>
      <c r="JV211" s="387"/>
      <c r="JW211" s="387"/>
      <c r="JX211" s="387"/>
      <c r="JY211" s="387"/>
      <c r="JZ211" s="387"/>
      <c r="KA211" s="387"/>
      <c r="KB211" s="387"/>
      <c r="KC211" s="387"/>
      <c r="KD211" s="387"/>
      <c r="KE211" s="387"/>
      <c r="KF211" s="387"/>
      <c r="KG211" s="387"/>
      <c r="KH211" s="387"/>
      <c r="KI211" s="387"/>
      <c r="KJ211" s="387"/>
      <c r="KK211" s="387"/>
      <c r="KL211" s="387"/>
      <c r="KM211" s="387"/>
      <c r="KN211" s="387"/>
      <c r="KO211" s="387"/>
      <c r="KP211" s="387"/>
      <c r="KQ211" s="387"/>
      <c r="KR211" s="387"/>
      <c r="KS211" s="387"/>
      <c r="KT211" s="387"/>
      <c r="KU211" s="387"/>
      <c r="KV211" s="387"/>
      <c r="KW211" s="387"/>
      <c r="KX211" s="387"/>
      <c r="KY211" s="387"/>
      <c r="KZ211" s="387"/>
      <c r="LA211" s="387"/>
      <c r="LB211" s="387"/>
      <c r="LC211" s="387"/>
      <c r="LD211" s="387"/>
      <c r="LE211" s="387"/>
      <c r="LF211" s="387"/>
      <c r="LG211" s="387"/>
      <c r="LH211" s="387"/>
      <c r="LI211" s="387"/>
      <c r="LJ211" s="387"/>
      <c r="LK211" s="387"/>
      <c r="LL211" s="387"/>
      <c r="LM211" s="387"/>
      <c r="LN211" s="387"/>
      <c r="LO211" s="387"/>
      <c r="LP211" s="387"/>
      <c r="LQ211" s="387"/>
      <c r="LR211" s="387"/>
      <c r="LS211" s="387"/>
      <c r="LT211" s="387"/>
      <c r="LU211" s="387"/>
      <c r="LV211" s="387"/>
      <c r="LW211" s="387"/>
      <c r="LX211" s="387"/>
      <c r="LY211" s="387"/>
      <c r="LZ211" s="387"/>
      <c r="MA211" s="387"/>
      <c r="MB211" s="387"/>
      <c r="MC211" s="387"/>
      <c r="MD211" s="387"/>
      <c r="ME211" s="387"/>
      <c r="MF211" s="387"/>
      <c r="MG211" s="387"/>
      <c r="MH211" s="387"/>
      <c r="MI211" s="387"/>
      <c r="MJ211" s="387"/>
      <c r="MK211" s="387"/>
      <c r="ML211" s="387"/>
      <c r="MM211" s="387"/>
      <c r="MN211" s="387"/>
      <c r="MO211" s="387"/>
      <c r="MP211" s="387"/>
      <c r="MQ211" s="387"/>
      <c r="MR211" s="387"/>
      <c r="MS211" s="387"/>
      <c r="MT211" s="387"/>
      <c r="MU211" s="387"/>
      <c r="MV211" s="387"/>
      <c r="MW211" s="387"/>
      <c r="MX211" s="387"/>
      <c r="MY211" s="387"/>
      <c r="MZ211" s="387"/>
      <c r="NA211" s="387"/>
      <c r="NB211" s="387"/>
      <c r="NC211" s="387"/>
      <c r="ND211" s="387"/>
      <c r="NE211" s="387"/>
      <c r="NF211" s="387"/>
      <c r="NG211" s="387"/>
      <c r="NH211" s="387"/>
      <c r="NI211" s="387"/>
      <c r="NJ211" s="387"/>
      <c r="NK211" s="387"/>
      <c r="NL211" s="387"/>
      <c r="NM211" s="387"/>
      <c r="NN211" s="387"/>
      <c r="NO211" s="387"/>
      <c r="NP211" s="387"/>
      <c r="NQ211" s="387"/>
      <c r="NR211" s="387"/>
      <c r="NS211" s="387"/>
      <c r="NT211" s="387"/>
      <c r="NU211" s="387"/>
      <c r="NV211" s="387"/>
      <c r="NW211" s="387"/>
      <c r="NX211" s="387"/>
      <c r="NY211" s="387"/>
      <c r="NZ211" s="387"/>
      <c r="OA211" s="387"/>
      <c r="OB211" s="387"/>
      <c r="OC211" s="387"/>
      <c r="OD211" s="387"/>
      <c r="OE211" s="387"/>
      <c r="OF211" s="387"/>
      <c r="OG211" s="387"/>
      <c r="OH211" s="387"/>
      <c r="OI211" s="387"/>
      <c r="OJ211" s="387"/>
      <c r="OK211" s="387"/>
      <c r="OL211" s="387"/>
      <c r="OM211" s="387"/>
      <c r="ON211" s="387"/>
      <c r="OO211" s="387"/>
      <c r="OP211" s="387"/>
      <c r="OQ211" s="387"/>
      <c r="OR211" s="387"/>
      <c r="OS211" s="387"/>
      <c r="OT211" s="387"/>
      <c r="OU211" s="387"/>
      <c r="OV211" s="387"/>
      <c r="OW211" s="387"/>
      <c r="OX211" s="387"/>
      <c r="OY211" s="387"/>
      <c r="OZ211" s="387"/>
      <c r="PA211" s="387"/>
      <c r="PB211" s="387"/>
      <c r="PC211" s="387"/>
      <c r="PD211" s="387"/>
      <c r="PE211" s="387"/>
      <c r="PF211" s="387"/>
      <c r="PG211" s="387"/>
      <c r="PH211" s="387"/>
      <c r="PI211" s="387"/>
      <c r="PJ211" s="387"/>
      <c r="PK211" s="387"/>
      <c r="PL211" s="387"/>
      <c r="PM211" s="387"/>
      <c r="PN211" s="387"/>
      <c r="PO211" s="387"/>
      <c r="PP211" s="387"/>
      <c r="PQ211" s="387"/>
      <c r="PR211" s="387"/>
      <c r="PS211" s="387"/>
      <c r="PT211" s="387"/>
      <c r="PU211" s="387"/>
      <c r="PV211" s="387"/>
      <c r="PW211" s="387"/>
      <c r="PX211" s="387"/>
      <c r="PY211" s="387"/>
      <c r="PZ211" s="387"/>
      <c r="QA211" s="387"/>
      <c r="QB211" s="387"/>
      <c r="QC211" s="387"/>
      <c r="QD211" s="387"/>
      <c r="QE211" s="387"/>
      <c r="QF211" s="387"/>
      <c r="QG211" s="387"/>
      <c r="QH211" s="387"/>
      <c r="QI211" s="387"/>
      <c r="QJ211" s="387"/>
      <c r="QK211" s="387"/>
      <c r="QL211" s="387"/>
      <c r="QM211" s="387"/>
      <c r="QN211" s="387"/>
      <c r="QO211" s="387"/>
      <c r="QP211" s="387"/>
      <c r="QQ211" s="387"/>
      <c r="QR211" s="387"/>
      <c r="QS211" s="387"/>
      <c r="QT211" s="387"/>
      <c r="QU211" s="387"/>
      <c r="QV211" s="387"/>
      <c r="QW211" s="387"/>
      <c r="QX211" s="387"/>
      <c r="QY211" s="387"/>
      <c r="QZ211" s="387"/>
      <c r="RA211" s="387"/>
      <c r="RB211" s="387"/>
      <c r="RC211" s="387"/>
      <c r="RD211" s="387"/>
      <c r="RE211" s="387"/>
      <c r="RF211" s="387"/>
      <c r="RG211" s="387"/>
      <c r="RH211" s="387"/>
      <c r="RI211" s="387"/>
      <c r="RJ211" s="387"/>
      <c r="RK211" s="387"/>
      <c r="RL211" s="387"/>
      <c r="RM211" s="387"/>
      <c r="RN211" s="387"/>
      <c r="RO211" s="387"/>
      <c r="RP211" s="387"/>
      <c r="RQ211" s="387"/>
      <c r="RR211" s="387"/>
      <c r="RS211" s="387"/>
      <c r="RT211" s="387"/>
      <c r="RU211" s="387"/>
      <c r="RV211" s="387"/>
      <c r="RW211" s="387"/>
      <c r="RX211" s="387"/>
      <c r="RY211" s="387"/>
      <c r="RZ211" s="387"/>
      <c r="SA211" s="387"/>
      <c r="SB211" s="387"/>
      <c r="SC211" s="387"/>
      <c r="SD211" s="387"/>
      <c r="SE211" s="387"/>
      <c r="SF211" s="387"/>
      <c r="SG211" s="387"/>
      <c r="SH211" s="387"/>
      <c r="SI211" s="387"/>
      <c r="SJ211" s="387"/>
      <c r="SK211" s="387"/>
      <c r="SL211" s="387"/>
      <c r="SM211" s="387"/>
      <c r="SN211" s="387"/>
      <c r="SO211" s="387"/>
      <c r="SP211" s="387"/>
      <c r="SQ211" s="387"/>
      <c r="SR211" s="387"/>
      <c r="SS211" s="387"/>
      <c r="ST211" s="387"/>
      <c r="SU211" s="387"/>
      <c r="SV211" s="387"/>
      <c r="SW211" s="387"/>
      <c r="SX211" s="387"/>
      <c r="SY211" s="387"/>
      <c r="SZ211" s="387"/>
      <c r="TA211" s="387"/>
      <c r="TB211" s="387"/>
      <c r="TC211" s="387"/>
      <c r="TD211" s="387"/>
      <c r="TE211" s="387"/>
      <c r="TF211" s="387"/>
      <c r="TG211" s="387"/>
      <c r="TH211" s="387"/>
      <c r="TI211" s="387"/>
      <c r="TJ211" s="387"/>
      <c r="TK211" s="387"/>
      <c r="TL211" s="387"/>
      <c r="TM211" s="387"/>
      <c r="TN211" s="387"/>
      <c r="TO211" s="387"/>
      <c r="TP211" s="387"/>
      <c r="TQ211" s="387"/>
      <c r="TR211" s="387"/>
      <c r="TS211" s="387"/>
      <c r="TT211" s="387"/>
      <c r="TU211" s="387"/>
      <c r="TV211" s="387"/>
      <c r="TW211" s="387"/>
      <c r="TX211" s="387"/>
      <c r="TY211" s="387"/>
      <c r="TZ211" s="387"/>
      <c r="UA211" s="387"/>
      <c r="UB211" s="387"/>
      <c r="UC211" s="387"/>
      <c r="UD211" s="387"/>
      <c r="UE211" s="387"/>
      <c r="UF211" s="387"/>
      <c r="UG211" s="387"/>
      <c r="UH211" s="387"/>
      <c r="UI211" s="387"/>
      <c r="UJ211" s="387"/>
      <c r="UK211" s="387"/>
      <c r="UL211" s="387"/>
      <c r="UM211" s="387"/>
      <c r="UN211" s="387"/>
      <c r="UO211" s="387"/>
      <c r="UP211" s="387"/>
      <c r="UQ211" s="387"/>
      <c r="UR211" s="387"/>
      <c r="US211" s="387"/>
      <c r="UT211" s="387"/>
      <c r="UU211" s="387"/>
      <c r="UV211" s="387"/>
      <c r="UW211" s="387"/>
      <c r="UX211" s="387"/>
      <c r="UY211" s="387"/>
      <c r="UZ211" s="387"/>
      <c r="VA211" s="387"/>
      <c r="VB211" s="387"/>
      <c r="VC211" s="387"/>
      <c r="VD211" s="387"/>
      <c r="VE211" s="387"/>
      <c r="VF211" s="387"/>
      <c r="VG211" s="387"/>
      <c r="VH211" s="387"/>
      <c r="VI211" s="387"/>
      <c r="VJ211" s="387"/>
      <c r="VK211" s="387"/>
      <c r="VL211" s="387"/>
      <c r="VM211" s="387"/>
      <c r="VN211" s="387"/>
      <c r="VO211" s="387"/>
      <c r="VP211" s="387"/>
      <c r="VQ211" s="387"/>
      <c r="VR211" s="387"/>
      <c r="VS211" s="387"/>
      <c r="VT211" s="387"/>
      <c r="VU211" s="387"/>
      <c r="VV211" s="387"/>
      <c r="VW211" s="387"/>
      <c r="VX211" s="387"/>
      <c r="VY211" s="387"/>
      <c r="VZ211" s="387"/>
      <c r="WA211" s="387"/>
      <c r="WB211" s="387"/>
      <c r="WC211" s="387"/>
      <c r="WD211" s="387"/>
      <c r="WE211" s="387"/>
      <c r="WF211" s="387"/>
      <c r="WG211" s="387"/>
      <c r="WH211" s="387"/>
      <c r="WI211" s="387"/>
      <c r="WJ211" s="387"/>
      <c r="WK211" s="387"/>
      <c r="WL211" s="387"/>
      <c r="WM211" s="387"/>
      <c r="WN211" s="387"/>
      <c r="WO211" s="387"/>
      <c r="WP211" s="387"/>
      <c r="WQ211" s="387"/>
      <c r="WR211" s="387"/>
      <c r="WS211" s="387"/>
      <c r="WT211" s="387"/>
      <c r="WU211" s="387"/>
      <c r="WV211" s="387"/>
      <c r="WW211" s="387"/>
      <c r="WX211" s="387"/>
      <c r="WY211" s="387"/>
      <c r="WZ211" s="387"/>
      <c r="XA211" s="387"/>
      <c r="XB211" s="387"/>
      <c r="XC211" s="387"/>
      <c r="XD211" s="387"/>
      <c r="XE211" s="387"/>
      <c r="XF211" s="387"/>
      <c r="XG211" s="387"/>
      <c r="XH211" s="387"/>
      <c r="XI211" s="387"/>
      <c r="XJ211" s="387"/>
      <c r="XK211" s="387"/>
      <c r="XL211" s="387"/>
      <c r="XM211" s="387"/>
      <c r="XN211" s="387"/>
      <c r="XO211" s="387"/>
      <c r="XP211" s="387"/>
      <c r="XQ211" s="387"/>
      <c r="XR211" s="387"/>
      <c r="XS211" s="387"/>
      <c r="XT211" s="387"/>
      <c r="XU211" s="387"/>
      <c r="XV211" s="387"/>
      <c r="XW211" s="387"/>
      <c r="XX211" s="387"/>
      <c r="XY211" s="387"/>
      <c r="XZ211" s="387"/>
      <c r="YA211" s="387"/>
      <c r="YB211" s="387"/>
      <c r="YC211" s="387"/>
      <c r="YD211" s="387"/>
      <c r="YE211" s="387"/>
      <c r="YF211" s="387"/>
      <c r="YG211" s="387"/>
      <c r="YH211" s="387"/>
      <c r="YI211" s="387"/>
      <c r="YJ211" s="387"/>
      <c r="YK211" s="387"/>
      <c r="YL211" s="387"/>
      <c r="YM211" s="387"/>
      <c r="YN211" s="387"/>
      <c r="YO211" s="387"/>
      <c r="YP211" s="387"/>
      <c r="YQ211" s="387"/>
      <c r="YR211" s="387"/>
      <c r="YS211" s="387"/>
      <c r="YT211" s="387"/>
      <c r="YU211" s="387"/>
      <c r="YV211" s="387"/>
      <c r="YW211" s="387"/>
      <c r="YX211" s="387"/>
      <c r="YY211" s="387"/>
      <c r="YZ211" s="387"/>
      <c r="ZA211" s="387"/>
      <c r="ZB211" s="387"/>
      <c r="ZC211" s="387"/>
      <c r="ZD211" s="387"/>
      <c r="ZE211" s="387"/>
      <c r="ZF211" s="387"/>
      <c r="ZG211" s="387"/>
      <c r="ZH211" s="387"/>
      <c r="ZI211" s="387"/>
      <c r="ZJ211" s="387"/>
      <c r="ZK211" s="387"/>
      <c r="ZL211" s="387"/>
      <c r="ZM211" s="387"/>
      <c r="ZN211" s="387"/>
      <c r="ZO211" s="387"/>
      <c r="ZP211" s="387"/>
      <c r="ZQ211" s="387"/>
      <c r="ZR211" s="387"/>
      <c r="ZS211" s="387"/>
      <c r="ZT211" s="387"/>
      <c r="ZU211" s="387"/>
      <c r="ZV211" s="387"/>
      <c r="ZW211" s="387"/>
      <c r="ZX211" s="387"/>
      <c r="ZY211" s="387"/>
      <c r="ZZ211" s="387"/>
      <c r="AAA211" s="387"/>
      <c r="AAB211" s="387"/>
      <c r="AAC211" s="387"/>
      <c r="AAD211" s="387"/>
      <c r="AAE211" s="387"/>
      <c r="AAF211" s="387"/>
      <c r="AAG211" s="387"/>
      <c r="AAH211" s="387"/>
      <c r="AAI211" s="387"/>
      <c r="AAJ211" s="387"/>
      <c r="AAK211" s="387"/>
      <c r="AAL211" s="387"/>
      <c r="AAM211" s="387"/>
      <c r="AAN211" s="387"/>
      <c r="AAO211" s="387"/>
      <c r="AAP211" s="387"/>
      <c r="AAQ211" s="387"/>
      <c r="AAR211" s="387"/>
      <c r="AAS211" s="387"/>
      <c r="AAT211" s="387"/>
      <c r="AAU211" s="387"/>
      <c r="AAV211" s="387"/>
      <c r="AAW211" s="387"/>
      <c r="AAX211" s="387"/>
      <c r="AAY211" s="387"/>
      <c r="AAZ211" s="387"/>
      <c r="ABA211" s="387"/>
      <c r="ABB211" s="387"/>
      <c r="ABC211" s="387"/>
      <c r="ABD211" s="387"/>
      <c r="ABE211" s="387"/>
      <c r="ABF211" s="387"/>
      <c r="ABG211" s="387"/>
      <c r="ABH211" s="387"/>
      <c r="ABI211" s="387"/>
      <c r="ABJ211" s="387"/>
      <c r="ABK211" s="387"/>
      <c r="ABL211" s="387"/>
      <c r="ABM211" s="387"/>
      <c r="ABN211" s="387"/>
      <c r="ABO211" s="387"/>
      <c r="ABP211" s="387"/>
      <c r="ABQ211" s="387"/>
      <c r="ABR211" s="387"/>
      <c r="ABS211" s="387"/>
      <c r="ABT211" s="387"/>
      <c r="ABU211" s="387"/>
      <c r="ABV211" s="387"/>
      <c r="ABW211" s="387"/>
      <c r="ABX211" s="387"/>
      <c r="ABY211" s="387"/>
      <c r="ABZ211" s="387"/>
      <c r="ACA211" s="387"/>
      <c r="ACB211" s="387"/>
      <c r="ACC211" s="387"/>
      <c r="ACD211" s="387"/>
      <c r="ACE211" s="387"/>
      <c r="ACF211" s="387"/>
      <c r="ACG211" s="387"/>
      <c r="ACH211" s="387"/>
      <c r="ACI211" s="387"/>
      <c r="ACJ211" s="387"/>
      <c r="ACK211" s="387"/>
      <c r="ACL211" s="387"/>
      <c r="ACM211" s="387"/>
      <c r="ACN211" s="387"/>
      <c r="ACO211" s="387"/>
      <c r="ACP211" s="387"/>
      <c r="ACQ211" s="387"/>
      <c r="ACR211" s="387"/>
      <c r="ACS211" s="387"/>
      <c r="ACT211" s="387"/>
      <c r="ACU211" s="387"/>
      <c r="ACV211" s="387"/>
      <c r="ACW211" s="387"/>
      <c r="ACX211" s="387"/>
      <c r="ACY211" s="387"/>
      <c r="ACZ211" s="387"/>
      <c r="ADA211" s="387"/>
      <c r="ADB211" s="387"/>
      <c r="ADC211" s="387"/>
      <c r="ADD211" s="387"/>
      <c r="ADE211" s="387"/>
      <c r="ADF211" s="387"/>
      <c r="ADG211" s="387"/>
      <c r="ADH211" s="387"/>
      <c r="ADI211" s="387"/>
      <c r="ADJ211" s="387"/>
      <c r="ADK211" s="387"/>
      <c r="ADL211" s="387"/>
      <c r="ADM211" s="387"/>
      <c r="ADN211" s="387"/>
      <c r="ADO211" s="387"/>
      <c r="ADP211" s="387"/>
      <c r="ADQ211" s="387"/>
      <c r="ADR211" s="387"/>
      <c r="ADS211" s="387"/>
      <c r="ADT211" s="387"/>
      <c r="ADU211" s="387"/>
      <c r="ADV211" s="387"/>
      <c r="ADW211" s="387"/>
      <c r="ADX211" s="387"/>
      <c r="ADY211" s="387"/>
      <c r="ADZ211" s="387"/>
      <c r="AEA211" s="387"/>
      <c r="AEB211" s="387"/>
      <c r="AEC211" s="387"/>
      <c r="AED211" s="387"/>
      <c r="AEE211" s="387"/>
      <c r="AEF211" s="387"/>
      <c r="AEG211" s="387"/>
      <c r="AEH211" s="387"/>
      <c r="AEI211" s="387"/>
      <c r="AEJ211" s="387"/>
      <c r="AEK211" s="387"/>
      <c r="AEL211" s="387"/>
      <c r="AEM211" s="387"/>
      <c r="AEN211" s="387"/>
      <c r="AEO211" s="387"/>
      <c r="AEP211" s="387"/>
      <c r="AEQ211" s="387"/>
      <c r="AER211" s="387"/>
      <c r="AES211" s="387"/>
      <c r="AET211" s="387"/>
      <c r="AEU211" s="387"/>
      <c r="AEV211" s="387"/>
      <c r="AEW211" s="387"/>
      <c r="AEX211" s="387"/>
      <c r="AEY211" s="387"/>
      <c r="AEZ211" s="387"/>
      <c r="AFA211" s="387"/>
      <c r="AFB211" s="387"/>
      <c r="AFC211" s="387"/>
      <c r="AFD211" s="387"/>
      <c r="AFE211" s="387"/>
      <c r="AFF211" s="387"/>
      <c r="AFG211" s="387"/>
      <c r="AFH211" s="387"/>
      <c r="AFI211" s="387"/>
      <c r="AFJ211" s="387"/>
      <c r="AFK211" s="387"/>
      <c r="AFL211" s="387"/>
      <c r="AFM211" s="387"/>
      <c r="AFN211" s="387"/>
      <c r="AFO211" s="387"/>
      <c r="AFP211" s="387"/>
      <c r="AFQ211" s="387"/>
      <c r="AFR211" s="387"/>
      <c r="AFS211" s="387"/>
      <c r="AFT211" s="387"/>
      <c r="AFU211" s="387"/>
      <c r="AFV211" s="387"/>
      <c r="AFW211" s="387"/>
      <c r="AFX211" s="387"/>
      <c r="AFY211" s="387"/>
      <c r="AFZ211" s="387"/>
      <c r="AGA211" s="387"/>
      <c r="AGB211" s="387"/>
      <c r="AGC211" s="387"/>
      <c r="AGD211" s="387"/>
      <c r="AGE211" s="387"/>
      <c r="AGF211" s="387"/>
      <c r="AGG211" s="387"/>
      <c r="AGH211" s="387"/>
      <c r="AGI211" s="387"/>
      <c r="AGJ211" s="387"/>
      <c r="AGK211" s="387"/>
      <c r="AGL211" s="387"/>
      <c r="AGM211" s="387"/>
      <c r="AGN211" s="387"/>
      <c r="AGO211" s="387"/>
      <c r="AGP211" s="387"/>
      <c r="AGQ211" s="387"/>
      <c r="AGR211" s="387"/>
      <c r="AGS211" s="387"/>
      <c r="AGT211" s="387"/>
      <c r="AGU211" s="387"/>
      <c r="AGV211" s="387"/>
      <c r="AGW211" s="387"/>
      <c r="AGX211" s="387"/>
      <c r="AGY211" s="387"/>
      <c r="AGZ211" s="387"/>
      <c r="AHA211" s="387"/>
      <c r="AHB211" s="387"/>
      <c r="AHC211" s="387"/>
      <c r="AHD211" s="387"/>
      <c r="AHE211" s="387"/>
      <c r="AHF211" s="387"/>
      <c r="AHG211" s="387"/>
      <c r="AHH211" s="387"/>
      <c r="AHI211" s="387"/>
      <c r="AHJ211" s="387"/>
      <c r="AHK211" s="387"/>
      <c r="AHL211" s="387"/>
      <c r="AHM211" s="387"/>
      <c r="AHN211" s="387"/>
      <c r="AHO211" s="387"/>
      <c r="AHP211" s="387"/>
      <c r="AHQ211" s="387"/>
      <c r="AHR211" s="387"/>
      <c r="AHS211" s="387"/>
      <c r="AHT211" s="387"/>
      <c r="AHU211" s="387"/>
      <c r="AHV211" s="387"/>
      <c r="AHW211" s="387"/>
      <c r="AHX211" s="387"/>
      <c r="AHY211" s="387"/>
      <c r="AHZ211" s="387"/>
      <c r="AIA211" s="387"/>
      <c r="AIB211" s="387"/>
      <c r="AIC211" s="387"/>
      <c r="AID211" s="387"/>
      <c r="AIE211" s="387"/>
      <c r="AIF211" s="387"/>
      <c r="AIG211" s="387"/>
      <c r="AIH211" s="387"/>
      <c r="AII211" s="387"/>
      <c r="AIJ211" s="387"/>
      <c r="AIK211" s="387"/>
      <c r="AIL211" s="387"/>
      <c r="AIM211" s="387"/>
      <c r="AIN211" s="387"/>
      <c r="AIO211" s="387"/>
      <c r="AIP211" s="387"/>
      <c r="AIQ211" s="387"/>
      <c r="AIR211" s="387"/>
      <c r="AIS211" s="387"/>
      <c r="AIT211" s="387"/>
      <c r="AIU211" s="387"/>
      <c r="AIV211" s="387"/>
      <c r="AIW211" s="387"/>
      <c r="AIX211" s="387"/>
      <c r="AIY211" s="387"/>
      <c r="AIZ211" s="387"/>
      <c r="AJA211" s="387"/>
      <c r="AJB211" s="387"/>
      <c r="AJC211" s="387"/>
      <c r="AJD211" s="387"/>
      <c r="AJE211" s="387"/>
      <c r="AJF211" s="387"/>
      <c r="AJG211" s="387"/>
      <c r="AJH211" s="387"/>
      <c r="AJI211" s="387"/>
      <c r="AJJ211" s="387"/>
      <c r="AJK211" s="387"/>
      <c r="AJL211" s="387"/>
      <c r="AJM211" s="387"/>
      <c r="AJN211" s="387"/>
      <c r="AJO211" s="387"/>
      <c r="AJP211" s="387"/>
      <c r="AJQ211" s="387"/>
      <c r="AJR211" s="387"/>
      <c r="AJS211" s="387"/>
      <c r="AJT211" s="387"/>
      <c r="AJU211" s="387"/>
      <c r="AJV211" s="387"/>
      <c r="AJW211" s="387"/>
      <c r="AJX211" s="387"/>
      <c r="AJY211" s="387"/>
      <c r="AJZ211" s="387"/>
      <c r="AKA211" s="387"/>
      <c r="AKB211" s="387"/>
      <c r="AKC211" s="387"/>
      <c r="AKD211" s="387"/>
      <c r="AKE211" s="387"/>
      <c r="AKF211" s="387"/>
      <c r="AKG211" s="387"/>
      <c r="AKH211" s="387"/>
      <c r="AKI211" s="387"/>
      <c r="AKJ211" s="387"/>
      <c r="AKK211" s="387"/>
      <c r="AKL211" s="387"/>
      <c r="AKM211" s="387"/>
      <c r="AKN211" s="387"/>
      <c r="AKO211" s="387"/>
      <c r="AKP211" s="387"/>
      <c r="AKQ211" s="387"/>
      <c r="AKR211" s="387"/>
      <c r="AKS211" s="387"/>
      <c r="AKT211" s="387"/>
      <c r="AKU211" s="387"/>
      <c r="AKV211" s="387"/>
      <c r="AKW211" s="387"/>
      <c r="AKX211" s="387"/>
      <c r="AKY211" s="387"/>
      <c r="AKZ211" s="387"/>
      <c r="ALA211" s="387"/>
      <c r="ALB211" s="387"/>
      <c r="ALC211" s="387"/>
      <c r="ALD211" s="387"/>
      <c r="ALE211" s="387"/>
      <c r="ALF211" s="387"/>
      <c r="ALG211" s="387"/>
      <c r="ALH211" s="387"/>
      <c r="ALI211" s="387"/>
      <c r="ALJ211" s="387"/>
      <c r="ALK211" s="387"/>
      <c r="ALL211" s="387"/>
      <c r="ALM211" s="387"/>
      <c r="ALN211" s="387"/>
      <c r="ALO211" s="387"/>
      <c r="ALP211" s="387"/>
      <c r="ALQ211" s="387"/>
      <c r="ALR211" s="387"/>
      <c r="ALS211" s="387"/>
      <c r="ALT211" s="387"/>
      <c r="ALU211" s="387"/>
      <c r="ALV211" s="387"/>
      <c r="ALW211" s="387"/>
      <c r="ALX211" s="387"/>
      <c r="ALY211" s="387"/>
      <c r="ALZ211" s="387"/>
      <c r="AMA211" s="387"/>
      <c r="AMB211" s="387"/>
      <c r="AMC211" s="387"/>
      <c r="AMD211" s="387"/>
      <c r="AME211" s="387"/>
      <c r="AMF211" s="387"/>
      <c r="AMG211" s="387"/>
      <c r="AMH211" s="387"/>
      <c r="AMI211" s="387"/>
      <c r="AMJ211" s="387"/>
      <c r="AMK211" s="387"/>
      <c r="AML211" s="387"/>
      <c r="AMM211" s="387"/>
      <c r="AMN211" s="387"/>
      <c r="AMO211" s="387"/>
      <c r="AMP211" s="387"/>
      <c r="AMQ211" s="387"/>
      <c r="AMR211" s="387"/>
      <c r="AMS211" s="387"/>
      <c r="AMT211" s="387"/>
      <c r="AMU211" s="387"/>
      <c r="AMV211" s="387"/>
      <c r="AMW211" s="387"/>
      <c r="AMX211" s="387"/>
      <c r="AMY211" s="387"/>
      <c r="AMZ211" s="387"/>
      <c r="ANA211" s="387"/>
      <c r="ANB211" s="387"/>
      <c r="ANC211" s="387"/>
      <c r="AND211" s="387"/>
      <c r="ANE211" s="387"/>
      <c r="ANF211" s="387"/>
      <c r="ANG211" s="387"/>
      <c r="ANH211" s="387"/>
      <c r="ANI211" s="387"/>
      <c r="ANJ211" s="387"/>
      <c r="ANK211" s="387"/>
      <c r="ANL211" s="387"/>
      <c r="ANM211" s="387"/>
      <c r="ANN211" s="387"/>
      <c r="ANO211" s="387"/>
      <c r="ANP211" s="387"/>
      <c r="ANQ211" s="387"/>
      <c r="ANR211" s="387"/>
      <c r="ANS211" s="387"/>
      <c r="ANT211" s="387"/>
      <c r="ANU211" s="387"/>
      <c r="ANV211" s="387"/>
      <c r="ANW211" s="387"/>
      <c r="ANX211" s="387"/>
      <c r="ANY211" s="387"/>
      <c r="ANZ211" s="387"/>
      <c r="AOA211" s="387"/>
      <c r="AOB211" s="387"/>
      <c r="AOC211" s="387"/>
      <c r="AOD211" s="387"/>
      <c r="AOE211" s="387"/>
      <c r="AOF211" s="387"/>
      <c r="AOG211" s="387"/>
      <c r="AOH211" s="387"/>
      <c r="AOI211" s="387"/>
      <c r="AOJ211" s="387"/>
      <c r="AOK211" s="387"/>
      <c r="AOL211" s="387"/>
      <c r="AOM211" s="387"/>
      <c r="AON211" s="387"/>
      <c r="AOO211" s="387"/>
      <c r="AOP211" s="387"/>
      <c r="AOQ211" s="387"/>
      <c r="AOR211" s="387"/>
      <c r="AOS211" s="387"/>
      <c r="AOT211" s="387"/>
      <c r="AOU211" s="387"/>
      <c r="AOV211" s="387"/>
      <c r="AOW211" s="387"/>
      <c r="AOX211" s="387"/>
      <c r="AOY211" s="387"/>
      <c r="AOZ211" s="387"/>
      <c r="APA211" s="387"/>
      <c r="APB211" s="387"/>
      <c r="APC211" s="387"/>
      <c r="APD211" s="387"/>
      <c r="APE211" s="387"/>
      <c r="APF211" s="387"/>
      <c r="APG211" s="387"/>
      <c r="APH211" s="387"/>
      <c r="API211" s="387"/>
      <c r="APJ211" s="387"/>
      <c r="APK211" s="387"/>
      <c r="APL211" s="387"/>
      <c r="APM211" s="387"/>
      <c r="APN211" s="387"/>
      <c r="APO211" s="387"/>
      <c r="APP211" s="387"/>
      <c r="APQ211" s="387"/>
      <c r="APR211" s="387"/>
      <c r="APS211" s="387"/>
      <c r="APT211" s="387"/>
      <c r="APU211" s="387"/>
      <c r="APV211" s="387"/>
      <c r="APW211" s="387"/>
      <c r="APX211" s="387"/>
      <c r="APY211" s="387"/>
      <c r="APZ211" s="387"/>
      <c r="AQA211" s="387"/>
      <c r="AQB211" s="387"/>
      <c r="AQC211" s="387"/>
      <c r="AQD211" s="387"/>
      <c r="AQE211" s="387"/>
      <c r="AQF211" s="387"/>
      <c r="AQG211" s="387"/>
      <c r="AQH211" s="387"/>
      <c r="AQI211" s="387"/>
      <c r="AQJ211" s="387"/>
      <c r="AQK211" s="387"/>
      <c r="AQL211" s="387"/>
      <c r="AQM211" s="387"/>
      <c r="AQN211" s="387"/>
      <c r="AQO211" s="387"/>
      <c r="AQP211" s="387"/>
      <c r="AQQ211" s="387"/>
      <c r="AQR211" s="387"/>
      <c r="AQS211" s="387"/>
      <c r="AQT211" s="387"/>
      <c r="AQU211" s="387"/>
      <c r="AQV211" s="387"/>
      <c r="AQW211" s="387"/>
      <c r="AQX211" s="387"/>
      <c r="AQY211" s="387"/>
      <c r="AQZ211" s="387"/>
      <c r="ARA211" s="387"/>
      <c r="ARB211" s="387"/>
      <c r="ARC211" s="387"/>
      <c r="ARD211" s="387"/>
      <c r="ARE211" s="387"/>
      <c r="ARF211" s="387"/>
      <c r="ARG211" s="387"/>
      <c r="ARH211" s="387"/>
      <c r="ARI211" s="387"/>
      <c r="ARJ211" s="387"/>
      <c r="ARK211" s="387"/>
      <c r="ARL211" s="387"/>
      <c r="ARM211" s="387"/>
      <c r="ARN211" s="387"/>
      <c r="ARO211" s="387"/>
      <c r="ARP211" s="387"/>
      <c r="ARQ211" s="387"/>
      <c r="ARR211" s="387"/>
      <c r="ARS211" s="387"/>
      <c r="ART211" s="387"/>
      <c r="ARU211" s="387"/>
      <c r="ARV211" s="387"/>
      <c r="ARW211" s="387"/>
      <c r="ARX211" s="387"/>
      <c r="ARY211" s="387"/>
      <c r="ARZ211" s="387"/>
      <c r="ASA211" s="387"/>
      <c r="ASB211" s="387"/>
      <c r="ASC211" s="387"/>
      <c r="ASD211" s="387"/>
      <c r="ASE211" s="387"/>
      <c r="ASF211" s="387"/>
      <c r="ASG211" s="387"/>
      <c r="ASH211" s="387"/>
      <c r="ASI211" s="387"/>
      <c r="ASJ211" s="387"/>
      <c r="ASK211" s="387"/>
      <c r="ASL211" s="387"/>
      <c r="ASM211" s="387"/>
      <c r="ASN211" s="387"/>
      <c r="ASO211" s="387"/>
      <c r="ASP211" s="387"/>
      <c r="ASQ211" s="387"/>
      <c r="ASR211" s="387"/>
      <c r="ASS211" s="387"/>
      <c r="AST211" s="387"/>
      <c r="ASU211" s="387"/>
      <c r="ASV211" s="387"/>
      <c r="ASW211" s="387"/>
      <c r="ASX211" s="387"/>
      <c r="ASY211" s="387"/>
      <c r="ASZ211" s="387"/>
      <c r="ATA211" s="387"/>
      <c r="ATB211" s="387"/>
      <c r="ATC211" s="387"/>
      <c r="ATD211" s="387"/>
      <c r="ATE211" s="387"/>
      <c r="ATF211" s="387"/>
      <c r="ATG211" s="387"/>
      <c r="ATH211" s="387"/>
      <c r="ATI211" s="387"/>
      <c r="ATJ211" s="387"/>
      <c r="ATK211" s="387"/>
      <c r="ATL211" s="387"/>
      <c r="ATM211" s="387"/>
      <c r="ATN211" s="387"/>
      <c r="ATO211" s="387"/>
      <c r="ATP211" s="387"/>
      <c r="ATQ211" s="387"/>
      <c r="ATR211" s="387"/>
      <c r="ATS211" s="387"/>
      <c r="ATT211" s="387"/>
      <c r="ATU211" s="387"/>
      <c r="ATV211" s="387"/>
      <c r="ATW211" s="387"/>
      <c r="ATX211" s="387"/>
      <c r="ATY211" s="387"/>
      <c r="ATZ211" s="387"/>
      <c r="AUA211" s="387"/>
      <c r="AUB211" s="387"/>
      <c r="AUC211" s="387"/>
      <c r="AUD211" s="387"/>
      <c r="AUE211" s="387"/>
      <c r="AUF211" s="387"/>
      <c r="AUG211" s="387"/>
      <c r="AUH211" s="387"/>
      <c r="AUI211" s="387"/>
      <c r="AUJ211" s="387"/>
      <c r="AUK211" s="387"/>
      <c r="AUL211" s="387"/>
      <c r="AUM211" s="387"/>
      <c r="AUN211" s="387"/>
      <c r="AUO211" s="387"/>
      <c r="AUP211" s="387"/>
      <c r="AUQ211" s="387"/>
      <c r="AUR211" s="387"/>
      <c r="AUS211" s="387"/>
      <c r="AUT211" s="387"/>
      <c r="AUU211" s="387"/>
      <c r="AUV211" s="387"/>
      <c r="AUW211" s="387"/>
      <c r="AUX211" s="387"/>
      <c r="AUY211" s="387"/>
      <c r="AUZ211" s="387"/>
      <c r="AVA211" s="387"/>
      <c r="AVB211" s="387"/>
      <c r="AVC211" s="387"/>
      <c r="AVD211" s="387"/>
      <c r="AVE211" s="387"/>
      <c r="AVF211" s="387"/>
      <c r="AVG211" s="387"/>
      <c r="AVH211" s="387"/>
      <c r="AVI211" s="387"/>
      <c r="AVJ211" s="387"/>
      <c r="AVK211" s="387"/>
      <c r="AVL211" s="387"/>
      <c r="AVM211" s="387"/>
      <c r="AVN211" s="387"/>
      <c r="AVO211" s="387"/>
      <c r="AVP211" s="387"/>
      <c r="AVQ211" s="387"/>
      <c r="AVR211" s="387"/>
      <c r="AVS211" s="387"/>
      <c r="AVT211" s="387"/>
      <c r="AVU211" s="387"/>
      <c r="AVV211" s="387"/>
      <c r="AVW211" s="387"/>
      <c r="AVX211" s="387"/>
      <c r="AVY211" s="387"/>
      <c r="AVZ211" s="387"/>
      <c r="AWA211" s="387"/>
      <c r="AWB211" s="387"/>
      <c r="AWC211" s="387"/>
      <c r="AWD211" s="387"/>
      <c r="AWE211" s="387"/>
      <c r="AWF211" s="387"/>
      <c r="AWG211" s="387"/>
      <c r="AWH211" s="387"/>
      <c r="AWI211" s="387"/>
      <c r="AWJ211" s="387"/>
      <c r="AWK211" s="387"/>
      <c r="AWL211" s="387"/>
      <c r="AWM211" s="387"/>
      <c r="AWN211" s="387"/>
      <c r="AWO211" s="387"/>
      <c r="AWP211" s="387"/>
      <c r="AWQ211" s="387"/>
      <c r="AWR211" s="387"/>
      <c r="AWS211" s="387"/>
      <c r="AWT211" s="387"/>
      <c r="AWU211" s="387"/>
      <c r="AWV211" s="387"/>
      <c r="AWW211" s="387"/>
      <c r="AWX211" s="387"/>
      <c r="AWY211" s="387"/>
      <c r="AWZ211" s="387"/>
      <c r="AXA211" s="387"/>
      <c r="AXB211" s="387"/>
      <c r="AXC211" s="387"/>
      <c r="AXD211" s="387"/>
      <c r="AXE211" s="387"/>
      <c r="AXF211" s="387"/>
      <c r="AXG211" s="387"/>
      <c r="AXH211" s="387"/>
      <c r="AXI211" s="387"/>
      <c r="AXJ211" s="387"/>
      <c r="AXK211" s="387"/>
      <c r="AXL211" s="387"/>
      <c r="AXM211" s="387"/>
      <c r="AXN211" s="387"/>
      <c r="AXO211" s="387"/>
      <c r="AXP211" s="387"/>
      <c r="AXQ211" s="387"/>
      <c r="AXR211" s="387"/>
      <c r="AXS211" s="387"/>
      <c r="AXT211" s="387"/>
      <c r="AXU211" s="387"/>
      <c r="AXV211" s="387"/>
      <c r="AXW211" s="387"/>
      <c r="AXX211" s="387"/>
      <c r="AXY211" s="387"/>
      <c r="AXZ211" s="387"/>
      <c r="AYA211" s="387"/>
      <c r="AYB211" s="387"/>
      <c r="AYC211" s="387"/>
      <c r="AYD211" s="387"/>
      <c r="AYE211" s="387"/>
      <c r="AYF211" s="387"/>
      <c r="AYG211" s="387"/>
      <c r="AYH211" s="387"/>
      <c r="AYI211" s="387"/>
      <c r="AYJ211" s="387"/>
      <c r="AYK211" s="387"/>
      <c r="AYL211" s="387"/>
      <c r="AYM211" s="387"/>
      <c r="AYN211" s="387"/>
      <c r="AYO211" s="387"/>
      <c r="AYP211" s="387"/>
      <c r="AYQ211" s="387"/>
      <c r="AYR211" s="387"/>
      <c r="AYS211" s="387"/>
      <c r="AYT211" s="387"/>
      <c r="AYU211" s="387"/>
      <c r="AYV211" s="387"/>
      <c r="AYW211" s="387"/>
      <c r="AYX211" s="387"/>
      <c r="AYY211" s="387"/>
      <c r="AYZ211" s="387"/>
      <c r="AZA211" s="387"/>
      <c r="AZB211" s="387"/>
      <c r="AZC211" s="387"/>
      <c r="AZD211" s="387"/>
      <c r="AZE211" s="387"/>
      <c r="AZF211" s="387"/>
      <c r="AZG211" s="387"/>
      <c r="AZH211" s="387"/>
      <c r="AZI211" s="387"/>
      <c r="AZJ211" s="387"/>
      <c r="AZK211" s="387"/>
      <c r="AZL211" s="387"/>
      <c r="AZM211" s="387"/>
      <c r="AZN211" s="387"/>
      <c r="AZO211" s="387"/>
      <c r="AZP211" s="387"/>
      <c r="AZQ211" s="387"/>
      <c r="AZR211" s="387"/>
      <c r="AZS211" s="387"/>
      <c r="AZT211" s="387"/>
      <c r="AZU211" s="387"/>
      <c r="AZV211" s="387"/>
      <c r="AZW211" s="387"/>
      <c r="AZX211" s="387"/>
      <c r="AZY211" s="387"/>
      <c r="AZZ211" s="387"/>
      <c r="BAA211" s="387"/>
      <c r="BAB211" s="387"/>
      <c r="BAC211" s="387"/>
      <c r="BAD211" s="387"/>
      <c r="BAE211" s="387"/>
      <c r="BAF211" s="387"/>
      <c r="BAG211" s="387"/>
      <c r="BAH211" s="387"/>
      <c r="BAI211" s="387"/>
      <c r="BAJ211" s="387"/>
      <c r="BAK211" s="387"/>
      <c r="BAL211" s="387"/>
      <c r="BAM211" s="387"/>
      <c r="BAN211" s="387"/>
      <c r="BAO211" s="387"/>
      <c r="BAP211" s="387"/>
      <c r="BAQ211" s="387"/>
      <c r="BAR211" s="387"/>
      <c r="BAS211" s="387"/>
      <c r="BAT211" s="387"/>
      <c r="BAU211" s="387"/>
      <c r="BAV211" s="387"/>
      <c r="BAW211" s="387"/>
      <c r="BAX211" s="387"/>
      <c r="BAY211" s="387"/>
      <c r="BAZ211" s="387"/>
      <c r="BBA211" s="387"/>
      <c r="BBB211" s="387"/>
      <c r="BBC211" s="387"/>
      <c r="BBD211" s="387"/>
      <c r="BBE211" s="387"/>
      <c r="BBF211" s="387"/>
      <c r="BBG211" s="387"/>
      <c r="BBH211" s="387"/>
      <c r="BBI211" s="387"/>
      <c r="BBJ211" s="387"/>
      <c r="BBK211" s="387"/>
      <c r="BBL211" s="387"/>
      <c r="BBM211" s="387"/>
      <c r="BBN211" s="387"/>
      <c r="BBO211" s="387"/>
      <c r="BBP211" s="387"/>
      <c r="BBQ211" s="387"/>
      <c r="BBR211" s="387"/>
      <c r="BBS211" s="387"/>
      <c r="BBT211" s="387"/>
      <c r="BBU211" s="387"/>
      <c r="BBV211" s="387"/>
      <c r="BBW211" s="387"/>
      <c r="BBX211" s="387"/>
      <c r="BBY211" s="387"/>
      <c r="BBZ211" s="387"/>
      <c r="BCA211" s="387"/>
      <c r="BCB211" s="387"/>
      <c r="BCC211" s="387"/>
      <c r="BCD211" s="387"/>
      <c r="BCE211" s="387"/>
      <c r="BCF211" s="387"/>
      <c r="BCG211" s="387"/>
      <c r="BCH211" s="387"/>
      <c r="BCI211" s="387"/>
      <c r="BCJ211" s="387"/>
      <c r="BCK211" s="387"/>
      <c r="BCL211" s="387"/>
      <c r="BCM211" s="387"/>
      <c r="BCN211" s="387"/>
      <c r="BCO211" s="387"/>
      <c r="BCP211" s="387"/>
      <c r="BCQ211" s="387"/>
      <c r="BCR211" s="387"/>
      <c r="BCS211" s="387"/>
      <c r="BCT211" s="387"/>
      <c r="BCU211" s="387"/>
      <c r="BCV211" s="387"/>
      <c r="BCW211" s="387"/>
      <c r="BCX211" s="387"/>
      <c r="BCY211" s="387"/>
      <c r="BCZ211" s="387"/>
      <c r="BDA211" s="387"/>
      <c r="BDB211" s="387"/>
      <c r="BDC211" s="387"/>
      <c r="BDD211" s="387"/>
      <c r="BDE211" s="387"/>
      <c r="BDF211" s="387"/>
      <c r="BDG211" s="387"/>
      <c r="BDH211" s="387"/>
      <c r="BDI211" s="387"/>
      <c r="BDJ211" s="387"/>
      <c r="BDK211" s="387"/>
      <c r="BDL211" s="387"/>
      <c r="BDM211" s="387"/>
      <c r="BDN211" s="387"/>
      <c r="BDO211" s="387"/>
      <c r="BDP211" s="387"/>
      <c r="BDQ211" s="387"/>
      <c r="BDR211" s="387"/>
      <c r="BDS211" s="387"/>
      <c r="BDT211" s="387"/>
      <c r="BDU211" s="387"/>
      <c r="BDV211" s="387"/>
      <c r="BDW211" s="387"/>
      <c r="BDX211" s="387"/>
      <c r="BDY211" s="387"/>
      <c r="BDZ211" s="387"/>
      <c r="BEA211" s="387"/>
      <c r="BEB211" s="387"/>
      <c r="BEC211" s="387"/>
      <c r="BED211" s="387"/>
      <c r="BEE211" s="387"/>
      <c r="BEF211" s="387"/>
      <c r="BEG211" s="387"/>
      <c r="BEH211" s="387"/>
      <c r="BEI211" s="387"/>
      <c r="BEJ211" s="387"/>
      <c r="BEK211" s="387"/>
      <c r="BEL211" s="387"/>
      <c r="BEM211" s="387"/>
      <c r="BEN211" s="387"/>
      <c r="BEO211" s="387"/>
      <c r="BEP211" s="387"/>
      <c r="BEQ211" s="387"/>
      <c r="BER211" s="387"/>
      <c r="BES211" s="387"/>
      <c r="BET211" s="387"/>
      <c r="BEU211" s="387"/>
      <c r="BEV211" s="387"/>
      <c r="BEW211" s="387"/>
      <c r="BEX211" s="387"/>
      <c r="BEY211" s="387"/>
      <c r="BEZ211" s="387"/>
      <c r="BFA211" s="387"/>
      <c r="BFB211" s="387"/>
      <c r="BFC211" s="387"/>
      <c r="BFD211" s="387"/>
      <c r="BFE211" s="387"/>
      <c r="BFF211" s="387"/>
      <c r="BFG211" s="387"/>
      <c r="BFH211" s="387"/>
      <c r="BFI211" s="387"/>
      <c r="BFJ211" s="387"/>
      <c r="BFK211" s="387"/>
      <c r="BFL211" s="387"/>
      <c r="BFM211" s="387"/>
      <c r="BFN211" s="387"/>
      <c r="BFO211" s="387"/>
      <c r="BFP211" s="387"/>
      <c r="BFQ211" s="387"/>
      <c r="BFR211" s="387"/>
      <c r="BFS211" s="387"/>
      <c r="BFT211" s="387"/>
      <c r="BFU211" s="387"/>
      <c r="BFV211" s="387"/>
      <c r="BFW211" s="387"/>
      <c r="BFX211" s="387"/>
      <c r="BFY211" s="387"/>
      <c r="BFZ211" s="387"/>
      <c r="BGA211" s="387"/>
      <c r="BGB211" s="387"/>
      <c r="BGC211" s="387"/>
      <c r="BGD211" s="387"/>
      <c r="BGE211" s="387"/>
      <c r="BGF211" s="387"/>
      <c r="BGG211" s="387"/>
      <c r="BGH211" s="387"/>
      <c r="BGI211" s="387"/>
      <c r="BGJ211" s="387"/>
      <c r="BGK211" s="387"/>
      <c r="BGL211" s="387"/>
      <c r="BGM211" s="387"/>
      <c r="BGN211" s="387"/>
      <c r="BGO211" s="387"/>
      <c r="BGP211" s="387"/>
      <c r="BGQ211" s="387"/>
      <c r="BGR211" s="387"/>
      <c r="BGS211" s="387"/>
      <c r="BGT211" s="387"/>
      <c r="BGU211" s="387"/>
      <c r="BGV211" s="387"/>
      <c r="BGW211" s="387"/>
      <c r="BGX211" s="387"/>
      <c r="BGY211" s="387"/>
      <c r="BGZ211" s="387"/>
      <c r="BHA211" s="387"/>
      <c r="BHB211" s="387"/>
      <c r="BHC211" s="387"/>
      <c r="BHD211" s="387"/>
      <c r="BHE211" s="387"/>
      <c r="BHF211" s="387"/>
      <c r="BHG211" s="387"/>
      <c r="BHH211" s="387"/>
      <c r="BHI211" s="387"/>
      <c r="BHJ211" s="387"/>
      <c r="BHK211" s="387"/>
      <c r="BHL211" s="387"/>
      <c r="BHM211" s="387"/>
      <c r="BHN211" s="387"/>
      <c r="BHO211" s="387"/>
      <c r="BHP211" s="387"/>
      <c r="BHQ211" s="387"/>
      <c r="BHR211" s="387"/>
      <c r="BHS211" s="387"/>
      <c r="BHT211" s="387"/>
      <c r="BHU211" s="387"/>
      <c r="BHV211" s="387"/>
      <c r="BHW211" s="387"/>
      <c r="BHX211" s="387"/>
      <c r="BHY211" s="387"/>
      <c r="BHZ211" s="387"/>
      <c r="BIA211" s="387"/>
      <c r="BIB211" s="387"/>
      <c r="BIC211" s="387"/>
      <c r="BID211" s="387"/>
      <c r="BIE211" s="387"/>
      <c r="BIF211" s="387"/>
      <c r="BIG211" s="387"/>
      <c r="BIH211" s="387"/>
      <c r="BII211" s="387"/>
      <c r="BIJ211" s="387"/>
      <c r="BIK211" s="387"/>
      <c r="BIL211" s="387"/>
      <c r="BIM211" s="387"/>
      <c r="BIN211" s="387"/>
      <c r="BIO211" s="387"/>
      <c r="BIP211" s="387"/>
      <c r="BIQ211" s="387"/>
      <c r="BIR211" s="387"/>
      <c r="BIS211" s="387"/>
      <c r="BIT211" s="387"/>
      <c r="BIU211" s="387"/>
      <c r="BIV211" s="387"/>
      <c r="BIW211" s="387"/>
      <c r="BIX211" s="387"/>
      <c r="BIY211" s="387"/>
      <c r="BIZ211" s="387"/>
      <c r="BJA211" s="387"/>
      <c r="BJB211" s="387"/>
      <c r="BJC211" s="387"/>
      <c r="BJD211" s="387"/>
      <c r="BJE211" s="387"/>
      <c r="BJF211" s="387"/>
      <c r="BJG211" s="387"/>
      <c r="BJH211" s="387"/>
      <c r="BJI211" s="387"/>
      <c r="BJJ211" s="387"/>
      <c r="BJK211" s="387"/>
      <c r="BJL211" s="387"/>
      <c r="BJM211" s="387"/>
      <c r="BJN211" s="387"/>
      <c r="BJO211" s="387"/>
      <c r="BJP211" s="387"/>
      <c r="BJQ211" s="387"/>
      <c r="BJR211" s="387"/>
      <c r="BJS211" s="387"/>
      <c r="BJT211" s="387"/>
      <c r="BJU211" s="387"/>
      <c r="BJV211" s="387"/>
      <c r="BJW211" s="387"/>
      <c r="BJX211" s="387"/>
      <c r="BJY211" s="387"/>
      <c r="BJZ211" s="387"/>
      <c r="BKA211" s="387"/>
      <c r="BKB211" s="387"/>
      <c r="BKC211" s="387"/>
      <c r="BKD211" s="387"/>
      <c r="BKE211" s="387"/>
      <c r="BKF211" s="387"/>
      <c r="BKG211" s="387"/>
      <c r="BKH211" s="387"/>
      <c r="BKI211" s="387"/>
      <c r="BKJ211" s="387"/>
      <c r="BKK211" s="387"/>
      <c r="BKL211" s="387"/>
      <c r="BKM211" s="387"/>
      <c r="BKN211" s="387"/>
      <c r="BKO211" s="387"/>
      <c r="BKP211" s="387"/>
      <c r="BKQ211" s="387"/>
      <c r="BKR211" s="387"/>
      <c r="BKS211" s="387"/>
      <c r="BKT211" s="387"/>
      <c r="BKU211" s="387"/>
      <c r="BKV211" s="387"/>
      <c r="BKW211" s="387"/>
      <c r="BKX211" s="387"/>
      <c r="BKY211" s="387"/>
      <c r="BKZ211" s="387"/>
      <c r="BLA211" s="387"/>
      <c r="BLB211" s="387"/>
      <c r="BLC211" s="387"/>
      <c r="BLD211" s="387"/>
      <c r="BLE211" s="387"/>
      <c r="BLF211" s="387"/>
      <c r="BLG211" s="387"/>
      <c r="BLH211" s="387"/>
      <c r="BLI211" s="387"/>
      <c r="BLJ211" s="387"/>
      <c r="BLK211" s="387"/>
      <c r="BLL211" s="387"/>
      <c r="BLM211" s="387"/>
      <c r="BLN211" s="387"/>
      <c r="BLO211" s="387"/>
      <c r="BLP211" s="387"/>
      <c r="BLQ211" s="387"/>
      <c r="BLR211" s="387"/>
      <c r="BLS211" s="387"/>
      <c r="BLT211" s="387"/>
      <c r="BLU211" s="387"/>
      <c r="BLV211" s="387"/>
      <c r="BLW211" s="387"/>
      <c r="BLX211" s="387"/>
      <c r="BLY211" s="387"/>
      <c r="BLZ211" s="387"/>
      <c r="BMA211" s="387"/>
      <c r="BMB211" s="387"/>
      <c r="BMC211" s="387"/>
      <c r="BMD211" s="387"/>
      <c r="BME211" s="387"/>
      <c r="BMF211" s="387"/>
      <c r="BMG211" s="387"/>
      <c r="BMH211" s="387"/>
      <c r="BMI211" s="387"/>
      <c r="BMJ211" s="387"/>
      <c r="BMK211" s="387"/>
      <c r="BML211" s="387"/>
      <c r="BMM211" s="387"/>
      <c r="BMN211" s="387"/>
      <c r="BMO211" s="387"/>
      <c r="BMP211" s="387"/>
      <c r="BMQ211" s="387"/>
      <c r="BMR211" s="387"/>
      <c r="BMS211" s="387"/>
      <c r="BMT211" s="387"/>
      <c r="BMU211" s="387"/>
      <c r="BMV211" s="387"/>
      <c r="BMW211" s="387"/>
      <c r="BMX211" s="387"/>
      <c r="BMY211" s="387"/>
      <c r="BMZ211" s="387"/>
      <c r="BNA211" s="387"/>
      <c r="BNB211" s="387"/>
      <c r="BNC211" s="387"/>
      <c r="BND211" s="387"/>
      <c r="BNE211" s="387"/>
      <c r="BNF211" s="387"/>
      <c r="BNG211" s="387"/>
      <c r="BNH211" s="387"/>
      <c r="BNI211" s="387"/>
      <c r="BNJ211" s="387"/>
      <c r="BNK211" s="387"/>
      <c r="BNL211" s="387"/>
      <c r="BNM211" s="387"/>
      <c r="BNN211" s="387"/>
      <c r="BNO211" s="387"/>
      <c r="BNP211" s="387"/>
      <c r="BNQ211" s="387"/>
      <c r="BNR211" s="387"/>
      <c r="BNS211" s="387"/>
      <c r="BNT211" s="387"/>
      <c r="BNU211" s="387"/>
      <c r="BNV211" s="387"/>
      <c r="BNW211" s="387"/>
      <c r="BNX211" s="387"/>
      <c r="BNY211" s="387"/>
      <c r="BNZ211" s="387"/>
      <c r="BOA211" s="387"/>
      <c r="BOB211" s="387"/>
      <c r="BOC211" s="387"/>
      <c r="BOD211" s="387"/>
      <c r="BOE211" s="387"/>
      <c r="BOF211" s="387"/>
      <c r="BOG211" s="387"/>
      <c r="BOH211" s="387"/>
      <c r="BOI211" s="387"/>
      <c r="BOJ211" s="387"/>
      <c r="BOK211" s="387"/>
      <c r="BOL211" s="387"/>
      <c r="BOM211" s="387"/>
      <c r="BON211" s="387"/>
      <c r="BOO211" s="387"/>
      <c r="BOP211" s="387"/>
      <c r="BOQ211" s="387"/>
      <c r="BOR211" s="387"/>
      <c r="BOS211" s="387"/>
      <c r="BOT211" s="387"/>
      <c r="BOU211" s="387"/>
      <c r="BOV211" s="387"/>
      <c r="BOW211" s="387"/>
      <c r="BOX211" s="387"/>
      <c r="BOY211" s="387"/>
      <c r="BOZ211" s="387"/>
      <c r="BPA211" s="387"/>
      <c r="BPB211" s="387"/>
      <c r="BPC211" s="387"/>
      <c r="BPD211" s="387"/>
      <c r="BPE211" s="387"/>
      <c r="BPF211" s="387"/>
      <c r="BPG211" s="387"/>
      <c r="BPH211" s="387"/>
      <c r="BPI211" s="387"/>
      <c r="BPJ211" s="387"/>
      <c r="BPK211" s="387"/>
      <c r="BPL211" s="387"/>
      <c r="BPM211" s="387"/>
      <c r="BPN211" s="387"/>
      <c r="BPO211" s="387"/>
      <c r="BPP211" s="387"/>
      <c r="BPQ211" s="387"/>
      <c r="BPR211" s="387"/>
      <c r="BPS211" s="387"/>
      <c r="BPT211" s="387"/>
      <c r="BPU211" s="387"/>
      <c r="BPV211" s="387"/>
      <c r="BPW211" s="387"/>
      <c r="BPX211" s="387"/>
      <c r="BPY211" s="387"/>
      <c r="BPZ211" s="387"/>
      <c r="BQA211" s="387"/>
      <c r="BQB211" s="387"/>
      <c r="BQC211" s="387"/>
      <c r="BQD211" s="387"/>
      <c r="BQE211" s="387"/>
      <c r="BQF211" s="387"/>
      <c r="BQG211" s="387"/>
      <c r="BQH211" s="387"/>
      <c r="BQI211" s="387"/>
      <c r="BQJ211" s="387"/>
      <c r="BQK211" s="387"/>
      <c r="BQL211" s="387"/>
      <c r="BQM211" s="387"/>
      <c r="BQN211" s="387"/>
      <c r="BQO211" s="387"/>
      <c r="BQP211" s="387"/>
      <c r="BQQ211" s="387"/>
      <c r="BQR211" s="387"/>
      <c r="BQS211" s="387"/>
      <c r="BQT211" s="387"/>
      <c r="BQU211" s="387"/>
      <c r="BQV211" s="387"/>
      <c r="BQW211" s="387"/>
      <c r="BQX211" s="387"/>
      <c r="BQY211" s="387"/>
      <c r="BQZ211" s="387"/>
      <c r="BRA211" s="387"/>
      <c r="BRB211" s="387"/>
      <c r="BRC211" s="387"/>
      <c r="BRD211" s="387"/>
      <c r="BRE211" s="387"/>
      <c r="BRF211" s="387"/>
      <c r="BRG211" s="387"/>
      <c r="BRH211" s="387"/>
      <c r="BRI211" s="387"/>
      <c r="BRJ211" s="387"/>
      <c r="BRK211" s="387"/>
      <c r="BRL211" s="387"/>
      <c r="BRM211" s="387"/>
      <c r="BRN211" s="387"/>
      <c r="BRO211" s="387"/>
      <c r="BRP211" s="387"/>
      <c r="BRQ211" s="387"/>
      <c r="BRR211" s="387"/>
      <c r="BRS211" s="387"/>
      <c r="BRT211" s="387"/>
      <c r="BRU211" s="387"/>
      <c r="BRV211" s="387"/>
      <c r="BRW211" s="387"/>
      <c r="BRX211" s="387"/>
      <c r="BRY211" s="387"/>
      <c r="BRZ211" s="387"/>
      <c r="BSA211" s="387"/>
      <c r="BSB211" s="387"/>
      <c r="BSC211" s="387"/>
      <c r="BSD211" s="387"/>
      <c r="BSE211" s="387"/>
      <c r="BSF211" s="387"/>
      <c r="BSG211" s="387"/>
      <c r="BSH211" s="387"/>
      <c r="BSI211" s="387"/>
      <c r="BSJ211" s="387"/>
      <c r="BSK211" s="387"/>
      <c r="BSL211" s="387"/>
      <c r="BSM211" s="387"/>
      <c r="BSN211" s="387"/>
      <c r="BSO211" s="387"/>
      <c r="BSP211" s="387"/>
      <c r="BSQ211" s="387"/>
      <c r="BSR211" s="387"/>
      <c r="BSS211" s="387"/>
      <c r="BST211" s="387"/>
      <c r="BSU211" s="387"/>
      <c r="BSV211" s="387"/>
      <c r="BSW211" s="387"/>
      <c r="BSX211" s="387"/>
      <c r="BSY211" s="387"/>
      <c r="BSZ211" s="387"/>
      <c r="BTA211" s="387"/>
      <c r="BTB211" s="387"/>
      <c r="BTC211" s="387"/>
      <c r="BTD211" s="387"/>
      <c r="BTE211" s="387"/>
      <c r="BTF211" s="387"/>
      <c r="BTG211" s="387"/>
      <c r="BTH211" s="387"/>
      <c r="BTI211" s="387"/>
    </row>
    <row r="212" spans="1:1881" ht="65.25" customHeight="1" x14ac:dyDescent="0.25">
      <c r="A212" s="726">
        <v>660</v>
      </c>
      <c r="B212" s="733" t="s">
        <v>82</v>
      </c>
      <c r="C212" s="733" t="s">
        <v>656</v>
      </c>
      <c r="D212" s="738" t="s">
        <v>806</v>
      </c>
      <c r="E212" s="730" t="s">
        <v>676</v>
      </c>
      <c r="F212" s="686"/>
      <c r="G212" s="535" t="str">
        <f>IF(ISBLANK(F212),"Please do not leave blank","")</f>
        <v>Please do not leave blank</v>
      </c>
      <c r="H212" s="360">
        <f>IF(F209&lt;0,"Note: Number is normally positive.",)</f>
        <v>0</v>
      </c>
      <c r="I212" s="65"/>
      <c r="S212" s="682"/>
      <c r="X212" s="682"/>
    </row>
    <row r="213" spans="1:1881" ht="90" x14ac:dyDescent="0.25">
      <c r="A213" s="726">
        <v>661</v>
      </c>
      <c r="B213" s="733" t="s">
        <v>82</v>
      </c>
      <c r="C213" s="733" t="s">
        <v>660</v>
      </c>
      <c r="D213" s="739" t="s">
        <v>807</v>
      </c>
      <c r="E213" s="730" t="s">
        <v>676</v>
      </c>
      <c r="F213" s="789"/>
      <c r="G213" s="535" t="str">
        <f>IF(ISBLANK(F213),"Please do not leave blank ",IF(F213=H213,"","Please review percentage"))</f>
        <v xml:space="preserve">Please do not leave blank </v>
      </c>
      <c r="H213" s="357">
        <f>ROUND(IFERROR((F212/F211)*100,0),1)</f>
        <v>0</v>
      </c>
      <c r="I213" s="357"/>
      <c r="S213" s="682"/>
      <c r="X213" s="682"/>
    </row>
    <row r="214" spans="1:1881" ht="68.25" customHeight="1" x14ac:dyDescent="0.25">
      <c r="A214" s="187"/>
      <c r="B214" s="148"/>
      <c r="C214" s="148"/>
      <c r="D214" s="149" t="s">
        <v>27</v>
      </c>
      <c r="E214" s="47"/>
      <c r="F214" s="790"/>
      <c r="G214" s="535"/>
      <c r="H214" s="357"/>
      <c r="I214" s="348"/>
      <c r="S214" s="682"/>
      <c r="X214" s="682"/>
    </row>
    <row r="215" spans="1:1881" ht="32.25" customHeight="1" x14ac:dyDescent="0.25">
      <c r="A215" s="187"/>
      <c r="B215" s="159" t="s">
        <v>28</v>
      </c>
      <c r="C215" s="158"/>
      <c r="D215" s="152"/>
      <c r="E215" s="146"/>
      <c r="F215" s="791"/>
      <c r="G215" s="525"/>
      <c r="H215" s="14"/>
      <c r="I215" s="31"/>
      <c r="S215" s="682"/>
      <c r="X215" s="682"/>
    </row>
    <row r="216" spans="1:1881" ht="89.25" customHeight="1" x14ac:dyDescent="0.25">
      <c r="A216" s="186">
        <v>513</v>
      </c>
      <c r="B216" s="63" t="s">
        <v>81</v>
      </c>
      <c r="C216" s="157" t="s">
        <v>233</v>
      </c>
      <c r="D216" s="163" t="s">
        <v>232</v>
      </c>
      <c r="E216" s="683" t="e">
        <f>HLOOKUP('Unit Data from Audit Worksheet'!$D$2,'2019 Data(H)'!$D$1:$BB$202,120,FALSE)</f>
        <v>#N/A</v>
      </c>
      <c r="F216" s="789"/>
      <c r="G216" s="552">
        <f>IF(F216&lt;0,"Error: Enter as positive.",)</f>
        <v>0</v>
      </c>
      <c r="H216" s="18"/>
      <c r="I216" s="292"/>
      <c r="S216" s="682"/>
      <c r="X216" s="682"/>
    </row>
    <row r="217" spans="1:1881" ht="80.25" customHeight="1" x14ac:dyDescent="0.25">
      <c r="A217" s="186">
        <v>514</v>
      </c>
      <c r="B217" s="63" t="s">
        <v>81</v>
      </c>
      <c r="C217" s="157" t="s">
        <v>233</v>
      </c>
      <c r="D217" s="163" t="s">
        <v>556</v>
      </c>
      <c r="E217" s="683" t="e">
        <f>HLOOKUP('Unit Data from Audit Worksheet'!$D$2,'2019 Data(H)'!$D$1:$BB$202,121,FALSE)</f>
        <v>#N/A</v>
      </c>
      <c r="F217" s="686"/>
      <c r="G217" s="552">
        <f>IF(F217&lt;0,"Error: Enter as positive.",)</f>
        <v>0</v>
      </c>
      <c r="H217" s="14"/>
      <c r="I217" s="292"/>
      <c r="S217" s="682"/>
      <c r="X217" s="682"/>
    </row>
    <row r="218" spans="1:1881" ht="32.25" customHeight="1" x14ac:dyDescent="0.25">
      <c r="A218" s="186"/>
      <c r="B218" s="159" t="s">
        <v>29</v>
      </c>
      <c r="C218" s="158"/>
      <c r="D218" s="152"/>
      <c r="E218" s="146"/>
      <c r="F218" s="792"/>
      <c r="G218" s="525"/>
      <c r="H218" s="14"/>
      <c r="I218" s="31"/>
      <c r="S218" s="682"/>
      <c r="X218" s="682"/>
    </row>
    <row r="219" spans="1:1881" ht="68.25" customHeight="1" x14ac:dyDescent="0.25">
      <c r="A219" s="186">
        <v>6</v>
      </c>
      <c r="B219" s="62" t="s">
        <v>78</v>
      </c>
      <c r="C219" s="157" t="s">
        <v>235</v>
      </c>
      <c r="D219" s="163" t="s">
        <v>234</v>
      </c>
      <c r="E219" s="683" t="e">
        <f>HLOOKUP('Unit Data from Audit Worksheet'!$D$2,'2019 Data(H)'!$D$1:$BB$202,5,FALSE)</f>
        <v>#N/A</v>
      </c>
      <c r="F219" s="789"/>
      <c r="G219" s="552">
        <f>IF(F219&lt;0,"Error: Enter as positive.",)</f>
        <v>0</v>
      </c>
      <c r="H219" s="14"/>
      <c r="I219" s="31"/>
      <c r="J219" s="362"/>
      <c r="S219" s="682"/>
      <c r="X219" s="682"/>
    </row>
    <row r="220" spans="1:1881" s="312" customFormat="1" ht="33" customHeight="1" x14ac:dyDescent="0.25">
      <c r="A220" s="186"/>
      <c r="B220" s="159" t="s">
        <v>253</v>
      </c>
      <c r="C220" s="158"/>
      <c r="D220" s="152"/>
      <c r="E220" s="150"/>
      <c r="F220" s="793"/>
      <c r="G220" s="151"/>
      <c r="H220" s="18"/>
      <c r="I220" s="292"/>
      <c r="J220" s="362"/>
      <c r="K220" s="387"/>
      <c r="L220" s="387"/>
      <c r="M220" s="387"/>
      <c r="N220"/>
      <c r="O220" s="387"/>
      <c r="P220" s="387"/>
      <c r="Q220" s="387"/>
      <c r="R220"/>
      <c r="S220" s="682"/>
      <c r="T220" s="387"/>
      <c r="U220" s="387"/>
      <c r="V220" s="387"/>
      <c r="W220" s="387"/>
      <c r="X220" s="682"/>
      <c r="Y220" s="387"/>
      <c r="Z220" s="387"/>
      <c r="AA220" s="387"/>
      <c r="AB220" s="387"/>
      <c r="AC220" s="387"/>
      <c r="AD220" s="387"/>
      <c r="AE220" s="387"/>
      <c r="AF220" s="387"/>
      <c r="AG220" s="387"/>
      <c r="AH220" s="387"/>
      <c r="AI220" s="387"/>
      <c r="AJ220" s="387"/>
      <c r="AK220" s="387"/>
      <c r="AL220" s="387"/>
      <c r="AM220" s="387"/>
      <c r="AN220" s="387"/>
      <c r="AO220" s="387"/>
      <c r="AP220" s="387"/>
      <c r="AQ220" s="387"/>
      <c r="AR220" s="387"/>
      <c r="AS220" s="387"/>
      <c r="AT220" s="387"/>
      <c r="AU220" s="387"/>
      <c r="AV220" s="387"/>
      <c r="AW220" s="387"/>
      <c r="AX220" s="387"/>
      <c r="AY220" s="387"/>
      <c r="AZ220" s="387"/>
      <c r="BA220" s="387"/>
      <c r="BB220" s="387"/>
      <c r="BC220" s="387"/>
      <c r="BD220" s="387"/>
      <c r="BE220" s="387"/>
      <c r="BF220" s="387"/>
      <c r="BG220" s="387"/>
      <c r="BH220" s="387"/>
      <c r="BI220" s="387"/>
      <c r="BJ220" s="387"/>
      <c r="BK220" s="387"/>
      <c r="BL220" s="387"/>
      <c r="BM220" s="387"/>
      <c r="BN220" s="387"/>
      <c r="BO220" s="387"/>
      <c r="BP220" s="387"/>
      <c r="BQ220" s="387"/>
      <c r="BR220" s="387"/>
      <c r="BS220" s="387"/>
      <c r="BT220" s="387"/>
      <c r="BU220" s="387"/>
      <c r="BV220" s="387"/>
      <c r="BW220" s="387"/>
      <c r="BX220" s="387"/>
      <c r="BY220" s="387"/>
      <c r="BZ220" s="387"/>
      <c r="CA220" s="387"/>
      <c r="CB220" s="387"/>
      <c r="CC220" s="387"/>
      <c r="CD220" s="387"/>
      <c r="CE220" s="387"/>
      <c r="CF220" s="387"/>
      <c r="CG220" s="387"/>
      <c r="CH220" s="387"/>
      <c r="CI220" s="387"/>
      <c r="CJ220" s="387"/>
      <c r="CK220" s="387"/>
      <c r="CL220" s="387"/>
      <c r="CM220" s="387"/>
      <c r="CN220" s="387"/>
      <c r="CO220" s="387"/>
      <c r="CP220" s="387"/>
      <c r="CQ220" s="387"/>
      <c r="CR220" s="387"/>
      <c r="CS220" s="387"/>
      <c r="CT220" s="387"/>
      <c r="CU220" s="387"/>
      <c r="CV220" s="387"/>
      <c r="CW220" s="387"/>
      <c r="CX220" s="387"/>
      <c r="CY220" s="387"/>
      <c r="CZ220" s="387"/>
      <c r="DA220" s="387"/>
      <c r="DB220" s="387"/>
      <c r="DC220" s="387"/>
      <c r="DD220" s="387"/>
      <c r="DE220" s="387"/>
      <c r="DF220" s="387"/>
      <c r="DG220" s="387"/>
      <c r="DH220" s="387"/>
      <c r="DI220" s="387"/>
      <c r="DJ220" s="387"/>
      <c r="DK220" s="387"/>
      <c r="DL220" s="387"/>
      <c r="DM220" s="387"/>
      <c r="DN220" s="387"/>
      <c r="DO220" s="387"/>
      <c r="DP220" s="387"/>
      <c r="DQ220" s="387"/>
      <c r="DR220" s="387"/>
      <c r="DS220" s="387"/>
      <c r="DT220" s="387"/>
      <c r="DU220" s="387"/>
      <c r="DV220" s="387"/>
      <c r="DW220" s="387"/>
      <c r="DX220" s="387"/>
      <c r="DY220" s="387"/>
      <c r="DZ220" s="387"/>
      <c r="EA220" s="387"/>
      <c r="EB220" s="387"/>
      <c r="EC220" s="387"/>
      <c r="ED220" s="387"/>
      <c r="EE220" s="387"/>
      <c r="EF220" s="387"/>
      <c r="EG220" s="387"/>
      <c r="EH220" s="387"/>
      <c r="EI220" s="387"/>
      <c r="EJ220" s="387"/>
      <c r="EK220" s="387"/>
      <c r="EL220" s="387"/>
      <c r="EM220" s="387"/>
      <c r="EN220" s="387"/>
      <c r="EO220" s="387"/>
      <c r="EP220" s="387"/>
      <c r="EQ220" s="387"/>
      <c r="ER220" s="387"/>
      <c r="ES220" s="387"/>
      <c r="ET220" s="387"/>
      <c r="EU220" s="387"/>
      <c r="EV220" s="387"/>
      <c r="EW220" s="387"/>
      <c r="EX220" s="387"/>
      <c r="EY220" s="387"/>
      <c r="EZ220" s="387"/>
      <c r="FA220" s="387"/>
      <c r="FB220" s="387"/>
      <c r="FC220" s="387"/>
      <c r="FD220" s="387"/>
      <c r="FE220" s="387"/>
      <c r="FF220" s="387"/>
      <c r="FG220" s="387"/>
      <c r="FH220" s="387"/>
      <c r="FI220" s="387"/>
      <c r="FJ220" s="387"/>
      <c r="FK220" s="387"/>
      <c r="FL220" s="387"/>
      <c r="FM220" s="387"/>
      <c r="FN220" s="387"/>
      <c r="FO220" s="387"/>
      <c r="FP220" s="387"/>
      <c r="FQ220" s="387"/>
      <c r="FR220" s="387"/>
      <c r="FS220" s="387"/>
      <c r="FT220" s="387"/>
      <c r="FU220" s="387"/>
      <c r="FV220" s="387"/>
      <c r="FW220" s="387"/>
      <c r="FX220" s="387"/>
      <c r="FY220" s="387"/>
      <c r="FZ220" s="387"/>
      <c r="GA220" s="387"/>
      <c r="GB220" s="387"/>
      <c r="GC220" s="387"/>
      <c r="GD220" s="387"/>
      <c r="GE220" s="387"/>
      <c r="GF220" s="387"/>
      <c r="GG220" s="387"/>
      <c r="GH220" s="387"/>
      <c r="GI220" s="387"/>
      <c r="GJ220" s="387"/>
      <c r="GK220" s="387"/>
      <c r="GL220" s="387"/>
      <c r="GM220" s="387"/>
      <c r="GN220" s="387"/>
      <c r="GO220" s="387"/>
      <c r="GP220" s="387"/>
      <c r="GQ220" s="387"/>
      <c r="GR220" s="387"/>
      <c r="GS220" s="387"/>
      <c r="GT220" s="387"/>
      <c r="GU220" s="387"/>
      <c r="GV220" s="387"/>
      <c r="GW220" s="387"/>
      <c r="GX220" s="387"/>
      <c r="GY220" s="387"/>
      <c r="GZ220" s="387"/>
      <c r="HA220" s="387"/>
      <c r="HB220" s="387"/>
      <c r="HC220" s="387"/>
      <c r="HD220" s="387"/>
      <c r="HE220" s="387"/>
      <c r="HF220" s="387"/>
      <c r="HG220" s="387"/>
      <c r="HH220" s="387"/>
      <c r="HI220" s="387"/>
      <c r="HJ220" s="387"/>
      <c r="HK220" s="387"/>
      <c r="HL220" s="387"/>
      <c r="HM220" s="387"/>
      <c r="HN220" s="387"/>
      <c r="HO220" s="387"/>
      <c r="HP220" s="387"/>
      <c r="HQ220" s="387"/>
      <c r="HR220" s="387"/>
      <c r="HS220" s="387"/>
      <c r="HT220" s="387"/>
      <c r="HU220" s="387"/>
      <c r="HV220" s="387"/>
      <c r="HW220" s="387"/>
      <c r="HX220" s="387"/>
      <c r="HY220" s="387"/>
      <c r="HZ220" s="387"/>
      <c r="IA220" s="387"/>
      <c r="IB220" s="387"/>
      <c r="IC220" s="387"/>
      <c r="ID220" s="387"/>
      <c r="IE220" s="387"/>
      <c r="IF220" s="387"/>
      <c r="IG220" s="387"/>
      <c r="IH220" s="387"/>
      <c r="II220" s="387"/>
      <c r="IJ220" s="387"/>
      <c r="IK220" s="387"/>
      <c r="IL220" s="387"/>
      <c r="IM220" s="387"/>
      <c r="IN220" s="387"/>
      <c r="IO220" s="387"/>
      <c r="IP220" s="387"/>
      <c r="IQ220" s="387"/>
      <c r="IR220" s="387"/>
      <c r="IS220" s="387"/>
      <c r="IT220" s="387"/>
      <c r="IU220" s="387"/>
      <c r="IV220" s="387"/>
      <c r="IW220" s="387"/>
      <c r="IX220" s="387"/>
      <c r="IY220" s="387"/>
      <c r="IZ220" s="387"/>
      <c r="JA220" s="387"/>
      <c r="JB220" s="387"/>
      <c r="JC220" s="387"/>
      <c r="JD220" s="387"/>
      <c r="JE220" s="387"/>
      <c r="JF220" s="387"/>
      <c r="JG220" s="387"/>
      <c r="JH220" s="387"/>
      <c r="JI220" s="387"/>
      <c r="JJ220" s="387"/>
      <c r="JK220" s="387"/>
      <c r="JL220" s="387"/>
      <c r="JM220" s="387"/>
      <c r="JN220" s="387"/>
      <c r="JO220" s="387"/>
      <c r="JP220" s="387"/>
      <c r="JQ220" s="387"/>
      <c r="JR220" s="387"/>
      <c r="JS220" s="387"/>
      <c r="JT220" s="387"/>
      <c r="JU220" s="387"/>
      <c r="JV220" s="387"/>
      <c r="JW220" s="387"/>
      <c r="JX220" s="387"/>
      <c r="JY220" s="387"/>
      <c r="JZ220" s="387"/>
      <c r="KA220" s="387"/>
      <c r="KB220" s="387"/>
      <c r="KC220" s="387"/>
      <c r="KD220" s="387"/>
      <c r="KE220" s="387"/>
      <c r="KF220" s="387"/>
      <c r="KG220" s="387"/>
      <c r="KH220" s="387"/>
      <c r="KI220" s="387"/>
      <c r="KJ220" s="387"/>
      <c r="KK220" s="387"/>
      <c r="KL220" s="387"/>
      <c r="KM220" s="387"/>
      <c r="KN220" s="387"/>
      <c r="KO220" s="387"/>
      <c r="KP220" s="387"/>
      <c r="KQ220" s="387"/>
      <c r="KR220" s="387"/>
      <c r="KS220" s="387"/>
      <c r="KT220" s="387"/>
      <c r="KU220" s="387"/>
      <c r="KV220" s="387"/>
      <c r="KW220" s="387"/>
      <c r="KX220" s="387"/>
      <c r="KY220" s="387"/>
      <c r="KZ220" s="387"/>
      <c r="LA220" s="387"/>
      <c r="LB220" s="387"/>
      <c r="LC220" s="387"/>
      <c r="LD220" s="387"/>
      <c r="LE220" s="387"/>
      <c r="LF220" s="387"/>
      <c r="LG220" s="387"/>
      <c r="LH220" s="387"/>
      <c r="LI220" s="387"/>
      <c r="LJ220" s="387"/>
      <c r="LK220" s="387"/>
      <c r="LL220" s="387"/>
      <c r="LM220" s="387"/>
      <c r="LN220" s="387"/>
      <c r="LO220" s="387"/>
      <c r="LP220" s="387"/>
      <c r="LQ220" s="387"/>
      <c r="LR220" s="387"/>
      <c r="LS220" s="387"/>
      <c r="LT220" s="387"/>
      <c r="LU220" s="387"/>
      <c r="LV220" s="387"/>
      <c r="LW220" s="387"/>
      <c r="LX220" s="387"/>
      <c r="LY220" s="387"/>
      <c r="LZ220" s="387"/>
      <c r="MA220" s="387"/>
      <c r="MB220" s="387"/>
      <c r="MC220" s="387"/>
      <c r="MD220" s="387"/>
      <c r="ME220" s="387"/>
      <c r="MF220" s="387"/>
      <c r="MG220" s="387"/>
      <c r="MH220" s="387"/>
      <c r="MI220" s="387"/>
      <c r="MJ220" s="387"/>
      <c r="MK220" s="387"/>
      <c r="ML220" s="387"/>
      <c r="MM220" s="387"/>
      <c r="MN220" s="387"/>
      <c r="MO220" s="387"/>
      <c r="MP220" s="387"/>
      <c r="MQ220" s="387"/>
      <c r="MR220" s="387"/>
      <c r="MS220" s="387"/>
      <c r="MT220" s="387"/>
      <c r="MU220" s="387"/>
      <c r="MV220" s="387"/>
      <c r="MW220" s="387"/>
      <c r="MX220" s="387"/>
      <c r="MY220" s="387"/>
      <c r="MZ220" s="387"/>
      <c r="NA220" s="387"/>
      <c r="NB220" s="387"/>
      <c r="NC220" s="387"/>
      <c r="ND220" s="387"/>
      <c r="NE220" s="387"/>
      <c r="NF220" s="387"/>
      <c r="NG220" s="387"/>
      <c r="NH220" s="387"/>
      <c r="NI220" s="387"/>
      <c r="NJ220" s="387"/>
      <c r="NK220" s="387"/>
      <c r="NL220" s="387"/>
      <c r="NM220" s="387"/>
      <c r="NN220" s="387"/>
      <c r="NO220" s="387"/>
      <c r="NP220" s="387"/>
      <c r="NQ220" s="387"/>
      <c r="NR220" s="387"/>
      <c r="NS220" s="387"/>
      <c r="NT220" s="387"/>
      <c r="NU220" s="387"/>
      <c r="NV220" s="387"/>
      <c r="NW220" s="387"/>
      <c r="NX220" s="387"/>
      <c r="NY220" s="387"/>
      <c r="NZ220" s="387"/>
      <c r="OA220" s="387"/>
      <c r="OB220" s="387"/>
      <c r="OC220" s="387"/>
      <c r="OD220" s="387"/>
      <c r="OE220" s="387"/>
      <c r="OF220" s="387"/>
      <c r="OG220" s="387"/>
      <c r="OH220" s="387"/>
      <c r="OI220" s="387"/>
      <c r="OJ220" s="387"/>
      <c r="OK220" s="387"/>
      <c r="OL220" s="387"/>
      <c r="OM220" s="387"/>
      <c r="ON220" s="387"/>
      <c r="OO220" s="387"/>
      <c r="OP220" s="387"/>
      <c r="OQ220" s="387"/>
      <c r="OR220" s="387"/>
      <c r="OS220" s="387"/>
      <c r="OT220" s="387"/>
      <c r="OU220" s="387"/>
      <c r="OV220" s="387"/>
      <c r="OW220" s="387"/>
      <c r="OX220" s="387"/>
      <c r="OY220" s="387"/>
      <c r="OZ220" s="387"/>
      <c r="PA220" s="387"/>
      <c r="PB220" s="387"/>
      <c r="PC220" s="387"/>
      <c r="PD220" s="387"/>
      <c r="PE220" s="387"/>
      <c r="PF220" s="387"/>
      <c r="PG220" s="387"/>
      <c r="PH220" s="387"/>
      <c r="PI220" s="387"/>
      <c r="PJ220" s="387"/>
      <c r="PK220" s="387"/>
      <c r="PL220" s="387"/>
      <c r="PM220" s="387"/>
      <c r="PN220" s="387"/>
      <c r="PO220" s="387"/>
      <c r="PP220" s="387"/>
      <c r="PQ220" s="387"/>
      <c r="PR220" s="387"/>
      <c r="PS220" s="387"/>
      <c r="PT220" s="387"/>
      <c r="PU220" s="387"/>
      <c r="PV220" s="387"/>
      <c r="PW220" s="387"/>
      <c r="PX220" s="387"/>
      <c r="PY220" s="387"/>
      <c r="PZ220" s="387"/>
      <c r="QA220" s="387"/>
      <c r="QB220" s="387"/>
      <c r="QC220" s="387"/>
      <c r="QD220" s="387"/>
      <c r="QE220" s="387"/>
      <c r="QF220" s="387"/>
      <c r="QG220" s="387"/>
      <c r="QH220" s="387"/>
      <c r="QI220" s="387"/>
      <c r="QJ220" s="387"/>
      <c r="QK220" s="387"/>
      <c r="QL220" s="387"/>
      <c r="QM220" s="387"/>
      <c r="QN220" s="387"/>
      <c r="QO220" s="387"/>
      <c r="QP220" s="387"/>
      <c r="QQ220" s="387"/>
      <c r="QR220" s="387"/>
      <c r="QS220" s="387"/>
      <c r="QT220" s="387"/>
      <c r="QU220" s="387"/>
      <c r="QV220" s="387"/>
      <c r="QW220" s="387"/>
      <c r="QX220" s="387"/>
      <c r="QY220" s="387"/>
      <c r="QZ220" s="387"/>
      <c r="RA220" s="387"/>
      <c r="RB220" s="387"/>
      <c r="RC220" s="387"/>
      <c r="RD220" s="387"/>
      <c r="RE220" s="387"/>
      <c r="RF220" s="387"/>
      <c r="RG220" s="387"/>
      <c r="RH220" s="387"/>
      <c r="RI220" s="387"/>
      <c r="RJ220" s="387"/>
      <c r="RK220" s="387"/>
      <c r="RL220" s="387"/>
      <c r="RM220" s="387"/>
      <c r="RN220" s="387"/>
      <c r="RO220" s="387"/>
      <c r="RP220" s="387"/>
      <c r="RQ220" s="387"/>
      <c r="RR220" s="387"/>
      <c r="RS220" s="387"/>
      <c r="RT220" s="387"/>
      <c r="RU220" s="387"/>
      <c r="RV220" s="387"/>
      <c r="RW220" s="387"/>
      <c r="RX220" s="387"/>
      <c r="RY220" s="387"/>
      <c r="RZ220" s="387"/>
      <c r="SA220" s="387"/>
      <c r="SB220" s="387"/>
      <c r="SC220" s="387"/>
      <c r="SD220" s="387"/>
      <c r="SE220" s="387"/>
      <c r="SF220" s="387"/>
      <c r="SG220" s="387"/>
      <c r="SH220" s="387"/>
      <c r="SI220" s="387"/>
      <c r="SJ220" s="387"/>
      <c r="SK220" s="387"/>
      <c r="SL220" s="387"/>
      <c r="SM220" s="387"/>
      <c r="SN220" s="387"/>
      <c r="SO220" s="387"/>
      <c r="SP220" s="387"/>
      <c r="SQ220" s="387"/>
      <c r="SR220" s="387"/>
      <c r="SS220" s="387"/>
      <c r="ST220" s="387"/>
      <c r="SU220" s="387"/>
      <c r="SV220" s="387"/>
      <c r="SW220" s="387"/>
      <c r="SX220" s="387"/>
      <c r="SY220" s="387"/>
      <c r="SZ220" s="387"/>
      <c r="TA220" s="387"/>
      <c r="TB220" s="387"/>
      <c r="TC220" s="387"/>
      <c r="TD220" s="387"/>
      <c r="TE220" s="387"/>
      <c r="TF220" s="387"/>
      <c r="TG220" s="387"/>
      <c r="TH220" s="387"/>
      <c r="TI220" s="387"/>
      <c r="TJ220" s="387"/>
      <c r="TK220" s="387"/>
      <c r="TL220" s="387"/>
      <c r="TM220" s="387"/>
      <c r="TN220" s="387"/>
      <c r="TO220" s="387"/>
      <c r="TP220" s="387"/>
      <c r="TQ220" s="387"/>
      <c r="TR220" s="387"/>
      <c r="TS220" s="387"/>
      <c r="TT220" s="387"/>
      <c r="TU220" s="387"/>
      <c r="TV220" s="387"/>
      <c r="TW220" s="387"/>
      <c r="TX220" s="387"/>
      <c r="TY220" s="387"/>
      <c r="TZ220" s="387"/>
      <c r="UA220" s="387"/>
      <c r="UB220" s="387"/>
      <c r="UC220" s="387"/>
      <c r="UD220" s="387"/>
      <c r="UE220" s="387"/>
      <c r="UF220" s="387"/>
      <c r="UG220" s="387"/>
      <c r="UH220" s="387"/>
      <c r="UI220" s="387"/>
      <c r="UJ220" s="387"/>
      <c r="UK220" s="387"/>
      <c r="UL220" s="387"/>
      <c r="UM220" s="387"/>
      <c r="UN220" s="387"/>
      <c r="UO220" s="387"/>
      <c r="UP220" s="387"/>
      <c r="UQ220" s="387"/>
      <c r="UR220" s="387"/>
      <c r="US220" s="387"/>
      <c r="UT220" s="387"/>
      <c r="UU220" s="387"/>
      <c r="UV220" s="387"/>
      <c r="UW220" s="387"/>
      <c r="UX220" s="387"/>
      <c r="UY220" s="387"/>
      <c r="UZ220" s="387"/>
      <c r="VA220" s="387"/>
      <c r="VB220" s="387"/>
      <c r="VC220" s="387"/>
      <c r="VD220" s="387"/>
      <c r="VE220" s="387"/>
      <c r="VF220" s="387"/>
      <c r="VG220" s="387"/>
      <c r="VH220" s="387"/>
      <c r="VI220" s="387"/>
      <c r="VJ220" s="387"/>
      <c r="VK220" s="387"/>
      <c r="VL220" s="387"/>
      <c r="VM220" s="387"/>
      <c r="VN220" s="387"/>
      <c r="VO220" s="387"/>
      <c r="VP220" s="387"/>
      <c r="VQ220" s="387"/>
      <c r="VR220" s="387"/>
      <c r="VS220" s="387"/>
      <c r="VT220" s="387"/>
      <c r="VU220" s="387"/>
      <c r="VV220" s="387"/>
      <c r="VW220" s="387"/>
      <c r="VX220" s="387"/>
      <c r="VY220" s="387"/>
      <c r="VZ220" s="387"/>
      <c r="WA220" s="387"/>
      <c r="WB220" s="387"/>
      <c r="WC220" s="387"/>
      <c r="WD220" s="387"/>
      <c r="WE220" s="387"/>
      <c r="WF220" s="387"/>
      <c r="WG220" s="387"/>
      <c r="WH220" s="387"/>
      <c r="WI220" s="387"/>
      <c r="WJ220" s="387"/>
      <c r="WK220" s="387"/>
      <c r="WL220" s="387"/>
      <c r="WM220" s="387"/>
      <c r="WN220" s="387"/>
      <c r="WO220" s="387"/>
      <c r="WP220" s="387"/>
      <c r="WQ220" s="387"/>
      <c r="WR220" s="387"/>
      <c r="WS220" s="387"/>
      <c r="WT220" s="387"/>
      <c r="WU220" s="387"/>
      <c r="WV220" s="387"/>
      <c r="WW220" s="387"/>
      <c r="WX220" s="387"/>
      <c r="WY220" s="387"/>
      <c r="WZ220" s="387"/>
      <c r="XA220" s="387"/>
      <c r="XB220" s="387"/>
      <c r="XC220" s="387"/>
      <c r="XD220" s="387"/>
      <c r="XE220" s="387"/>
      <c r="XF220" s="387"/>
      <c r="XG220" s="387"/>
      <c r="XH220" s="387"/>
      <c r="XI220" s="387"/>
      <c r="XJ220" s="387"/>
      <c r="XK220" s="387"/>
      <c r="XL220" s="387"/>
      <c r="XM220" s="387"/>
      <c r="XN220" s="387"/>
      <c r="XO220" s="387"/>
      <c r="XP220" s="387"/>
      <c r="XQ220" s="387"/>
      <c r="XR220" s="387"/>
      <c r="XS220" s="387"/>
      <c r="XT220" s="387"/>
      <c r="XU220" s="387"/>
      <c r="XV220" s="387"/>
      <c r="XW220" s="387"/>
      <c r="XX220" s="387"/>
      <c r="XY220" s="387"/>
      <c r="XZ220" s="387"/>
      <c r="YA220" s="387"/>
      <c r="YB220" s="387"/>
      <c r="YC220" s="387"/>
      <c r="YD220" s="387"/>
      <c r="YE220" s="387"/>
      <c r="YF220" s="387"/>
      <c r="YG220" s="387"/>
      <c r="YH220" s="387"/>
      <c r="YI220" s="387"/>
      <c r="YJ220" s="387"/>
      <c r="YK220" s="387"/>
      <c r="YL220" s="387"/>
      <c r="YM220" s="387"/>
      <c r="YN220" s="387"/>
      <c r="YO220" s="387"/>
      <c r="YP220" s="387"/>
      <c r="YQ220" s="387"/>
      <c r="YR220" s="387"/>
      <c r="YS220" s="387"/>
      <c r="YT220" s="387"/>
      <c r="YU220" s="387"/>
      <c r="YV220" s="387"/>
      <c r="YW220" s="387"/>
      <c r="YX220" s="387"/>
      <c r="YY220" s="387"/>
      <c r="YZ220" s="387"/>
      <c r="ZA220" s="387"/>
      <c r="ZB220" s="387"/>
      <c r="ZC220" s="387"/>
      <c r="ZD220" s="387"/>
      <c r="ZE220" s="387"/>
      <c r="ZF220" s="387"/>
      <c r="ZG220" s="387"/>
      <c r="ZH220" s="387"/>
      <c r="ZI220" s="387"/>
      <c r="ZJ220" s="387"/>
      <c r="ZK220" s="387"/>
      <c r="ZL220" s="387"/>
      <c r="ZM220" s="387"/>
      <c r="ZN220" s="387"/>
      <c r="ZO220" s="387"/>
      <c r="ZP220" s="387"/>
      <c r="ZQ220" s="387"/>
      <c r="ZR220" s="387"/>
      <c r="ZS220" s="387"/>
      <c r="ZT220" s="387"/>
      <c r="ZU220" s="387"/>
      <c r="ZV220" s="387"/>
      <c r="ZW220" s="387"/>
      <c r="ZX220" s="387"/>
      <c r="ZY220" s="387"/>
      <c r="ZZ220" s="387"/>
      <c r="AAA220" s="387"/>
      <c r="AAB220" s="387"/>
      <c r="AAC220" s="387"/>
      <c r="AAD220" s="387"/>
      <c r="AAE220" s="387"/>
      <c r="AAF220" s="387"/>
      <c r="AAG220" s="387"/>
      <c r="AAH220" s="387"/>
      <c r="AAI220" s="387"/>
      <c r="AAJ220" s="387"/>
      <c r="AAK220" s="387"/>
      <c r="AAL220" s="387"/>
      <c r="AAM220" s="387"/>
      <c r="AAN220" s="387"/>
      <c r="AAO220" s="387"/>
      <c r="AAP220" s="387"/>
      <c r="AAQ220" s="387"/>
      <c r="AAR220" s="387"/>
      <c r="AAS220" s="387"/>
      <c r="AAT220" s="387"/>
      <c r="AAU220" s="387"/>
      <c r="AAV220" s="387"/>
      <c r="AAW220" s="387"/>
      <c r="AAX220" s="387"/>
      <c r="AAY220" s="387"/>
      <c r="AAZ220" s="387"/>
      <c r="ABA220" s="387"/>
      <c r="ABB220" s="387"/>
      <c r="ABC220" s="387"/>
      <c r="ABD220" s="387"/>
      <c r="ABE220" s="387"/>
      <c r="ABF220" s="387"/>
      <c r="ABG220" s="387"/>
      <c r="ABH220" s="387"/>
      <c r="ABI220" s="387"/>
      <c r="ABJ220" s="387"/>
      <c r="ABK220" s="387"/>
      <c r="ABL220" s="387"/>
      <c r="ABM220" s="387"/>
      <c r="ABN220" s="387"/>
      <c r="ABO220" s="387"/>
      <c r="ABP220" s="387"/>
      <c r="ABQ220" s="387"/>
      <c r="ABR220" s="387"/>
      <c r="ABS220" s="387"/>
      <c r="ABT220" s="387"/>
      <c r="ABU220" s="387"/>
      <c r="ABV220" s="387"/>
      <c r="ABW220" s="387"/>
      <c r="ABX220" s="387"/>
      <c r="ABY220" s="387"/>
      <c r="ABZ220" s="387"/>
      <c r="ACA220" s="387"/>
      <c r="ACB220" s="387"/>
      <c r="ACC220" s="387"/>
      <c r="ACD220" s="387"/>
      <c r="ACE220" s="387"/>
      <c r="ACF220" s="387"/>
      <c r="ACG220" s="387"/>
      <c r="ACH220" s="387"/>
      <c r="ACI220" s="387"/>
      <c r="ACJ220" s="387"/>
      <c r="ACK220" s="387"/>
      <c r="ACL220" s="387"/>
      <c r="ACM220" s="387"/>
      <c r="ACN220" s="387"/>
      <c r="ACO220" s="387"/>
      <c r="ACP220" s="387"/>
      <c r="ACQ220" s="387"/>
      <c r="ACR220" s="387"/>
      <c r="ACS220" s="387"/>
      <c r="ACT220" s="387"/>
      <c r="ACU220" s="387"/>
      <c r="ACV220" s="387"/>
      <c r="ACW220" s="387"/>
      <c r="ACX220" s="387"/>
      <c r="ACY220" s="387"/>
      <c r="ACZ220" s="387"/>
      <c r="ADA220" s="387"/>
      <c r="ADB220" s="387"/>
      <c r="ADC220" s="387"/>
      <c r="ADD220" s="387"/>
      <c r="ADE220" s="387"/>
      <c r="ADF220" s="387"/>
      <c r="ADG220" s="387"/>
      <c r="ADH220" s="387"/>
      <c r="ADI220" s="387"/>
      <c r="ADJ220" s="387"/>
      <c r="ADK220" s="387"/>
      <c r="ADL220" s="387"/>
      <c r="ADM220" s="387"/>
      <c r="ADN220" s="387"/>
      <c r="ADO220" s="387"/>
      <c r="ADP220" s="387"/>
      <c r="ADQ220" s="387"/>
      <c r="ADR220" s="387"/>
      <c r="ADS220" s="387"/>
      <c r="ADT220" s="387"/>
      <c r="ADU220" s="387"/>
      <c r="ADV220" s="387"/>
      <c r="ADW220" s="387"/>
      <c r="ADX220" s="387"/>
      <c r="ADY220" s="387"/>
      <c r="ADZ220" s="387"/>
      <c r="AEA220" s="387"/>
      <c r="AEB220" s="387"/>
      <c r="AEC220" s="387"/>
      <c r="AED220" s="387"/>
      <c r="AEE220" s="387"/>
      <c r="AEF220" s="387"/>
      <c r="AEG220" s="387"/>
      <c r="AEH220" s="387"/>
      <c r="AEI220" s="387"/>
      <c r="AEJ220" s="387"/>
      <c r="AEK220" s="387"/>
      <c r="AEL220" s="387"/>
      <c r="AEM220" s="387"/>
      <c r="AEN220" s="387"/>
      <c r="AEO220" s="387"/>
      <c r="AEP220" s="387"/>
      <c r="AEQ220" s="387"/>
      <c r="AER220" s="387"/>
      <c r="AES220" s="387"/>
      <c r="AET220" s="387"/>
      <c r="AEU220" s="387"/>
      <c r="AEV220" s="387"/>
      <c r="AEW220" s="387"/>
      <c r="AEX220" s="387"/>
      <c r="AEY220" s="387"/>
      <c r="AEZ220" s="387"/>
      <c r="AFA220" s="387"/>
      <c r="AFB220" s="387"/>
      <c r="AFC220" s="387"/>
      <c r="AFD220" s="387"/>
      <c r="AFE220" s="387"/>
      <c r="AFF220" s="387"/>
      <c r="AFG220" s="387"/>
      <c r="AFH220" s="387"/>
      <c r="AFI220" s="387"/>
      <c r="AFJ220" s="387"/>
      <c r="AFK220" s="387"/>
      <c r="AFL220" s="387"/>
      <c r="AFM220" s="387"/>
      <c r="AFN220" s="387"/>
      <c r="AFO220" s="387"/>
      <c r="AFP220" s="387"/>
      <c r="AFQ220" s="387"/>
      <c r="AFR220" s="387"/>
      <c r="AFS220" s="387"/>
      <c r="AFT220" s="387"/>
      <c r="AFU220" s="387"/>
      <c r="AFV220" s="387"/>
      <c r="AFW220" s="387"/>
      <c r="AFX220" s="387"/>
      <c r="AFY220" s="387"/>
      <c r="AFZ220" s="387"/>
      <c r="AGA220" s="387"/>
      <c r="AGB220" s="387"/>
      <c r="AGC220" s="387"/>
      <c r="AGD220" s="387"/>
      <c r="AGE220" s="387"/>
      <c r="AGF220" s="387"/>
      <c r="AGG220" s="387"/>
      <c r="AGH220" s="387"/>
      <c r="AGI220" s="387"/>
      <c r="AGJ220" s="387"/>
      <c r="AGK220" s="387"/>
      <c r="AGL220" s="387"/>
      <c r="AGM220" s="387"/>
      <c r="AGN220" s="387"/>
      <c r="AGO220" s="387"/>
      <c r="AGP220" s="387"/>
      <c r="AGQ220" s="387"/>
      <c r="AGR220" s="387"/>
      <c r="AGS220" s="387"/>
      <c r="AGT220" s="387"/>
      <c r="AGU220" s="387"/>
      <c r="AGV220" s="387"/>
      <c r="AGW220" s="387"/>
      <c r="AGX220" s="387"/>
      <c r="AGY220" s="387"/>
      <c r="AGZ220" s="387"/>
      <c r="AHA220" s="387"/>
      <c r="AHB220" s="387"/>
      <c r="AHC220" s="387"/>
      <c r="AHD220" s="387"/>
      <c r="AHE220" s="387"/>
      <c r="AHF220" s="387"/>
      <c r="AHG220" s="387"/>
      <c r="AHH220" s="387"/>
      <c r="AHI220" s="387"/>
      <c r="AHJ220" s="387"/>
      <c r="AHK220" s="387"/>
      <c r="AHL220" s="387"/>
      <c r="AHM220" s="387"/>
      <c r="AHN220" s="387"/>
      <c r="AHO220" s="387"/>
      <c r="AHP220" s="387"/>
      <c r="AHQ220" s="387"/>
      <c r="AHR220" s="387"/>
      <c r="AHS220" s="387"/>
      <c r="AHT220" s="387"/>
      <c r="AHU220" s="387"/>
      <c r="AHV220" s="387"/>
      <c r="AHW220" s="387"/>
      <c r="AHX220" s="387"/>
      <c r="AHY220" s="387"/>
      <c r="AHZ220" s="387"/>
      <c r="AIA220" s="387"/>
      <c r="AIB220" s="387"/>
      <c r="AIC220" s="387"/>
      <c r="AID220" s="387"/>
      <c r="AIE220" s="387"/>
      <c r="AIF220" s="387"/>
      <c r="AIG220" s="387"/>
      <c r="AIH220" s="387"/>
      <c r="AII220" s="387"/>
      <c r="AIJ220" s="387"/>
      <c r="AIK220" s="387"/>
      <c r="AIL220" s="387"/>
      <c r="AIM220" s="387"/>
      <c r="AIN220" s="387"/>
      <c r="AIO220" s="387"/>
      <c r="AIP220" s="387"/>
      <c r="AIQ220" s="387"/>
      <c r="AIR220" s="387"/>
      <c r="AIS220" s="387"/>
      <c r="AIT220" s="387"/>
      <c r="AIU220" s="387"/>
      <c r="AIV220" s="387"/>
      <c r="AIW220" s="387"/>
      <c r="AIX220" s="387"/>
      <c r="AIY220" s="387"/>
      <c r="AIZ220" s="387"/>
      <c r="AJA220" s="387"/>
      <c r="AJB220" s="387"/>
      <c r="AJC220" s="387"/>
      <c r="AJD220" s="387"/>
      <c r="AJE220" s="387"/>
      <c r="AJF220" s="387"/>
      <c r="AJG220" s="387"/>
      <c r="AJH220" s="387"/>
      <c r="AJI220" s="387"/>
      <c r="AJJ220" s="387"/>
      <c r="AJK220" s="387"/>
      <c r="AJL220" s="387"/>
      <c r="AJM220" s="387"/>
      <c r="AJN220" s="387"/>
      <c r="AJO220" s="387"/>
      <c r="AJP220" s="387"/>
      <c r="AJQ220" s="387"/>
      <c r="AJR220" s="387"/>
      <c r="AJS220" s="387"/>
      <c r="AJT220" s="387"/>
      <c r="AJU220" s="387"/>
      <c r="AJV220" s="387"/>
      <c r="AJW220" s="387"/>
      <c r="AJX220" s="387"/>
      <c r="AJY220" s="387"/>
      <c r="AJZ220" s="387"/>
      <c r="AKA220" s="387"/>
      <c r="AKB220" s="387"/>
      <c r="AKC220" s="387"/>
      <c r="AKD220" s="387"/>
      <c r="AKE220" s="387"/>
      <c r="AKF220" s="387"/>
      <c r="AKG220" s="387"/>
      <c r="AKH220" s="387"/>
      <c r="AKI220" s="387"/>
      <c r="AKJ220" s="387"/>
      <c r="AKK220" s="387"/>
      <c r="AKL220" s="387"/>
      <c r="AKM220" s="387"/>
      <c r="AKN220" s="387"/>
      <c r="AKO220" s="387"/>
      <c r="AKP220" s="387"/>
      <c r="AKQ220" s="387"/>
      <c r="AKR220" s="387"/>
      <c r="AKS220" s="387"/>
      <c r="AKT220" s="387"/>
      <c r="AKU220" s="387"/>
      <c r="AKV220" s="387"/>
      <c r="AKW220" s="387"/>
      <c r="AKX220" s="387"/>
      <c r="AKY220" s="387"/>
      <c r="AKZ220" s="387"/>
      <c r="ALA220" s="387"/>
      <c r="ALB220" s="387"/>
      <c r="ALC220" s="387"/>
      <c r="ALD220" s="387"/>
      <c r="ALE220" s="387"/>
      <c r="ALF220" s="387"/>
      <c r="ALG220" s="387"/>
      <c r="ALH220" s="387"/>
      <c r="ALI220" s="387"/>
      <c r="ALJ220" s="387"/>
      <c r="ALK220" s="387"/>
      <c r="ALL220" s="387"/>
      <c r="ALM220" s="387"/>
      <c r="ALN220" s="387"/>
      <c r="ALO220" s="387"/>
      <c r="ALP220" s="387"/>
      <c r="ALQ220" s="387"/>
      <c r="ALR220" s="387"/>
      <c r="ALS220" s="387"/>
      <c r="ALT220" s="387"/>
      <c r="ALU220" s="387"/>
      <c r="ALV220" s="387"/>
      <c r="ALW220" s="387"/>
      <c r="ALX220" s="387"/>
      <c r="ALY220" s="387"/>
      <c r="ALZ220" s="387"/>
      <c r="AMA220" s="387"/>
      <c r="AMB220" s="387"/>
      <c r="AMC220" s="387"/>
      <c r="AMD220" s="387"/>
      <c r="AME220" s="387"/>
      <c r="AMF220" s="387"/>
      <c r="AMG220" s="387"/>
      <c r="AMH220" s="387"/>
      <c r="AMI220" s="387"/>
      <c r="AMJ220" s="387"/>
      <c r="AMK220" s="387"/>
      <c r="AML220" s="387"/>
      <c r="AMM220" s="387"/>
      <c r="AMN220" s="387"/>
      <c r="AMO220" s="387"/>
      <c r="AMP220" s="387"/>
      <c r="AMQ220" s="387"/>
      <c r="AMR220" s="387"/>
      <c r="AMS220" s="387"/>
      <c r="AMT220" s="387"/>
      <c r="AMU220" s="387"/>
      <c r="AMV220" s="387"/>
      <c r="AMW220" s="387"/>
      <c r="AMX220" s="387"/>
      <c r="AMY220" s="387"/>
      <c r="AMZ220" s="387"/>
      <c r="ANA220" s="387"/>
      <c r="ANB220" s="387"/>
      <c r="ANC220" s="387"/>
      <c r="AND220" s="387"/>
      <c r="ANE220" s="387"/>
      <c r="ANF220" s="387"/>
      <c r="ANG220" s="387"/>
      <c r="ANH220" s="387"/>
      <c r="ANI220" s="387"/>
      <c r="ANJ220" s="387"/>
      <c r="ANK220" s="387"/>
      <c r="ANL220" s="387"/>
      <c r="ANM220" s="387"/>
      <c r="ANN220" s="387"/>
      <c r="ANO220" s="387"/>
      <c r="ANP220" s="387"/>
      <c r="ANQ220" s="387"/>
      <c r="ANR220" s="387"/>
      <c r="ANS220" s="387"/>
      <c r="ANT220" s="387"/>
      <c r="ANU220" s="387"/>
      <c r="ANV220" s="387"/>
      <c r="ANW220" s="387"/>
      <c r="ANX220" s="387"/>
      <c r="ANY220" s="387"/>
      <c r="ANZ220" s="387"/>
      <c r="AOA220" s="387"/>
      <c r="AOB220" s="387"/>
      <c r="AOC220" s="387"/>
      <c r="AOD220" s="387"/>
      <c r="AOE220" s="387"/>
      <c r="AOF220" s="387"/>
      <c r="AOG220" s="387"/>
      <c r="AOH220" s="387"/>
      <c r="AOI220" s="387"/>
      <c r="AOJ220" s="387"/>
      <c r="AOK220" s="387"/>
      <c r="AOL220" s="387"/>
      <c r="AOM220" s="387"/>
      <c r="AON220" s="387"/>
      <c r="AOO220" s="387"/>
      <c r="AOP220" s="387"/>
      <c r="AOQ220" s="387"/>
      <c r="AOR220" s="387"/>
      <c r="AOS220" s="387"/>
      <c r="AOT220" s="387"/>
      <c r="AOU220" s="387"/>
      <c r="AOV220" s="387"/>
      <c r="AOW220" s="387"/>
      <c r="AOX220" s="387"/>
      <c r="AOY220" s="387"/>
      <c r="AOZ220" s="387"/>
      <c r="APA220" s="387"/>
      <c r="APB220" s="387"/>
      <c r="APC220" s="387"/>
      <c r="APD220" s="387"/>
      <c r="APE220" s="387"/>
      <c r="APF220" s="387"/>
      <c r="APG220" s="387"/>
      <c r="APH220" s="387"/>
      <c r="API220" s="387"/>
      <c r="APJ220" s="387"/>
      <c r="APK220" s="387"/>
      <c r="APL220" s="387"/>
      <c r="APM220" s="387"/>
      <c r="APN220" s="387"/>
      <c r="APO220" s="387"/>
      <c r="APP220" s="387"/>
      <c r="APQ220" s="387"/>
      <c r="APR220" s="387"/>
      <c r="APS220" s="387"/>
      <c r="APT220" s="387"/>
      <c r="APU220" s="387"/>
      <c r="APV220" s="387"/>
      <c r="APW220" s="387"/>
      <c r="APX220" s="387"/>
      <c r="APY220" s="387"/>
      <c r="APZ220" s="387"/>
      <c r="AQA220" s="387"/>
      <c r="AQB220" s="387"/>
      <c r="AQC220" s="387"/>
      <c r="AQD220" s="387"/>
      <c r="AQE220" s="387"/>
      <c r="AQF220" s="387"/>
      <c r="AQG220" s="387"/>
      <c r="AQH220" s="387"/>
      <c r="AQI220" s="387"/>
      <c r="AQJ220" s="387"/>
      <c r="AQK220" s="387"/>
      <c r="AQL220" s="387"/>
      <c r="AQM220" s="387"/>
      <c r="AQN220" s="387"/>
      <c r="AQO220" s="387"/>
      <c r="AQP220" s="387"/>
      <c r="AQQ220" s="387"/>
      <c r="AQR220" s="387"/>
      <c r="AQS220" s="387"/>
      <c r="AQT220" s="387"/>
      <c r="AQU220" s="387"/>
      <c r="AQV220" s="387"/>
      <c r="AQW220" s="387"/>
      <c r="AQX220" s="387"/>
      <c r="AQY220" s="387"/>
      <c r="AQZ220" s="387"/>
      <c r="ARA220" s="387"/>
      <c r="ARB220" s="387"/>
      <c r="ARC220" s="387"/>
      <c r="ARD220" s="387"/>
      <c r="ARE220" s="387"/>
      <c r="ARF220" s="387"/>
      <c r="ARG220" s="387"/>
      <c r="ARH220" s="387"/>
      <c r="ARI220" s="387"/>
      <c r="ARJ220" s="387"/>
      <c r="ARK220" s="387"/>
      <c r="ARL220" s="387"/>
      <c r="ARM220" s="387"/>
      <c r="ARN220" s="387"/>
      <c r="ARO220" s="387"/>
      <c r="ARP220" s="387"/>
      <c r="ARQ220" s="387"/>
      <c r="ARR220" s="387"/>
      <c r="ARS220" s="387"/>
      <c r="ART220" s="387"/>
      <c r="ARU220" s="387"/>
      <c r="ARV220" s="387"/>
      <c r="ARW220" s="387"/>
      <c r="ARX220" s="387"/>
      <c r="ARY220" s="387"/>
      <c r="ARZ220" s="387"/>
      <c r="ASA220" s="387"/>
      <c r="ASB220" s="387"/>
      <c r="ASC220" s="387"/>
      <c r="ASD220" s="387"/>
      <c r="ASE220" s="387"/>
      <c r="ASF220" s="387"/>
      <c r="ASG220" s="387"/>
      <c r="ASH220" s="387"/>
      <c r="ASI220" s="387"/>
      <c r="ASJ220" s="387"/>
      <c r="ASK220" s="387"/>
      <c r="ASL220" s="387"/>
      <c r="ASM220" s="387"/>
      <c r="ASN220" s="387"/>
      <c r="ASO220" s="387"/>
      <c r="ASP220" s="387"/>
      <c r="ASQ220" s="387"/>
      <c r="ASR220" s="387"/>
      <c r="ASS220" s="387"/>
      <c r="AST220" s="387"/>
      <c r="ASU220" s="387"/>
      <c r="ASV220" s="387"/>
      <c r="ASW220" s="387"/>
      <c r="ASX220" s="387"/>
      <c r="ASY220" s="387"/>
      <c r="ASZ220" s="387"/>
      <c r="ATA220" s="387"/>
      <c r="ATB220" s="387"/>
      <c r="ATC220" s="387"/>
      <c r="ATD220" s="387"/>
      <c r="ATE220" s="387"/>
      <c r="ATF220" s="387"/>
      <c r="ATG220" s="387"/>
      <c r="ATH220" s="387"/>
      <c r="ATI220" s="387"/>
      <c r="ATJ220" s="387"/>
      <c r="ATK220" s="387"/>
      <c r="ATL220" s="387"/>
      <c r="ATM220" s="387"/>
      <c r="ATN220" s="387"/>
      <c r="ATO220" s="387"/>
      <c r="ATP220" s="387"/>
      <c r="ATQ220" s="387"/>
      <c r="ATR220" s="387"/>
      <c r="ATS220" s="387"/>
      <c r="ATT220" s="387"/>
      <c r="ATU220" s="387"/>
      <c r="ATV220" s="387"/>
      <c r="ATW220" s="387"/>
      <c r="ATX220" s="387"/>
      <c r="ATY220" s="387"/>
      <c r="ATZ220" s="387"/>
      <c r="AUA220" s="387"/>
      <c r="AUB220" s="387"/>
      <c r="AUC220" s="387"/>
      <c r="AUD220" s="387"/>
      <c r="AUE220" s="387"/>
      <c r="AUF220" s="387"/>
      <c r="AUG220" s="387"/>
      <c r="AUH220" s="387"/>
      <c r="AUI220" s="387"/>
      <c r="AUJ220" s="387"/>
      <c r="AUK220" s="387"/>
      <c r="AUL220" s="387"/>
      <c r="AUM220" s="387"/>
      <c r="AUN220" s="387"/>
      <c r="AUO220" s="387"/>
      <c r="AUP220" s="387"/>
      <c r="AUQ220" s="387"/>
      <c r="AUR220" s="387"/>
      <c r="AUS220" s="387"/>
      <c r="AUT220" s="387"/>
      <c r="AUU220" s="387"/>
      <c r="AUV220" s="387"/>
      <c r="AUW220" s="387"/>
      <c r="AUX220" s="387"/>
      <c r="AUY220" s="387"/>
      <c r="AUZ220" s="387"/>
      <c r="AVA220" s="387"/>
      <c r="AVB220" s="387"/>
      <c r="AVC220" s="387"/>
      <c r="AVD220" s="387"/>
      <c r="AVE220" s="387"/>
      <c r="AVF220" s="387"/>
      <c r="AVG220" s="387"/>
      <c r="AVH220" s="387"/>
      <c r="AVI220" s="387"/>
      <c r="AVJ220" s="387"/>
      <c r="AVK220" s="387"/>
      <c r="AVL220" s="387"/>
      <c r="AVM220" s="387"/>
      <c r="AVN220" s="387"/>
      <c r="AVO220" s="387"/>
      <c r="AVP220" s="387"/>
      <c r="AVQ220" s="387"/>
      <c r="AVR220" s="387"/>
      <c r="AVS220" s="387"/>
      <c r="AVT220" s="387"/>
      <c r="AVU220" s="387"/>
      <c r="AVV220" s="387"/>
      <c r="AVW220" s="387"/>
      <c r="AVX220" s="387"/>
      <c r="AVY220" s="387"/>
      <c r="AVZ220" s="387"/>
      <c r="AWA220" s="387"/>
      <c r="AWB220" s="387"/>
      <c r="AWC220" s="387"/>
      <c r="AWD220" s="387"/>
      <c r="AWE220" s="387"/>
      <c r="AWF220" s="387"/>
      <c r="AWG220" s="387"/>
      <c r="AWH220" s="387"/>
      <c r="AWI220" s="387"/>
      <c r="AWJ220" s="387"/>
      <c r="AWK220" s="387"/>
      <c r="AWL220" s="387"/>
      <c r="AWM220" s="387"/>
      <c r="AWN220" s="387"/>
      <c r="AWO220" s="387"/>
      <c r="AWP220" s="387"/>
      <c r="AWQ220" s="387"/>
      <c r="AWR220" s="387"/>
      <c r="AWS220" s="387"/>
      <c r="AWT220" s="387"/>
      <c r="AWU220" s="387"/>
      <c r="AWV220" s="387"/>
      <c r="AWW220" s="387"/>
      <c r="AWX220" s="387"/>
      <c r="AWY220" s="387"/>
      <c r="AWZ220" s="387"/>
      <c r="AXA220" s="387"/>
      <c r="AXB220" s="387"/>
      <c r="AXC220" s="387"/>
      <c r="AXD220" s="387"/>
      <c r="AXE220" s="387"/>
      <c r="AXF220" s="387"/>
      <c r="AXG220" s="387"/>
      <c r="AXH220" s="387"/>
      <c r="AXI220" s="387"/>
      <c r="AXJ220" s="387"/>
      <c r="AXK220" s="387"/>
      <c r="AXL220" s="387"/>
      <c r="AXM220" s="387"/>
      <c r="AXN220" s="387"/>
      <c r="AXO220" s="387"/>
      <c r="AXP220" s="387"/>
      <c r="AXQ220" s="387"/>
      <c r="AXR220" s="387"/>
      <c r="AXS220" s="387"/>
      <c r="AXT220" s="387"/>
      <c r="AXU220" s="387"/>
      <c r="AXV220" s="387"/>
      <c r="AXW220" s="387"/>
      <c r="AXX220" s="387"/>
      <c r="AXY220" s="387"/>
      <c r="AXZ220" s="387"/>
      <c r="AYA220" s="387"/>
      <c r="AYB220" s="387"/>
      <c r="AYC220" s="387"/>
      <c r="AYD220" s="387"/>
      <c r="AYE220" s="387"/>
      <c r="AYF220" s="387"/>
      <c r="AYG220" s="387"/>
      <c r="AYH220" s="387"/>
      <c r="AYI220" s="387"/>
      <c r="AYJ220" s="387"/>
      <c r="AYK220" s="387"/>
      <c r="AYL220" s="387"/>
      <c r="AYM220" s="387"/>
      <c r="AYN220" s="387"/>
      <c r="AYO220" s="387"/>
      <c r="AYP220" s="387"/>
      <c r="AYQ220" s="387"/>
      <c r="AYR220" s="387"/>
      <c r="AYS220" s="387"/>
      <c r="AYT220" s="387"/>
      <c r="AYU220" s="387"/>
      <c r="AYV220" s="387"/>
      <c r="AYW220" s="387"/>
      <c r="AYX220" s="387"/>
      <c r="AYY220" s="387"/>
      <c r="AYZ220" s="387"/>
      <c r="AZA220" s="387"/>
      <c r="AZB220" s="387"/>
      <c r="AZC220" s="387"/>
      <c r="AZD220" s="387"/>
      <c r="AZE220" s="387"/>
      <c r="AZF220" s="387"/>
      <c r="AZG220" s="387"/>
      <c r="AZH220" s="387"/>
      <c r="AZI220" s="387"/>
      <c r="AZJ220" s="387"/>
      <c r="AZK220" s="387"/>
      <c r="AZL220" s="387"/>
      <c r="AZM220" s="387"/>
      <c r="AZN220" s="387"/>
      <c r="AZO220" s="387"/>
      <c r="AZP220" s="387"/>
      <c r="AZQ220" s="387"/>
      <c r="AZR220" s="387"/>
      <c r="AZS220" s="387"/>
      <c r="AZT220" s="387"/>
      <c r="AZU220" s="387"/>
      <c r="AZV220" s="387"/>
      <c r="AZW220" s="387"/>
      <c r="AZX220" s="387"/>
      <c r="AZY220" s="387"/>
      <c r="AZZ220" s="387"/>
      <c r="BAA220" s="387"/>
      <c r="BAB220" s="387"/>
      <c r="BAC220" s="387"/>
      <c r="BAD220" s="387"/>
      <c r="BAE220" s="387"/>
      <c r="BAF220" s="387"/>
      <c r="BAG220" s="387"/>
      <c r="BAH220" s="387"/>
      <c r="BAI220" s="387"/>
      <c r="BAJ220" s="387"/>
      <c r="BAK220" s="387"/>
      <c r="BAL220" s="387"/>
      <c r="BAM220" s="387"/>
      <c r="BAN220" s="387"/>
      <c r="BAO220" s="387"/>
      <c r="BAP220" s="387"/>
      <c r="BAQ220" s="387"/>
      <c r="BAR220" s="387"/>
      <c r="BAS220" s="387"/>
      <c r="BAT220" s="387"/>
      <c r="BAU220" s="387"/>
      <c r="BAV220" s="387"/>
      <c r="BAW220" s="387"/>
      <c r="BAX220" s="387"/>
      <c r="BAY220" s="387"/>
      <c r="BAZ220" s="387"/>
      <c r="BBA220" s="387"/>
      <c r="BBB220" s="387"/>
      <c r="BBC220" s="387"/>
      <c r="BBD220" s="387"/>
      <c r="BBE220" s="387"/>
      <c r="BBF220" s="387"/>
      <c r="BBG220" s="387"/>
      <c r="BBH220" s="387"/>
      <c r="BBI220" s="387"/>
      <c r="BBJ220" s="387"/>
      <c r="BBK220" s="387"/>
      <c r="BBL220" s="387"/>
      <c r="BBM220" s="387"/>
      <c r="BBN220" s="387"/>
      <c r="BBO220" s="387"/>
      <c r="BBP220" s="387"/>
      <c r="BBQ220" s="387"/>
      <c r="BBR220" s="387"/>
      <c r="BBS220" s="387"/>
      <c r="BBT220" s="387"/>
      <c r="BBU220" s="387"/>
      <c r="BBV220" s="387"/>
      <c r="BBW220" s="387"/>
      <c r="BBX220" s="387"/>
      <c r="BBY220" s="387"/>
      <c r="BBZ220" s="387"/>
      <c r="BCA220" s="387"/>
      <c r="BCB220" s="387"/>
      <c r="BCC220" s="387"/>
      <c r="BCD220" s="387"/>
      <c r="BCE220" s="387"/>
      <c r="BCF220" s="387"/>
      <c r="BCG220" s="387"/>
      <c r="BCH220" s="387"/>
      <c r="BCI220" s="387"/>
      <c r="BCJ220" s="387"/>
      <c r="BCK220" s="387"/>
      <c r="BCL220" s="387"/>
      <c r="BCM220" s="387"/>
      <c r="BCN220" s="387"/>
      <c r="BCO220" s="387"/>
      <c r="BCP220" s="387"/>
      <c r="BCQ220" s="387"/>
      <c r="BCR220" s="387"/>
      <c r="BCS220" s="387"/>
      <c r="BCT220" s="387"/>
      <c r="BCU220" s="387"/>
      <c r="BCV220" s="387"/>
      <c r="BCW220" s="387"/>
      <c r="BCX220" s="387"/>
      <c r="BCY220" s="387"/>
      <c r="BCZ220" s="387"/>
      <c r="BDA220" s="387"/>
      <c r="BDB220" s="387"/>
      <c r="BDC220" s="387"/>
      <c r="BDD220" s="387"/>
      <c r="BDE220" s="387"/>
      <c r="BDF220" s="387"/>
      <c r="BDG220" s="387"/>
      <c r="BDH220" s="387"/>
      <c r="BDI220" s="387"/>
      <c r="BDJ220" s="387"/>
      <c r="BDK220" s="387"/>
      <c r="BDL220" s="387"/>
      <c r="BDM220" s="387"/>
      <c r="BDN220" s="387"/>
      <c r="BDO220" s="387"/>
      <c r="BDP220" s="387"/>
      <c r="BDQ220" s="387"/>
      <c r="BDR220" s="387"/>
      <c r="BDS220" s="387"/>
      <c r="BDT220" s="387"/>
      <c r="BDU220" s="387"/>
      <c r="BDV220" s="387"/>
      <c r="BDW220" s="387"/>
      <c r="BDX220" s="387"/>
      <c r="BDY220" s="387"/>
      <c r="BDZ220" s="387"/>
      <c r="BEA220" s="387"/>
      <c r="BEB220" s="387"/>
      <c r="BEC220" s="387"/>
      <c r="BED220" s="387"/>
      <c r="BEE220" s="387"/>
      <c r="BEF220" s="387"/>
      <c r="BEG220" s="387"/>
      <c r="BEH220" s="387"/>
      <c r="BEI220" s="387"/>
      <c r="BEJ220" s="387"/>
      <c r="BEK220" s="387"/>
      <c r="BEL220" s="387"/>
      <c r="BEM220" s="387"/>
      <c r="BEN220" s="387"/>
      <c r="BEO220" s="387"/>
      <c r="BEP220" s="387"/>
      <c r="BEQ220" s="387"/>
      <c r="BER220" s="387"/>
      <c r="BES220" s="387"/>
      <c r="BET220" s="387"/>
      <c r="BEU220" s="387"/>
      <c r="BEV220" s="387"/>
      <c r="BEW220" s="387"/>
      <c r="BEX220" s="387"/>
      <c r="BEY220" s="387"/>
      <c r="BEZ220" s="387"/>
      <c r="BFA220" s="387"/>
      <c r="BFB220" s="387"/>
      <c r="BFC220" s="387"/>
      <c r="BFD220" s="387"/>
      <c r="BFE220" s="387"/>
      <c r="BFF220" s="387"/>
      <c r="BFG220" s="387"/>
      <c r="BFH220" s="387"/>
      <c r="BFI220" s="387"/>
      <c r="BFJ220" s="387"/>
      <c r="BFK220" s="387"/>
      <c r="BFL220" s="387"/>
      <c r="BFM220" s="387"/>
      <c r="BFN220" s="387"/>
      <c r="BFO220" s="387"/>
      <c r="BFP220" s="387"/>
      <c r="BFQ220" s="387"/>
      <c r="BFR220" s="387"/>
      <c r="BFS220" s="387"/>
      <c r="BFT220" s="387"/>
      <c r="BFU220" s="387"/>
      <c r="BFV220" s="387"/>
      <c r="BFW220" s="387"/>
      <c r="BFX220" s="387"/>
      <c r="BFY220" s="387"/>
      <c r="BFZ220" s="387"/>
      <c r="BGA220" s="387"/>
      <c r="BGB220" s="387"/>
      <c r="BGC220" s="387"/>
      <c r="BGD220" s="387"/>
      <c r="BGE220" s="387"/>
      <c r="BGF220" s="387"/>
      <c r="BGG220" s="387"/>
      <c r="BGH220" s="387"/>
      <c r="BGI220" s="387"/>
      <c r="BGJ220" s="387"/>
      <c r="BGK220" s="387"/>
      <c r="BGL220" s="387"/>
      <c r="BGM220" s="387"/>
      <c r="BGN220" s="387"/>
      <c r="BGO220" s="387"/>
      <c r="BGP220" s="387"/>
      <c r="BGQ220" s="387"/>
      <c r="BGR220" s="387"/>
      <c r="BGS220" s="387"/>
      <c r="BGT220" s="387"/>
      <c r="BGU220" s="387"/>
      <c r="BGV220" s="387"/>
      <c r="BGW220" s="387"/>
      <c r="BGX220" s="387"/>
      <c r="BGY220" s="387"/>
      <c r="BGZ220" s="387"/>
      <c r="BHA220" s="387"/>
      <c r="BHB220" s="387"/>
      <c r="BHC220" s="387"/>
      <c r="BHD220" s="387"/>
      <c r="BHE220" s="387"/>
      <c r="BHF220" s="387"/>
      <c r="BHG220" s="387"/>
      <c r="BHH220" s="387"/>
      <c r="BHI220" s="387"/>
      <c r="BHJ220" s="387"/>
      <c r="BHK220" s="387"/>
      <c r="BHL220" s="387"/>
      <c r="BHM220" s="387"/>
      <c r="BHN220" s="387"/>
      <c r="BHO220" s="387"/>
      <c r="BHP220" s="387"/>
      <c r="BHQ220" s="387"/>
      <c r="BHR220" s="387"/>
      <c r="BHS220" s="387"/>
      <c r="BHT220" s="387"/>
      <c r="BHU220" s="387"/>
      <c r="BHV220" s="387"/>
      <c r="BHW220" s="387"/>
      <c r="BHX220" s="387"/>
      <c r="BHY220" s="387"/>
      <c r="BHZ220" s="387"/>
      <c r="BIA220" s="387"/>
      <c r="BIB220" s="387"/>
      <c r="BIC220" s="387"/>
      <c r="BID220" s="387"/>
      <c r="BIE220" s="387"/>
      <c r="BIF220" s="387"/>
      <c r="BIG220" s="387"/>
      <c r="BIH220" s="387"/>
      <c r="BII220" s="387"/>
      <c r="BIJ220" s="387"/>
      <c r="BIK220" s="387"/>
      <c r="BIL220" s="387"/>
      <c r="BIM220" s="387"/>
      <c r="BIN220" s="387"/>
      <c r="BIO220" s="387"/>
      <c r="BIP220" s="387"/>
      <c r="BIQ220" s="387"/>
      <c r="BIR220" s="387"/>
      <c r="BIS220" s="387"/>
      <c r="BIT220" s="387"/>
      <c r="BIU220" s="387"/>
      <c r="BIV220" s="387"/>
      <c r="BIW220" s="387"/>
      <c r="BIX220" s="387"/>
      <c r="BIY220" s="387"/>
      <c r="BIZ220" s="387"/>
      <c r="BJA220" s="387"/>
      <c r="BJB220" s="387"/>
      <c r="BJC220" s="387"/>
      <c r="BJD220" s="387"/>
      <c r="BJE220" s="387"/>
      <c r="BJF220" s="387"/>
      <c r="BJG220" s="387"/>
      <c r="BJH220" s="387"/>
      <c r="BJI220" s="387"/>
      <c r="BJJ220" s="387"/>
      <c r="BJK220" s="387"/>
      <c r="BJL220" s="387"/>
      <c r="BJM220" s="387"/>
      <c r="BJN220" s="387"/>
      <c r="BJO220" s="387"/>
      <c r="BJP220" s="387"/>
      <c r="BJQ220" s="387"/>
      <c r="BJR220" s="387"/>
      <c r="BJS220" s="387"/>
      <c r="BJT220" s="387"/>
      <c r="BJU220" s="387"/>
      <c r="BJV220" s="387"/>
      <c r="BJW220" s="387"/>
      <c r="BJX220" s="387"/>
      <c r="BJY220" s="387"/>
      <c r="BJZ220" s="387"/>
      <c r="BKA220" s="387"/>
      <c r="BKB220" s="387"/>
      <c r="BKC220" s="387"/>
      <c r="BKD220" s="387"/>
      <c r="BKE220" s="387"/>
      <c r="BKF220" s="387"/>
      <c r="BKG220" s="387"/>
      <c r="BKH220" s="387"/>
      <c r="BKI220" s="387"/>
      <c r="BKJ220" s="387"/>
      <c r="BKK220" s="387"/>
      <c r="BKL220" s="387"/>
      <c r="BKM220" s="387"/>
      <c r="BKN220" s="387"/>
      <c r="BKO220" s="387"/>
      <c r="BKP220" s="387"/>
      <c r="BKQ220" s="387"/>
      <c r="BKR220" s="387"/>
      <c r="BKS220" s="387"/>
      <c r="BKT220" s="387"/>
      <c r="BKU220" s="387"/>
      <c r="BKV220" s="387"/>
      <c r="BKW220" s="387"/>
      <c r="BKX220" s="387"/>
      <c r="BKY220" s="387"/>
      <c r="BKZ220" s="387"/>
      <c r="BLA220" s="387"/>
      <c r="BLB220" s="387"/>
      <c r="BLC220" s="387"/>
      <c r="BLD220" s="387"/>
      <c r="BLE220" s="387"/>
      <c r="BLF220" s="387"/>
      <c r="BLG220" s="387"/>
      <c r="BLH220" s="387"/>
      <c r="BLI220" s="387"/>
      <c r="BLJ220" s="387"/>
      <c r="BLK220" s="387"/>
      <c r="BLL220" s="387"/>
      <c r="BLM220" s="387"/>
      <c r="BLN220" s="387"/>
      <c r="BLO220" s="387"/>
      <c r="BLP220" s="387"/>
      <c r="BLQ220" s="387"/>
      <c r="BLR220" s="387"/>
      <c r="BLS220" s="387"/>
      <c r="BLT220" s="387"/>
      <c r="BLU220" s="387"/>
      <c r="BLV220" s="387"/>
      <c r="BLW220" s="387"/>
      <c r="BLX220" s="387"/>
      <c r="BLY220" s="387"/>
      <c r="BLZ220" s="387"/>
      <c r="BMA220" s="387"/>
      <c r="BMB220" s="387"/>
      <c r="BMC220" s="387"/>
      <c r="BMD220" s="387"/>
      <c r="BME220" s="387"/>
      <c r="BMF220" s="387"/>
      <c r="BMG220" s="387"/>
      <c r="BMH220" s="387"/>
      <c r="BMI220" s="387"/>
      <c r="BMJ220" s="387"/>
      <c r="BMK220" s="387"/>
      <c r="BML220" s="387"/>
      <c r="BMM220" s="387"/>
      <c r="BMN220" s="387"/>
      <c r="BMO220" s="387"/>
      <c r="BMP220" s="387"/>
      <c r="BMQ220" s="387"/>
      <c r="BMR220" s="387"/>
      <c r="BMS220" s="387"/>
      <c r="BMT220" s="387"/>
      <c r="BMU220" s="387"/>
      <c r="BMV220" s="387"/>
      <c r="BMW220" s="387"/>
      <c r="BMX220" s="387"/>
      <c r="BMY220" s="387"/>
      <c r="BMZ220" s="387"/>
      <c r="BNA220" s="387"/>
      <c r="BNB220" s="387"/>
      <c r="BNC220" s="387"/>
      <c r="BND220" s="387"/>
      <c r="BNE220" s="387"/>
      <c r="BNF220" s="387"/>
      <c r="BNG220" s="387"/>
      <c r="BNH220" s="387"/>
      <c r="BNI220" s="387"/>
      <c r="BNJ220" s="387"/>
      <c r="BNK220" s="387"/>
      <c r="BNL220" s="387"/>
      <c r="BNM220" s="387"/>
      <c r="BNN220" s="387"/>
      <c r="BNO220" s="387"/>
      <c r="BNP220" s="387"/>
      <c r="BNQ220" s="387"/>
      <c r="BNR220" s="387"/>
      <c r="BNS220" s="387"/>
      <c r="BNT220" s="387"/>
      <c r="BNU220" s="387"/>
      <c r="BNV220" s="387"/>
      <c r="BNW220" s="387"/>
      <c r="BNX220" s="387"/>
      <c r="BNY220" s="387"/>
      <c r="BNZ220" s="387"/>
      <c r="BOA220" s="387"/>
      <c r="BOB220" s="387"/>
      <c r="BOC220" s="387"/>
      <c r="BOD220" s="387"/>
      <c r="BOE220" s="387"/>
      <c r="BOF220" s="387"/>
      <c r="BOG220" s="387"/>
      <c r="BOH220" s="387"/>
      <c r="BOI220" s="387"/>
      <c r="BOJ220" s="387"/>
      <c r="BOK220" s="387"/>
      <c r="BOL220" s="387"/>
      <c r="BOM220" s="387"/>
      <c r="BON220" s="387"/>
      <c r="BOO220" s="387"/>
      <c r="BOP220" s="387"/>
      <c r="BOQ220" s="387"/>
      <c r="BOR220" s="387"/>
      <c r="BOS220" s="387"/>
      <c r="BOT220" s="387"/>
      <c r="BOU220" s="387"/>
      <c r="BOV220" s="387"/>
      <c r="BOW220" s="387"/>
      <c r="BOX220" s="387"/>
      <c r="BOY220" s="387"/>
      <c r="BOZ220" s="387"/>
      <c r="BPA220" s="387"/>
      <c r="BPB220" s="387"/>
      <c r="BPC220" s="387"/>
      <c r="BPD220" s="387"/>
      <c r="BPE220" s="387"/>
      <c r="BPF220" s="387"/>
      <c r="BPG220" s="387"/>
      <c r="BPH220" s="387"/>
      <c r="BPI220" s="387"/>
      <c r="BPJ220" s="387"/>
      <c r="BPK220" s="387"/>
      <c r="BPL220" s="387"/>
      <c r="BPM220" s="387"/>
      <c r="BPN220" s="387"/>
      <c r="BPO220" s="387"/>
      <c r="BPP220" s="387"/>
      <c r="BPQ220" s="387"/>
      <c r="BPR220" s="387"/>
      <c r="BPS220" s="387"/>
      <c r="BPT220" s="387"/>
      <c r="BPU220" s="387"/>
      <c r="BPV220" s="387"/>
      <c r="BPW220" s="387"/>
      <c r="BPX220" s="387"/>
      <c r="BPY220" s="387"/>
      <c r="BPZ220" s="387"/>
      <c r="BQA220" s="387"/>
      <c r="BQB220" s="387"/>
      <c r="BQC220" s="387"/>
      <c r="BQD220" s="387"/>
      <c r="BQE220" s="387"/>
      <c r="BQF220" s="387"/>
      <c r="BQG220" s="387"/>
      <c r="BQH220" s="387"/>
      <c r="BQI220" s="387"/>
      <c r="BQJ220" s="387"/>
      <c r="BQK220" s="387"/>
      <c r="BQL220" s="387"/>
      <c r="BQM220" s="387"/>
      <c r="BQN220" s="387"/>
      <c r="BQO220" s="387"/>
      <c r="BQP220" s="387"/>
      <c r="BQQ220" s="387"/>
      <c r="BQR220" s="387"/>
      <c r="BQS220" s="387"/>
      <c r="BQT220" s="387"/>
      <c r="BQU220" s="387"/>
      <c r="BQV220" s="387"/>
      <c r="BQW220" s="387"/>
      <c r="BQX220" s="387"/>
      <c r="BQY220" s="387"/>
      <c r="BQZ220" s="387"/>
      <c r="BRA220" s="387"/>
      <c r="BRB220" s="387"/>
      <c r="BRC220" s="387"/>
      <c r="BRD220" s="387"/>
      <c r="BRE220" s="387"/>
      <c r="BRF220" s="387"/>
      <c r="BRG220" s="387"/>
      <c r="BRH220" s="387"/>
      <c r="BRI220" s="387"/>
      <c r="BRJ220" s="387"/>
      <c r="BRK220" s="387"/>
      <c r="BRL220" s="387"/>
      <c r="BRM220" s="387"/>
      <c r="BRN220" s="387"/>
      <c r="BRO220" s="387"/>
      <c r="BRP220" s="387"/>
      <c r="BRQ220" s="387"/>
      <c r="BRR220" s="387"/>
      <c r="BRS220" s="387"/>
      <c r="BRT220" s="387"/>
      <c r="BRU220" s="387"/>
      <c r="BRV220" s="387"/>
      <c r="BRW220" s="387"/>
      <c r="BRX220" s="387"/>
      <c r="BRY220" s="387"/>
      <c r="BRZ220" s="387"/>
      <c r="BSA220" s="387"/>
      <c r="BSB220" s="387"/>
      <c r="BSC220" s="387"/>
      <c r="BSD220" s="387"/>
      <c r="BSE220" s="387"/>
      <c r="BSF220" s="387"/>
      <c r="BSG220" s="387"/>
      <c r="BSH220" s="387"/>
      <c r="BSI220" s="387"/>
      <c r="BSJ220" s="387"/>
      <c r="BSK220" s="387"/>
      <c r="BSL220" s="387"/>
      <c r="BSM220" s="387"/>
      <c r="BSN220" s="387"/>
      <c r="BSO220" s="387"/>
      <c r="BSP220" s="387"/>
      <c r="BSQ220" s="387"/>
      <c r="BSR220" s="387"/>
      <c r="BSS220" s="387"/>
      <c r="BST220" s="387"/>
      <c r="BSU220" s="387"/>
      <c r="BSV220" s="387"/>
      <c r="BSW220" s="387"/>
      <c r="BSX220" s="387"/>
      <c r="BSY220" s="387"/>
      <c r="BSZ220" s="387"/>
      <c r="BTA220" s="387"/>
      <c r="BTB220" s="387"/>
      <c r="BTC220" s="387"/>
      <c r="BTD220" s="387"/>
      <c r="BTE220" s="387"/>
      <c r="BTF220" s="387"/>
      <c r="BTG220" s="387"/>
      <c r="BTH220" s="387"/>
      <c r="BTI220" s="387"/>
    </row>
    <row r="221" spans="1:1881" s="312" customFormat="1" ht="144" customHeight="1" x14ac:dyDescent="0.25">
      <c r="A221" s="186">
        <v>541</v>
      </c>
      <c r="B221" s="148" t="s">
        <v>82</v>
      </c>
      <c r="C221" s="180" t="s">
        <v>238</v>
      </c>
      <c r="D221" s="244" t="s">
        <v>722</v>
      </c>
      <c r="E221" s="683" t="e">
        <f>HLOOKUP('Unit Data from Audit Worksheet'!$D$2,'2019 Data(H)'!$D$1:$BB$202,147,FALSE)</f>
        <v>#N/A</v>
      </c>
      <c r="F221" s="672"/>
      <c r="G221" s="388"/>
      <c r="H221" s="18"/>
      <c r="I221" s="292"/>
      <c r="J221" s="362"/>
      <c r="K221" s="387"/>
      <c r="L221" s="387"/>
      <c r="M221" s="387"/>
      <c r="N221"/>
      <c r="O221" s="387"/>
      <c r="P221" s="387"/>
      <c r="Q221" s="387"/>
      <c r="R221"/>
      <c r="S221" s="682"/>
      <c r="T221" s="387"/>
      <c r="U221" s="387"/>
      <c r="V221" s="387"/>
      <c r="W221" s="387"/>
      <c r="X221" s="682"/>
      <c r="Y221" s="387"/>
      <c r="Z221" s="387"/>
      <c r="AA221" s="387"/>
      <c r="AB221" s="387"/>
      <c r="AC221" s="387"/>
      <c r="AD221" s="387"/>
      <c r="AE221" s="387"/>
      <c r="AF221" s="387"/>
      <c r="AG221" s="387"/>
      <c r="AH221" s="387"/>
      <c r="AI221" s="387"/>
      <c r="AJ221" s="387"/>
      <c r="AK221" s="387"/>
      <c r="AL221" s="387"/>
      <c r="AM221" s="387"/>
      <c r="AN221" s="387"/>
      <c r="AO221" s="387"/>
      <c r="AP221" s="387"/>
      <c r="AQ221" s="387"/>
      <c r="AR221" s="387"/>
      <c r="AS221" s="387"/>
      <c r="AT221" s="387"/>
      <c r="AU221" s="387"/>
      <c r="AV221" s="387"/>
      <c r="AW221" s="387"/>
      <c r="AX221" s="387"/>
      <c r="AY221" s="387"/>
      <c r="AZ221" s="387"/>
      <c r="BA221" s="387"/>
      <c r="BB221" s="387"/>
      <c r="BC221" s="387"/>
      <c r="BD221" s="387"/>
      <c r="BE221" s="387"/>
      <c r="BF221" s="387"/>
      <c r="BG221" s="387"/>
      <c r="BH221" s="387"/>
      <c r="BI221" s="387"/>
      <c r="BJ221" s="387"/>
      <c r="BK221" s="387"/>
      <c r="BL221" s="387"/>
      <c r="BM221" s="387"/>
      <c r="BN221" s="387"/>
      <c r="BO221" s="387"/>
      <c r="BP221" s="387"/>
      <c r="BQ221" s="387"/>
      <c r="BR221" s="387"/>
      <c r="BS221" s="387"/>
      <c r="BT221" s="387"/>
      <c r="BU221" s="387"/>
      <c r="BV221" s="387"/>
      <c r="BW221" s="387"/>
      <c r="BX221" s="387"/>
      <c r="BY221" s="387"/>
      <c r="BZ221" s="387"/>
      <c r="CA221" s="387"/>
      <c r="CB221" s="387"/>
      <c r="CC221" s="387"/>
      <c r="CD221" s="387"/>
      <c r="CE221" s="387"/>
      <c r="CF221" s="387"/>
      <c r="CG221" s="387"/>
      <c r="CH221" s="387"/>
      <c r="CI221" s="387"/>
      <c r="CJ221" s="387"/>
      <c r="CK221" s="387"/>
      <c r="CL221" s="387"/>
      <c r="CM221" s="387"/>
      <c r="CN221" s="387"/>
      <c r="CO221" s="387"/>
      <c r="CP221" s="387"/>
      <c r="CQ221" s="387"/>
      <c r="CR221" s="387"/>
      <c r="CS221" s="387"/>
      <c r="CT221" s="387"/>
      <c r="CU221" s="387"/>
      <c r="CV221" s="387"/>
      <c r="CW221" s="387"/>
      <c r="CX221" s="387"/>
      <c r="CY221" s="387"/>
      <c r="CZ221" s="387"/>
      <c r="DA221" s="387"/>
      <c r="DB221" s="387"/>
      <c r="DC221" s="387"/>
      <c r="DD221" s="387"/>
      <c r="DE221" s="387"/>
      <c r="DF221" s="387"/>
      <c r="DG221" s="387"/>
      <c r="DH221" s="387"/>
      <c r="DI221" s="387"/>
      <c r="DJ221" s="387"/>
      <c r="DK221" s="387"/>
      <c r="DL221" s="387"/>
      <c r="DM221" s="387"/>
      <c r="DN221" s="387"/>
      <c r="DO221" s="387"/>
      <c r="DP221" s="387"/>
      <c r="DQ221" s="387"/>
      <c r="DR221" s="387"/>
      <c r="DS221" s="387"/>
      <c r="DT221" s="387"/>
      <c r="DU221" s="387"/>
      <c r="DV221" s="387"/>
      <c r="DW221" s="387"/>
      <c r="DX221" s="387"/>
      <c r="DY221" s="387"/>
      <c r="DZ221" s="387"/>
      <c r="EA221" s="387"/>
      <c r="EB221" s="387"/>
      <c r="EC221" s="387"/>
      <c r="ED221" s="387"/>
      <c r="EE221" s="387"/>
      <c r="EF221" s="387"/>
      <c r="EG221" s="387"/>
      <c r="EH221" s="387"/>
      <c r="EI221" s="387"/>
      <c r="EJ221" s="387"/>
      <c r="EK221" s="387"/>
      <c r="EL221" s="387"/>
      <c r="EM221" s="387"/>
      <c r="EN221" s="387"/>
      <c r="EO221" s="387"/>
      <c r="EP221" s="387"/>
      <c r="EQ221" s="387"/>
      <c r="ER221" s="387"/>
      <c r="ES221" s="387"/>
      <c r="ET221" s="387"/>
      <c r="EU221" s="387"/>
      <c r="EV221" s="387"/>
      <c r="EW221" s="387"/>
      <c r="EX221" s="387"/>
      <c r="EY221" s="387"/>
      <c r="EZ221" s="387"/>
      <c r="FA221" s="387"/>
      <c r="FB221" s="387"/>
      <c r="FC221" s="387"/>
      <c r="FD221" s="387"/>
      <c r="FE221" s="387"/>
      <c r="FF221" s="387"/>
      <c r="FG221" s="387"/>
      <c r="FH221" s="387"/>
      <c r="FI221" s="387"/>
      <c r="FJ221" s="387"/>
      <c r="FK221" s="387"/>
      <c r="FL221" s="387"/>
      <c r="FM221" s="387"/>
      <c r="FN221" s="387"/>
      <c r="FO221" s="387"/>
      <c r="FP221" s="387"/>
      <c r="FQ221" s="387"/>
      <c r="FR221" s="387"/>
      <c r="FS221" s="387"/>
      <c r="FT221" s="387"/>
      <c r="FU221" s="387"/>
      <c r="FV221" s="387"/>
      <c r="FW221" s="387"/>
      <c r="FX221" s="387"/>
      <c r="FY221" s="387"/>
      <c r="FZ221" s="387"/>
      <c r="GA221" s="387"/>
      <c r="GB221" s="387"/>
      <c r="GC221" s="387"/>
      <c r="GD221" s="387"/>
      <c r="GE221" s="387"/>
      <c r="GF221" s="387"/>
      <c r="GG221" s="387"/>
      <c r="GH221" s="387"/>
      <c r="GI221" s="387"/>
      <c r="GJ221" s="387"/>
      <c r="GK221" s="387"/>
      <c r="GL221" s="387"/>
      <c r="GM221" s="387"/>
      <c r="GN221" s="387"/>
      <c r="GO221" s="387"/>
      <c r="GP221" s="387"/>
      <c r="GQ221" s="387"/>
      <c r="GR221" s="387"/>
      <c r="GS221" s="387"/>
      <c r="GT221" s="387"/>
      <c r="GU221" s="387"/>
      <c r="GV221" s="387"/>
      <c r="GW221" s="387"/>
      <c r="GX221" s="387"/>
      <c r="GY221" s="387"/>
      <c r="GZ221" s="387"/>
      <c r="HA221" s="387"/>
      <c r="HB221" s="387"/>
      <c r="HC221" s="387"/>
      <c r="HD221" s="387"/>
      <c r="HE221" s="387"/>
      <c r="HF221" s="387"/>
      <c r="HG221" s="387"/>
      <c r="HH221" s="387"/>
      <c r="HI221" s="387"/>
      <c r="HJ221" s="387"/>
      <c r="HK221" s="387"/>
      <c r="HL221" s="387"/>
      <c r="HM221" s="387"/>
      <c r="HN221" s="387"/>
      <c r="HO221" s="387"/>
      <c r="HP221" s="387"/>
      <c r="HQ221" s="387"/>
      <c r="HR221" s="387"/>
      <c r="HS221" s="387"/>
      <c r="HT221" s="387"/>
      <c r="HU221" s="387"/>
      <c r="HV221" s="387"/>
      <c r="HW221" s="387"/>
      <c r="HX221" s="387"/>
      <c r="HY221" s="387"/>
      <c r="HZ221" s="387"/>
      <c r="IA221" s="387"/>
      <c r="IB221" s="387"/>
      <c r="IC221" s="387"/>
      <c r="ID221" s="387"/>
      <c r="IE221" s="387"/>
      <c r="IF221" s="387"/>
      <c r="IG221" s="387"/>
      <c r="IH221" s="387"/>
      <c r="II221" s="387"/>
      <c r="IJ221" s="387"/>
      <c r="IK221" s="387"/>
      <c r="IL221" s="387"/>
      <c r="IM221" s="387"/>
      <c r="IN221" s="387"/>
      <c r="IO221" s="387"/>
      <c r="IP221" s="387"/>
      <c r="IQ221" s="387"/>
      <c r="IR221" s="387"/>
      <c r="IS221" s="387"/>
      <c r="IT221" s="387"/>
      <c r="IU221" s="387"/>
      <c r="IV221" s="387"/>
      <c r="IW221" s="387"/>
      <c r="IX221" s="387"/>
      <c r="IY221" s="387"/>
      <c r="IZ221" s="387"/>
      <c r="JA221" s="387"/>
      <c r="JB221" s="387"/>
      <c r="JC221" s="387"/>
      <c r="JD221" s="387"/>
      <c r="JE221" s="387"/>
      <c r="JF221" s="387"/>
      <c r="JG221" s="387"/>
      <c r="JH221" s="387"/>
      <c r="JI221" s="387"/>
      <c r="JJ221" s="387"/>
      <c r="JK221" s="387"/>
      <c r="JL221" s="387"/>
      <c r="JM221" s="387"/>
      <c r="JN221" s="387"/>
      <c r="JO221" s="387"/>
      <c r="JP221" s="387"/>
      <c r="JQ221" s="387"/>
      <c r="JR221" s="387"/>
      <c r="JS221" s="387"/>
      <c r="JT221" s="387"/>
      <c r="JU221" s="387"/>
      <c r="JV221" s="387"/>
      <c r="JW221" s="387"/>
      <c r="JX221" s="387"/>
      <c r="JY221" s="387"/>
      <c r="JZ221" s="387"/>
      <c r="KA221" s="387"/>
      <c r="KB221" s="387"/>
      <c r="KC221" s="387"/>
      <c r="KD221" s="387"/>
      <c r="KE221" s="387"/>
      <c r="KF221" s="387"/>
      <c r="KG221" s="387"/>
      <c r="KH221" s="387"/>
      <c r="KI221" s="387"/>
      <c r="KJ221" s="387"/>
      <c r="KK221" s="387"/>
      <c r="KL221" s="387"/>
      <c r="KM221" s="387"/>
      <c r="KN221" s="387"/>
      <c r="KO221" s="387"/>
      <c r="KP221" s="387"/>
      <c r="KQ221" s="387"/>
      <c r="KR221" s="387"/>
      <c r="KS221" s="387"/>
      <c r="KT221" s="387"/>
      <c r="KU221" s="387"/>
      <c r="KV221" s="387"/>
      <c r="KW221" s="387"/>
      <c r="KX221" s="387"/>
      <c r="KY221" s="387"/>
      <c r="KZ221" s="387"/>
      <c r="LA221" s="387"/>
      <c r="LB221" s="387"/>
      <c r="LC221" s="387"/>
      <c r="LD221" s="387"/>
      <c r="LE221" s="387"/>
      <c r="LF221" s="387"/>
      <c r="LG221" s="387"/>
      <c r="LH221" s="387"/>
      <c r="LI221" s="387"/>
      <c r="LJ221" s="387"/>
      <c r="LK221" s="387"/>
      <c r="LL221" s="387"/>
      <c r="LM221" s="387"/>
      <c r="LN221" s="387"/>
      <c r="LO221" s="387"/>
      <c r="LP221" s="387"/>
      <c r="LQ221" s="387"/>
      <c r="LR221" s="387"/>
      <c r="LS221" s="387"/>
      <c r="LT221" s="387"/>
      <c r="LU221" s="387"/>
      <c r="LV221" s="387"/>
      <c r="LW221" s="387"/>
      <c r="LX221" s="387"/>
      <c r="LY221" s="387"/>
      <c r="LZ221" s="387"/>
      <c r="MA221" s="387"/>
      <c r="MB221" s="387"/>
      <c r="MC221" s="387"/>
      <c r="MD221" s="387"/>
      <c r="ME221" s="387"/>
      <c r="MF221" s="387"/>
      <c r="MG221" s="387"/>
      <c r="MH221" s="387"/>
      <c r="MI221" s="387"/>
      <c r="MJ221" s="387"/>
      <c r="MK221" s="387"/>
      <c r="ML221" s="387"/>
      <c r="MM221" s="387"/>
      <c r="MN221" s="387"/>
      <c r="MO221" s="387"/>
      <c r="MP221" s="387"/>
      <c r="MQ221" s="387"/>
      <c r="MR221" s="387"/>
      <c r="MS221" s="387"/>
      <c r="MT221" s="387"/>
      <c r="MU221" s="387"/>
      <c r="MV221" s="387"/>
      <c r="MW221" s="387"/>
      <c r="MX221" s="387"/>
      <c r="MY221" s="387"/>
      <c r="MZ221" s="387"/>
      <c r="NA221" s="387"/>
      <c r="NB221" s="387"/>
      <c r="NC221" s="387"/>
      <c r="ND221" s="387"/>
      <c r="NE221" s="387"/>
      <c r="NF221" s="387"/>
      <c r="NG221" s="387"/>
      <c r="NH221" s="387"/>
      <c r="NI221" s="387"/>
      <c r="NJ221" s="387"/>
      <c r="NK221" s="387"/>
      <c r="NL221" s="387"/>
      <c r="NM221" s="387"/>
      <c r="NN221" s="387"/>
      <c r="NO221" s="387"/>
      <c r="NP221" s="387"/>
      <c r="NQ221" s="387"/>
      <c r="NR221" s="387"/>
      <c r="NS221" s="387"/>
      <c r="NT221" s="387"/>
      <c r="NU221" s="387"/>
      <c r="NV221" s="387"/>
      <c r="NW221" s="387"/>
      <c r="NX221" s="387"/>
      <c r="NY221" s="387"/>
      <c r="NZ221" s="387"/>
      <c r="OA221" s="387"/>
      <c r="OB221" s="387"/>
      <c r="OC221" s="387"/>
      <c r="OD221" s="387"/>
      <c r="OE221" s="387"/>
      <c r="OF221" s="387"/>
      <c r="OG221" s="387"/>
      <c r="OH221" s="387"/>
      <c r="OI221" s="387"/>
      <c r="OJ221" s="387"/>
      <c r="OK221" s="387"/>
      <c r="OL221" s="387"/>
      <c r="OM221" s="387"/>
      <c r="ON221" s="387"/>
      <c r="OO221" s="387"/>
      <c r="OP221" s="387"/>
      <c r="OQ221" s="387"/>
      <c r="OR221" s="387"/>
      <c r="OS221" s="387"/>
      <c r="OT221" s="387"/>
      <c r="OU221" s="387"/>
      <c r="OV221" s="387"/>
      <c r="OW221" s="387"/>
      <c r="OX221" s="387"/>
      <c r="OY221" s="387"/>
      <c r="OZ221" s="387"/>
      <c r="PA221" s="387"/>
      <c r="PB221" s="387"/>
      <c r="PC221" s="387"/>
      <c r="PD221" s="387"/>
      <c r="PE221" s="387"/>
      <c r="PF221" s="387"/>
      <c r="PG221" s="387"/>
      <c r="PH221" s="387"/>
      <c r="PI221" s="387"/>
      <c r="PJ221" s="387"/>
      <c r="PK221" s="387"/>
      <c r="PL221" s="387"/>
      <c r="PM221" s="387"/>
      <c r="PN221" s="387"/>
      <c r="PO221" s="387"/>
      <c r="PP221" s="387"/>
      <c r="PQ221" s="387"/>
      <c r="PR221" s="387"/>
      <c r="PS221" s="387"/>
      <c r="PT221" s="387"/>
      <c r="PU221" s="387"/>
      <c r="PV221" s="387"/>
      <c r="PW221" s="387"/>
      <c r="PX221" s="387"/>
      <c r="PY221" s="387"/>
      <c r="PZ221" s="387"/>
      <c r="QA221" s="387"/>
      <c r="QB221" s="387"/>
      <c r="QC221" s="387"/>
      <c r="QD221" s="387"/>
      <c r="QE221" s="387"/>
      <c r="QF221" s="387"/>
      <c r="QG221" s="387"/>
      <c r="QH221" s="387"/>
      <c r="QI221" s="387"/>
      <c r="QJ221" s="387"/>
      <c r="QK221" s="387"/>
      <c r="QL221" s="387"/>
      <c r="QM221" s="387"/>
      <c r="QN221" s="387"/>
      <c r="QO221" s="387"/>
      <c r="QP221" s="387"/>
      <c r="QQ221" s="387"/>
      <c r="QR221" s="387"/>
      <c r="QS221" s="387"/>
      <c r="QT221" s="387"/>
      <c r="QU221" s="387"/>
      <c r="QV221" s="387"/>
      <c r="QW221" s="387"/>
      <c r="QX221" s="387"/>
      <c r="QY221" s="387"/>
      <c r="QZ221" s="387"/>
      <c r="RA221" s="387"/>
      <c r="RB221" s="387"/>
      <c r="RC221" s="387"/>
      <c r="RD221" s="387"/>
      <c r="RE221" s="387"/>
      <c r="RF221" s="387"/>
      <c r="RG221" s="387"/>
      <c r="RH221" s="387"/>
      <c r="RI221" s="387"/>
      <c r="RJ221" s="387"/>
      <c r="RK221" s="387"/>
      <c r="RL221" s="387"/>
      <c r="RM221" s="387"/>
      <c r="RN221" s="387"/>
      <c r="RO221" s="387"/>
      <c r="RP221" s="387"/>
      <c r="RQ221" s="387"/>
      <c r="RR221" s="387"/>
      <c r="RS221" s="387"/>
      <c r="RT221" s="387"/>
      <c r="RU221" s="387"/>
      <c r="RV221" s="387"/>
      <c r="RW221" s="387"/>
      <c r="RX221" s="387"/>
      <c r="RY221" s="387"/>
      <c r="RZ221" s="387"/>
      <c r="SA221" s="387"/>
      <c r="SB221" s="387"/>
      <c r="SC221" s="387"/>
      <c r="SD221" s="387"/>
      <c r="SE221" s="387"/>
      <c r="SF221" s="387"/>
      <c r="SG221" s="387"/>
      <c r="SH221" s="387"/>
      <c r="SI221" s="387"/>
      <c r="SJ221" s="387"/>
      <c r="SK221" s="387"/>
      <c r="SL221" s="387"/>
      <c r="SM221" s="387"/>
      <c r="SN221" s="387"/>
      <c r="SO221" s="387"/>
      <c r="SP221" s="387"/>
      <c r="SQ221" s="387"/>
      <c r="SR221" s="387"/>
      <c r="SS221" s="387"/>
      <c r="ST221" s="387"/>
      <c r="SU221" s="387"/>
      <c r="SV221" s="387"/>
      <c r="SW221" s="387"/>
      <c r="SX221" s="387"/>
      <c r="SY221" s="387"/>
      <c r="SZ221" s="387"/>
      <c r="TA221" s="387"/>
      <c r="TB221" s="387"/>
      <c r="TC221" s="387"/>
      <c r="TD221" s="387"/>
      <c r="TE221" s="387"/>
      <c r="TF221" s="387"/>
      <c r="TG221" s="387"/>
      <c r="TH221" s="387"/>
      <c r="TI221" s="387"/>
      <c r="TJ221" s="387"/>
      <c r="TK221" s="387"/>
      <c r="TL221" s="387"/>
      <c r="TM221" s="387"/>
      <c r="TN221" s="387"/>
      <c r="TO221" s="387"/>
      <c r="TP221" s="387"/>
      <c r="TQ221" s="387"/>
      <c r="TR221" s="387"/>
      <c r="TS221" s="387"/>
      <c r="TT221" s="387"/>
      <c r="TU221" s="387"/>
      <c r="TV221" s="387"/>
      <c r="TW221" s="387"/>
      <c r="TX221" s="387"/>
      <c r="TY221" s="387"/>
      <c r="TZ221" s="387"/>
      <c r="UA221" s="387"/>
      <c r="UB221" s="387"/>
      <c r="UC221" s="387"/>
      <c r="UD221" s="387"/>
      <c r="UE221" s="387"/>
      <c r="UF221" s="387"/>
      <c r="UG221" s="387"/>
      <c r="UH221" s="387"/>
      <c r="UI221" s="387"/>
      <c r="UJ221" s="387"/>
      <c r="UK221" s="387"/>
      <c r="UL221" s="387"/>
      <c r="UM221" s="387"/>
      <c r="UN221" s="387"/>
      <c r="UO221" s="387"/>
      <c r="UP221" s="387"/>
      <c r="UQ221" s="387"/>
      <c r="UR221" s="387"/>
      <c r="US221" s="387"/>
      <c r="UT221" s="387"/>
      <c r="UU221" s="387"/>
      <c r="UV221" s="387"/>
      <c r="UW221" s="387"/>
      <c r="UX221" s="387"/>
      <c r="UY221" s="387"/>
      <c r="UZ221" s="387"/>
      <c r="VA221" s="387"/>
      <c r="VB221" s="387"/>
      <c r="VC221" s="387"/>
      <c r="VD221" s="387"/>
      <c r="VE221" s="387"/>
      <c r="VF221" s="387"/>
      <c r="VG221" s="387"/>
      <c r="VH221" s="387"/>
      <c r="VI221" s="387"/>
      <c r="VJ221" s="387"/>
      <c r="VK221" s="387"/>
      <c r="VL221" s="387"/>
      <c r="VM221" s="387"/>
      <c r="VN221" s="387"/>
      <c r="VO221" s="387"/>
      <c r="VP221" s="387"/>
      <c r="VQ221" s="387"/>
      <c r="VR221" s="387"/>
      <c r="VS221" s="387"/>
      <c r="VT221" s="387"/>
      <c r="VU221" s="387"/>
      <c r="VV221" s="387"/>
      <c r="VW221" s="387"/>
      <c r="VX221" s="387"/>
      <c r="VY221" s="387"/>
      <c r="VZ221" s="387"/>
      <c r="WA221" s="387"/>
      <c r="WB221" s="387"/>
      <c r="WC221" s="387"/>
      <c r="WD221" s="387"/>
      <c r="WE221" s="387"/>
      <c r="WF221" s="387"/>
      <c r="WG221" s="387"/>
      <c r="WH221" s="387"/>
      <c r="WI221" s="387"/>
      <c r="WJ221" s="387"/>
      <c r="WK221" s="387"/>
      <c r="WL221" s="387"/>
      <c r="WM221" s="387"/>
      <c r="WN221" s="387"/>
      <c r="WO221" s="387"/>
      <c r="WP221" s="387"/>
      <c r="WQ221" s="387"/>
      <c r="WR221" s="387"/>
      <c r="WS221" s="387"/>
      <c r="WT221" s="387"/>
      <c r="WU221" s="387"/>
      <c r="WV221" s="387"/>
      <c r="WW221" s="387"/>
      <c r="WX221" s="387"/>
      <c r="WY221" s="387"/>
      <c r="WZ221" s="387"/>
      <c r="XA221" s="387"/>
      <c r="XB221" s="387"/>
      <c r="XC221" s="387"/>
      <c r="XD221" s="387"/>
      <c r="XE221" s="387"/>
      <c r="XF221" s="387"/>
      <c r="XG221" s="387"/>
      <c r="XH221" s="387"/>
      <c r="XI221" s="387"/>
      <c r="XJ221" s="387"/>
      <c r="XK221" s="387"/>
      <c r="XL221" s="387"/>
      <c r="XM221" s="387"/>
      <c r="XN221" s="387"/>
      <c r="XO221" s="387"/>
      <c r="XP221" s="387"/>
      <c r="XQ221" s="387"/>
      <c r="XR221" s="387"/>
      <c r="XS221" s="387"/>
      <c r="XT221" s="387"/>
      <c r="XU221" s="387"/>
      <c r="XV221" s="387"/>
      <c r="XW221" s="387"/>
      <c r="XX221" s="387"/>
      <c r="XY221" s="387"/>
      <c r="XZ221" s="387"/>
      <c r="YA221" s="387"/>
      <c r="YB221" s="387"/>
      <c r="YC221" s="387"/>
      <c r="YD221" s="387"/>
      <c r="YE221" s="387"/>
      <c r="YF221" s="387"/>
      <c r="YG221" s="387"/>
      <c r="YH221" s="387"/>
      <c r="YI221" s="387"/>
      <c r="YJ221" s="387"/>
      <c r="YK221" s="387"/>
      <c r="YL221" s="387"/>
      <c r="YM221" s="387"/>
      <c r="YN221" s="387"/>
      <c r="YO221" s="387"/>
      <c r="YP221" s="387"/>
      <c r="YQ221" s="387"/>
      <c r="YR221" s="387"/>
      <c r="YS221" s="387"/>
      <c r="YT221" s="387"/>
      <c r="YU221" s="387"/>
      <c r="YV221" s="387"/>
      <c r="YW221" s="387"/>
      <c r="YX221" s="387"/>
      <c r="YY221" s="387"/>
      <c r="YZ221" s="387"/>
      <c r="ZA221" s="387"/>
      <c r="ZB221" s="387"/>
      <c r="ZC221" s="387"/>
      <c r="ZD221" s="387"/>
      <c r="ZE221" s="387"/>
      <c r="ZF221" s="387"/>
      <c r="ZG221" s="387"/>
      <c r="ZH221" s="387"/>
      <c r="ZI221" s="387"/>
      <c r="ZJ221" s="387"/>
      <c r="ZK221" s="387"/>
      <c r="ZL221" s="387"/>
      <c r="ZM221" s="387"/>
      <c r="ZN221" s="387"/>
      <c r="ZO221" s="387"/>
      <c r="ZP221" s="387"/>
      <c r="ZQ221" s="387"/>
      <c r="ZR221" s="387"/>
      <c r="ZS221" s="387"/>
      <c r="ZT221" s="387"/>
      <c r="ZU221" s="387"/>
      <c r="ZV221" s="387"/>
      <c r="ZW221" s="387"/>
      <c r="ZX221" s="387"/>
      <c r="ZY221" s="387"/>
      <c r="ZZ221" s="387"/>
      <c r="AAA221" s="387"/>
      <c r="AAB221" s="387"/>
      <c r="AAC221" s="387"/>
      <c r="AAD221" s="387"/>
      <c r="AAE221" s="387"/>
      <c r="AAF221" s="387"/>
      <c r="AAG221" s="387"/>
      <c r="AAH221" s="387"/>
      <c r="AAI221" s="387"/>
      <c r="AAJ221" s="387"/>
      <c r="AAK221" s="387"/>
      <c r="AAL221" s="387"/>
      <c r="AAM221" s="387"/>
      <c r="AAN221" s="387"/>
      <c r="AAO221" s="387"/>
      <c r="AAP221" s="387"/>
      <c r="AAQ221" s="387"/>
      <c r="AAR221" s="387"/>
      <c r="AAS221" s="387"/>
      <c r="AAT221" s="387"/>
      <c r="AAU221" s="387"/>
      <c r="AAV221" s="387"/>
      <c r="AAW221" s="387"/>
      <c r="AAX221" s="387"/>
      <c r="AAY221" s="387"/>
      <c r="AAZ221" s="387"/>
      <c r="ABA221" s="387"/>
      <c r="ABB221" s="387"/>
      <c r="ABC221" s="387"/>
      <c r="ABD221" s="387"/>
      <c r="ABE221" s="387"/>
      <c r="ABF221" s="387"/>
      <c r="ABG221" s="387"/>
      <c r="ABH221" s="387"/>
      <c r="ABI221" s="387"/>
      <c r="ABJ221" s="387"/>
      <c r="ABK221" s="387"/>
      <c r="ABL221" s="387"/>
      <c r="ABM221" s="387"/>
      <c r="ABN221" s="387"/>
      <c r="ABO221" s="387"/>
      <c r="ABP221" s="387"/>
      <c r="ABQ221" s="387"/>
      <c r="ABR221" s="387"/>
      <c r="ABS221" s="387"/>
      <c r="ABT221" s="387"/>
      <c r="ABU221" s="387"/>
      <c r="ABV221" s="387"/>
      <c r="ABW221" s="387"/>
      <c r="ABX221" s="387"/>
      <c r="ABY221" s="387"/>
      <c r="ABZ221" s="387"/>
      <c r="ACA221" s="387"/>
      <c r="ACB221" s="387"/>
      <c r="ACC221" s="387"/>
      <c r="ACD221" s="387"/>
      <c r="ACE221" s="387"/>
      <c r="ACF221" s="387"/>
      <c r="ACG221" s="387"/>
      <c r="ACH221" s="387"/>
      <c r="ACI221" s="387"/>
      <c r="ACJ221" s="387"/>
      <c r="ACK221" s="387"/>
      <c r="ACL221" s="387"/>
      <c r="ACM221" s="387"/>
      <c r="ACN221" s="387"/>
      <c r="ACO221" s="387"/>
      <c r="ACP221" s="387"/>
      <c r="ACQ221" s="387"/>
      <c r="ACR221" s="387"/>
      <c r="ACS221" s="387"/>
      <c r="ACT221" s="387"/>
      <c r="ACU221" s="387"/>
      <c r="ACV221" s="387"/>
      <c r="ACW221" s="387"/>
      <c r="ACX221" s="387"/>
      <c r="ACY221" s="387"/>
      <c r="ACZ221" s="387"/>
      <c r="ADA221" s="387"/>
      <c r="ADB221" s="387"/>
      <c r="ADC221" s="387"/>
      <c r="ADD221" s="387"/>
      <c r="ADE221" s="387"/>
      <c r="ADF221" s="387"/>
      <c r="ADG221" s="387"/>
      <c r="ADH221" s="387"/>
      <c r="ADI221" s="387"/>
      <c r="ADJ221" s="387"/>
      <c r="ADK221" s="387"/>
      <c r="ADL221" s="387"/>
      <c r="ADM221" s="387"/>
      <c r="ADN221" s="387"/>
      <c r="ADO221" s="387"/>
      <c r="ADP221" s="387"/>
      <c r="ADQ221" s="387"/>
      <c r="ADR221" s="387"/>
      <c r="ADS221" s="387"/>
      <c r="ADT221" s="387"/>
      <c r="ADU221" s="387"/>
      <c r="ADV221" s="387"/>
      <c r="ADW221" s="387"/>
      <c r="ADX221" s="387"/>
      <c r="ADY221" s="387"/>
      <c r="ADZ221" s="387"/>
      <c r="AEA221" s="387"/>
      <c r="AEB221" s="387"/>
      <c r="AEC221" s="387"/>
      <c r="AED221" s="387"/>
      <c r="AEE221" s="387"/>
      <c r="AEF221" s="387"/>
      <c r="AEG221" s="387"/>
      <c r="AEH221" s="387"/>
      <c r="AEI221" s="387"/>
      <c r="AEJ221" s="387"/>
      <c r="AEK221" s="387"/>
      <c r="AEL221" s="387"/>
      <c r="AEM221" s="387"/>
      <c r="AEN221" s="387"/>
      <c r="AEO221" s="387"/>
      <c r="AEP221" s="387"/>
      <c r="AEQ221" s="387"/>
      <c r="AER221" s="387"/>
      <c r="AES221" s="387"/>
      <c r="AET221" s="387"/>
      <c r="AEU221" s="387"/>
      <c r="AEV221" s="387"/>
      <c r="AEW221" s="387"/>
      <c r="AEX221" s="387"/>
      <c r="AEY221" s="387"/>
      <c r="AEZ221" s="387"/>
      <c r="AFA221" s="387"/>
      <c r="AFB221" s="387"/>
      <c r="AFC221" s="387"/>
      <c r="AFD221" s="387"/>
      <c r="AFE221" s="387"/>
      <c r="AFF221" s="387"/>
      <c r="AFG221" s="387"/>
      <c r="AFH221" s="387"/>
      <c r="AFI221" s="387"/>
      <c r="AFJ221" s="387"/>
      <c r="AFK221" s="387"/>
      <c r="AFL221" s="387"/>
      <c r="AFM221" s="387"/>
      <c r="AFN221" s="387"/>
      <c r="AFO221" s="387"/>
      <c r="AFP221" s="387"/>
      <c r="AFQ221" s="387"/>
      <c r="AFR221" s="387"/>
      <c r="AFS221" s="387"/>
      <c r="AFT221" s="387"/>
      <c r="AFU221" s="387"/>
      <c r="AFV221" s="387"/>
      <c r="AFW221" s="387"/>
      <c r="AFX221" s="387"/>
      <c r="AFY221" s="387"/>
      <c r="AFZ221" s="387"/>
      <c r="AGA221" s="387"/>
      <c r="AGB221" s="387"/>
      <c r="AGC221" s="387"/>
      <c r="AGD221" s="387"/>
      <c r="AGE221" s="387"/>
      <c r="AGF221" s="387"/>
      <c r="AGG221" s="387"/>
      <c r="AGH221" s="387"/>
      <c r="AGI221" s="387"/>
      <c r="AGJ221" s="387"/>
      <c r="AGK221" s="387"/>
      <c r="AGL221" s="387"/>
      <c r="AGM221" s="387"/>
      <c r="AGN221" s="387"/>
      <c r="AGO221" s="387"/>
      <c r="AGP221" s="387"/>
      <c r="AGQ221" s="387"/>
      <c r="AGR221" s="387"/>
      <c r="AGS221" s="387"/>
      <c r="AGT221" s="387"/>
      <c r="AGU221" s="387"/>
      <c r="AGV221" s="387"/>
      <c r="AGW221" s="387"/>
      <c r="AGX221" s="387"/>
      <c r="AGY221" s="387"/>
      <c r="AGZ221" s="387"/>
      <c r="AHA221" s="387"/>
      <c r="AHB221" s="387"/>
      <c r="AHC221" s="387"/>
      <c r="AHD221" s="387"/>
      <c r="AHE221" s="387"/>
      <c r="AHF221" s="387"/>
      <c r="AHG221" s="387"/>
      <c r="AHH221" s="387"/>
      <c r="AHI221" s="387"/>
      <c r="AHJ221" s="387"/>
      <c r="AHK221" s="387"/>
      <c r="AHL221" s="387"/>
      <c r="AHM221" s="387"/>
      <c r="AHN221" s="387"/>
      <c r="AHO221" s="387"/>
      <c r="AHP221" s="387"/>
      <c r="AHQ221" s="387"/>
      <c r="AHR221" s="387"/>
      <c r="AHS221" s="387"/>
      <c r="AHT221" s="387"/>
      <c r="AHU221" s="387"/>
      <c r="AHV221" s="387"/>
      <c r="AHW221" s="387"/>
      <c r="AHX221" s="387"/>
      <c r="AHY221" s="387"/>
      <c r="AHZ221" s="387"/>
      <c r="AIA221" s="387"/>
      <c r="AIB221" s="387"/>
      <c r="AIC221" s="387"/>
      <c r="AID221" s="387"/>
      <c r="AIE221" s="387"/>
      <c r="AIF221" s="387"/>
      <c r="AIG221" s="387"/>
      <c r="AIH221" s="387"/>
      <c r="AII221" s="387"/>
      <c r="AIJ221" s="387"/>
      <c r="AIK221" s="387"/>
      <c r="AIL221" s="387"/>
      <c r="AIM221" s="387"/>
      <c r="AIN221" s="387"/>
      <c r="AIO221" s="387"/>
      <c r="AIP221" s="387"/>
      <c r="AIQ221" s="387"/>
      <c r="AIR221" s="387"/>
      <c r="AIS221" s="387"/>
      <c r="AIT221" s="387"/>
      <c r="AIU221" s="387"/>
      <c r="AIV221" s="387"/>
      <c r="AIW221" s="387"/>
      <c r="AIX221" s="387"/>
      <c r="AIY221" s="387"/>
      <c r="AIZ221" s="387"/>
      <c r="AJA221" s="387"/>
      <c r="AJB221" s="387"/>
      <c r="AJC221" s="387"/>
      <c r="AJD221" s="387"/>
      <c r="AJE221" s="387"/>
      <c r="AJF221" s="387"/>
      <c r="AJG221" s="387"/>
      <c r="AJH221" s="387"/>
      <c r="AJI221" s="387"/>
      <c r="AJJ221" s="387"/>
      <c r="AJK221" s="387"/>
      <c r="AJL221" s="387"/>
      <c r="AJM221" s="387"/>
      <c r="AJN221" s="387"/>
      <c r="AJO221" s="387"/>
      <c r="AJP221" s="387"/>
      <c r="AJQ221" s="387"/>
      <c r="AJR221" s="387"/>
      <c r="AJS221" s="387"/>
      <c r="AJT221" s="387"/>
      <c r="AJU221" s="387"/>
      <c r="AJV221" s="387"/>
      <c r="AJW221" s="387"/>
      <c r="AJX221" s="387"/>
      <c r="AJY221" s="387"/>
      <c r="AJZ221" s="387"/>
      <c r="AKA221" s="387"/>
      <c r="AKB221" s="387"/>
      <c r="AKC221" s="387"/>
      <c r="AKD221" s="387"/>
      <c r="AKE221" s="387"/>
      <c r="AKF221" s="387"/>
      <c r="AKG221" s="387"/>
      <c r="AKH221" s="387"/>
      <c r="AKI221" s="387"/>
      <c r="AKJ221" s="387"/>
      <c r="AKK221" s="387"/>
      <c r="AKL221" s="387"/>
      <c r="AKM221" s="387"/>
      <c r="AKN221" s="387"/>
      <c r="AKO221" s="387"/>
      <c r="AKP221" s="387"/>
      <c r="AKQ221" s="387"/>
      <c r="AKR221" s="387"/>
      <c r="AKS221" s="387"/>
      <c r="AKT221" s="387"/>
      <c r="AKU221" s="387"/>
      <c r="AKV221" s="387"/>
      <c r="AKW221" s="387"/>
      <c r="AKX221" s="387"/>
      <c r="AKY221" s="387"/>
      <c r="AKZ221" s="387"/>
      <c r="ALA221" s="387"/>
      <c r="ALB221" s="387"/>
      <c r="ALC221" s="387"/>
      <c r="ALD221" s="387"/>
      <c r="ALE221" s="387"/>
      <c r="ALF221" s="387"/>
      <c r="ALG221" s="387"/>
      <c r="ALH221" s="387"/>
      <c r="ALI221" s="387"/>
      <c r="ALJ221" s="387"/>
      <c r="ALK221" s="387"/>
      <c r="ALL221" s="387"/>
      <c r="ALM221" s="387"/>
      <c r="ALN221" s="387"/>
      <c r="ALO221" s="387"/>
      <c r="ALP221" s="387"/>
      <c r="ALQ221" s="387"/>
      <c r="ALR221" s="387"/>
      <c r="ALS221" s="387"/>
      <c r="ALT221" s="387"/>
      <c r="ALU221" s="387"/>
      <c r="ALV221" s="387"/>
      <c r="ALW221" s="387"/>
      <c r="ALX221" s="387"/>
      <c r="ALY221" s="387"/>
      <c r="ALZ221" s="387"/>
      <c r="AMA221" s="387"/>
      <c r="AMB221" s="387"/>
      <c r="AMC221" s="387"/>
      <c r="AMD221" s="387"/>
      <c r="AME221" s="387"/>
      <c r="AMF221" s="387"/>
      <c r="AMG221" s="387"/>
      <c r="AMH221" s="387"/>
      <c r="AMI221" s="387"/>
      <c r="AMJ221" s="387"/>
      <c r="AMK221" s="387"/>
      <c r="AML221" s="387"/>
      <c r="AMM221" s="387"/>
      <c r="AMN221" s="387"/>
      <c r="AMO221" s="387"/>
      <c r="AMP221" s="387"/>
      <c r="AMQ221" s="387"/>
      <c r="AMR221" s="387"/>
      <c r="AMS221" s="387"/>
      <c r="AMT221" s="387"/>
      <c r="AMU221" s="387"/>
      <c r="AMV221" s="387"/>
      <c r="AMW221" s="387"/>
      <c r="AMX221" s="387"/>
      <c r="AMY221" s="387"/>
      <c r="AMZ221" s="387"/>
      <c r="ANA221" s="387"/>
      <c r="ANB221" s="387"/>
      <c r="ANC221" s="387"/>
      <c r="AND221" s="387"/>
      <c r="ANE221" s="387"/>
      <c r="ANF221" s="387"/>
      <c r="ANG221" s="387"/>
      <c r="ANH221" s="387"/>
      <c r="ANI221" s="387"/>
      <c r="ANJ221" s="387"/>
      <c r="ANK221" s="387"/>
      <c r="ANL221" s="387"/>
      <c r="ANM221" s="387"/>
      <c r="ANN221" s="387"/>
      <c r="ANO221" s="387"/>
      <c r="ANP221" s="387"/>
      <c r="ANQ221" s="387"/>
      <c r="ANR221" s="387"/>
      <c r="ANS221" s="387"/>
      <c r="ANT221" s="387"/>
      <c r="ANU221" s="387"/>
      <c r="ANV221" s="387"/>
      <c r="ANW221" s="387"/>
      <c r="ANX221" s="387"/>
      <c r="ANY221" s="387"/>
      <c r="ANZ221" s="387"/>
      <c r="AOA221" s="387"/>
      <c r="AOB221" s="387"/>
      <c r="AOC221" s="387"/>
      <c r="AOD221" s="387"/>
      <c r="AOE221" s="387"/>
      <c r="AOF221" s="387"/>
      <c r="AOG221" s="387"/>
      <c r="AOH221" s="387"/>
      <c r="AOI221" s="387"/>
      <c r="AOJ221" s="387"/>
      <c r="AOK221" s="387"/>
      <c r="AOL221" s="387"/>
      <c r="AOM221" s="387"/>
      <c r="AON221" s="387"/>
      <c r="AOO221" s="387"/>
      <c r="AOP221" s="387"/>
      <c r="AOQ221" s="387"/>
      <c r="AOR221" s="387"/>
      <c r="AOS221" s="387"/>
      <c r="AOT221" s="387"/>
      <c r="AOU221" s="387"/>
      <c r="AOV221" s="387"/>
      <c r="AOW221" s="387"/>
      <c r="AOX221" s="387"/>
      <c r="AOY221" s="387"/>
      <c r="AOZ221" s="387"/>
      <c r="APA221" s="387"/>
      <c r="APB221" s="387"/>
      <c r="APC221" s="387"/>
      <c r="APD221" s="387"/>
      <c r="APE221" s="387"/>
      <c r="APF221" s="387"/>
      <c r="APG221" s="387"/>
      <c r="APH221" s="387"/>
      <c r="API221" s="387"/>
      <c r="APJ221" s="387"/>
      <c r="APK221" s="387"/>
      <c r="APL221" s="387"/>
      <c r="APM221" s="387"/>
      <c r="APN221" s="387"/>
      <c r="APO221" s="387"/>
      <c r="APP221" s="387"/>
      <c r="APQ221" s="387"/>
      <c r="APR221" s="387"/>
      <c r="APS221" s="387"/>
      <c r="APT221" s="387"/>
      <c r="APU221" s="387"/>
      <c r="APV221" s="387"/>
      <c r="APW221" s="387"/>
      <c r="APX221" s="387"/>
      <c r="APY221" s="387"/>
      <c r="APZ221" s="387"/>
      <c r="AQA221" s="387"/>
      <c r="AQB221" s="387"/>
      <c r="AQC221" s="387"/>
      <c r="AQD221" s="387"/>
      <c r="AQE221" s="387"/>
      <c r="AQF221" s="387"/>
      <c r="AQG221" s="387"/>
      <c r="AQH221" s="387"/>
      <c r="AQI221" s="387"/>
      <c r="AQJ221" s="387"/>
      <c r="AQK221" s="387"/>
      <c r="AQL221" s="387"/>
      <c r="AQM221" s="387"/>
      <c r="AQN221" s="387"/>
      <c r="AQO221" s="387"/>
      <c r="AQP221" s="387"/>
      <c r="AQQ221" s="387"/>
      <c r="AQR221" s="387"/>
      <c r="AQS221" s="387"/>
      <c r="AQT221" s="387"/>
      <c r="AQU221" s="387"/>
      <c r="AQV221" s="387"/>
      <c r="AQW221" s="387"/>
      <c r="AQX221" s="387"/>
      <c r="AQY221" s="387"/>
      <c r="AQZ221" s="387"/>
      <c r="ARA221" s="387"/>
      <c r="ARB221" s="387"/>
      <c r="ARC221" s="387"/>
      <c r="ARD221" s="387"/>
      <c r="ARE221" s="387"/>
      <c r="ARF221" s="387"/>
      <c r="ARG221" s="387"/>
      <c r="ARH221" s="387"/>
      <c r="ARI221" s="387"/>
      <c r="ARJ221" s="387"/>
      <c r="ARK221" s="387"/>
      <c r="ARL221" s="387"/>
      <c r="ARM221" s="387"/>
      <c r="ARN221" s="387"/>
      <c r="ARO221" s="387"/>
      <c r="ARP221" s="387"/>
      <c r="ARQ221" s="387"/>
      <c r="ARR221" s="387"/>
      <c r="ARS221" s="387"/>
      <c r="ART221" s="387"/>
      <c r="ARU221" s="387"/>
      <c r="ARV221" s="387"/>
      <c r="ARW221" s="387"/>
      <c r="ARX221" s="387"/>
      <c r="ARY221" s="387"/>
      <c r="ARZ221" s="387"/>
      <c r="ASA221" s="387"/>
      <c r="ASB221" s="387"/>
      <c r="ASC221" s="387"/>
      <c r="ASD221" s="387"/>
      <c r="ASE221" s="387"/>
      <c r="ASF221" s="387"/>
      <c r="ASG221" s="387"/>
      <c r="ASH221" s="387"/>
      <c r="ASI221" s="387"/>
      <c r="ASJ221" s="387"/>
      <c r="ASK221" s="387"/>
      <c r="ASL221" s="387"/>
      <c r="ASM221" s="387"/>
      <c r="ASN221" s="387"/>
      <c r="ASO221" s="387"/>
      <c r="ASP221" s="387"/>
      <c r="ASQ221" s="387"/>
      <c r="ASR221" s="387"/>
      <c r="ASS221" s="387"/>
      <c r="AST221" s="387"/>
      <c r="ASU221" s="387"/>
      <c r="ASV221" s="387"/>
      <c r="ASW221" s="387"/>
      <c r="ASX221" s="387"/>
      <c r="ASY221" s="387"/>
      <c r="ASZ221" s="387"/>
      <c r="ATA221" s="387"/>
      <c r="ATB221" s="387"/>
      <c r="ATC221" s="387"/>
      <c r="ATD221" s="387"/>
      <c r="ATE221" s="387"/>
      <c r="ATF221" s="387"/>
      <c r="ATG221" s="387"/>
      <c r="ATH221" s="387"/>
      <c r="ATI221" s="387"/>
      <c r="ATJ221" s="387"/>
      <c r="ATK221" s="387"/>
      <c r="ATL221" s="387"/>
      <c r="ATM221" s="387"/>
      <c r="ATN221" s="387"/>
      <c r="ATO221" s="387"/>
      <c r="ATP221" s="387"/>
      <c r="ATQ221" s="387"/>
      <c r="ATR221" s="387"/>
      <c r="ATS221" s="387"/>
      <c r="ATT221" s="387"/>
      <c r="ATU221" s="387"/>
      <c r="ATV221" s="387"/>
      <c r="ATW221" s="387"/>
      <c r="ATX221" s="387"/>
      <c r="ATY221" s="387"/>
      <c r="ATZ221" s="387"/>
      <c r="AUA221" s="387"/>
      <c r="AUB221" s="387"/>
      <c r="AUC221" s="387"/>
      <c r="AUD221" s="387"/>
      <c r="AUE221" s="387"/>
      <c r="AUF221" s="387"/>
      <c r="AUG221" s="387"/>
      <c r="AUH221" s="387"/>
      <c r="AUI221" s="387"/>
      <c r="AUJ221" s="387"/>
      <c r="AUK221" s="387"/>
      <c r="AUL221" s="387"/>
      <c r="AUM221" s="387"/>
      <c r="AUN221" s="387"/>
      <c r="AUO221" s="387"/>
      <c r="AUP221" s="387"/>
      <c r="AUQ221" s="387"/>
      <c r="AUR221" s="387"/>
      <c r="AUS221" s="387"/>
      <c r="AUT221" s="387"/>
      <c r="AUU221" s="387"/>
      <c r="AUV221" s="387"/>
      <c r="AUW221" s="387"/>
      <c r="AUX221" s="387"/>
      <c r="AUY221" s="387"/>
      <c r="AUZ221" s="387"/>
      <c r="AVA221" s="387"/>
      <c r="AVB221" s="387"/>
      <c r="AVC221" s="387"/>
      <c r="AVD221" s="387"/>
      <c r="AVE221" s="387"/>
      <c r="AVF221" s="387"/>
      <c r="AVG221" s="387"/>
      <c r="AVH221" s="387"/>
      <c r="AVI221" s="387"/>
      <c r="AVJ221" s="387"/>
      <c r="AVK221" s="387"/>
      <c r="AVL221" s="387"/>
      <c r="AVM221" s="387"/>
      <c r="AVN221" s="387"/>
      <c r="AVO221" s="387"/>
      <c r="AVP221" s="387"/>
      <c r="AVQ221" s="387"/>
      <c r="AVR221" s="387"/>
      <c r="AVS221" s="387"/>
      <c r="AVT221" s="387"/>
      <c r="AVU221" s="387"/>
      <c r="AVV221" s="387"/>
      <c r="AVW221" s="387"/>
      <c r="AVX221" s="387"/>
      <c r="AVY221" s="387"/>
      <c r="AVZ221" s="387"/>
      <c r="AWA221" s="387"/>
      <c r="AWB221" s="387"/>
      <c r="AWC221" s="387"/>
      <c r="AWD221" s="387"/>
      <c r="AWE221" s="387"/>
      <c r="AWF221" s="387"/>
      <c r="AWG221" s="387"/>
      <c r="AWH221" s="387"/>
      <c r="AWI221" s="387"/>
      <c r="AWJ221" s="387"/>
      <c r="AWK221" s="387"/>
      <c r="AWL221" s="387"/>
      <c r="AWM221" s="387"/>
      <c r="AWN221" s="387"/>
      <c r="AWO221" s="387"/>
      <c r="AWP221" s="387"/>
      <c r="AWQ221" s="387"/>
      <c r="AWR221" s="387"/>
      <c r="AWS221" s="387"/>
      <c r="AWT221" s="387"/>
      <c r="AWU221" s="387"/>
      <c r="AWV221" s="387"/>
      <c r="AWW221" s="387"/>
      <c r="AWX221" s="387"/>
      <c r="AWY221" s="387"/>
      <c r="AWZ221" s="387"/>
      <c r="AXA221" s="387"/>
      <c r="AXB221" s="387"/>
      <c r="AXC221" s="387"/>
      <c r="AXD221" s="387"/>
      <c r="AXE221" s="387"/>
      <c r="AXF221" s="387"/>
      <c r="AXG221" s="387"/>
      <c r="AXH221" s="387"/>
      <c r="AXI221" s="387"/>
      <c r="AXJ221" s="387"/>
      <c r="AXK221" s="387"/>
      <c r="AXL221" s="387"/>
      <c r="AXM221" s="387"/>
      <c r="AXN221" s="387"/>
      <c r="AXO221" s="387"/>
      <c r="AXP221" s="387"/>
      <c r="AXQ221" s="387"/>
      <c r="AXR221" s="387"/>
      <c r="AXS221" s="387"/>
      <c r="AXT221" s="387"/>
      <c r="AXU221" s="387"/>
      <c r="AXV221" s="387"/>
      <c r="AXW221" s="387"/>
      <c r="AXX221" s="387"/>
      <c r="AXY221" s="387"/>
      <c r="AXZ221" s="387"/>
      <c r="AYA221" s="387"/>
      <c r="AYB221" s="387"/>
      <c r="AYC221" s="387"/>
      <c r="AYD221" s="387"/>
      <c r="AYE221" s="387"/>
      <c r="AYF221" s="387"/>
      <c r="AYG221" s="387"/>
      <c r="AYH221" s="387"/>
      <c r="AYI221" s="387"/>
      <c r="AYJ221" s="387"/>
      <c r="AYK221" s="387"/>
      <c r="AYL221" s="387"/>
      <c r="AYM221" s="387"/>
      <c r="AYN221" s="387"/>
      <c r="AYO221" s="387"/>
      <c r="AYP221" s="387"/>
      <c r="AYQ221" s="387"/>
      <c r="AYR221" s="387"/>
      <c r="AYS221" s="387"/>
      <c r="AYT221" s="387"/>
      <c r="AYU221" s="387"/>
      <c r="AYV221" s="387"/>
      <c r="AYW221" s="387"/>
      <c r="AYX221" s="387"/>
      <c r="AYY221" s="387"/>
      <c r="AYZ221" s="387"/>
      <c r="AZA221" s="387"/>
      <c r="AZB221" s="387"/>
      <c r="AZC221" s="387"/>
      <c r="AZD221" s="387"/>
      <c r="AZE221" s="387"/>
      <c r="AZF221" s="387"/>
      <c r="AZG221" s="387"/>
      <c r="AZH221" s="387"/>
      <c r="AZI221" s="387"/>
      <c r="AZJ221" s="387"/>
      <c r="AZK221" s="387"/>
      <c r="AZL221" s="387"/>
      <c r="AZM221" s="387"/>
      <c r="AZN221" s="387"/>
      <c r="AZO221" s="387"/>
      <c r="AZP221" s="387"/>
      <c r="AZQ221" s="387"/>
      <c r="AZR221" s="387"/>
      <c r="AZS221" s="387"/>
      <c r="AZT221" s="387"/>
      <c r="AZU221" s="387"/>
      <c r="AZV221" s="387"/>
      <c r="AZW221" s="387"/>
      <c r="AZX221" s="387"/>
      <c r="AZY221" s="387"/>
      <c r="AZZ221" s="387"/>
      <c r="BAA221" s="387"/>
      <c r="BAB221" s="387"/>
      <c r="BAC221" s="387"/>
      <c r="BAD221" s="387"/>
      <c r="BAE221" s="387"/>
      <c r="BAF221" s="387"/>
      <c r="BAG221" s="387"/>
      <c r="BAH221" s="387"/>
      <c r="BAI221" s="387"/>
      <c r="BAJ221" s="387"/>
      <c r="BAK221" s="387"/>
      <c r="BAL221" s="387"/>
      <c r="BAM221" s="387"/>
      <c r="BAN221" s="387"/>
      <c r="BAO221" s="387"/>
      <c r="BAP221" s="387"/>
      <c r="BAQ221" s="387"/>
      <c r="BAR221" s="387"/>
      <c r="BAS221" s="387"/>
      <c r="BAT221" s="387"/>
      <c r="BAU221" s="387"/>
      <c r="BAV221" s="387"/>
      <c r="BAW221" s="387"/>
      <c r="BAX221" s="387"/>
      <c r="BAY221" s="387"/>
      <c r="BAZ221" s="387"/>
      <c r="BBA221" s="387"/>
      <c r="BBB221" s="387"/>
      <c r="BBC221" s="387"/>
      <c r="BBD221" s="387"/>
      <c r="BBE221" s="387"/>
      <c r="BBF221" s="387"/>
      <c r="BBG221" s="387"/>
      <c r="BBH221" s="387"/>
      <c r="BBI221" s="387"/>
      <c r="BBJ221" s="387"/>
      <c r="BBK221" s="387"/>
      <c r="BBL221" s="387"/>
      <c r="BBM221" s="387"/>
      <c r="BBN221" s="387"/>
      <c r="BBO221" s="387"/>
      <c r="BBP221" s="387"/>
      <c r="BBQ221" s="387"/>
      <c r="BBR221" s="387"/>
      <c r="BBS221" s="387"/>
      <c r="BBT221" s="387"/>
      <c r="BBU221" s="387"/>
      <c r="BBV221" s="387"/>
      <c r="BBW221" s="387"/>
      <c r="BBX221" s="387"/>
      <c r="BBY221" s="387"/>
      <c r="BBZ221" s="387"/>
      <c r="BCA221" s="387"/>
      <c r="BCB221" s="387"/>
      <c r="BCC221" s="387"/>
      <c r="BCD221" s="387"/>
      <c r="BCE221" s="387"/>
      <c r="BCF221" s="387"/>
      <c r="BCG221" s="387"/>
      <c r="BCH221" s="387"/>
      <c r="BCI221" s="387"/>
      <c r="BCJ221" s="387"/>
      <c r="BCK221" s="387"/>
      <c r="BCL221" s="387"/>
      <c r="BCM221" s="387"/>
      <c r="BCN221" s="387"/>
      <c r="BCO221" s="387"/>
      <c r="BCP221" s="387"/>
      <c r="BCQ221" s="387"/>
      <c r="BCR221" s="387"/>
      <c r="BCS221" s="387"/>
      <c r="BCT221" s="387"/>
      <c r="BCU221" s="387"/>
      <c r="BCV221" s="387"/>
      <c r="BCW221" s="387"/>
      <c r="BCX221" s="387"/>
      <c r="BCY221" s="387"/>
      <c r="BCZ221" s="387"/>
      <c r="BDA221" s="387"/>
      <c r="BDB221" s="387"/>
      <c r="BDC221" s="387"/>
      <c r="BDD221" s="387"/>
      <c r="BDE221" s="387"/>
      <c r="BDF221" s="387"/>
      <c r="BDG221" s="387"/>
      <c r="BDH221" s="387"/>
      <c r="BDI221" s="387"/>
      <c r="BDJ221" s="387"/>
      <c r="BDK221" s="387"/>
      <c r="BDL221" s="387"/>
      <c r="BDM221" s="387"/>
      <c r="BDN221" s="387"/>
      <c r="BDO221" s="387"/>
      <c r="BDP221" s="387"/>
      <c r="BDQ221" s="387"/>
      <c r="BDR221" s="387"/>
      <c r="BDS221" s="387"/>
      <c r="BDT221" s="387"/>
      <c r="BDU221" s="387"/>
      <c r="BDV221" s="387"/>
      <c r="BDW221" s="387"/>
      <c r="BDX221" s="387"/>
      <c r="BDY221" s="387"/>
      <c r="BDZ221" s="387"/>
      <c r="BEA221" s="387"/>
      <c r="BEB221" s="387"/>
      <c r="BEC221" s="387"/>
      <c r="BED221" s="387"/>
      <c r="BEE221" s="387"/>
      <c r="BEF221" s="387"/>
      <c r="BEG221" s="387"/>
      <c r="BEH221" s="387"/>
      <c r="BEI221" s="387"/>
      <c r="BEJ221" s="387"/>
      <c r="BEK221" s="387"/>
      <c r="BEL221" s="387"/>
      <c r="BEM221" s="387"/>
      <c r="BEN221" s="387"/>
      <c r="BEO221" s="387"/>
      <c r="BEP221" s="387"/>
      <c r="BEQ221" s="387"/>
      <c r="BER221" s="387"/>
      <c r="BES221" s="387"/>
      <c r="BET221" s="387"/>
      <c r="BEU221" s="387"/>
      <c r="BEV221" s="387"/>
      <c r="BEW221" s="387"/>
      <c r="BEX221" s="387"/>
      <c r="BEY221" s="387"/>
      <c r="BEZ221" s="387"/>
      <c r="BFA221" s="387"/>
      <c r="BFB221" s="387"/>
      <c r="BFC221" s="387"/>
      <c r="BFD221" s="387"/>
      <c r="BFE221" s="387"/>
      <c r="BFF221" s="387"/>
      <c r="BFG221" s="387"/>
      <c r="BFH221" s="387"/>
      <c r="BFI221" s="387"/>
      <c r="BFJ221" s="387"/>
      <c r="BFK221" s="387"/>
      <c r="BFL221" s="387"/>
      <c r="BFM221" s="387"/>
      <c r="BFN221" s="387"/>
      <c r="BFO221" s="387"/>
      <c r="BFP221" s="387"/>
      <c r="BFQ221" s="387"/>
      <c r="BFR221" s="387"/>
      <c r="BFS221" s="387"/>
      <c r="BFT221" s="387"/>
      <c r="BFU221" s="387"/>
      <c r="BFV221" s="387"/>
      <c r="BFW221" s="387"/>
      <c r="BFX221" s="387"/>
      <c r="BFY221" s="387"/>
      <c r="BFZ221" s="387"/>
      <c r="BGA221" s="387"/>
      <c r="BGB221" s="387"/>
      <c r="BGC221" s="387"/>
      <c r="BGD221" s="387"/>
      <c r="BGE221" s="387"/>
      <c r="BGF221" s="387"/>
      <c r="BGG221" s="387"/>
      <c r="BGH221" s="387"/>
      <c r="BGI221" s="387"/>
      <c r="BGJ221" s="387"/>
      <c r="BGK221" s="387"/>
      <c r="BGL221" s="387"/>
      <c r="BGM221" s="387"/>
      <c r="BGN221" s="387"/>
      <c r="BGO221" s="387"/>
      <c r="BGP221" s="387"/>
      <c r="BGQ221" s="387"/>
      <c r="BGR221" s="387"/>
      <c r="BGS221" s="387"/>
      <c r="BGT221" s="387"/>
      <c r="BGU221" s="387"/>
      <c r="BGV221" s="387"/>
      <c r="BGW221" s="387"/>
      <c r="BGX221" s="387"/>
      <c r="BGY221" s="387"/>
      <c r="BGZ221" s="387"/>
      <c r="BHA221" s="387"/>
      <c r="BHB221" s="387"/>
      <c r="BHC221" s="387"/>
      <c r="BHD221" s="387"/>
      <c r="BHE221" s="387"/>
      <c r="BHF221" s="387"/>
      <c r="BHG221" s="387"/>
      <c r="BHH221" s="387"/>
      <c r="BHI221" s="387"/>
      <c r="BHJ221" s="387"/>
      <c r="BHK221" s="387"/>
      <c r="BHL221" s="387"/>
      <c r="BHM221" s="387"/>
      <c r="BHN221" s="387"/>
      <c r="BHO221" s="387"/>
      <c r="BHP221" s="387"/>
      <c r="BHQ221" s="387"/>
      <c r="BHR221" s="387"/>
      <c r="BHS221" s="387"/>
      <c r="BHT221" s="387"/>
      <c r="BHU221" s="387"/>
      <c r="BHV221" s="387"/>
      <c r="BHW221" s="387"/>
      <c r="BHX221" s="387"/>
      <c r="BHY221" s="387"/>
      <c r="BHZ221" s="387"/>
      <c r="BIA221" s="387"/>
      <c r="BIB221" s="387"/>
      <c r="BIC221" s="387"/>
      <c r="BID221" s="387"/>
      <c r="BIE221" s="387"/>
      <c r="BIF221" s="387"/>
      <c r="BIG221" s="387"/>
      <c r="BIH221" s="387"/>
      <c r="BII221" s="387"/>
      <c r="BIJ221" s="387"/>
      <c r="BIK221" s="387"/>
      <c r="BIL221" s="387"/>
      <c r="BIM221" s="387"/>
      <c r="BIN221" s="387"/>
      <c r="BIO221" s="387"/>
      <c r="BIP221" s="387"/>
      <c r="BIQ221" s="387"/>
      <c r="BIR221" s="387"/>
      <c r="BIS221" s="387"/>
      <c r="BIT221" s="387"/>
      <c r="BIU221" s="387"/>
      <c r="BIV221" s="387"/>
      <c r="BIW221" s="387"/>
      <c r="BIX221" s="387"/>
      <c r="BIY221" s="387"/>
      <c r="BIZ221" s="387"/>
      <c r="BJA221" s="387"/>
      <c r="BJB221" s="387"/>
      <c r="BJC221" s="387"/>
      <c r="BJD221" s="387"/>
      <c r="BJE221" s="387"/>
      <c r="BJF221" s="387"/>
      <c r="BJG221" s="387"/>
      <c r="BJH221" s="387"/>
      <c r="BJI221" s="387"/>
      <c r="BJJ221" s="387"/>
      <c r="BJK221" s="387"/>
      <c r="BJL221" s="387"/>
      <c r="BJM221" s="387"/>
      <c r="BJN221" s="387"/>
      <c r="BJO221" s="387"/>
      <c r="BJP221" s="387"/>
      <c r="BJQ221" s="387"/>
      <c r="BJR221" s="387"/>
      <c r="BJS221" s="387"/>
      <c r="BJT221" s="387"/>
      <c r="BJU221" s="387"/>
      <c r="BJV221" s="387"/>
      <c r="BJW221" s="387"/>
      <c r="BJX221" s="387"/>
      <c r="BJY221" s="387"/>
      <c r="BJZ221" s="387"/>
      <c r="BKA221" s="387"/>
      <c r="BKB221" s="387"/>
      <c r="BKC221" s="387"/>
      <c r="BKD221" s="387"/>
      <c r="BKE221" s="387"/>
      <c r="BKF221" s="387"/>
      <c r="BKG221" s="387"/>
      <c r="BKH221" s="387"/>
      <c r="BKI221" s="387"/>
      <c r="BKJ221" s="387"/>
      <c r="BKK221" s="387"/>
      <c r="BKL221" s="387"/>
      <c r="BKM221" s="387"/>
      <c r="BKN221" s="387"/>
      <c r="BKO221" s="387"/>
      <c r="BKP221" s="387"/>
      <c r="BKQ221" s="387"/>
      <c r="BKR221" s="387"/>
      <c r="BKS221" s="387"/>
      <c r="BKT221" s="387"/>
      <c r="BKU221" s="387"/>
      <c r="BKV221" s="387"/>
      <c r="BKW221" s="387"/>
      <c r="BKX221" s="387"/>
      <c r="BKY221" s="387"/>
      <c r="BKZ221" s="387"/>
      <c r="BLA221" s="387"/>
      <c r="BLB221" s="387"/>
      <c r="BLC221" s="387"/>
      <c r="BLD221" s="387"/>
      <c r="BLE221" s="387"/>
      <c r="BLF221" s="387"/>
      <c r="BLG221" s="387"/>
      <c r="BLH221" s="387"/>
      <c r="BLI221" s="387"/>
      <c r="BLJ221" s="387"/>
      <c r="BLK221" s="387"/>
      <c r="BLL221" s="387"/>
      <c r="BLM221" s="387"/>
      <c r="BLN221" s="387"/>
      <c r="BLO221" s="387"/>
      <c r="BLP221" s="387"/>
      <c r="BLQ221" s="387"/>
      <c r="BLR221" s="387"/>
      <c r="BLS221" s="387"/>
      <c r="BLT221" s="387"/>
      <c r="BLU221" s="387"/>
      <c r="BLV221" s="387"/>
      <c r="BLW221" s="387"/>
      <c r="BLX221" s="387"/>
      <c r="BLY221" s="387"/>
      <c r="BLZ221" s="387"/>
      <c r="BMA221" s="387"/>
      <c r="BMB221" s="387"/>
      <c r="BMC221" s="387"/>
      <c r="BMD221" s="387"/>
      <c r="BME221" s="387"/>
      <c r="BMF221" s="387"/>
      <c r="BMG221" s="387"/>
      <c r="BMH221" s="387"/>
      <c r="BMI221" s="387"/>
      <c r="BMJ221" s="387"/>
      <c r="BMK221" s="387"/>
      <c r="BML221" s="387"/>
      <c r="BMM221" s="387"/>
      <c r="BMN221" s="387"/>
      <c r="BMO221" s="387"/>
      <c r="BMP221" s="387"/>
      <c r="BMQ221" s="387"/>
      <c r="BMR221" s="387"/>
      <c r="BMS221" s="387"/>
      <c r="BMT221" s="387"/>
      <c r="BMU221" s="387"/>
      <c r="BMV221" s="387"/>
      <c r="BMW221" s="387"/>
      <c r="BMX221" s="387"/>
      <c r="BMY221" s="387"/>
      <c r="BMZ221" s="387"/>
      <c r="BNA221" s="387"/>
      <c r="BNB221" s="387"/>
      <c r="BNC221" s="387"/>
      <c r="BND221" s="387"/>
      <c r="BNE221" s="387"/>
      <c r="BNF221" s="387"/>
      <c r="BNG221" s="387"/>
      <c r="BNH221" s="387"/>
      <c r="BNI221" s="387"/>
      <c r="BNJ221" s="387"/>
      <c r="BNK221" s="387"/>
      <c r="BNL221" s="387"/>
      <c r="BNM221" s="387"/>
      <c r="BNN221" s="387"/>
      <c r="BNO221" s="387"/>
      <c r="BNP221" s="387"/>
      <c r="BNQ221" s="387"/>
      <c r="BNR221" s="387"/>
      <c r="BNS221" s="387"/>
      <c r="BNT221" s="387"/>
      <c r="BNU221" s="387"/>
      <c r="BNV221" s="387"/>
      <c r="BNW221" s="387"/>
      <c r="BNX221" s="387"/>
      <c r="BNY221" s="387"/>
      <c r="BNZ221" s="387"/>
      <c r="BOA221" s="387"/>
      <c r="BOB221" s="387"/>
      <c r="BOC221" s="387"/>
      <c r="BOD221" s="387"/>
      <c r="BOE221" s="387"/>
      <c r="BOF221" s="387"/>
      <c r="BOG221" s="387"/>
      <c r="BOH221" s="387"/>
      <c r="BOI221" s="387"/>
      <c r="BOJ221" s="387"/>
      <c r="BOK221" s="387"/>
      <c r="BOL221" s="387"/>
      <c r="BOM221" s="387"/>
      <c r="BON221" s="387"/>
      <c r="BOO221" s="387"/>
      <c r="BOP221" s="387"/>
      <c r="BOQ221" s="387"/>
      <c r="BOR221" s="387"/>
      <c r="BOS221" s="387"/>
      <c r="BOT221" s="387"/>
      <c r="BOU221" s="387"/>
      <c r="BOV221" s="387"/>
      <c r="BOW221" s="387"/>
      <c r="BOX221" s="387"/>
      <c r="BOY221" s="387"/>
      <c r="BOZ221" s="387"/>
      <c r="BPA221" s="387"/>
      <c r="BPB221" s="387"/>
      <c r="BPC221" s="387"/>
      <c r="BPD221" s="387"/>
      <c r="BPE221" s="387"/>
      <c r="BPF221" s="387"/>
      <c r="BPG221" s="387"/>
      <c r="BPH221" s="387"/>
      <c r="BPI221" s="387"/>
      <c r="BPJ221" s="387"/>
      <c r="BPK221" s="387"/>
      <c r="BPL221" s="387"/>
      <c r="BPM221" s="387"/>
      <c r="BPN221" s="387"/>
      <c r="BPO221" s="387"/>
      <c r="BPP221" s="387"/>
      <c r="BPQ221" s="387"/>
      <c r="BPR221" s="387"/>
      <c r="BPS221" s="387"/>
      <c r="BPT221" s="387"/>
      <c r="BPU221" s="387"/>
      <c r="BPV221" s="387"/>
      <c r="BPW221" s="387"/>
      <c r="BPX221" s="387"/>
      <c r="BPY221" s="387"/>
      <c r="BPZ221" s="387"/>
      <c r="BQA221" s="387"/>
      <c r="BQB221" s="387"/>
      <c r="BQC221" s="387"/>
      <c r="BQD221" s="387"/>
      <c r="BQE221" s="387"/>
      <c r="BQF221" s="387"/>
      <c r="BQG221" s="387"/>
      <c r="BQH221" s="387"/>
      <c r="BQI221" s="387"/>
      <c r="BQJ221" s="387"/>
      <c r="BQK221" s="387"/>
      <c r="BQL221" s="387"/>
      <c r="BQM221" s="387"/>
      <c r="BQN221" s="387"/>
      <c r="BQO221" s="387"/>
      <c r="BQP221" s="387"/>
      <c r="BQQ221" s="387"/>
      <c r="BQR221" s="387"/>
      <c r="BQS221" s="387"/>
      <c r="BQT221" s="387"/>
      <c r="BQU221" s="387"/>
      <c r="BQV221" s="387"/>
      <c r="BQW221" s="387"/>
      <c r="BQX221" s="387"/>
      <c r="BQY221" s="387"/>
      <c r="BQZ221" s="387"/>
      <c r="BRA221" s="387"/>
      <c r="BRB221" s="387"/>
      <c r="BRC221" s="387"/>
      <c r="BRD221" s="387"/>
      <c r="BRE221" s="387"/>
      <c r="BRF221" s="387"/>
      <c r="BRG221" s="387"/>
      <c r="BRH221" s="387"/>
      <c r="BRI221" s="387"/>
      <c r="BRJ221" s="387"/>
      <c r="BRK221" s="387"/>
      <c r="BRL221" s="387"/>
      <c r="BRM221" s="387"/>
      <c r="BRN221" s="387"/>
      <c r="BRO221" s="387"/>
      <c r="BRP221" s="387"/>
      <c r="BRQ221" s="387"/>
      <c r="BRR221" s="387"/>
      <c r="BRS221" s="387"/>
      <c r="BRT221" s="387"/>
      <c r="BRU221" s="387"/>
      <c r="BRV221" s="387"/>
      <c r="BRW221" s="387"/>
      <c r="BRX221" s="387"/>
      <c r="BRY221" s="387"/>
      <c r="BRZ221" s="387"/>
      <c r="BSA221" s="387"/>
      <c r="BSB221" s="387"/>
      <c r="BSC221" s="387"/>
      <c r="BSD221" s="387"/>
      <c r="BSE221" s="387"/>
      <c r="BSF221" s="387"/>
      <c r="BSG221" s="387"/>
      <c r="BSH221" s="387"/>
      <c r="BSI221" s="387"/>
      <c r="BSJ221" s="387"/>
      <c r="BSK221" s="387"/>
      <c r="BSL221" s="387"/>
      <c r="BSM221" s="387"/>
      <c r="BSN221" s="387"/>
      <c r="BSO221" s="387"/>
      <c r="BSP221" s="387"/>
      <c r="BSQ221" s="387"/>
      <c r="BSR221" s="387"/>
      <c r="BSS221" s="387"/>
      <c r="BST221" s="387"/>
      <c r="BSU221" s="387"/>
      <c r="BSV221" s="387"/>
      <c r="BSW221" s="387"/>
      <c r="BSX221" s="387"/>
      <c r="BSY221" s="387"/>
      <c r="BSZ221" s="387"/>
      <c r="BTA221" s="387"/>
      <c r="BTB221" s="387"/>
      <c r="BTC221" s="387"/>
      <c r="BTD221" s="387"/>
      <c r="BTE221" s="387"/>
      <c r="BTF221" s="387"/>
      <c r="BTG221" s="387"/>
      <c r="BTH221" s="387"/>
      <c r="BTI221" s="387"/>
    </row>
    <row r="222" spans="1:1881" s="312" customFormat="1" ht="28.5" customHeight="1" x14ac:dyDescent="0.25">
      <c r="A222" s="186"/>
      <c r="B222" s="158" t="s">
        <v>73</v>
      </c>
      <c r="C222" s="158"/>
      <c r="D222" s="350"/>
      <c r="E222" s="150"/>
      <c r="F222" s="794"/>
      <c r="G222" s="351"/>
      <c r="H222" s="18"/>
      <c r="I222" s="292"/>
      <c r="J222" s="387"/>
      <c r="K222" s="387"/>
      <c r="L222" s="387"/>
      <c r="M222" s="387"/>
      <c r="N222"/>
      <c r="O222" s="387"/>
      <c r="P222" s="387"/>
      <c r="Q222" s="387"/>
      <c r="R222"/>
      <c r="S222" s="682"/>
      <c r="T222" s="387"/>
      <c r="U222" s="387"/>
      <c r="V222" s="387"/>
      <c r="W222" s="387"/>
      <c r="X222" s="682"/>
      <c r="Y222" s="387"/>
      <c r="Z222" s="387"/>
      <c r="AA222" s="387"/>
      <c r="AB222" s="387"/>
      <c r="AC222" s="387"/>
      <c r="AD222" s="387"/>
      <c r="AE222" s="387"/>
      <c r="AF222" s="387"/>
      <c r="AG222" s="387"/>
      <c r="AH222" s="387"/>
      <c r="AI222" s="387"/>
      <c r="AJ222" s="387"/>
      <c r="AK222" s="387"/>
      <c r="AL222" s="387"/>
      <c r="AM222" s="387"/>
      <c r="AN222" s="387"/>
      <c r="AO222" s="387"/>
      <c r="AP222" s="387"/>
      <c r="AQ222" s="387"/>
      <c r="AR222" s="387"/>
      <c r="AS222" s="387"/>
      <c r="AT222" s="387"/>
      <c r="AU222" s="387"/>
      <c r="AV222" s="387"/>
      <c r="AW222" s="387"/>
      <c r="AX222" s="387"/>
      <c r="AY222" s="387"/>
      <c r="AZ222" s="387"/>
      <c r="BA222" s="387"/>
      <c r="BB222" s="387"/>
      <c r="BC222" s="387"/>
      <c r="BD222" s="387"/>
      <c r="BE222" s="387"/>
      <c r="BF222" s="387"/>
      <c r="BG222" s="387"/>
      <c r="BH222" s="387"/>
      <c r="BI222" s="387"/>
      <c r="BJ222" s="387"/>
      <c r="BK222" s="387"/>
      <c r="BL222" s="387"/>
      <c r="BM222" s="387"/>
      <c r="BN222" s="387"/>
      <c r="BO222" s="387"/>
      <c r="BP222" s="387"/>
      <c r="BQ222" s="387"/>
      <c r="BR222" s="387"/>
      <c r="BS222" s="387"/>
      <c r="BT222" s="387"/>
      <c r="BU222" s="387"/>
      <c r="BV222" s="387"/>
      <c r="BW222" s="387"/>
      <c r="BX222" s="387"/>
      <c r="BY222" s="387"/>
      <c r="BZ222" s="387"/>
      <c r="CA222" s="387"/>
      <c r="CB222" s="387"/>
      <c r="CC222" s="387"/>
      <c r="CD222" s="387"/>
      <c r="CE222" s="387"/>
      <c r="CF222" s="387"/>
      <c r="CG222" s="387"/>
      <c r="CH222" s="387"/>
      <c r="CI222" s="387"/>
      <c r="CJ222" s="387"/>
      <c r="CK222" s="387"/>
      <c r="CL222" s="387"/>
      <c r="CM222" s="387"/>
      <c r="CN222" s="387"/>
      <c r="CO222" s="387"/>
      <c r="CP222" s="387"/>
      <c r="CQ222" s="387"/>
      <c r="CR222" s="387"/>
      <c r="CS222" s="387"/>
      <c r="CT222" s="387"/>
      <c r="CU222" s="387"/>
      <c r="CV222" s="387"/>
      <c r="CW222" s="387"/>
      <c r="CX222" s="387"/>
      <c r="CY222" s="387"/>
      <c r="CZ222" s="387"/>
      <c r="DA222" s="387"/>
      <c r="DB222" s="387"/>
      <c r="DC222" s="387"/>
      <c r="DD222" s="387"/>
      <c r="DE222" s="387"/>
      <c r="DF222" s="387"/>
      <c r="DG222" s="387"/>
      <c r="DH222" s="387"/>
      <c r="DI222" s="387"/>
      <c r="DJ222" s="387"/>
      <c r="DK222" s="387"/>
      <c r="DL222" s="387"/>
      <c r="DM222" s="387"/>
      <c r="DN222" s="387"/>
      <c r="DO222" s="387"/>
      <c r="DP222" s="387"/>
      <c r="DQ222" s="387"/>
      <c r="DR222" s="387"/>
      <c r="DS222" s="387"/>
      <c r="DT222" s="387"/>
      <c r="DU222" s="387"/>
      <c r="DV222" s="387"/>
      <c r="DW222" s="387"/>
      <c r="DX222" s="387"/>
      <c r="DY222" s="387"/>
      <c r="DZ222" s="387"/>
      <c r="EA222" s="387"/>
      <c r="EB222" s="387"/>
      <c r="EC222" s="387"/>
      <c r="ED222" s="387"/>
      <c r="EE222" s="387"/>
      <c r="EF222" s="387"/>
      <c r="EG222" s="387"/>
      <c r="EH222" s="387"/>
      <c r="EI222" s="387"/>
      <c r="EJ222" s="387"/>
      <c r="EK222" s="387"/>
      <c r="EL222" s="387"/>
      <c r="EM222" s="387"/>
      <c r="EN222" s="387"/>
      <c r="EO222" s="387"/>
      <c r="EP222" s="387"/>
      <c r="EQ222" s="387"/>
      <c r="ER222" s="387"/>
      <c r="ES222" s="387"/>
      <c r="ET222" s="387"/>
      <c r="EU222" s="387"/>
      <c r="EV222" s="387"/>
      <c r="EW222" s="387"/>
      <c r="EX222" s="387"/>
      <c r="EY222" s="387"/>
      <c r="EZ222" s="387"/>
      <c r="FA222" s="387"/>
      <c r="FB222" s="387"/>
      <c r="FC222" s="387"/>
      <c r="FD222" s="387"/>
      <c r="FE222" s="387"/>
      <c r="FF222" s="387"/>
      <c r="FG222" s="387"/>
      <c r="FH222" s="387"/>
      <c r="FI222" s="387"/>
      <c r="FJ222" s="387"/>
      <c r="FK222" s="387"/>
      <c r="FL222" s="387"/>
      <c r="FM222" s="387"/>
      <c r="FN222" s="387"/>
      <c r="FO222" s="387"/>
      <c r="FP222" s="387"/>
      <c r="FQ222" s="387"/>
      <c r="FR222" s="387"/>
      <c r="FS222" s="387"/>
      <c r="FT222" s="387"/>
      <c r="FU222" s="387"/>
      <c r="FV222" s="387"/>
      <c r="FW222" s="387"/>
      <c r="FX222" s="387"/>
      <c r="FY222" s="387"/>
      <c r="FZ222" s="387"/>
      <c r="GA222" s="387"/>
      <c r="GB222" s="387"/>
      <c r="GC222" s="387"/>
      <c r="GD222" s="387"/>
      <c r="GE222" s="387"/>
      <c r="GF222" s="387"/>
      <c r="GG222" s="387"/>
      <c r="GH222" s="387"/>
      <c r="GI222" s="387"/>
      <c r="GJ222" s="387"/>
      <c r="GK222" s="387"/>
      <c r="GL222" s="387"/>
      <c r="GM222" s="387"/>
      <c r="GN222" s="387"/>
      <c r="GO222" s="387"/>
      <c r="GP222" s="387"/>
      <c r="GQ222" s="387"/>
      <c r="GR222" s="387"/>
      <c r="GS222" s="387"/>
      <c r="GT222" s="387"/>
      <c r="GU222" s="387"/>
      <c r="GV222" s="387"/>
      <c r="GW222" s="387"/>
      <c r="GX222" s="387"/>
      <c r="GY222" s="387"/>
      <c r="GZ222" s="387"/>
      <c r="HA222" s="387"/>
      <c r="HB222" s="387"/>
      <c r="HC222" s="387"/>
      <c r="HD222" s="387"/>
      <c r="HE222" s="387"/>
      <c r="HF222" s="387"/>
      <c r="HG222" s="387"/>
      <c r="HH222" s="387"/>
      <c r="HI222" s="387"/>
      <c r="HJ222" s="387"/>
      <c r="HK222" s="387"/>
      <c r="HL222" s="387"/>
      <c r="HM222" s="387"/>
      <c r="HN222" s="387"/>
      <c r="HO222" s="387"/>
      <c r="HP222" s="387"/>
      <c r="HQ222" s="387"/>
      <c r="HR222" s="387"/>
      <c r="HS222" s="387"/>
      <c r="HT222" s="387"/>
      <c r="HU222" s="387"/>
      <c r="HV222" s="387"/>
      <c r="HW222" s="387"/>
      <c r="HX222" s="387"/>
      <c r="HY222" s="387"/>
      <c r="HZ222" s="387"/>
      <c r="IA222" s="387"/>
      <c r="IB222" s="387"/>
      <c r="IC222" s="387"/>
      <c r="ID222" s="387"/>
      <c r="IE222" s="387"/>
      <c r="IF222" s="387"/>
      <c r="IG222" s="387"/>
      <c r="IH222" s="387"/>
      <c r="II222" s="387"/>
      <c r="IJ222" s="387"/>
      <c r="IK222" s="387"/>
      <c r="IL222" s="387"/>
      <c r="IM222" s="387"/>
      <c r="IN222" s="387"/>
      <c r="IO222" s="387"/>
      <c r="IP222" s="387"/>
      <c r="IQ222" s="387"/>
      <c r="IR222" s="387"/>
      <c r="IS222" s="387"/>
      <c r="IT222" s="387"/>
      <c r="IU222" s="387"/>
      <c r="IV222" s="387"/>
      <c r="IW222" s="387"/>
      <c r="IX222" s="387"/>
      <c r="IY222" s="387"/>
      <c r="IZ222" s="387"/>
      <c r="JA222" s="387"/>
      <c r="JB222" s="387"/>
      <c r="JC222" s="387"/>
      <c r="JD222" s="387"/>
      <c r="JE222" s="387"/>
      <c r="JF222" s="387"/>
      <c r="JG222" s="387"/>
      <c r="JH222" s="387"/>
      <c r="JI222" s="387"/>
      <c r="JJ222" s="387"/>
      <c r="JK222" s="387"/>
      <c r="JL222" s="387"/>
      <c r="JM222" s="387"/>
      <c r="JN222" s="387"/>
      <c r="JO222" s="387"/>
      <c r="JP222" s="387"/>
      <c r="JQ222" s="387"/>
      <c r="JR222" s="387"/>
      <c r="JS222" s="387"/>
      <c r="JT222" s="387"/>
      <c r="JU222" s="387"/>
      <c r="JV222" s="387"/>
      <c r="JW222" s="387"/>
      <c r="JX222" s="387"/>
      <c r="JY222" s="387"/>
      <c r="JZ222" s="387"/>
      <c r="KA222" s="387"/>
      <c r="KB222" s="387"/>
      <c r="KC222" s="387"/>
      <c r="KD222" s="387"/>
      <c r="KE222" s="387"/>
      <c r="KF222" s="387"/>
      <c r="KG222" s="387"/>
      <c r="KH222" s="387"/>
      <c r="KI222" s="387"/>
      <c r="KJ222" s="387"/>
      <c r="KK222" s="387"/>
      <c r="KL222" s="387"/>
      <c r="KM222" s="387"/>
      <c r="KN222" s="387"/>
      <c r="KO222" s="387"/>
      <c r="KP222" s="387"/>
      <c r="KQ222" s="387"/>
      <c r="KR222" s="387"/>
      <c r="KS222" s="387"/>
      <c r="KT222" s="387"/>
      <c r="KU222" s="387"/>
      <c r="KV222" s="387"/>
      <c r="KW222" s="387"/>
      <c r="KX222" s="387"/>
      <c r="KY222" s="387"/>
      <c r="KZ222" s="387"/>
      <c r="LA222" s="387"/>
      <c r="LB222" s="387"/>
      <c r="LC222" s="387"/>
      <c r="LD222" s="387"/>
      <c r="LE222" s="387"/>
      <c r="LF222" s="387"/>
      <c r="LG222" s="387"/>
      <c r="LH222" s="387"/>
      <c r="LI222" s="387"/>
      <c r="LJ222" s="387"/>
      <c r="LK222" s="387"/>
      <c r="LL222" s="387"/>
      <c r="LM222" s="387"/>
      <c r="LN222" s="387"/>
      <c r="LO222" s="387"/>
      <c r="LP222" s="387"/>
      <c r="LQ222" s="387"/>
      <c r="LR222" s="387"/>
      <c r="LS222" s="387"/>
      <c r="LT222" s="387"/>
      <c r="LU222" s="387"/>
      <c r="LV222" s="387"/>
      <c r="LW222" s="387"/>
      <c r="LX222" s="387"/>
      <c r="LY222" s="387"/>
      <c r="LZ222" s="387"/>
      <c r="MA222" s="387"/>
      <c r="MB222" s="387"/>
      <c r="MC222" s="387"/>
      <c r="MD222" s="387"/>
      <c r="ME222" s="387"/>
      <c r="MF222" s="387"/>
      <c r="MG222" s="387"/>
      <c r="MH222" s="387"/>
      <c r="MI222" s="387"/>
      <c r="MJ222" s="387"/>
      <c r="MK222" s="387"/>
      <c r="ML222" s="387"/>
      <c r="MM222" s="387"/>
      <c r="MN222" s="387"/>
      <c r="MO222" s="387"/>
      <c r="MP222" s="387"/>
      <c r="MQ222" s="387"/>
      <c r="MR222" s="387"/>
      <c r="MS222" s="387"/>
      <c r="MT222" s="387"/>
      <c r="MU222" s="387"/>
      <c r="MV222" s="387"/>
      <c r="MW222" s="387"/>
      <c r="MX222" s="387"/>
      <c r="MY222" s="387"/>
      <c r="MZ222" s="387"/>
      <c r="NA222" s="387"/>
      <c r="NB222" s="387"/>
      <c r="NC222" s="387"/>
      <c r="ND222" s="387"/>
      <c r="NE222" s="387"/>
      <c r="NF222" s="387"/>
      <c r="NG222" s="387"/>
      <c r="NH222" s="387"/>
      <c r="NI222" s="387"/>
      <c r="NJ222" s="387"/>
      <c r="NK222" s="387"/>
      <c r="NL222" s="387"/>
      <c r="NM222" s="387"/>
      <c r="NN222" s="387"/>
      <c r="NO222" s="387"/>
      <c r="NP222" s="387"/>
      <c r="NQ222" s="387"/>
      <c r="NR222" s="387"/>
      <c r="NS222" s="387"/>
      <c r="NT222" s="387"/>
      <c r="NU222" s="387"/>
      <c r="NV222" s="387"/>
      <c r="NW222" s="387"/>
      <c r="NX222" s="387"/>
      <c r="NY222" s="387"/>
      <c r="NZ222" s="387"/>
      <c r="OA222" s="387"/>
      <c r="OB222" s="387"/>
      <c r="OC222" s="387"/>
      <c r="OD222" s="387"/>
      <c r="OE222" s="387"/>
      <c r="OF222" s="387"/>
      <c r="OG222" s="387"/>
      <c r="OH222" s="387"/>
      <c r="OI222" s="387"/>
      <c r="OJ222" s="387"/>
      <c r="OK222" s="387"/>
      <c r="OL222" s="387"/>
      <c r="OM222" s="387"/>
      <c r="ON222" s="387"/>
      <c r="OO222" s="387"/>
      <c r="OP222" s="387"/>
      <c r="OQ222" s="387"/>
      <c r="OR222" s="387"/>
      <c r="OS222" s="387"/>
      <c r="OT222" s="387"/>
      <c r="OU222" s="387"/>
      <c r="OV222" s="387"/>
      <c r="OW222" s="387"/>
      <c r="OX222" s="387"/>
      <c r="OY222" s="387"/>
      <c r="OZ222" s="387"/>
      <c r="PA222" s="387"/>
      <c r="PB222" s="387"/>
      <c r="PC222" s="387"/>
      <c r="PD222" s="387"/>
      <c r="PE222" s="387"/>
      <c r="PF222" s="387"/>
      <c r="PG222" s="387"/>
      <c r="PH222" s="387"/>
      <c r="PI222" s="387"/>
      <c r="PJ222" s="387"/>
      <c r="PK222" s="387"/>
      <c r="PL222" s="387"/>
      <c r="PM222" s="387"/>
      <c r="PN222" s="387"/>
      <c r="PO222" s="387"/>
      <c r="PP222" s="387"/>
      <c r="PQ222" s="387"/>
      <c r="PR222" s="387"/>
      <c r="PS222" s="387"/>
      <c r="PT222" s="387"/>
      <c r="PU222" s="387"/>
      <c r="PV222" s="387"/>
      <c r="PW222" s="387"/>
      <c r="PX222" s="387"/>
      <c r="PY222" s="387"/>
      <c r="PZ222" s="387"/>
      <c r="QA222" s="387"/>
      <c r="QB222" s="387"/>
      <c r="QC222" s="387"/>
      <c r="QD222" s="387"/>
      <c r="QE222" s="387"/>
      <c r="QF222" s="387"/>
      <c r="QG222" s="387"/>
      <c r="QH222" s="387"/>
      <c r="QI222" s="387"/>
      <c r="QJ222" s="387"/>
      <c r="QK222" s="387"/>
      <c r="QL222" s="387"/>
      <c r="QM222" s="387"/>
      <c r="QN222" s="387"/>
      <c r="QO222" s="387"/>
      <c r="QP222" s="387"/>
      <c r="QQ222" s="387"/>
      <c r="QR222" s="387"/>
      <c r="QS222" s="387"/>
      <c r="QT222" s="387"/>
      <c r="QU222" s="387"/>
      <c r="QV222" s="387"/>
      <c r="QW222" s="387"/>
      <c r="QX222" s="387"/>
      <c r="QY222" s="387"/>
      <c r="QZ222" s="387"/>
      <c r="RA222" s="387"/>
      <c r="RB222" s="387"/>
      <c r="RC222" s="387"/>
      <c r="RD222" s="387"/>
      <c r="RE222" s="387"/>
      <c r="RF222" s="387"/>
      <c r="RG222" s="387"/>
      <c r="RH222" s="387"/>
      <c r="RI222" s="387"/>
      <c r="RJ222" s="387"/>
      <c r="RK222" s="387"/>
      <c r="RL222" s="387"/>
      <c r="RM222" s="387"/>
      <c r="RN222" s="387"/>
      <c r="RO222" s="387"/>
      <c r="RP222" s="387"/>
      <c r="RQ222" s="387"/>
      <c r="RR222" s="387"/>
      <c r="RS222" s="387"/>
      <c r="RT222" s="387"/>
      <c r="RU222" s="387"/>
      <c r="RV222" s="387"/>
      <c r="RW222" s="387"/>
      <c r="RX222" s="387"/>
      <c r="RY222" s="387"/>
      <c r="RZ222" s="387"/>
      <c r="SA222" s="387"/>
      <c r="SB222" s="387"/>
      <c r="SC222" s="387"/>
      <c r="SD222" s="387"/>
      <c r="SE222" s="387"/>
      <c r="SF222" s="387"/>
      <c r="SG222" s="387"/>
      <c r="SH222" s="387"/>
      <c r="SI222" s="387"/>
      <c r="SJ222" s="387"/>
      <c r="SK222" s="387"/>
      <c r="SL222" s="387"/>
      <c r="SM222" s="387"/>
      <c r="SN222" s="387"/>
      <c r="SO222" s="387"/>
      <c r="SP222" s="387"/>
      <c r="SQ222" s="387"/>
      <c r="SR222" s="387"/>
      <c r="SS222" s="387"/>
      <c r="ST222" s="387"/>
      <c r="SU222" s="387"/>
      <c r="SV222" s="387"/>
      <c r="SW222" s="387"/>
      <c r="SX222" s="387"/>
      <c r="SY222" s="387"/>
      <c r="SZ222" s="387"/>
      <c r="TA222" s="387"/>
      <c r="TB222" s="387"/>
      <c r="TC222" s="387"/>
      <c r="TD222" s="387"/>
      <c r="TE222" s="387"/>
      <c r="TF222" s="387"/>
      <c r="TG222" s="387"/>
      <c r="TH222" s="387"/>
      <c r="TI222" s="387"/>
      <c r="TJ222" s="387"/>
      <c r="TK222" s="387"/>
      <c r="TL222" s="387"/>
      <c r="TM222" s="387"/>
      <c r="TN222" s="387"/>
      <c r="TO222" s="387"/>
      <c r="TP222" s="387"/>
      <c r="TQ222" s="387"/>
      <c r="TR222" s="387"/>
      <c r="TS222" s="387"/>
      <c r="TT222" s="387"/>
      <c r="TU222" s="387"/>
      <c r="TV222" s="387"/>
      <c r="TW222" s="387"/>
      <c r="TX222" s="387"/>
      <c r="TY222" s="387"/>
      <c r="TZ222" s="387"/>
      <c r="UA222" s="387"/>
      <c r="UB222" s="387"/>
      <c r="UC222" s="387"/>
      <c r="UD222" s="387"/>
      <c r="UE222" s="387"/>
      <c r="UF222" s="387"/>
      <c r="UG222" s="387"/>
      <c r="UH222" s="387"/>
      <c r="UI222" s="387"/>
      <c r="UJ222" s="387"/>
      <c r="UK222" s="387"/>
      <c r="UL222" s="387"/>
      <c r="UM222" s="387"/>
      <c r="UN222" s="387"/>
      <c r="UO222" s="387"/>
      <c r="UP222" s="387"/>
      <c r="UQ222" s="387"/>
      <c r="UR222" s="387"/>
      <c r="US222" s="387"/>
      <c r="UT222" s="387"/>
      <c r="UU222" s="387"/>
      <c r="UV222" s="387"/>
      <c r="UW222" s="387"/>
      <c r="UX222" s="387"/>
      <c r="UY222" s="387"/>
      <c r="UZ222" s="387"/>
      <c r="VA222" s="387"/>
      <c r="VB222" s="387"/>
      <c r="VC222" s="387"/>
      <c r="VD222" s="387"/>
      <c r="VE222" s="387"/>
      <c r="VF222" s="387"/>
      <c r="VG222" s="387"/>
      <c r="VH222" s="387"/>
      <c r="VI222" s="387"/>
      <c r="VJ222" s="387"/>
      <c r="VK222" s="387"/>
      <c r="VL222" s="387"/>
      <c r="VM222" s="387"/>
      <c r="VN222" s="387"/>
      <c r="VO222" s="387"/>
      <c r="VP222" s="387"/>
      <c r="VQ222" s="387"/>
      <c r="VR222" s="387"/>
      <c r="VS222" s="387"/>
      <c r="VT222" s="387"/>
      <c r="VU222" s="387"/>
      <c r="VV222" s="387"/>
      <c r="VW222" s="387"/>
      <c r="VX222" s="387"/>
      <c r="VY222" s="387"/>
      <c r="VZ222" s="387"/>
      <c r="WA222" s="387"/>
      <c r="WB222" s="387"/>
      <c r="WC222" s="387"/>
      <c r="WD222" s="387"/>
      <c r="WE222" s="387"/>
      <c r="WF222" s="387"/>
      <c r="WG222" s="387"/>
      <c r="WH222" s="387"/>
      <c r="WI222" s="387"/>
      <c r="WJ222" s="387"/>
      <c r="WK222" s="387"/>
      <c r="WL222" s="387"/>
      <c r="WM222" s="387"/>
      <c r="WN222" s="387"/>
      <c r="WO222" s="387"/>
      <c r="WP222" s="387"/>
      <c r="WQ222" s="387"/>
      <c r="WR222" s="387"/>
      <c r="WS222" s="387"/>
      <c r="WT222" s="387"/>
      <c r="WU222" s="387"/>
      <c r="WV222" s="387"/>
      <c r="WW222" s="387"/>
      <c r="WX222" s="387"/>
      <c r="WY222" s="387"/>
      <c r="WZ222" s="387"/>
      <c r="XA222" s="387"/>
      <c r="XB222" s="387"/>
      <c r="XC222" s="387"/>
      <c r="XD222" s="387"/>
      <c r="XE222" s="387"/>
      <c r="XF222" s="387"/>
      <c r="XG222" s="387"/>
      <c r="XH222" s="387"/>
      <c r="XI222" s="387"/>
      <c r="XJ222" s="387"/>
      <c r="XK222" s="387"/>
      <c r="XL222" s="387"/>
      <c r="XM222" s="387"/>
      <c r="XN222" s="387"/>
      <c r="XO222" s="387"/>
      <c r="XP222" s="387"/>
      <c r="XQ222" s="387"/>
      <c r="XR222" s="387"/>
      <c r="XS222" s="387"/>
      <c r="XT222" s="387"/>
      <c r="XU222" s="387"/>
      <c r="XV222" s="387"/>
      <c r="XW222" s="387"/>
      <c r="XX222" s="387"/>
      <c r="XY222" s="387"/>
      <c r="XZ222" s="387"/>
      <c r="YA222" s="387"/>
      <c r="YB222" s="387"/>
      <c r="YC222" s="387"/>
      <c r="YD222" s="387"/>
      <c r="YE222" s="387"/>
      <c r="YF222" s="387"/>
      <c r="YG222" s="387"/>
      <c r="YH222" s="387"/>
      <c r="YI222" s="387"/>
      <c r="YJ222" s="387"/>
      <c r="YK222" s="387"/>
      <c r="YL222" s="387"/>
      <c r="YM222" s="387"/>
      <c r="YN222" s="387"/>
      <c r="YO222" s="387"/>
      <c r="YP222" s="387"/>
      <c r="YQ222" s="387"/>
      <c r="YR222" s="387"/>
      <c r="YS222" s="387"/>
      <c r="YT222" s="387"/>
      <c r="YU222" s="387"/>
      <c r="YV222" s="387"/>
      <c r="YW222" s="387"/>
      <c r="YX222" s="387"/>
      <c r="YY222" s="387"/>
      <c r="YZ222" s="387"/>
      <c r="ZA222" s="387"/>
      <c r="ZB222" s="387"/>
      <c r="ZC222" s="387"/>
      <c r="ZD222" s="387"/>
      <c r="ZE222" s="387"/>
      <c r="ZF222" s="387"/>
      <c r="ZG222" s="387"/>
      <c r="ZH222" s="387"/>
      <c r="ZI222" s="387"/>
      <c r="ZJ222" s="387"/>
      <c r="ZK222" s="387"/>
      <c r="ZL222" s="387"/>
      <c r="ZM222" s="387"/>
      <c r="ZN222" s="387"/>
      <c r="ZO222" s="387"/>
      <c r="ZP222" s="387"/>
      <c r="ZQ222" s="387"/>
      <c r="ZR222" s="387"/>
      <c r="ZS222" s="387"/>
      <c r="ZT222" s="387"/>
      <c r="ZU222" s="387"/>
      <c r="ZV222" s="387"/>
      <c r="ZW222" s="387"/>
      <c r="ZX222" s="387"/>
      <c r="ZY222" s="387"/>
      <c r="ZZ222" s="387"/>
      <c r="AAA222" s="387"/>
      <c r="AAB222" s="387"/>
      <c r="AAC222" s="387"/>
      <c r="AAD222" s="387"/>
      <c r="AAE222" s="387"/>
      <c r="AAF222" s="387"/>
      <c r="AAG222" s="387"/>
      <c r="AAH222" s="387"/>
      <c r="AAI222" s="387"/>
      <c r="AAJ222" s="387"/>
      <c r="AAK222" s="387"/>
      <c r="AAL222" s="387"/>
      <c r="AAM222" s="387"/>
      <c r="AAN222" s="387"/>
      <c r="AAO222" s="387"/>
      <c r="AAP222" s="387"/>
      <c r="AAQ222" s="387"/>
      <c r="AAR222" s="387"/>
      <c r="AAS222" s="387"/>
      <c r="AAT222" s="387"/>
      <c r="AAU222" s="387"/>
      <c r="AAV222" s="387"/>
      <c r="AAW222" s="387"/>
      <c r="AAX222" s="387"/>
      <c r="AAY222" s="387"/>
      <c r="AAZ222" s="387"/>
      <c r="ABA222" s="387"/>
      <c r="ABB222" s="387"/>
      <c r="ABC222" s="387"/>
      <c r="ABD222" s="387"/>
      <c r="ABE222" s="387"/>
      <c r="ABF222" s="387"/>
      <c r="ABG222" s="387"/>
      <c r="ABH222" s="387"/>
      <c r="ABI222" s="387"/>
      <c r="ABJ222" s="387"/>
      <c r="ABK222" s="387"/>
      <c r="ABL222" s="387"/>
      <c r="ABM222" s="387"/>
      <c r="ABN222" s="387"/>
      <c r="ABO222" s="387"/>
      <c r="ABP222" s="387"/>
      <c r="ABQ222" s="387"/>
      <c r="ABR222" s="387"/>
      <c r="ABS222" s="387"/>
      <c r="ABT222" s="387"/>
      <c r="ABU222" s="387"/>
      <c r="ABV222" s="387"/>
      <c r="ABW222" s="387"/>
      <c r="ABX222" s="387"/>
      <c r="ABY222" s="387"/>
      <c r="ABZ222" s="387"/>
      <c r="ACA222" s="387"/>
      <c r="ACB222" s="387"/>
      <c r="ACC222" s="387"/>
      <c r="ACD222" s="387"/>
      <c r="ACE222" s="387"/>
      <c r="ACF222" s="387"/>
      <c r="ACG222" s="387"/>
      <c r="ACH222" s="387"/>
      <c r="ACI222" s="387"/>
      <c r="ACJ222" s="387"/>
      <c r="ACK222" s="387"/>
      <c r="ACL222" s="387"/>
      <c r="ACM222" s="387"/>
      <c r="ACN222" s="387"/>
      <c r="ACO222" s="387"/>
      <c r="ACP222" s="387"/>
      <c r="ACQ222" s="387"/>
      <c r="ACR222" s="387"/>
      <c r="ACS222" s="387"/>
      <c r="ACT222" s="387"/>
      <c r="ACU222" s="387"/>
      <c r="ACV222" s="387"/>
      <c r="ACW222" s="387"/>
      <c r="ACX222" s="387"/>
      <c r="ACY222" s="387"/>
      <c r="ACZ222" s="387"/>
      <c r="ADA222" s="387"/>
      <c r="ADB222" s="387"/>
      <c r="ADC222" s="387"/>
      <c r="ADD222" s="387"/>
      <c r="ADE222" s="387"/>
      <c r="ADF222" s="387"/>
      <c r="ADG222" s="387"/>
      <c r="ADH222" s="387"/>
      <c r="ADI222" s="387"/>
      <c r="ADJ222" s="387"/>
      <c r="ADK222" s="387"/>
      <c r="ADL222" s="387"/>
      <c r="ADM222" s="387"/>
      <c r="ADN222" s="387"/>
      <c r="ADO222" s="387"/>
      <c r="ADP222" s="387"/>
      <c r="ADQ222" s="387"/>
      <c r="ADR222" s="387"/>
      <c r="ADS222" s="387"/>
      <c r="ADT222" s="387"/>
      <c r="ADU222" s="387"/>
      <c r="ADV222" s="387"/>
      <c r="ADW222" s="387"/>
      <c r="ADX222" s="387"/>
      <c r="ADY222" s="387"/>
      <c r="ADZ222" s="387"/>
      <c r="AEA222" s="387"/>
      <c r="AEB222" s="387"/>
      <c r="AEC222" s="387"/>
      <c r="AED222" s="387"/>
      <c r="AEE222" s="387"/>
      <c r="AEF222" s="387"/>
      <c r="AEG222" s="387"/>
      <c r="AEH222" s="387"/>
      <c r="AEI222" s="387"/>
      <c r="AEJ222" s="387"/>
      <c r="AEK222" s="387"/>
      <c r="AEL222" s="387"/>
      <c r="AEM222" s="387"/>
      <c r="AEN222" s="387"/>
      <c r="AEO222" s="387"/>
      <c r="AEP222" s="387"/>
      <c r="AEQ222" s="387"/>
      <c r="AER222" s="387"/>
      <c r="AES222" s="387"/>
      <c r="AET222" s="387"/>
      <c r="AEU222" s="387"/>
      <c r="AEV222" s="387"/>
      <c r="AEW222" s="387"/>
      <c r="AEX222" s="387"/>
      <c r="AEY222" s="387"/>
      <c r="AEZ222" s="387"/>
      <c r="AFA222" s="387"/>
      <c r="AFB222" s="387"/>
      <c r="AFC222" s="387"/>
      <c r="AFD222" s="387"/>
      <c r="AFE222" s="387"/>
      <c r="AFF222" s="387"/>
      <c r="AFG222" s="387"/>
      <c r="AFH222" s="387"/>
      <c r="AFI222" s="387"/>
      <c r="AFJ222" s="387"/>
      <c r="AFK222" s="387"/>
      <c r="AFL222" s="387"/>
      <c r="AFM222" s="387"/>
      <c r="AFN222" s="387"/>
      <c r="AFO222" s="387"/>
      <c r="AFP222" s="387"/>
      <c r="AFQ222" s="387"/>
      <c r="AFR222" s="387"/>
      <c r="AFS222" s="387"/>
      <c r="AFT222" s="387"/>
      <c r="AFU222" s="387"/>
      <c r="AFV222" s="387"/>
      <c r="AFW222" s="387"/>
      <c r="AFX222" s="387"/>
      <c r="AFY222" s="387"/>
      <c r="AFZ222" s="387"/>
      <c r="AGA222" s="387"/>
      <c r="AGB222" s="387"/>
      <c r="AGC222" s="387"/>
      <c r="AGD222" s="387"/>
      <c r="AGE222" s="387"/>
      <c r="AGF222" s="387"/>
      <c r="AGG222" s="387"/>
      <c r="AGH222" s="387"/>
      <c r="AGI222" s="387"/>
      <c r="AGJ222" s="387"/>
      <c r="AGK222" s="387"/>
      <c r="AGL222" s="387"/>
      <c r="AGM222" s="387"/>
      <c r="AGN222" s="387"/>
      <c r="AGO222" s="387"/>
      <c r="AGP222" s="387"/>
      <c r="AGQ222" s="387"/>
      <c r="AGR222" s="387"/>
      <c r="AGS222" s="387"/>
      <c r="AGT222" s="387"/>
      <c r="AGU222" s="387"/>
      <c r="AGV222" s="387"/>
      <c r="AGW222" s="387"/>
      <c r="AGX222" s="387"/>
      <c r="AGY222" s="387"/>
      <c r="AGZ222" s="387"/>
      <c r="AHA222" s="387"/>
      <c r="AHB222" s="387"/>
      <c r="AHC222" s="387"/>
      <c r="AHD222" s="387"/>
      <c r="AHE222" s="387"/>
      <c r="AHF222" s="387"/>
      <c r="AHG222" s="387"/>
      <c r="AHH222" s="387"/>
      <c r="AHI222" s="387"/>
      <c r="AHJ222" s="387"/>
      <c r="AHK222" s="387"/>
      <c r="AHL222" s="387"/>
      <c r="AHM222" s="387"/>
      <c r="AHN222" s="387"/>
      <c r="AHO222" s="387"/>
      <c r="AHP222" s="387"/>
      <c r="AHQ222" s="387"/>
      <c r="AHR222" s="387"/>
      <c r="AHS222" s="387"/>
      <c r="AHT222" s="387"/>
      <c r="AHU222" s="387"/>
      <c r="AHV222" s="387"/>
      <c r="AHW222" s="387"/>
      <c r="AHX222" s="387"/>
      <c r="AHY222" s="387"/>
      <c r="AHZ222" s="387"/>
      <c r="AIA222" s="387"/>
      <c r="AIB222" s="387"/>
      <c r="AIC222" s="387"/>
      <c r="AID222" s="387"/>
      <c r="AIE222" s="387"/>
      <c r="AIF222" s="387"/>
      <c r="AIG222" s="387"/>
      <c r="AIH222" s="387"/>
      <c r="AII222" s="387"/>
      <c r="AIJ222" s="387"/>
      <c r="AIK222" s="387"/>
      <c r="AIL222" s="387"/>
      <c r="AIM222" s="387"/>
      <c r="AIN222" s="387"/>
      <c r="AIO222" s="387"/>
      <c r="AIP222" s="387"/>
      <c r="AIQ222" s="387"/>
      <c r="AIR222" s="387"/>
      <c r="AIS222" s="387"/>
      <c r="AIT222" s="387"/>
      <c r="AIU222" s="387"/>
      <c r="AIV222" s="387"/>
      <c r="AIW222" s="387"/>
      <c r="AIX222" s="387"/>
      <c r="AIY222" s="387"/>
      <c r="AIZ222" s="387"/>
      <c r="AJA222" s="387"/>
      <c r="AJB222" s="387"/>
      <c r="AJC222" s="387"/>
      <c r="AJD222" s="387"/>
      <c r="AJE222" s="387"/>
      <c r="AJF222" s="387"/>
      <c r="AJG222" s="387"/>
      <c r="AJH222" s="387"/>
      <c r="AJI222" s="387"/>
      <c r="AJJ222" s="387"/>
      <c r="AJK222" s="387"/>
      <c r="AJL222" s="387"/>
      <c r="AJM222" s="387"/>
      <c r="AJN222" s="387"/>
      <c r="AJO222" s="387"/>
      <c r="AJP222" s="387"/>
      <c r="AJQ222" s="387"/>
      <c r="AJR222" s="387"/>
      <c r="AJS222" s="387"/>
      <c r="AJT222" s="387"/>
      <c r="AJU222" s="387"/>
      <c r="AJV222" s="387"/>
      <c r="AJW222" s="387"/>
      <c r="AJX222" s="387"/>
      <c r="AJY222" s="387"/>
      <c r="AJZ222" s="387"/>
      <c r="AKA222" s="387"/>
      <c r="AKB222" s="387"/>
      <c r="AKC222" s="387"/>
      <c r="AKD222" s="387"/>
      <c r="AKE222" s="387"/>
      <c r="AKF222" s="387"/>
      <c r="AKG222" s="387"/>
      <c r="AKH222" s="387"/>
      <c r="AKI222" s="387"/>
      <c r="AKJ222" s="387"/>
      <c r="AKK222" s="387"/>
      <c r="AKL222" s="387"/>
      <c r="AKM222" s="387"/>
      <c r="AKN222" s="387"/>
      <c r="AKO222" s="387"/>
      <c r="AKP222" s="387"/>
      <c r="AKQ222" s="387"/>
      <c r="AKR222" s="387"/>
      <c r="AKS222" s="387"/>
      <c r="AKT222" s="387"/>
      <c r="AKU222" s="387"/>
      <c r="AKV222" s="387"/>
      <c r="AKW222" s="387"/>
      <c r="AKX222" s="387"/>
      <c r="AKY222" s="387"/>
      <c r="AKZ222" s="387"/>
      <c r="ALA222" s="387"/>
      <c r="ALB222" s="387"/>
      <c r="ALC222" s="387"/>
      <c r="ALD222" s="387"/>
      <c r="ALE222" s="387"/>
      <c r="ALF222" s="387"/>
      <c r="ALG222" s="387"/>
      <c r="ALH222" s="387"/>
      <c r="ALI222" s="387"/>
      <c r="ALJ222" s="387"/>
      <c r="ALK222" s="387"/>
      <c r="ALL222" s="387"/>
      <c r="ALM222" s="387"/>
      <c r="ALN222" s="387"/>
      <c r="ALO222" s="387"/>
      <c r="ALP222" s="387"/>
      <c r="ALQ222" s="387"/>
      <c r="ALR222" s="387"/>
      <c r="ALS222" s="387"/>
      <c r="ALT222" s="387"/>
      <c r="ALU222" s="387"/>
      <c r="ALV222" s="387"/>
      <c r="ALW222" s="387"/>
      <c r="ALX222" s="387"/>
      <c r="ALY222" s="387"/>
      <c r="ALZ222" s="387"/>
      <c r="AMA222" s="387"/>
      <c r="AMB222" s="387"/>
      <c r="AMC222" s="387"/>
      <c r="AMD222" s="387"/>
      <c r="AME222" s="387"/>
      <c r="AMF222" s="387"/>
      <c r="AMG222" s="387"/>
      <c r="AMH222" s="387"/>
      <c r="AMI222" s="387"/>
      <c r="AMJ222" s="387"/>
      <c r="AMK222" s="387"/>
      <c r="AML222" s="387"/>
      <c r="AMM222" s="387"/>
      <c r="AMN222" s="387"/>
      <c r="AMO222" s="387"/>
      <c r="AMP222" s="387"/>
      <c r="AMQ222" s="387"/>
      <c r="AMR222" s="387"/>
      <c r="AMS222" s="387"/>
      <c r="AMT222" s="387"/>
      <c r="AMU222" s="387"/>
      <c r="AMV222" s="387"/>
      <c r="AMW222" s="387"/>
      <c r="AMX222" s="387"/>
      <c r="AMY222" s="387"/>
      <c r="AMZ222" s="387"/>
      <c r="ANA222" s="387"/>
      <c r="ANB222" s="387"/>
      <c r="ANC222" s="387"/>
      <c r="AND222" s="387"/>
      <c r="ANE222" s="387"/>
      <c r="ANF222" s="387"/>
      <c r="ANG222" s="387"/>
      <c r="ANH222" s="387"/>
      <c r="ANI222" s="387"/>
      <c r="ANJ222" s="387"/>
      <c r="ANK222" s="387"/>
      <c r="ANL222" s="387"/>
      <c r="ANM222" s="387"/>
      <c r="ANN222" s="387"/>
      <c r="ANO222" s="387"/>
      <c r="ANP222" s="387"/>
      <c r="ANQ222" s="387"/>
      <c r="ANR222" s="387"/>
      <c r="ANS222" s="387"/>
      <c r="ANT222" s="387"/>
      <c r="ANU222" s="387"/>
      <c r="ANV222" s="387"/>
      <c r="ANW222" s="387"/>
      <c r="ANX222" s="387"/>
      <c r="ANY222" s="387"/>
      <c r="ANZ222" s="387"/>
      <c r="AOA222" s="387"/>
      <c r="AOB222" s="387"/>
      <c r="AOC222" s="387"/>
      <c r="AOD222" s="387"/>
      <c r="AOE222" s="387"/>
      <c r="AOF222" s="387"/>
      <c r="AOG222" s="387"/>
      <c r="AOH222" s="387"/>
      <c r="AOI222" s="387"/>
      <c r="AOJ222" s="387"/>
      <c r="AOK222" s="387"/>
      <c r="AOL222" s="387"/>
      <c r="AOM222" s="387"/>
      <c r="AON222" s="387"/>
      <c r="AOO222" s="387"/>
      <c r="AOP222" s="387"/>
      <c r="AOQ222" s="387"/>
      <c r="AOR222" s="387"/>
      <c r="AOS222" s="387"/>
      <c r="AOT222" s="387"/>
      <c r="AOU222" s="387"/>
      <c r="AOV222" s="387"/>
      <c r="AOW222" s="387"/>
      <c r="AOX222" s="387"/>
      <c r="AOY222" s="387"/>
      <c r="AOZ222" s="387"/>
      <c r="APA222" s="387"/>
      <c r="APB222" s="387"/>
      <c r="APC222" s="387"/>
      <c r="APD222" s="387"/>
      <c r="APE222" s="387"/>
      <c r="APF222" s="387"/>
      <c r="APG222" s="387"/>
      <c r="APH222" s="387"/>
      <c r="API222" s="387"/>
      <c r="APJ222" s="387"/>
      <c r="APK222" s="387"/>
      <c r="APL222" s="387"/>
      <c r="APM222" s="387"/>
      <c r="APN222" s="387"/>
      <c r="APO222" s="387"/>
      <c r="APP222" s="387"/>
      <c r="APQ222" s="387"/>
      <c r="APR222" s="387"/>
      <c r="APS222" s="387"/>
      <c r="APT222" s="387"/>
      <c r="APU222" s="387"/>
      <c r="APV222" s="387"/>
      <c r="APW222" s="387"/>
      <c r="APX222" s="387"/>
      <c r="APY222" s="387"/>
      <c r="APZ222" s="387"/>
      <c r="AQA222" s="387"/>
      <c r="AQB222" s="387"/>
      <c r="AQC222" s="387"/>
      <c r="AQD222" s="387"/>
      <c r="AQE222" s="387"/>
      <c r="AQF222" s="387"/>
      <c r="AQG222" s="387"/>
      <c r="AQH222" s="387"/>
      <c r="AQI222" s="387"/>
      <c r="AQJ222" s="387"/>
      <c r="AQK222" s="387"/>
      <c r="AQL222" s="387"/>
      <c r="AQM222" s="387"/>
      <c r="AQN222" s="387"/>
      <c r="AQO222" s="387"/>
      <c r="AQP222" s="387"/>
      <c r="AQQ222" s="387"/>
      <c r="AQR222" s="387"/>
      <c r="AQS222" s="387"/>
      <c r="AQT222" s="387"/>
      <c r="AQU222" s="387"/>
      <c r="AQV222" s="387"/>
      <c r="AQW222" s="387"/>
      <c r="AQX222" s="387"/>
      <c r="AQY222" s="387"/>
      <c r="AQZ222" s="387"/>
      <c r="ARA222" s="387"/>
      <c r="ARB222" s="387"/>
      <c r="ARC222" s="387"/>
      <c r="ARD222" s="387"/>
      <c r="ARE222" s="387"/>
      <c r="ARF222" s="387"/>
      <c r="ARG222" s="387"/>
      <c r="ARH222" s="387"/>
      <c r="ARI222" s="387"/>
      <c r="ARJ222" s="387"/>
      <c r="ARK222" s="387"/>
      <c r="ARL222" s="387"/>
      <c r="ARM222" s="387"/>
      <c r="ARN222" s="387"/>
      <c r="ARO222" s="387"/>
      <c r="ARP222" s="387"/>
      <c r="ARQ222" s="387"/>
      <c r="ARR222" s="387"/>
      <c r="ARS222" s="387"/>
      <c r="ART222" s="387"/>
      <c r="ARU222" s="387"/>
      <c r="ARV222" s="387"/>
      <c r="ARW222" s="387"/>
      <c r="ARX222" s="387"/>
      <c r="ARY222" s="387"/>
      <c r="ARZ222" s="387"/>
      <c r="ASA222" s="387"/>
      <c r="ASB222" s="387"/>
      <c r="ASC222" s="387"/>
      <c r="ASD222" s="387"/>
      <c r="ASE222" s="387"/>
      <c r="ASF222" s="387"/>
      <c r="ASG222" s="387"/>
      <c r="ASH222" s="387"/>
      <c r="ASI222" s="387"/>
      <c r="ASJ222" s="387"/>
      <c r="ASK222" s="387"/>
      <c r="ASL222" s="387"/>
      <c r="ASM222" s="387"/>
      <c r="ASN222" s="387"/>
      <c r="ASO222" s="387"/>
      <c r="ASP222" s="387"/>
      <c r="ASQ222" s="387"/>
      <c r="ASR222" s="387"/>
      <c r="ASS222" s="387"/>
      <c r="AST222" s="387"/>
      <c r="ASU222" s="387"/>
      <c r="ASV222" s="387"/>
      <c r="ASW222" s="387"/>
      <c r="ASX222" s="387"/>
      <c r="ASY222" s="387"/>
      <c r="ASZ222" s="387"/>
      <c r="ATA222" s="387"/>
      <c r="ATB222" s="387"/>
      <c r="ATC222" s="387"/>
      <c r="ATD222" s="387"/>
      <c r="ATE222" s="387"/>
      <c r="ATF222" s="387"/>
      <c r="ATG222" s="387"/>
      <c r="ATH222" s="387"/>
      <c r="ATI222" s="387"/>
      <c r="ATJ222" s="387"/>
      <c r="ATK222" s="387"/>
      <c r="ATL222" s="387"/>
      <c r="ATM222" s="387"/>
      <c r="ATN222" s="387"/>
      <c r="ATO222" s="387"/>
      <c r="ATP222" s="387"/>
      <c r="ATQ222" s="387"/>
      <c r="ATR222" s="387"/>
      <c r="ATS222" s="387"/>
      <c r="ATT222" s="387"/>
      <c r="ATU222" s="387"/>
      <c r="ATV222" s="387"/>
      <c r="ATW222" s="387"/>
      <c r="ATX222" s="387"/>
      <c r="ATY222" s="387"/>
      <c r="ATZ222" s="387"/>
      <c r="AUA222" s="387"/>
      <c r="AUB222" s="387"/>
      <c r="AUC222" s="387"/>
      <c r="AUD222" s="387"/>
      <c r="AUE222" s="387"/>
      <c r="AUF222" s="387"/>
      <c r="AUG222" s="387"/>
      <c r="AUH222" s="387"/>
      <c r="AUI222" s="387"/>
      <c r="AUJ222" s="387"/>
      <c r="AUK222" s="387"/>
      <c r="AUL222" s="387"/>
      <c r="AUM222" s="387"/>
      <c r="AUN222" s="387"/>
      <c r="AUO222" s="387"/>
      <c r="AUP222" s="387"/>
      <c r="AUQ222" s="387"/>
      <c r="AUR222" s="387"/>
      <c r="AUS222" s="387"/>
      <c r="AUT222" s="387"/>
      <c r="AUU222" s="387"/>
      <c r="AUV222" s="387"/>
      <c r="AUW222" s="387"/>
      <c r="AUX222" s="387"/>
      <c r="AUY222" s="387"/>
      <c r="AUZ222" s="387"/>
      <c r="AVA222" s="387"/>
      <c r="AVB222" s="387"/>
      <c r="AVC222" s="387"/>
      <c r="AVD222" s="387"/>
      <c r="AVE222" s="387"/>
      <c r="AVF222" s="387"/>
      <c r="AVG222" s="387"/>
      <c r="AVH222" s="387"/>
      <c r="AVI222" s="387"/>
      <c r="AVJ222" s="387"/>
      <c r="AVK222" s="387"/>
      <c r="AVL222" s="387"/>
      <c r="AVM222" s="387"/>
      <c r="AVN222" s="387"/>
      <c r="AVO222" s="387"/>
      <c r="AVP222" s="387"/>
      <c r="AVQ222" s="387"/>
      <c r="AVR222" s="387"/>
      <c r="AVS222" s="387"/>
      <c r="AVT222" s="387"/>
      <c r="AVU222" s="387"/>
      <c r="AVV222" s="387"/>
      <c r="AVW222" s="387"/>
      <c r="AVX222" s="387"/>
      <c r="AVY222" s="387"/>
      <c r="AVZ222" s="387"/>
      <c r="AWA222" s="387"/>
      <c r="AWB222" s="387"/>
      <c r="AWC222" s="387"/>
      <c r="AWD222" s="387"/>
      <c r="AWE222" s="387"/>
      <c r="AWF222" s="387"/>
      <c r="AWG222" s="387"/>
      <c r="AWH222" s="387"/>
      <c r="AWI222" s="387"/>
      <c r="AWJ222" s="387"/>
      <c r="AWK222" s="387"/>
      <c r="AWL222" s="387"/>
      <c r="AWM222" s="387"/>
      <c r="AWN222" s="387"/>
      <c r="AWO222" s="387"/>
      <c r="AWP222" s="387"/>
      <c r="AWQ222" s="387"/>
      <c r="AWR222" s="387"/>
      <c r="AWS222" s="387"/>
      <c r="AWT222" s="387"/>
      <c r="AWU222" s="387"/>
      <c r="AWV222" s="387"/>
      <c r="AWW222" s="387"/>
      <c r="AWX222" s="387"/>
      <c r="AWY222" s="387"/>
      <c r="AWZ222" s="387"/>
      <c r="AXA222" s="387"/>
      <c r="AXB222" s="387"/>
      <c r="AXC222" s="387"/>
      <c r="AXD222" s="387"/>
      <c r="AXE222" s="387"/>
      <c r="AXF222" s="387"/>
      <c r="AXG222" s="387"/>
      <c r="AXH222" s="387"/>
      <c r="AXI222" s="387"/>
      <c r="AXJ222" s="387"/>
      <c r="AXK222" s="387"/>
      <c r="AXL222" s="387"/>
      <c r="AXM222" s="387"/>
      <c r="AXN222" s="387"/>
      <c r="AXO222" s="387"/>
      <c r="AXP222" s="387"/>
      <c r="AXQ222" s="387"/>
      <c r="AXR222" s="387"/>
      <c r="AXS222" s="387"/>
      <c r="AXT222" s="387"/>
      <c r="AXU222" s="387"/>
      <c r="AXV222" s="387"/>
      <c r="AXW222" s="387"/>
      <c r="AXX222" s="387"/>
      <c r="AXY222" s="387"/>
      <c r="AXZ222" s="387"/>
      <c r="AYA222" s="387"/>
      <c r="AYB222" s="387"/>
      <c r="AYC222" s="387"/>
      <c r="AYD222" s="387"/>
      <c r="AYE222" s="387"/>
      <c r="AYF222" s="387"/>
      <c r="AYG222" s="387"/>
      <c r="AYH222" s="387"/>
      <c r="AYI222" s="387"/>
      <c r="AYJ222" s="387"/>
      <c r="AYK222" s="387"/>
      <c r="AYL222" s="387"/>
      <c r="AYM222" s="387"/>
      <c r="AYN222" s="387"/>
      <c r="AYO222" s="387"/>
      <c r="AYP222" s="387"/>
      <c r="AYQ222" s="387"/>
      <c r="AYR222" s="387"/>
      <c r="AYS222" s="387"/>
      <c r="AYT222" s="387"/>
      <c r="AYU222" s="387"/>
      <c r="AYV222" s="387"/>
      <c r="AYW222" s="387"/>
      <c r="AYX222" s="387"/>
      <c r="AYY222" s="387"/>
      <c r="AYZ222" s="387"/>
      <c r="AZA222" s="387"/>
      <c r="AZB222" s="387"/>
      <c r="AZC222" s="387"/>
      <c r="AZD222" s="387"/>
      <c r="AZE222" s="387"/>
      <c r="AZF222" s="387"/>
      <c r="AZG222" s="387"/>
      <c r="AZH222" s="387"/>
      <c r="AZI222" s="387"/>
      <c r="AZJ222" s="387"/>
      <c r="AZK222" s="387"/>
      <c r="AZL222" s="387"/>
      <c r="AZM222" s="387"/>
      <c r="AZN222" s="387"/>
      <c r="AZO222" s="387"/>
      <c r="AZP222" s="387"/>
      <c r="AZQ222" s="387"/>
      <c r="AZR222" s="387"/>
      <c r="AZS222" s="387"/>
      <c r="AZT222" s="387"/>
      <c r="AZU222" s="387"/>
      <c r="AZV222" s="387"/>
      <c r="AZW222" s="387"/>
      <c r="AZX222" s="387"/>
      <c r="AZY222" s="387"/>
      <c r="AZZ222" s="387"/>
      <c r="BAA222" s="387"/>
      <c r="BAB222" s="387"/>
      <c r="BAC222" s="387"/>
      <c r="BAD222" s="387"/>
      <c r="BAE222" s="387"/>
      <c r="BAF222" s="387"/>
      <c r="BAG222" s="387"/>
      <c r="BAH222" s="387"/>
      <c r="BAI222" s="387"/>
      <c r="BAJ222" s="387"/>
      <c r="BAK222" s="387"/>
      <c r="BAL222" s="387"/>
      <c r="BAM222" s="387"/>
      <c r="BAN222" s="387"/>
      <c r="BAO222" s="387"/>
      <c r="BAP222" s="387"/>
      <c r="BAQ222" s="387"/>
      <c r="BAR222" s="387"/>
      <c r="BAS222" s="387"/>
      <c r="BAT222" s="387"/>
      <c r="BAU222" s="387"/>
      <c r="BAV222" s="387"/>
      <c r="BAW222" s="387"/>
      <c r="BAX222" s="387"/>
      <c r="BAY222" s="387"/>
      <c r="BAZ222" s="387"/>
      <c r="BBA222" s="387"/>
      <c r="BBB222" s="387"/>
      <c r="BBC222" s="387"/>
      <c r="BBD222" s="387"/>
      <c r="BBE222" s="387"/>
      <c r="BBF222" s="387"/>
      <c r="BBG222" s="387"/>
      <c r="BBH222" s="387"/>
      <c r="BBI222" s="387"/>
      <c r="BBJ222" s="387"/>
      <c r="BBK222" s="387"/>
      <c r="BBL222" s="387"/>
      <c r="BBM222" s="387"/>
      <c r="BBN222" s="387"/>
      <c r="BBO222" s="387"/>
      <c r="BBP222" s="387"/>
      <c r="BBQ222" s="387"/>
      <c r="BBR222" s="387"/>
      <c r="BBS222" s="387"/>
      <c r="BBT222" s="387"/>
      <c r="BBU222" s="387"/>
      <c r="BBV222" s="387"/>
      <c r="BBW222" s="387"/>
      <c r="BBX222" s="387"/>
      <c r="BBY222" s="387"/>
      <c r="BBZ222" s="387"/>
      <c r="BCA222" s="387"/>
      <c r="BCB222" s="387"/>
      <c r="BCC222" s="387"/>
      <c r="BCD222" s="387"/>
      <c r="BCE222" s="387"/>
      <c r="BCF222" s="387"/>
      <c r="BCG222" s="387"/>
      <c r="BCH222" s="387"/>
      <c r="BCI222" s="387"/>
      <c r="BCJ222" s="387"/>
      <c r="BCK222" s="387"/>
      <c r="BCL222" s="387"/>
      <c r="BCM222" s="387"/>
      <c r="BCN222" s="387"/>
      <c r="BCO222" s="387"/>
      <c r="BCP222" s="387"/>
      <c r="BCQ222" s="387"/>
      <c r="BCR222" s="387"/>
      <c r="BCS222" s="387"/>
      <c r="BCT222" s="387"/>
      <c r="BCU222" s="387"/>
      <c r="BCV222" s="387"/>
      <c r="BCW222" s="387"/>
      <c r="BCX222" s="387"/>
      <c r="BCY222" s="387"/>
      <c r="BCZ222" s="387"/>
      <c r="BDA222" s="387"/>
      <c r="BDB222" s="387"/>
      <c r="BDC222" s="387"/>
      <c r="BDD222" s="387"/>
      <c r="BDE222" s="387"/>
      <c r="BDF222" s="387"/>
      <c r="BDG222" s="387"/>
      <c r="BDH222" s="387"/>
      <c r="BDI222" s="387"/>
      <c r="BDJ222" s="387"/>
      <c r="BDK222" s="387"/>
      <c r="BDL222" s="387"/>
      <c r="BDM222" s="387"/>
      <c r="BDN222" s="387"/>
      <c r="BDO222" s="387"/>
      <c r="BDP222" s="387"/>
      <c r="BDQ222" s="387"/>
      <c r="BDR222" s="387"/>
      <c r="BDS222" s="387"/>
      <c r="BDT222" s="387"/>
      <c r="BDU222" s="387"/>
      <c r="BDV222" s="387"/>
      <c r="BDW222" s="387"/>
      <c r="BDX222" s="387"/>
      <c r="BDY222" s="387"/>
      <c r="BDZ222" s="387"/>
      <c r="BEA222" s="387"/>
      <c r="BEB222" s="387"/>
      <c r="BEC222" s="387"/>
      <c r="BED222" s="387"/>
      <c r="BEE222" s="387"/>
      <c r="BEF222" s="387"/>
      <c r="BEG222" s="387"/>
      <c r="BEH222" s="387"/>
      <c r="BEI222" s="387"/>
      <c r="BEJ222" s="387"/>
      <c r="BEK222" s="387"/>
      <c r="BEL222" s="387"/>
      <c r="BEM222" s="387"/>
      <c r="BEN222" s="387"/>
      <c r="BEO222" s="387"/>
      <c r="BEP222" s="387"/>
      <c r="BEQ222" s="387"/>
      <c r="BER222" s="387"/>
      <c r="BES222" s="387"/>
      <c r="BET222" s="387"/>
      <c r="BEU222" s="387"/>
      <c r="BEV222" s="387"/>
      <c r="BEW222" s="387"/>
      <c r="BEX222" s="387"/>
      <c r="BEY222" s="387"/>
      <c r="BEZ222" s="387"/>
      <c r="BFA222" s="387"/>
      <c r="BFB222" s="387"/>
      <c r="BFC222" s="387"/>
      <c r="BFD222" s="387"/>
      <c r="BFE222" s="387"/>
      <c r="BFF222" s="387"/>
      <c r="BFG222" s="387"/>
      <c r="BFH222" s="387"/>
      <c r="BFI222" s="387"/>
      <c r="BFJ222" s="387"/>
      <c r="BFK222" s="387"/>
      <c r="BFL222" s="387"/>
      <c r="BFM222" s="387"/>
      <c r="BFN222" s="387"/>
      <c r="BFO222" s="387"/>
      <c r="BFP222" s="387"/>
      <c r="BFQ222" s="387"/>
      <c r="BFR222" s="387"/>
      <c r="BFS222" s="387"/>
      <c r="BFT222" s="387"/>
      <c r="BFU222" s="387"/>
      <c r="BFV222" s="387"/>
      <c r="BFW222" s="387"/>
      <c r="BFX222" s="387"/>
      <c r="BFY222" s="387"/>
      <c r="BFZ222" s="387"/>
      <c r="BGA222" s="387"/>
      <c r="BGB222" s="387"/>
      <c r="BGC222" s="387"/>
      <c r="BGD222" s="387"/>
      <c r="BGE222" s="387"/>
      <c r="BGF222" s="387"/>
      <c r="BGG222" s="387"/>
      <c r="BGH222" s="387"/>
      <c r="BGI222" s="387"/>
      <c r="BGJ222" s="387"/>
      <c r="BGK222" s="387"/>
      <c r="BGL222" s="387"/>
      <c r="BGM222" s="387"/>
      <c r="BGN222" s="387"/>
      <c r="BGO222" s="387"/>
      <c r="BGP222" s="387"/>
      <c r="BGQ222" s="387"/>
      <c r="BGR222" s="387"/>
      <c r="BGS222" s="387"/>
      <c r="BGT222" s="387"/>
      <c r="BGU222" s="387"/>
      <c r="BGV222" s="387"/>
      <c r="BGW222" s="387"/>
      <c r="BGX222" s="387"/>
      <c r="BGY222" s="387"/>
      <c r="BGZ222" s="387"/>
      <c r="BHA222" s="387"/>
      <c r="BHB222" s="387"/>
      <c r="BHC222" s="387"/>
      <c r="BHD222" s="387"/>
      <c r="BHE222" s="387"/>
      <c r="BHF222" s="387"/>
      <c r="BHG222" s="387"/>
      <c r="BHH222" s="387"/>
      <c r="BHI222" s="387"/>
      <c r="BHJ222" s="387"/>
      <c r="BHK222" s="387"/>
      <c r="BHL222" s="387"/>
      <c r="BHM222" s="387"/>
      <c r="BHN222" s="387"/>
      <c r="BHO222" s="387"/>
      <c r="BHP222" s="387"/>
      <c r="BHQ222" s="387"/>
      <c r="BHR222" s="387"/>
      <c r="BHS222" s="387"/>
      <c r="BHT222" s="387"/>
      <c r="BHU222" s="387"/>
      <c r="BHV222" s="387"/>
      <c r="BHW222" s="387"/>
      <c r="BHX222" s="387"/>
      <c r="BHY222" s="387"/>
      <c r="BHZ222" s="387"/>
      <c r="BIA222" s="387"/>
      <c r="BIB222" s="387"/>
      <c r="BIC222" s="387"/>
      <c r="BID222" s="387"/>
      <c r="BIE222" s="387"/>
      <c r="BIF222" s="387"/>
      <c r="BIG222" s="387"/>
      <c r="BIH222" s="387"/>
      <c r="BII222" s="387"/>
      <c r="BIJ222" s="387"/>
      <c r="BIK222" s="387"/>
      <c r="BIL222" s="387"/>
      <c r="BIM222" s="387"/>
      <c r="BIN222" s="387"/>
      <c r="BIO222" s="387"/>
      <c r="BIP222" s="387"/>
      <c r="BIQ222" s="387"/>
      <c r="BIR222" s="387"/>
      <c r="BIS222" s="387"/>
      <c r="BIT222" s="387"/>
      <c r="BIU222" s="387"/>
      <c r="BIV222" s="387"/>
      <c r="BIW222" s="387"/>
      <c r="BIX222" s="387"/>
      <c r="BIY222" s="387"/>
      <c r="BIZ222" s="387"/>
      <c r="BJA222" s="387"/>
      <c r="BJB222" s="387"/>
      <c r="BJC222" s="387"/>
      <c r="BJD222" s="387"/>
      <c r="BJE222" s="387"/>
      <c r="BJF222" s="387"/>
      <c r="BJG222" s="387"/>
      <c r="BJH222" s="387"/>
      <c r="BJI222" s="387"/>
      <c r="BJJ222" s="387"/>
      <c r="BJK222" s="387"/>
      <c r="BJL222" s="387"/>
      <c r="BJM222" s="387"/>
      <c r="BJN222" s="387"/>
      <c r="BJO222" s="387"/>
      <c r="BJP222" s="387"/>
      <c r="BJQ222" s="387"/>
      <c r="BJR222" s="387"/>
      <c r="BJS222" s="387"/>
      <c r="BJT222" s="387"/>
      <c r="BJU222" s="387"/>
      <c r="BJV222" s="387"/>
      <c r="BJW222" s="387"/>
      <c r="BJX222" s="387"/>
      <c r="BJY222" s="387"/>
      <c r="BJZ222" s="387"/>
      <c r="BKA222" s="387"/>
      <c r="BKB222" s="387"/>
      <c r="BKC222" s="387"/>
      <c r="BKD222" s="387"/>
      <c r="BKE222" s="387"/>
      <c r="BKF222" s="387"/>
      <c r="BKG222" s="387"/>
      <c r="BKH222" s="387"/>
      <c r="BKI222" s="387"/>
      <c r="BKJ222" s="387"/>
      <c r="BKK222" s="387"/>
      <c r="BKL222" s="387"/>
      <c r="BKM222" s="387"/>
      <c r="BKN222" s="387"/>
      <c r="BKO222" s="387"/>
      <c r="BKP222" s="387"/>
      <c r="BKQ222" s="387"/>
      <c r="BKR222" s="387"/>
      <c r="BKS222" s="387"/>
      <c r="BKT222" s="387"/>
      <c r="BKU222" s="387"/>
      <c r="BKV222" s="387"/>
      <c r="BKW222" s="387"/>
      <c r="BKX222" s="387"/>
      <c r="BKY222" s="387"/>
      <c r="BKZ222" s="387"/>
      <c r="BLA222" s="387"/>
      <c r="BLB222" s="387"/>
      <c r="BLC222" s="387"/>
      <c r="BLD222" s="387"/>
      <c r="BLE222" s="387"/>
      <c r="BLF222" s="387"/>
      <c r="BLG222" s="387"/>
      <c r="BLH222" s="387"/>
      <c r="BLI222" s="387"/>
      <c r="BLJ222" s="387"/>
      <c r="BLK222" s="387"/>
      <c r="BLL222" s="387"/>
      <c r="BLM222" s="387"/>
      <c r="BLN222" s="387"/>
      <c r="BLO222" s="387"/>
      <c r="BLP222" s="387"/>
      <c r="BLQ222" s="387"/>
      <c r="BLR222" s="387"/>
      <c r="BLS222" s="387"/>
      <c r="BLT222" s="387"/>
      <c r="BLU222" s="387"/>
      <c r="BLV222" s="387"/>
      <c r="BLW222" s="387"/>
      <c r="BLX222" s="387"/>
      <c r="BLY222" s="387"/>
      <c r="BLZ222" s="387"/>
      <c r="BMA222" s="387"/>
      <c r="BMB222" s="387"/>
      <c r="BMC222" s="387"/>
      <c r="BMD222" s="387"/>
      <c r="BME222" s="387"/>
      <c r="BMF222" s="387"/>
      <c r="BMG222" s="387"/>
      <c r="BMH222" s="387"/>
      <c r="BMI222" s="387"/>
      <c r="BMJ222" s="387"/>
      <c r="BMK222" s="387"/>
      <c r="BML222" s="387"/>
      <c r="BMM222" s="387"/>
      <c r="BMN222" s="387"/>
      <c r="BMO222" s="387"/>
      <c r="BMP222" s="387"/>
      <c r="BMQ222" s="387"/>
      <c r="BMR222" s="387"/>
      <c r="BMS222" s="387"/>
      <c r="BMT222" s="387"/>
      <c r="BMU222" s="387"/>
      <c r="BMV222" s="387"/>
      <c r="BMW222" s="387"/>
      <c r="BMX222" s="387"/>
      <c r="BMY222" s="387"/>
      <c r="BMZ222" s="387"/>
      <c r="BNA222" s="387"/>
      <c r="BNB222" s="387"/>
      <c r="BNC222" s="387"/>
      <c r="BND222" s="387"/>
      <c r="BNE222" s="387"/>
      <c r="BNF222" s="387"/>
      <c r="BNG222" s="387"/>
      <c r="BNH222" s="387"/>
      <c r="BNI222" s="387"/>
      <c r="BNJ222" s="387"/>
      <c r="BNK222" s="387"/>
      <c r="BNL222" s="387"/>
      <c r="BNM222" s="387"/>
      <c r="BNN222" s="387"/>
      <c r="BNO222" s="387"/>
      <c r="BNP222" s="387"/>
      <c r="BNQ222" s="387"/>
      <c r="BNR222" s="387"/>
      <c r="BNS222" s="387"/>
      <c r="BNT222" s="387"/>
      <c r="BNU222" s="387"/>
      <c r="BNV222" s="387"/>
      <c r="BNW222" s="387"/>
      <c r="BNX222" s="387"/>
      <c r="BNY222" s="387"/>
      <c r="BNZ222" s="387"/>
      <c r="BOA222" s="387"/>
      <c r="BOB222" s="387"/>
      <c r="BOC222" s="387"/>
      <c r="BOD222" s="387"/>
      <c r="BOE222" s="387"/>
      <c r="BOF222" s="387"/>
      <c r="BOG222" s="387"/>
      <c r="BOH222" s="387"/>
      <c r="BOI222" s="387"/>
      <c r="BOJ222" s="387"/>
      <c r="BOK222" s="387"/>
      <c r="BOL222" s="387"/>
      <c r="BOM222" s="387"/>
      <c r="BON222" s="387"/>
      <c r="BOO222" s="387"/>
      <c r="BOP222" s="387"/>
      <c r="BOQ222" s="387"/>
      <c r="BOR222" s="387"/>
      <c r="BOS222" s="387"/>
      <c r="BOT222" s="387"/>
      <c r="BOU222" s="387"/>
      <c r="BOV222" s="387"/>
      <c r="BOW222" s="387"/>
      <c r="BOX222" s="387"/>
      <c r="BOY222" s="387"/>
      <c r="BOZ222" s="387"/>
      <c r="BPA222" s="387"/>
      <c r="BPB222" s="387"/>
      <c r="BPC222" s="387"/>
      <c r="BPD222" s="387"/>
      <c r="BPE222" s="387"/>
      <c r="BPF222" s="387"/>
      <c r="BPG222" s="387"/>
      <c r="BPH222" s="387"/>
      <c r="BPI222" s="387"/>
      <c r="BPJ222" s="387"/>
      <c r="BPK222" s="387"/>
      <c r="BPL222" s="387"/>
      <c r="BPM222" s="387"/>
      <c r="BPN222" s="387"/>
      <c r="BPO222" s="387"/>
      <c r="BPP222" s="387"/>
      <c r="BPQ222" s="387"/>
      <c r="BPR222" s="387"/>
      <c r="BPS222" s="387"/>
      <c r="BPT222" s="387"/>
      <c r="BPU222" s="387"/>
      <c r="BPV222" s="387"/>
      <c r="BPW222" s="387"/>
      <c r="BPX222" s="387"/>
      <c r="BPY222" s="387"/>
      <c r="BPZ222" s="387"/>
      <c r="BQA222" s="387"/>
      <c r="BQB222" s="387"/>
      <c r="BQC222" s="387"/>
      <c r="BQD222" s="387"/>
      <c r="BQE222" s="387"/>
      <c r="BQF222" s="387"/>
      <c r="BQG222" s="387"/>
      <c r="BQH222" s="387"/>
      <c r="BQI222" s="387"/>
      <c r="BQJ222" s="387"/>
      <c r="BQK222" s="387"/>
      <c r="BQL222" s="387"/>
      <c r="BQM222" s="387"/>
      <c r="BQN222" s="387"/>
      <c r="BQO222" s="387"/>
      <c r="BQP222" s="387"/>
      <c r="BQQ222" s="387"/>
      <c r="BQR222" s="387"/>
      <c r="BQS222" s="387"/>
      <c r="BQT222" s="387"/>
      <c r="BQU222" s="387"/>
      <c r="BQV222" s="387"/>
      <c r="BQW222" s="387"/>
      <c r="BQX222" s="387"/>
      <c r="BQY222" s="387"/>
      <c r="BQZ222" s="387"/>
      <c r="BRA222" s="387"/>
      <c r="BRB222" s="387"/>
      <c r="BRC222" s="387"/>
      <c r="BRD222" s="387"/>
      <c r="BRE222" s="387"/>
      <c r="BRF222" s="387"/>
      <c r="BRG222" s="387"/>
      <c r="BRH222" s="387"/>
      <c r="BRI222" s="387"/>
      <c r="BRJ222" s="387"/>
      <c r="BRK222" s="387"/>
      <c r="BRL222" s="387"/>
      <c r="BRM222" s="387"/>
      <c r="BRN222" s="387"/>
      <c r="BRO222" s="387"/>
      <c r="BRP222" s="387"/>
      <c r="BRQ222" s="387"/>
      <c r="BRR222" s="387"/>
      <c r="BRS222" s="387"/>
      <c r="BRT222" s="387"/>
      <c r="BRU222" s="387"/>
      <c r="BRV222" s="387"/>
      <c r="BRW222" s="387"/>
      <c r="BRX222" s="387"/>
      <c r="BRY222" s="387"/>
      <c r="BRZ222" s="387"/>
      <c r="BSA222" s="387"/>
      <c r="BSB222" s="387"/>
      <c r="BSC222" s="387"/>
      <c r="BSD222" s="387"/>
      <c r="BSE222" s="387"/>
      <c r="BSF222" s="387"/>
      <c r="BSG222" s="387"/>
      <c r="BSH222" s="387"/>
      <c r="BSI222" s="387"/>
      <c r="BSJ222" s="387"/>
      <c r="BSK222" s="387"/>
      <c r="BSL222" s="387"/>
      <c r="BSM222" s="387"/>
      <c r="BSN222" s="387"/>
      <c r="BSO222" s="387"/>
      <c r="BSP222" s="387"/>
      <c r="BSQ222" s="387"/>
      <c r="BSR222" s="387"/>
      <c r="BSS222" s="387"/>
      <c r="BST222" s="387"/>
      <c r="BSU222" s="387"/>
      <c r="BSV222" s="387"/>
      <c r="BSW222" s="387"/>
      <c r="BSX222" s="387"/>
      <c r="BSY222" s="387"/>
      <c r="BSZ222" s="387"/>
      <c r="BTA222" s="387"/>
      <c r="BTB222" s="387"/>
      <c r="BTC222" s="387"/>
      <c r="BTD222" s="387"/>
      <c r="BTE222" s="387"/>
      <c r="BTF222" s="387"/>
      <c r="BTG222" s="387"/>
      <c r="BTH222" s="387"/>
      <c r="BTI222" s="387"/>
    </row>
    <row r="223" spans="1:1881" ht="92.25" customHeight="1" x14ac:dyDescent="0.25">
      <c r="A223" s="398">
        <v>542</v>
      </c>
      <c r="B223" s="394" t="s">
        <v>82</v>
      </c>
      <c r="C223" s="435" t="s">
        <v>728</v>
      </c>
      <c r="D223" s="173" t="s">
        <v>236</v>
      </c>
      <c r="E223" s="683" t="e">
        <f>HLOOKUP('Unit Data from Audit Worksheet'!$D$2,'2019 Data(H)'!$D$1:$BB$202,148,FALSE)</f>
        <v>#N/A</v>
      </c>
      <c r="F223" s="686"/>
      <c r="G223" s="388"/>
      <c r="H223" s="147"/>
      <c r="I223" s="658"/>
      <c r="S223" s="682"/>
      <c r="X223" s="682"/>
    </row>
    <row r="224" spans="1:1881" ht="24.75" customHeight="1" x14ac:dyDescent="0.3">
      <c r="A224" s="187"/>
      <c r="B224" s="159" t="s">
        <v>239</v>
      </c>
      <c r="C224" s="159"/>
      <c r="D224" s="153"/>
      <c r="E224" s="160"/>
      <c r="F224" s="795"/>
      <c r="G224" s="528"/>
      <c r="H224" s="14"/>
      <c r="I224" s="31"/>
      <c r="S224" s="682"/>
      <c r="X224" s="682"/>
    </row>
    <row r="225" spans="1:1881" ht="15.75" customHeight="1" x14ac:dyDescent="0.3">
      <c r="A225" s="187"/>
      <c r="B225" s="154" t="s">
        <v>13</v>
      </c>
      <c r="C225" s="154"/>
      <c r="D225" s="153"/>
      <c r="E225" s="160"/>
      <c r="F225" s="746"/>
      <c r="G225" s="528"/>
      <c r="H225" s="14"/>
      <c r="I225" s="31"/>
      <c r="S225" s="682"/>
      <c r="X225" s="682"/>
    </row>
    <row r="226" spans="1:1881" ht="83.25" customHeight="1" x14ac:dyDescent="0.25">
      <c r="A226" s="188">
        <v>528</v>
      </c>
      <c r="B226" s="148" t="s">
        <v>78</v>
      </c>
      <c r="C226" s="157" t="s">
        <v>240</v>
      </c>
      <c r="D226" s="155" t="s">
        <v>1021</v>
      </c>
      <c r="E226" s="683" t="e">
        <f>HLOOKUP('Unit Data from Audit Worksheet'!$D$2,'2019 Data(H)'!$D$1:$BB$202,135,FALSE)</f>
        <v>#N/A</v>
      </c>
      <c r="F226" s="686"/>
      <c r="G226" s="388" t="str">
        <f>IF(F226="","Error: Unit must enter this information if they levy taxes.",)</f>
        <v>Error: Unit must enter this information if they levy taxes.</v>
      </c>
      <c r="H226" s="115"/>
      <c r="I226" s="31"/>
      <c r="J226" s="438"/>
      <c r="S226" s="682"/>
      <c r="X226" s="682"/>
    </row>
    <row r="227" spans="1:1881" ht="77.25" customHeight="1" x14ac:dyDescent="0.25">
      <c r="A227" s="188">
        <v>529</v>
      </c>
      <c r="B227" s="148" t="s">
        <v>78</v>
      </c>
      <c r="C227" s="157" t="s">
        <v>240</v>
      </c>
      <c r="D227" s="155" t="s">
        <v>254</v>
      </c>
      <c r="E227" s="683" t="e">
        <f>HLOOKUP('Unit Data from Audit Worksheet'!$D$2,'2019 Data(H)'!$D$1:$BB$202,136,FALSE)</f>
        <v>#N/A</v>
      </c>
      <c r="F227" s="686"/>
      <c r="G227" s="552" t="str">
        <f>IF(F227="","Error: Unit must enter this information if they levy taxes.",)</f>
        <v>Error: Unit must enter this information if they levy taxes.</v>
      </c>
      <c r="H227" s="14"/>
      <c r="I227" s="31"/>
      <c r="S227" s="682"/>
      <c r="X227" s="682"/>
    </row>
    <row r="228" spans="1:1881" ht="70.5" customHeight="1" x14ac:dyDescent="0.25">
      <c r="A228" s="188">
        <v>530</v>
      </c>
      <c r="B228" s="148" t="s">
        <v>78</v>
      </c>
      <c r="C228" s="157" t="s">
        <v>240</v>
      </c>
      <c r="D228" s="156" t="s">
        <v>255</v>
      </c>
      <c r="E228" s="683" t="e">
        <f>HLOOKUP('Unit Data from Audit Worksheet'!$D$2,'2019 Data(H)'!$D$1:$BB$202,137,FALSE)</f>
        <v>#N/A</v>
      </c>
      <c r="F228" s="686"/>
      <c r="G228" s="552" t="str">
        <f>IF(F228="","Error: Unit must enter this information if they levy taxes.",)</f>
        <v>Error: Unit must enter this information if they levy taxes.</v>
      </c>
      <c r="H228" s="14"/>
      <c r="I228" s="31"/>
      <c r="S228" s="682"/>
      <c r="X228" s="682"/>
    </row>
    <row r="229" spans="1:1881" ht="56.25" customHeight="1" x14ac:dyDescent="0.25">
      <c r="A229" s="188">
        <v>531</v>
      </c>
      <c r="B229" s="148" t="s">
        <v>78</v>
      </c>
      <c r="C229" s="157" t="s">
        <v>240</v>
      </c>
      <c r="D229" s="156" t="s">
        <v>256</v>
      </c>
      <c r="E229" s="683" t="e">
        <f>HLOOKUP('Unit Data from Audit Worksheet'!$D$2,'2019 Data(H)'!$D$1:$BB$202,138,FALSE)</f>
        <v>#N/A</v>
      </c>
      <c r="F229" s="686"/>
      <c r="G229" s="552" t="str">
        <f>IF(F229="","Error: Unit must enter this information if they levy taxes.",)</f>
        <v>Error: Unit must enter this information if they levy taxes.</v>
      </c>
      <c r="H229" s="14"/>
      <c r="I229" s="31"/>
      <c r="S229" s="682"/>
      <c r="X229" s="682"/>
    </row>
    <row r="230" spans="1:1881" ht="65.25" customHeight="1" x14ac:dyDescent="0.25">
      <c r="A230" s="186">
        <v>61</v>
      </c>
      <c r="B230" s="62" t="s">
        <v>82</v>
      </c>
      <c r="C230" s="157" t="s">
        <v>240</v>
      </c>
      <c r="D230" s="173" t="s">
        <v>561</v>
      </c>
      <c r="E230" s="683" t="e">
        <f>HLOOKUP('Unit Data from Audit Worksheet'!$D$2,'2019 Data(H)'!$D$1:$BB$202,24,FALSE)</f>
        <v>#N/A</v>
      </c>
      <c r="F230" s="796"/>
      <c r="G230" s="552" t="e">
        <f>IF(F230=H230," ","Please check values in account 528, 529, 530 and  531.")</f>
        <v>#DIV/0!</v>
      </c>
      <c r="H230" s="610" t="e">
        <f>ROUND((F226+F227-F228-F229)/(F226+F227)*100,2)</f>
        <v>#DIV/0!</v>
      </c>
      <c r="I230" s="31"/>
      <c r="S230" s="682"/>
      <c r="X230" s="682"/>
    </row>
    <row r="231" spans="1:1881" ht="71.25" customHeight="1" x14ac:dyDescent="0.25">
      <c r="A231" s="186">
        <v>102</v>
      </c>
      <c r="B231" s="62" t="s">
        <v>82</v>
      </c>
      <c r="C231" s="157" t="s">
        <v>240</v>
      </c>
      <c r="D231" s="247" t="s">
        <v>562</v>
      </c>
      <c r="E231" s="683" t="e">
        <f>HLOOKUP('Unit Data from Audit Worksheet'!$D$2,'2019 Data(H)'!$D$1:$BB$202,42,FALSE)</f>
        <v>#N/A</v>
      </c>
      <c r="F231" s="796"/>
      <c r="G231" s="552" t="e">
        <f>IF(F231=H231," ","Please check values in account 528 and 530.")</f>
        <v>#DIV/0!</v>
      </c>
      <c r="H231" s="610" t="e">
        <f>ROUND((F226-F228)/(F226)*100,2)</f>
        <v>#DIV/0!</v>
      </c>
      <c r="I231" s="31"/>
      <c r="S231" s="682"/>
      <c r="X231" s="682"/>
    </row>
    <row r="232" spans="1:1881" ht="71.25" customHeight="1" x14ac:dyDescent="0.25">
      <c r="A232" s="186">
        <v>103</v>
      </c>
      <c r="B232" s="62" t="s">
        <v>82</v>
      </c>
      <c r="C232" s="157" t="s">
        <v>240</v>
      </c>
      <c r="D232" s="173" t="s">
        <v>563</v>
      </c>
      <c r="E232" s="683" t="e">
        <f>HLOOKUP('Unit Data from Audit Worksheet'!$D$2,'2019 Data(H)'!$D$1:$BB$202,43,FALSE)</f>
        <v>#N/A</v>
      </c>
      <c r="F232" s="796"/>
      <c r="G232" s="552" t="e">
        <f>IF(F232=H232," ","Please check values in account 529 and 531.")</f>
        <v>#DIV/0!</v>
      </c>
      <c r="H232" s="610" t="e">
        <f>ROUND((F227-F229)/F227*100,2)</f>
        <v>#DIV/0!</v>
      </c>
      <c r="I232" s="31"/>
      <c r="S232" s="682"/>
      <c r="X232" s="682"/>
    </row>
    <row r="233" spans="1:1881" ht="86.25" customHeight="1" x14ac:dyDescent="0.25">
      <c r="A233" s="186">
        <v>544</v>
      </c>
      <c r="B233" s="148" t="s">
        <v>82</v>
      </c>
      <c r="C233" s="180" t="s">
        <v>240</v>
      </c>
      <c r="D233" s="163" t="s">
        <v>257</v>
      </c>
      <c r="E233" s="683" t="e">
        <f>HLOOKUP('Unit Data from Audit Worksheet'!$D$2,'2019 Data(H)'!$D$1:$BB$202,150,FALSE)</f>
        <v>#N/A</v>
      </c>
      <c r="F233" s="797"/>
      <c r="G233" s="552"/>
      <c r="H233" s="14"/>
      <c r="I233" s="186"/>
      <c r="S233" s="682"/>
      <c r="X233" s="682"/>
    </row>
    <row r="234" spans="1:1881" ht="86.25" customHeight="1" x14ac:dyDescent="0.25">
      <c r="A234" s="186">
        <v>545</v>
      </c>
      <c r="B234" s="148" t="s">
        <v>82</v>
      </c>
      <c r="C234" s="180" t="s">
        <v>240</v>
      </c>
      <c r="D234" s="163" t="s">
        <v>258</v>
      </c>
      <c r="E234" s="567"/>
      <c r="F234" s="797"/>
      <c r="G234" s="552"/>
      <c r="H234" s="14"/>
      <c r="I234" s="568"/>
      <c r="S234" s="682"/>
      <c r="X234" s="682"/>
    </row>
    <row r="235" spans="1:1881" ht="27.75" customHeight="1" x14ac:dyDescent="0.25">
      <c r="A235" s="539"/>
      <c r="B235" s="159" t="s">
        <v>664</v>
      </c>
      <c r="C235" s="159"/>
      <c r="D235" s="159"/>
      <c r="E235" s="538"/>
      <c r="F235" s="798"/>
      <c r="G235" s="537"/>
      <c r="H235" s="65"/>
      <c r="I235" s="186"/>
      <c r="J235" s="364"/>
      <c r="X235" s="682"/>
    </row>
    <row r="236" spans="1:1881" ht="60" x14ac:dyDescent="0.25">
      <c r="A236" s="186">
        <v>620</v>
      </c>
      <c r="B236" s="148" t="s">
        <v>82</v>
      </c>
      <c r="C236" s="180"/>
      <c r="D236" s="331" t="s">
        <v>663</v>
      </c>
      <c r="E236" s="305"/>
      <c r="F236" s="799"/>
      <c r="G236" s="536" t="str">
        <f>IF(F236&lt;1,"Please answer this question","")</f>
        <v>Please answer this question</v>
      </c>
      <c r="H236" s="65"/>
      <c r="I236" s="186"/>
      <c r="S236" s="682"/>
      <c r="X236" s="682"/>
    </row>
    <row r="237" spans="1:1881" s="474" customFormat="1" ht="93" customHeight="1" x14ac:dyDescent="0.25">
      <c r="A237" s="547"/>
      <c r="B237" s="886" t="s">
        <v>1054</v>
      </c>
      <c r="C237" s="886"/>
      <c r="D237" s="886"/>
      <c r="E237" s="886"/>
      <c r="F237" s="886"/>
      <c r="G237" s="886"/>
      <c r="H237" s="476"/>
      <c r="I237" s="398"/>
      <c r="J237" s="475"/>
      <c r="K237" s="475"/>
      <c r="L237" s="475"/>
      <c r="M237" s="475"/>
      <c r="N237"/>
      <c r="O237" s="475"/>
      <c r="P237" s="475"/>
      <c r="Q237" s="475"/>
      <c r="R237"/>
      <c r="S237" s="475"/>
      <c r="T237" s="475"/>
      <c r="U237" s="475"/>
      <c r="V237" s="475"/>
      <c r="W237" s="475"/>
      <c r="X237" s="682"/>
      <c r="Y237" s="475"/>
      <c r="Z237" s="475"/>
      <c r="AA237" s="475"/>
      <c r="AB237" s="475"/>
      <c r="AC237" s="475"/>
      <c r="AD237" s="475"/>
      <c r="AE237" s="475"/>
      <c r="AF237" s="475"/>
      <c r="AG237" s="475"/>
      <c r="AH237" s="475"/>
      <c r="AI237" s="475"/>
      <c r="AJ237" s="475"/>
      <c r="AK237" s="475"/>
      <c r="AL237" s="475"/>
      <c r="AM237" s="475"/>
      <c r="AN237" s="475"/>
      <c r="AO237" s="475"/>
      <c r="AP237" s="475"/>
      <c r="AQ237" s="475"/>
      <c r="AR237" s="475"/>
      <c r="AS237" s="475"/>
      <c r="AT237" s="475"/>
      <c r="AU237" s="475"/>
      <c r="AV237" s="475"/>
      <c r="AW237" s="475"/>
      <c r="AX237" s="475"/>
      <c r="AY237" s="475"/>
      <c r="AZ237" s="475"/>
      <c r="BA237" s="475"/>
      <c r="BB237" s="475"/>
      <c r="BC237" s="475"/>
      <c r="BD237" s="475"/>
      <c r="BE237" s="475"/>
      <c r="BF237" s="475"/>
      <c r="BG237" s="475"/>
      <c r="BH237" s="475"/>
      <c r="BI237" s="475"/>
      <c r="BJ237" s="475"/>
      <c r="BK237" s="475"/>
      <c r="BL237" s="475"/>
      <c r="BM237" s="475"/>
      <c r="BN237" s="475"/>
      <c r="BO237" s="475"/>
      <c r="BP237" s="475"/>
      <c r="BQ237" s="475"/>
      <c r="BR237" s="475"/>
      <c r="BS237" s="475"/>
      <c r="BT237" s="475"/>
      <c r="BU237" s="475"/>
      <c r="BV237" s="475"/>
      <c r="BW237" s="475"/>
      <c r="BX237" s="475"/>
      <c r="BY237" s="475"/>
      <c r="BZ237" s="475"/>
      <c r="CA237" s="475"/>
      <c r="CB237" s="475"/>
      <c r="CC237" s="475"/>
      <c r="CD237" s="475"/>
      <c r="CE237" s="475"/>
      <c r="CF237" s="475"/>
      <c r="CG237" s="475"/>
      <c r="CH237" s="475"/>
      <c r="CI237" s="475"/>
      <c r="CJ237" s="475"/>
      <c r="CK237" s="475"/>
      <c r="CL237" s="475"/>
      <c r="CM237" s="475"/>
      <c r="CN237" s="475"/>
      <c r="CO237" s="475"/>
      <c r="CP237" s="475"/>
      <c r="CQ237" s="475"/>
      <c r="CR237" s="475"/>
      <c r="CS237" s="475"/>
      <c r="CT237" s="475"/>
      <c r="CU237" s="475"/>
      <c r="CV237" s="475"/>
      <c r="CW237" s="475"/>
      <c r="CX237" s="475"/>
      <c r="CY237" s="475"/>
      <c r="CZ237" s="475"/>
      <c r="DA237" s="475"/>
      <c r="DB237" s="475"/>
      <c r="DC237" s="475"/>
      <c r="DD237" s="475"/>
      <c r="DE237" s="475"/>
      <c r="DF237" s="475"/>
      <c r="DG237" s="475"/>
      <c r="DH237" s="475"/>
      <c r="DI237" s="475"/>
      <c r="DJ237" s="475"/>
      <c r="DK237" s="475"/>
      <c r="DL237" s="475"/>
      <c r="DM237" s="475"/>
      <c r="DN237" s="475"/>
      <c r="DO237" s="475"/>
      <c r="DP237" s="475"/>
      <c r="DQ237" s="475"/>
      <c r="DR237" s="475"/>
      <c r="DS237" s="475"/>
      <c r="DT237" s="475"/>
      <c r="DU237" s="475"/>
      <c r="DV237" s="475"/>
      <c r="DW237" s="475"/>
      <c r="DX237" s="475"/>
      <c r="DY237" s="475"/>
      <c r="DZ237" s="475"/>
      <c r="EA237" s="475"/>
      <c r="EB237" s="475"/>
      <c r="EC237" s="475"/>
      <c r="ED237" s="475"/>
      <c r="EE237" s="475"/>
      <c r="EF237" s="475"/>
      <c r="EG237" s="475"/>
      <c r="EH237" s="475"/>
      <c r="EI237" s="475"/>
      <c r="EJ237" s="475"/>
      <c r="EK237" s="475"/>
      <c r="EL237" s="475"/>
      <c r="EM237" s="475"/>
      <c r="EN237" s="475"/>
      <c r="EO237" s="475"/>
      <c r="EP237" s="475"/>
      <c r="EQ237" s="475"/>
      <c r="ER237" s="475"/>
      <c r="ES237" s="475"/>
      <c r="ET237" s="475"/>
      <c r="EU237" s="475"/>
      <c r="EV237" s="475"/>
      <c r="EW237" s="475"/>
      <c r="EX237" s="475"/>
      <c r="EY237" s="475"/>
      <c r="EZ237" s="475"/>
      <c r="FA237" s="475"/>
      <c r="FB237" s="475"/>
      <c r="FC237" s="475"/>
      <c r="FD237" s="475"/>
      <c r="FE237" s="475"/>
      <c r="FF237" s="475"/>
      <c r="FG237" s="475"/>
      <c r="FH237" s="475"/>
      <c r="FI237" s="475"/>
      <c r="FJ237" s="475"/>
      <c r="FK237" s="475"/>
      <c r="FL237" s="475"/>
      <c r="FM237" s="475"/>
      <c r="FN237" s="475"/>
      <c r="FO237" s="475"/>
      <c r="FP237" s="475"/>
      <c r="FQ237" s="475"/>
      <c r="FR237" s="475"/>
      <c r="FS237" s="475"/>
      <c r="FT237" s="475"/>
      <c r="FU237" s="475"/>
      <c r="FV237" s="475"/>
      <c r="FW237" s="475"/>
      <c r="FX237" s="475"/>
      <c r="FY237" s="475"/>
      <c r="FZ237" s="475"/>
      <c r="GA237" s="475"/>
      <c r="GB237" s="475"/>
      <c r="GC237" s="475"/>
      <c r="GD237" s="475"/>
      <c r="GE237" s="475"/>
      <c r="GF237" s="475"/>
      <c r="GG237" s="475"/>
      <c r="GH237" s="475"/>
      <c r="GI237" s="475"/>
      <c r="GJ237" s="475"/>
      <c r="GK237" s="475"/>
      <c r="GL237" s="475"/>
      <c r="GM237" s="475"/>
      <c r="GN237" s="475"/>
      <c r="GO237" s="475"/>
      <c r="GP237" s="475"/>
      <c r="GQ237" s="475"/>
      <c r="GR237" s="475"/>
      <c r="GS237" s="475"/>
      <c r="GT237" s="475"/>
      <c r="GU237" s="475"/>
      <c r="GV237" s="475"/>
      <c r="GW237" s="475"/>
      <c r="GX237" s="475"/>
      <c r="GY237" s="475"/>
      <c r="GZ237" s="475"/>
      <c r="HA237" s="475"/>
      <c r="HB237" s="475"/>
      <c r="HC237" s="475"/>
      <c r="HD237" s="475"/>
      <c r="HE237" s="475"/>
      <c r="HF237" s="475"/>
      <c r="HG237" s="475"/>
      <c r="HH237" s="475"/>
      <c r="HI237" s="475"/>
      <c r="HJ237" s="475"/>
      <c r="HK237" s="475"/>
      <c r="HL237" s="475"/>
      <c r="HM237" s="475"/>
      <c r="HN237" s="475"/>
      <c r="HO237" s="475"/>
      <c r="HP237" s="475"/>
      <c r="HQ237" s="475"/>
      <c r="HR237" s="475"/>
      <c r="HS237" s="475"/>
      <c r="HT237" s="475"/>
      <c r="HU237" s="475"/>
      <c r="HV237" s="475"/>
      <c r="HW237" s="475"/>
      <c r="HX237" s="475"/>
      <c r="HY237" s="475"/>
      <c r="HZ237" s="475"/>
      <c r="IA237" s="475"/>
      <c r="IB237" s="475"/>
      <c r="IC237" s="475"/>
      <c r="ID237" s="475"/>
      <c r="IE237" s="475"/>
      <c r="IF237" s="475"/>
      <c r="IG237" s="475"/>
      <c r="IH237" s="475"/>
      <c r="II237" s="475"/>
      <c r="IJ237" s="475"/>
      <c r="IK237" s="475"/>
      <c r="IL237" s="475"/>
      <c r="IM237" s="475"/>
      <c r="IN237" s="475"/>
      <c r="IO237" s="475"/>
      <c r="IP237" s="475"/>
      <c r="IQ237" s="475"/>
      <c r="IR237" s="475"/>
      <c r="IS237" s="475"/>
      <c r="IT237" s="475"/>
      <c r="IU237" s="475"/>
      <c r="IV237" s="475"/>
      <c r="IW237" s="475"/>
      <c r="IX237" s="475"/>
      <c r="IY237" s="475"/>
      <c r="IZ237" s="475"/>
      <c r="JA237" s="475"/>
      <c r="JB237" s="475"/>
      <c r="JC237" s="475"/>
      <c r="JD237" s="475"/>
      <c r="JE237" s="475"/>
      <c r="JF237" s="475"/>
      <c r="JG237" s="475"/>
      <c r="JH237" s="475"/>
      <c r="JI237" s="475"/>
      <c r="JJ237" s="475"/>
      <c r="JK237" s="475"/>
      <c r="JL237" s="475"/>
      <c r="JM237" s="475"/>
      <c r="JN237" s="475"/>
      <c r="JO237" s="475"/>
      <c r="JP237" s="475"/>
      <c r="JQ237" s="475"/>
      <c r="JR237" s="475"/>
      <c r="JS237" s="475"/>
      <c r="JT237" s="475"/>
      <c r="JU237" s="475"/>
      <c r="JV237" s="475"/>
      <c r="JW237" s="475"/>
      <c r="JX237" s="475"/>
      <c r="JY237" s="475"/>
      <c r="JZ237" s="475"/>
      <c r="KA237" s="475"/>
      <c r="KB237" s="475"/>
      <c r="KC237" s="475"/>
      <c r="KD237" s="475"/>
      <c r="KE237" s="475"/>
      <c r="KF237" s="475"/>
      <c r="KG237" s="475"/>
      <c r="KH237" s="475"/>
      <c r="KI237" s="475"/>
      <c r="KJ237" s="475"/>
      <c r="KK237" s="475"/>
      <c r="KL237" s="475"/>
      <c r="KM237" s="475"/>
      <c r="KN237" s="475"/>
      <c r="KO237" s="475"/>
      <c r="KP237" s="475"/>
      <c r="KQ237" s="475"/>
      <c r="KR237" s="475"/>
      <c r="KS237" s="475"/>
      <c r="KT237" s="475"/>
      <c r="KU237" s="475"/>
      <c r="KV237" s="475"/>
      <c r="KW237" s="475"/>
      <c r="KX237" s="475"/>
      <c r="KY237" s="475"/>
      <c r="KZ237" s="475"/>
      <c r="LA237" s="475"/>
      <c r="LB237" s="475"/>
      <c r="LC237" s="475"/>
      <c r="LD237" s="475"/>
      <c r="LE237" s="475"/>
      <c r="LF237" s="475"/>
      <c r="LG237" s="475"/>
      <c r="LH237" s="475"/>
      <c r="LI237" s="475"/>
      <c r="LJ237" s="475"/>
      <c r="LK237" s="475"/>
      <c r="LL237" s="475"/>
      <c r="LM237" s="475"/>
      <c r="LN237" s="475"/>
      <c r="LO237" s="475"/>
      <c r="LP237" s="475"/>
      <c r="LQ237" s="475"/>
      <c r="LR237" s="475"/>
      <c r="LS237" s="475"/>
      <c r="LT237" s="475"/>
      <c r="LU237" s="475"/>
      <c r="LV237" s="475"/>
      <c r="LW237" s="475"/>
      <c r="LX237" s="475"/>
      <c r="LY237" s="475"/>
      <c r="LZ237" s="475"/>
      <c r="MA237" s="475"/>
      <c r="MB237" s="475"/>
      <c r="MC237" s="475"/>
      <c r="MD237" s="475"/>
      <c r="ME237" s="475"/>
      <c r="MF237" s="475"/>
      <c r="MG237" s="475"/>
      <c r="MH237" s="475"/>
      <c r="MI237" s="475"/>
      <c r="MJ237" s="475"/>
      <c r="MK237" s="475"/>
      <c r="ML237" s="475"/>
      <c r="MM237" s="475"/>
      <c r="MN237" s="475"/>
      <c r="MO237" s="475"/>
      <c r="MP237" s="475"/>
      <c r="MQ237" s="475"/>
      <c r="MR237" s="475"/>
      <c r="MS237" s="475"/>
      <c r="MT237" s="475"/>
      <c r="MU237" s="475"/>
      <c r="MV237" s="475"/>
      <c r="MW237" s="475"/>
      <c r="MX237" s="475"/>
      <c r="MY237" s="475"/>
      <c r="MZ237" s="475"/>
      <c r="NA237" s="475"/>
      <c r="NB237" s="475"/>
      <c r="NC237" s="475"/>
      <c r="ND237" s="475"/>
      <c r="NE237" s="475"/>
      <c r="NF237" s="475"/>
      <c r="NG237" s="475"/>
      <c r="NH237" s="475"/>
      <c r="NI237" s="475"/>
      <c r="NJ237" s="475"/>
      <c r="NK237" s="475"/>
      <c r="NL237" s="475"/>
      <c r="NM237" s="475"/>
      <c r="NN237" s="475"/>
      <c r="NO237" s="475"/>
      <c r="NP237" s="475"/>
      <c r="NQ237" s="475"/>
      <c r="NR237" s="475"/>
      <c r="NS237" s="475"/>
      <c r="NT237" s="475"/>
      <c r="NU237" s="475"/>
      <c r="NV237" s="475"/>
      <c r="NW237" s="475"/>
      <c r="NX237" s="475"/>
      <c r="NY237" s="475"/>
      <c r="NZ237" s="475"/>
      <c r="OA237" s="475"/>
      <c r="OB237" s="475"/>
      <c r="OC237" s="475"/>
      <c r="OD237" s="475"/>
      <c r="OE237" s="475"/>
      <c r="OF237" s="475"/>
      <c r="OG237" s="475"/>
      <c r="OH237" s="475"/>
      <c r="OI237" s="475"/>
      <c r="OJ237" s="475"/>
      <c r="OK237" s="475"/>
      <c r="OL237" s="475"/>
      <c r="OM237" s="475"/>
      <c r="ON237" s="475"/>
      <c r="OO237" s="475"/>
      <c r="OP237" s="475"/>
      <c r="OQ237" s="475"/>
      <c r="OR237" s="475"/>
      <c r="OS237" s="475"/>
      <c r="OT237" s="475"/>
      <c r="OU237" s="475"/>
      <c r="OV237" s="475"/>
      <c r="OW237" s="475"/>
      <c r="OX237" s="475"/>
      <c r="OY237" s="475"/>
      <c r="OZ237" s="475"/>
      <c r="PA237" s="475"/>
      <c r="PB237" s="475"/>
      <c r="PC237" s="475"/>
      <c r="PD237" s="475"/>
      <c r="PE237" s="475"/>
      <c r="PF237" s="475"/>
      <c r="PG237" s="475"/>
      <c r="PH237" s="475"/>
      <c r="PI237" s="475"/>
      <c r="PJ237" s="475"/>
      <c r="PK237" s="475"/>
      <c r="PL237" s="475"/>
      <c r="PM237" s="475"/>
      <c r="PN237" s="475"/>
      <c r="PO237" s="475"/>
      <c r="PP237" s="475"/>
      <c r="PQ237" s="475"/>
      <c r="PR237" s="475"/>
      <c r="PS237" s="475"/>
      <c r="PT237" s="475"/>
      <c r="PU237" s="475"/>
      <c r="PV237" s="475"/>
      <c r="PW237" s="475"/>
      <c r="PX237" s="475"/>
      <c r="PY237" s="475"/>
      <c r="PZ237" s="475"/>
      <c r="QA237" s="475"/>
      <c r="QB237" s="475"/>
      <c r="QC237" s="475"/>
      <c r="QD237" s="475"/>
      <c r="QE237" s="475"/>
      <c r="QF237" s="475"/>
      <c r="QG237" s="475"/>
      <c r="QH237" s="475"/>
      <c r="QI237" s="475"/>
      <c r="QJ237" s="475"/>
      <c r="QK237" s="475"/>
      <c r="QL237" s="475"/>
      <c r="QM237" s="475"/>
      <c r="QN237" s="475"/>
      <c r="QO237" s="475"/>
      <c r="QP237" s="475"/>
      <c r="QQ237" s="475"/>
      <c r="QR237" s="475"/>
      <c r="QS237" s="475"/>
      <c r="QT237" s="475"/>
      <c r="QU237" s="475"/>
      <c r="QV237" s="475"/>
      <c r="QW237" s="475"/>
      <c r="QX237" s="475"/>
      <c r="QY237" s="475"/>
      <c r="QZ237" s="475"/>
      <c r="RA237" s="475"/>
      <c r="RB237" s="475"/>
      <c r="RC237" s="475"/>
      <c r="RD237" s="475"/>
      <c r="RE237" s="475"/>
      <c r="RF237" s="475"/>
      <c r="RG237" s="475"/>
      <c r="RH237" s="475"/>
      <c r="RI237" s="475"/>
      <c r="RJ237" s="475"/>
      <c r="RK237" s="475"/>
      <c r="RL237" s="475"/>
      <c r="RM237" s="475"/>
      <c r="RN237" s="475"/>
      <c r="RO237" s="475"/>
      <c r="RP237" s="475"/>
      <c r="RQ237" s="475"/>
      <c r="RR237" s="475"/>
      <c r="RS237" s="475"/>
      <c r="RT237" s="475"/>
      <c r="RU237" s="475"/>
      <c r="RV237" s="475"/>
      <c r="RW237" s="475"/>
      <c r="RX237" s="475"/>
      <c r="RY237" s="475"/>
      <c r="RZ237" s="475"/>
      <c r="SA237" s="475"/>
      <c r="SB237" s="475"/>
      <c r="SC237" s="475"/>
      <c r="SD237" s="475"/>
      <c r="SE237" s="475"/>
      <c r="SF237" s="475"/>
      <c r="SG237" s="475"/>
      <c r="SH237" s="475"/>
      <c r="SI237" s="475"/>
      <c r="SJ237" s="475"/>
      <c r="SK237" s="475"/>
      <c r="SL237" s="475"/>
      <c r="SM237" s="475"/>
      <c r="SN237" s="475"/>
      <c r="SO237" s="475"/>
      <c r="SP237" s="475"/>
      <c r="SQ237" s="475"/>
      <c r="SR237" s="475"/>
      <c r="SS237" s="475"/>
      <c r="ST237" s="475"/>
      <c r="SU237" s="475"/>
      <c r="SV237" s="475"/>
      <c r="SW237" s="475"/>
      <c r="SX237" s="475"/>
      <c r="SY237" s="475"/>
      <c r="SZ237" s="475"/>
      <c r="TA237" s="475"/>
      <c r="TB237" s="475"/>
      <c r="TC237" s="475"/>
      <c r="TD237" s="475"/>
      <c r="TE237" s="475"/>
      <c r="TF237" s="475"/>
      <c r="TG237" s="475"/>
      <c r="TH237" s="475"/>
      <c r="TI237" s="475"/>
      <c r="TJ237" s="475"/>
      <c r="TK237" s="475"/>
      <c r="TL237" s="475"/>
      <c r="TM237" s="475"/>
      <c r="TN237" s="475"/>
      <c r="TO237" s="475"/>
      <c r="TP237" s="475"/>
      <c r="TQ237" s="475"/>
      <c r="TR237" s="475"/>
      <c r="TS237" s="475"/>
      <c r="TT237" s="475"/>
      <c r="TU237" s="475"/>
      <c r="TV237" s="475"/>
      <c r="TW237" s="475"/>
      <c r="TX237" s="475"/>
      <c r="TY237" s="475"/>
      <c r="TZ237" s="475"/>
      <c r="UA237" s="475"/>
      <c r="UB237" s="475"/>
      <c r="UC237" s="475"/>
      <c r="UD237" s="475"/>
      <c r="UE237" s="475"/>
      <c r="UF237" s="475"/>
      <c r="UG237" s="475"/>
      <c r="UH237" s="475"/>
      <c r="UI237" s="475"/>
      <c r="UJ237" s="475"/>
      <c r="UK237" s="475"/>
      <c r="UL237" s="475"/>
      <c r="UM237" s="475"/>
      <c r="UN237" s="475"/>
      <c r="UO237" s="475"/>
      <c r="UP237" s="475"/>
      <c r="UQ237" s="475"/>
      <c r="UR237" s="475"/>
      <c r="US237" s="475"/>
      <c r="UT237" s="475"/>
      <c r="UU237" s="475"/>
      <c r="UV237" s="475"/>
      <c r="UW237" s="475"/>
      <c r="UX237" s="475"/>
      <c r="UY237" s="475"/>
      <c r="UZ237" s="475"/>
      <c r="VA237" s="475"/>
      <c r="VB237" s="475"/>
      <c r="VC237" s="475"/>
      <c r="VD237" s="475"/>
      <c r="VE237" s="475"/>
      <c r="VF237" s="475"/>
      <c r="VG237" s="475"/>
      <c r="VH237" s="475"/>
      <c r="VI237" s="475"/>
      <c r="VJ237" s="475"/>
      <c r="VK237" s="475"/>
      <c r="VL237" s="475"/>
      <c r="VM237" s="475"/>
      <c r="VN237" s="475"/>
      <c r="VO237" s="475"/>
      <c r="VP237" s="475"/>
      <c r="VQ237" s="475"/>
      <c r="VR237" s="475"/>
      <c r="VS237" s="475"/>
      <c r="VT237" s="475"/>
      <c r="VU237" s="475"/>
      <c r="VV237" s="475"/>
      <c r="VW237" s="475"/>
      <c r="VX237" s="475"/>
      <c r="VY237" s="475"/>
      <c r="VZ237" s="475"/>
      <c r="WA237" s="475"/>
      <c r="WB237" s="475"/>
      <c r="WC237" s="475"/>
      <c r="WD237" s="475"/>
      <c r="WE237" s="475"/>
      <c r="WF237" s="475"/>
      <c r="WG237" s="475"/>
      <c r="WH237" s="475"/>
      <c r="WI237" s="475"/>
      <c r="WJ237" s="475"/>
      <c r="WK237" s="475"/>
      <c r="WL237" s="475"/>
      <c r="WM237" s="475"/>
      <c r="WN237" s="475"/>
      <c r="WO237" s="475"/>
      <c r="WP237" s="475"/>
      <c r="WQ237" s="475"/>
      <c r="WR237" s="475"/>
      <c r="WS237" s="475"/>
      <c r="WT237" s="475"/>
      <c r="WU237" s="475"/>
      <c r="WV237" s="475"/>
      <c r="WW237" s="475"/>
      <c r="WX237" s="475"/>
      <c r="WY237" s="475"/>
      <c r="WZ237" s="475"/>
      <c r="XA237" s="475"/>
      <c r="XB237" s="475"/>
      <c r="XC237" s="475"/>
      <c r="XD237" s="475"/>
      <c r="XE237" s="475"/>
      <c r="XF237" s="475"/>
      <c r="XG237" s="475"/>
      <c r="XH237" s="475"/>
      <c r="XI237" s="475"/>
      <c r="XJ237" s="475"/>
      <c r="XK237" s="475"/>
      <c r="XL237" s="475"/>
      <c r="XM237" s="475"/>
      <c r="XN237" s="475"/>
      <c r="XO237" s="475"/>
      <c r="XP237" s="475"/>
      <c r="XQ237" s="475"/>
      <c r="XR237" s="475"/>
      <c r="XS237" s="475"/>
      <c r="XT237" s="475"/>
      <c r="XU237" s="475"/>
      <c r="XV237" s="475"/>
      <c r="XW237" s="475"/>
      <c r="XX237" s="475"/>
      <c r="XY237" s="475"/>
      <c r="XZ237" s="475"/>
      <c r="YA237" s="475"/>
      <c r="YB237" s="475"/>
      <c r="YC237" s="475"/>
      <c r="YD237" s="475"/>
      <c r="YE237" s="475"/>
      <c r="YF237" s="475"/>
      <c r="YG237" s="475"/>
      <c r="YH237" s="475"/>
      <c r="YI237" s="475"/>
      <c r="YJ237" s="475"/>
      <c r="YK237" s="475"/>
      <c r="YL237" s="475"/>
      <c r="YM237" s="475"/>
      <c r="YN237" s="475"/>
      <c r="YO237" s="475"/>
      <c r="YP237" s="475"/>
      <c r="YQ237" s="475"/>
      <c r="YR237" s="475"/>
      <c r="YS237" s="475"/>
      <c r="YT237" s="475"/>
      <c r="YU237" s="475"/>
      <c r="YV237" s="475"/>
      <c r="YW237" s="475"/>
      <c r="YX237" s="475"/>
      <c r="YY237" s="475"/>
      <c r="YZ237" s="475"/>
      <c r="ZA237" s="475"/>
      <c r="ZB237" s="475"/>
      <c r="ZC237" s="475"/>
      <c r="ZD237" s="475"/>
      <c r="ZE237" s="475"/>
      <c r="ZF237" s="475"/>
      <c r="ZG237" s="475"/>
      <c r="ZH237" s="475"/>
      <c r="ZI237" s="475"/>
      <c r="ZJ237" s="475"/>
      <c r="ZK237" s="475"/>
      <c r="ZL237" s="475"/>
      <c r="ZM237" s="475"/>
      <c r="ZN237" s="475"/>
      <c r="ZO237" s="475"/>
      <c r="ZP237" s="475"/>
      <c r="ZQ237" s="475"/>
      <c r="ZR237" s="475"/>
      <c r="ZS237" s="475"/>
      <c r="ZT237" s="475"/>
      <c r="ZU237" s="475"/>
      <c r="ZV237" s="475"/>
      <c r="ZW237" s="475"/>
      <c r="ZX237" s="475"/>
      <c r="ZY237" s="475"/>
      <c r="ZZ237" s="475"/>
      <c r="AAA237" s="475"/>
      <c r="AAB237" s="475"/>
      <c r="AAC237" s="475"/>
      <c r="AAD237" s="475"/>
      <c r="AAE237" s="475"/>
      <c r="AAF237" s="475"/>
      <c r="AAG237" s="475"/>
      <c r="AAH237" s="475"/>
      <c r="AAI237" s="475"/>
      <c r="AAJ237" s="475"/>
      <c r="AAK237" s="475"/>
      <c r="AAL237" s="475"/>
      <c r="AAM237" s="475"/>
      <c r="AAN237" s="475"/>
      <c r="AAO237" s="475"/>
      <c r="AAP237" s="475"/>
      <c r="AAQ237" s="475"/>
      <c r="AAR237" s="475"/>
      <c r="AAS237" s="475"/>
      <c r="AAT237" s="475"/>
      <c r="AAU237" s="475"/>
      <c r="AAV237" s="475"/>
      <c r="AAW237" s="475"/>
      <c r="AAX237" s="475"/>
      <c r="AAY237" s="475"/>
      <c r="AAZ237" s="475"/>
      <c r="ABA237" s="475"/>
      <c r="ABB237" s="475"/>
      <c r="ABC237" s="475"/>
      <c r="ABD237" s="475"/>
      <c r="ABE237" s="475"/>
      <c r="ABF237" s="475"/>
      <c r="ABG237" s="475"/>
      <c r="ABH237" s="475"/>
      <c r="ABI237" s="475"/>
      <c r="ABJ237" s="475"/>
      <c r="ABK237" s="475"/>
      <c r="ABL237" s="475"/>
      <c r="ABM237" s="475"/>
      <c r="ABN237" s="475"/>
      <c r="ABO237" s="475"/>
      <c r="ABP237" s="475"/>
      <c r="ABQ237" s="475"/>
      <c r="ABR237" s="475"/>
      <c r="ABS237" s="475"/>
      <c r="ABT237" s="475"/>
      <c r="ABU237" s="475"/>
      <c r="ABV237" s="475"/>
      <c r="ABW237" s="475"/>
      <c r="ABX237" s="475"/>
      <c r="ABY237" s="475"/>
      <c r="ABZ237" s="475"/>
      <c r="ACA237" s="475"/>
      <c r="ACB237" s="475"/>
      <c r="ACC237" s="475"/>
      <c r="ACD237" s="475"/>
      <c r="ACE237" s="475"/>
      <c r="ACF237" s="475"/>
      <c r="ACG237" s="475"/>
      <c r="ACH237" s="475"/>
      <c r="ACI237" s="475"/>
      <c r="ACJ237" s="475"/>
      <c r="ACK237" s="475"/>
      <c r="ACL237" s="475"/>
      <c r="ACM237" s="475"/>
      <c r="ACN237" s="475"/>
      <c r="ACO237" s="475"/>
      <c r="ACP237" s="475"/>
      <c r="ACQ237" s="475"/>
      <c r="ACR237" s="475"/>
      <c r="ACS237" s="475"/>
      <c r="ACT237" s="475"/>
      <c r="ACU237" s="475"/>
      <c r="ACV237" s="475"/>
      <c r="ACW237" s="475"/>
      <c r="ACX237" s="475"/>
      <c r="ACY237" s="475"/>
      <c r="ACZ237" s="475"/>
      <c r="ADA237" s="475"/>
      <c r="ADB237" s="475"/>
      <c r="ADC237" s="475"/>
      <c r="ADD237" s="475"/>
      <c r="ADE237" s="475"/>
      <c r="ADF237" s="475"/>
      <c r="ADG237" s="475"/>
      <c r="ADH237" s="475"/>
      <c r="ADI237" s="475"/>
      <c r="ADJ237" s="475"/>
      <c r="ADK237" s="475"/>
      <c r="ADL237" s="475"/>
      <c r="ADM237" s="475"/>
      <c r="ADN237" s="475"/>
      <c r="ADO237" s="475"/>
      <c r="ADP237" s="475"/>
      <c r="ADQ237" s="475"/>
      <c r="ADR237" s="475"/>
      <c r="ADS237" s="475"/>
      <c r="ADT237" s="475"/>
      <c r="ADU237" s="475"/>
      <c r="ADV237" s="475"/>
      <c r="ADW237" s="475"/>
      <c r="ADX237" s="475"/>
      <c r="ADY237" s="475"/>
      <c r="ADZ237" s="475"/>
      <c r="AEA237" s="475"/>
      <c r="AEB237" s="475"/>
      <c r="AEC237" s="475"/>
      <c r="AED237" s="475"/>
      <c r="AEE237" s="475"/>
      <c r="AEF237" s="475"/>
      <c r="AEG237" s="475"/>
      <c r="AEH237" s="475"/>
      <c r="AEI237" s="475"/>
      <c r="AEJ237" s="475"/>
      <c r="AEK237" s="475"/>
      <c r="AEL237" s="475"/>
      <c r="AEM237" s="475"/>
      <c r="AEN237" s="475"/>
      <c r="AEO237" s="475"/>
      <c r="AEP237" s="475"/>
      <c r="AEQ237" s="475"/>
      <c r="AER237" s="475"/>
      <c r="AES237" s="475"/>
      <c r="AET237" s="475"/>
      <c r="AEU237" s="475"/>
      <c r="AEV237" s="475"/>
      <c r="AEW237" s="475"/>
      <c r="AEX237" s="475"/>
      <c r="AEY237" s="475"/>
      <c r="AEZ237" s="475"/>
      <c r="AFA237" s="475"/>
      <c r="AFB237" s="475"/>
      <c r="AFC237" s="475"/>
      <c r="AFD237" s="475"/>
      <c r="AFE237" s="475"/>
      <c r="AFF237" s="475"/>
      <c r="AFG237" s="475"/>
      <c r="AFH237" s="475"/>
      <c r="AFI237" s="475"/>
      <c r="AFJ237" s="475"/>
      <c r="AFK237" s="475"/>
      <c r="AFL237" s="475"/>
      <c r="AFM237" s="475"/>
      <c r="AFN237" s="475"/>
      <c r="AFO237" s="475"/>
      <c r="AFP237" s="475"/>
      <c r="AFQ237" s="475"/>
      <c r="AFR237" s="475"/>
      <c r="AFS237" s="475"/>
      <c r="AFT237" s="475"/>
      <c r="AFU237" s="475"/>
      <c r="AFV237" s="475"/>
      <c r="AFW237" s="475"/>
      <c r="AFX237" s="475"/>
      <c r="AFY237" s="475"/>
      <c r="AFZ237" s="475"/>
      <c r="AGA237" s="475"/>
      <c r="AGB237" s="475"/>
      <c r="AGC237" s="475"/>
      <c r="AGD237" s="475"/>
      <c r="AGE237" s="475"/>
      <c r="AGF237" s="475"/>
      <c r="AGG237" s="475"/>
      <c r="AGH237" s="475"/>
      <c r="AGI237" s="475"/>
      <c r="AGJ237" s="475"/>
      <c r="AGK237" s="475"/>
      <c r="AGL237" s="475"/>
      <c r="AGM237" s="475"/>
      <c r="AGN237" s="475"/>
      <c r="AGO237" s="475"/>
      <c r="AGP237" s="475"/>
      <c r="AGQ237" s="475"/>
      <c r="AGR237" s="475"/>
      <c r="AGS237" s="475"/>
      <c r="AGT237" s="475"/>
      <c r="AGU237" s="475"/>
      <c r="AGV237" s="475"/>
      <c r="AGW237" s="475"/>
      <c r="AGX237" s="475"/>
      <c r="AGY237" s="475"/>
      <c r="AGZ237" s="475"/>
      <c r="AHA237" s="475"/>
      <c r="AHB237" s="475"/>
      <c r="AHC237" s="475"/>
      <c r="AHD237" s="475"/>
      <c r="AHE237" s="475"/>
      <c r="AHF237" s="475"/>
      <c r="AHG237" s="475"/>
      <c r="AHH237" s="475"/>
      <c r="AHI237" s="475"/>
      <c r="AHJ237" s="475"/>
      <c r="AHK237" s="475"/>
      <c r="AHL237" s="475"/>
      <c r="AHM237" s="475"/>
      <c r="AHN237" s="475"/>
      <c r="AHO237" s="475"/>
      <c r="AHP237" s="475"/>
      <c r="AHQ237" s="475"/>
      <c r="AHR237" s="475"/>
      <c r="AHS237" s="475"/>
      <c r="AHT237" s="475"/>
      <c r="AHU237" s="475"/>
      <c r="AHV237" s="475"/>
      <c r="AHW237" s="475"/>
      <c r="AHX237" s="475"/>
      <c r="AHY237" s="475"/>
      <c r="AHZ237" s="475"/>
      <c r="AIA237" s="475"/>
      <c r="AIB237" s="475"/>
      <c r="AIC237" s="475"/>
      <c r="AID237" s="475"/>
      <c r="AIE237" s="475"/>
      <c r="AIF237" s="475"/>
      <c r="AIG237" s="475"/>
      <c r="AIH237" s="475"/>
      <c r="AII237" s="475"/>
      <c r="AIJ237" s="475"/>
      <c r="AIK237" s="475"/>
      <c r="AIL237" s="475"/>
      <c r="AIM237" s="475"/>
      <c r="AIN237" s="475"/>
      <c r="AIO237" s="475"/>
      <c r="AIP237" s="475"/>
      <c r="AIQ237" s="475"/>
      <c r="AIR237" s="475"/>
      <c r="AIS237" s="475"/>
      <c r="AIT237" s="475"/>
      <c r="AIU237" s="475"/>
      <c r="AIV237" s="475"/>
      <c r="AIW237" s="475"/>
      <c r="AIX237" s="475"/>
      <c r="AIY237" s="475"/>
      <c r="AIZ237" s="475"/>
      <c r="AJA237" s="475"/>
      <c r="AJB237" s="475"/>
      <c r="AJC237" s="475"/>
      <c r="AJD237" s="475"/>
      <c r="AJE237" s="475"/>
      <c r="AJF237" s="475"/>
      <c r="AJG237" s="475"/>
      <c r="AJH237" s="475"/>
      <c r="AJI237" s="475"/>
      <c r="AJJ237" s="475"/>
      <c r="AJK237" s="475"/>
      <c r="AJL237" s="475"/>
      <c r="AJM237" s="475"/>
      <c r="AJN237" s="475"/>
      <c r="AJO237" s="475"/>
      <c r="AJP237" s="475"/>
      <c r="AJQ237" s="475"/>
      <c r="AJR237" s="475"/>
      <c r="AJS237" s="475"/>
      <c r="AJT237" s="475"/>
      <c r="AJU237" s="475"/>
      <c r="AJV237" s="475"/>
      <c r="AJW237" s="475"/>
      <c r="AJX237" s="475"/>
      <c r="AJY237" s="475"/>
      <c r="AJZ237" s="475"/>
      <c r="AKA237" s="475"/>
      <c r="AKB237" s="475"/>
      <c r="AKC237" s="475"/>
      <c r="AKD237" s="475"/>
      <c r="AKE237" s="475"/>
      <c r="AKF237" s="475"/>
      <c r="AKG237" s="475"/>
      <c r="AKH237" s="475"/>
      <c r="AKI237" s="475"/>
      <c r="AKJ237" s="475"/>
      <c r="AKK237" s="475"/>
      <c r="AKL237" s="475"/>
      <c r="AKM237" s="475"/>
      <c r="AKN237" s="475"/>
      <c r="AKO237" s="475"/>
      <c r="AKP237" s="475"/>
      <c r="AKQ237" s="475"/>
      <c r="AKR237" s="475"/>
      <c r="AKS237" s="475"/>
      <c r="AKT237" s="475"/>
      <c r="AKU237" s="475"/>
      <c r="AKV237" s="475"/>
      <c r="AKW237" s="475"/>
      <c r="AKX237" s="475"/>
      <c r="AKY237" s="475"/>
      <c r="AKZ237" s="475"/>
      <c r="ALA237" s="475"/>
      <c r="ALB237" s="475"/>
      <c r="ALC237" s="475"/>
      <c r="ALD237" s="475"/>
      <c r="ALE237" s="475"/>
      <c r="ALF237" s="475"/>
      <c r="ALG237" s="475"/>
      <c r="ALH237" s="475"/>
      <c r="ALI237" s="475"/>
      <c r="ALJ237" s="475"/>
      <c r="ALK237" s="475"/>
      <c r="ALL237" s="475"/>
      <c r="ALM237" s="475"/>
      <c r="ALN237" s="475"/>
      <c r="ALO237" s="475"/>
      <c r="ALP237" s="475"/>
      <c r="ALQ237" s="475"/>
      <c r="ALR237" s="475"/>
      <c r="ALS237" s="475"/>
      <c r="ALT237" s="475"/>
      <c r="ALU237" s="475"/>
      <c r="ALV237" s="475"/>
      <c r="ALW237" s="475"/>
      <c r="ALX237" s="475"/>
      <c r="ALY237" s="475"/>
      <c r="ALZ237" s="475"/>
      <c r="AMA237" s="475"/>
      <c r="AMB237" s="475"/>
      <c r="AMC237" s="475"/>
      <c r="AMD237" s="475"/>
      <c r="AME237" s="475"/>
      <c r="AMF237" s="475"/>
      <c r="AMG237" s="475"/>
      <c r="AMH237" s="475"/>
      <c r="AMI237" s="475"/>
      <c r="AMJ237" s="475"/>
      <c r="AMK237" s="475"/>
      <c r="AML237" s="475"/>
      <c r="AMM237" s="475"/>
      <c r="AMN237" s="475"/>
      <c r="AMO237" s="475"/>
      <c r="AMP237" s="475"/>
      <c r="AMQ237" s="475"/>
      <c r="AMR237" s="475"/>
      <c r="AMS237" s="475"/>
      <c r="AMT237" s="475"/>
      <c r="AMU237" s="475"/>
      <c r="AMV237" s="475"/>
      <c r="AMW237" s="475"/>
      <c r="AMX237" s="475"/>
      <c r="AMY237" s="475"/>
      <c r="AMZ237" s="475"/>
      <c r="ANA237" s="475"/>
      <c r="ANB237" s="475"/>
      <c r="ANC237" s="475"/>
      <c r="AND237" s="475"/>
      <c r="ANE237" s="475"/>
      <c r="ANF237" s="475"/>
      <c r="ANG237" s="475"/>
      <c r="ANH237" s="475"/>
      <c r="ANI237" s="475"/>
      <c r="ANJ237" s="475"/>
      <c r="ANK237" s="475"/>
      <c r="ANL237" s="475"/>
      <c r="ANM237" s="475"/>
      <c r="ANN237" s="475"/>
      <c r="ANO237" s="475"/>
      <c r="ANP237" s="475"/>
      <c r="ANQ237" s="475"/>
      <c r="ANR237" s="475"/>
      <c r="ANS237" s="475"/>
      <c r="ANT237" s="475"/>
      <c r="ANU237" s="475"/>
      <c r="ANV237" s="475"/>
      <c r="ANW237" s="475"/>
      <c r="ANX237" s="475"/>
      <c r="ANY237" s="475"/>
      <c r="ANZ237" s="475"/>
      <c r="AOA237" s="475"/>
      <c r="AOB237" s="475"/>
      <c r="AOC237" s="475"/>
      <c r="AOD237" s="475"/>
      <c r="AOE237" s="475"/>
      <c r="AOF237" s="475"/>
      <c r="AOG237" s="475"/>
      <c r="AOH237" s="475"/>
      <c r="AOI237" s="475"/>
      <c r="AOJ237" s="475"/>
      <c r="AOK237" s="475"/>
      <c r="AOL237" s="475"/>
      <c r="AOM237" s="475"/>
      <c r="AON237" s="475"/>
      <c r="AOO237" s="475"/>
      <c r="AOP237" s="475"/>
      <c r="AOQ237" s="475"/>
      <c r="AOR237" s="475"/>
      <c r="AOS237" s="475"/>
      <c r="AOT237" s="475"/>
      <c r="AOU237" s="475"/>
      <c r="AOV237" s="475"/>
      <c r="AOW237" s="475"/>
      <c r="AOX237" s="475"/>
      <c r="AOY237" s="475"/>
      <c r="AOZ237" s="475"/>
      <c r="APA237" s="475"/>
      <c r="APB237" s="475"/>
      <c r="APC237" s="475"/>
      <c r="APD237" s="475"/>
      <c r="APE237" s="475"/>
      <c r="APF237" s="475"/>
      <c r="APG237" s="475"/>
      <c r="APH237" s="475"/>
      <c r="API237" s="475"/>
      <c r="APJ237" s="475"/>
      <c r="APK237" s="475"/>
      <c r="APL237" s="475"/>
      <c r="APM237" s="475"/>
      <c r="APN237" s="475"/>
      <c r="APO237" s="475"/>
      <c r="APP237" s="475"/>
      <c r="APQ237" s="475"/>
      <c r="APR237" s="475"/>
      <c r="APS237" s="475"/>
      <c r="APT237" s="475"/>
      <c r="APU237" s="475"/>
      <c r="APV237" s="475"/>
      <c r="APW237" s="475"/>
      <c r="APX237" s="475"/>
      <c r="APY237" s="475"/>
      <c r="APZ237" s="475"/>
      <c r="AQA237" s="475"/>
      <c r="AQB237" s="475"/>
      <c r="AQC237" s="475"/>
      <c r="AQD237" s="475"/>
      <c r="AQE237" s="475"/>
      <c r="AQF237" s="475"/>
      <c r="AQG237" s="475"/>
      <c r="AQH237" s="475"/>
      <c r="AQI237" s="475"/>
      <c r="AQJ237" s="475"/>
      <c r="AQK237" s="475"/>
      <c r="AQL237" s="475"/>
      <c r="AQM237" s="475"/>
      <c r="AQN237" s="475"/>
      <c r="AQO237" s="475"/>
      <c r="AQP237" s="475"/>
      <c r="AQQ237" s="475"/>
      <c r="AQR237" s="475"/>
      <c r="AQS237" s="475"/>
      <c r="AQT237" s="475"/>
      <c r="AQU237" s="475"/>
      <c r="AQV237" s="475"/>
      <c r="AQW237" s="475"/>
      <c r="AQX237" s="475"/>
      <c r="AQY237" s="475"/>
      <c r="AQZ237" s="475"/>
      <c r="ARA237" s="475"/>
      <c r="ARB237" s="475"/>
      <c r="ARC237" s="475"/>
      <c r="ARD237" s="475"/>
      <c r="ARE237" s="475"/>
      <c r="ARF237" s="475"/>
      <c r="ARG237" s="475"/>
      <c r="ARH237" s="475"/>
      <c r="ARI237" s="475"/>
      <c r="ARJ237" s="475"/>
      <c r="ARK237" s="475"/>
      <c r="ARL237" s="475"/>
      <c r="ARM237" s="475"/>
      <c r="ARN237" s="475"/>
      <c r="ARO237" s="475"/>
      <c r="ARP237" s="475"/>
      <c r="ARQ237" s="475"/>
      <c r="ARR237" s="475"/>
      <c r="ARS237" s="475"/>
      <c r="ART237" s="475"/>
      <c r="ARU237" s="475"/>
      <c r="ARV237" s="475"/>
      <c r="ARW237" s="475"/>
      <c r="ARX237" s="475"/>
      <c r="ARY237" s="475"/>
      <c r="ARZ237" s="475"/>
      <c r="ASA237" s="475"/>
      <c r="ASB237" s="475"/>
      <c r="ASC237" s="475"/>
      <c r="ASD237" s="475"/>
      <c r="ASE237" s="475"/>
      <c r="ASF237" s="475"/>
      <c r="ASG237" s="475"/>
      <c r="ASH237" s="475"/>
      <c r="ASI237" s="475"/>
      <c r="ASJ237" s="475"/>
      <c r="ASK237" s="475"/>
      <c r="ASL237" s="475"/>
      <c r="ASM237" s="475"/>
      <c r="ASN237" s="475"/>
      <c r="ASO237" s="475"/>
      <c r="ASP237" s="475"/>
      <c r="ASQ237" s="475"/>
      <c r="ASR237" s="475"/>
      <c r="ASS237" s="475"/>
      <c r="AST237" s="475"/>
      <c r="ASU237" s="475"/>
      <c r="ASV237" s="475"/>
      <c r="ASW237" s="475"/>
      <c r="ASX237" s="475"/>
      <c r="ASY237" s="475"/>
      <c r="ASZ237" s="475"/>
      <c r="ATA237" s="475"/>
      <c r="ATB237" s="475"/>
      <c r="ATC237" s="475"/>
      <c r="ATD237" s="475"/>
      <c r="ATE237" s="475"/>
      <c r="ATF237" s="475"/>
      <c r="ATG237" s="475"/>
      <c r="ATH237" s="475"/>
      <c r="ATI237" s="475"/>
      <c r="ATJ237" s="475"/>
      <c r="ATK237" s="475"/>
      <c r="ATL237" s="475"/>
      <c r="ATM237" s="475"/>
      <c r="ATN237" s="475"/>
      <c r="ATO237" s="475"/>
      <c r="ATP237" s="475"/>
      <c r="ATQ237" s="475"/>
      <c r="ATR237" s="475"/>
      <c r="ATS237" s="475"/>
      <c r="ATT237" s="475"/>
      <c r="ATU237" s="475"/>
      <c r="ATV237" s="475"/>
      <c r="ATW237" s="475"/>
      <c r="ATX237" s="475"/>
      <c r="ATY237" s="475"/>
      <c r="ATZ237" s="475"/>
      <c r="AUA237" s="475"/>
      <c r="AUB237" s="475"/>
      <c r="AUC237" s="475"/>
      <c r="AUD237" s="475"/>
      <c r="AUE237" s="475"/>
      <c r="AUF237" s="475"/>
      <c r="AUG237" s="475"/>
      <c r="AUH237" s="475"/>
      <c r="AUI237" s="475"/>
      <c r="AUJ237" s="475"/>
      <c r="AUK237" s="475"/>
      <c r="AUL237" s="475"/>
      <c r="AUM237" s="475"/>
      <c r="AUN237" s="475"/>
      <c r="AUO237" s="475"/>
      <c r="AUP237" s="475"/>
      <c r="AUQ237" s="475"/>
      <c r="AUR237" s="475"/>
      <c r="AUS237" s="475"/>
      <c r="AUT237" s="475"/>
      <c r="AUU237" s="475"/>
      <c r="AUV237" s="475"/>
      <c r="AUW237" s="475"/>
      <c r="AUX237" s="475"/>
      <c r="AUY237" s="475"/>
      <c r="AUZ237" s="475"/>
      <c r="AVA237" s="475"/>
      <c r="AVB237" s="475"/>
      <c r="AVC237" s="475"/>
      <c r="AVD237" s="475"/>
      <c r="AVE237" s="475"/>
      <c r="AVF237" s="475"/>
      <c r="AVG237" s="475"/>
      <c r="AVH237" s="475"/>
      <c r="AVI237" s="475"/>
      <c r="AVJ237" s="475"/>
      <c r="AVK237" s="475"/>
      <c r="AVL237" s="475"/>
      <c r="AVM237" s="475"/>
      <c r="AVN237" s="475"/>
      <c r="AVO237" s="475"/>
      <c r="AVP237" s="475"/>
      <c r="AVQ237" s="475"/>
      <c r="AVR237" s="475"/>
      <c r="AVS237" s="475"/>
      <c r="AVT237" s="475"/>
      <c r="AVU237" s="475"/>
      <c r="AVV237" s="475"/>
      <c r="AVW237" s="475"/>
      <c r="AVX237" s="475"/>
      <c r="AVY237" s="475"/>
      <c r="AVZ237" s="475"/>
      <c r="AWA237" s="475"/>
      <c r="AWB237" s="475"/>
      <c r="AWC237" s="475"/>
      <c r="AWD237" s="475"/>
      <c r="AWE237" s="475"/>
      <c r="AWF237" s="475"/>
      <c r="AWG237" s="475"/>
      <c r="AWH237" s="475"/>
      <c r="AWI237" s="475"/>
      <c r="AWJ237" s="475"/>
      <c r="AWK237" s="475"/>
      <c r="AWL237" s="475"/>
      <c r="AWM237" s="475"/>
      <c r="AWN237" s="475"/>
      <c r="AWO237" s="475"/>
      <c r="AWP237" s="475"/>
      <c r="AWQ237" s="475"/>
      <c r="AWR237" s="475"/>
      <c r="AWS237" s="475"/>
      <c r="AWT237" s="475"/>
      <c r="AWU237" s="475"/>
      <c r="AWV237" s="475"/>
      <c r="AWW237" s="475"/>
      <c r="AWX237" s="475"/>
      <c r="AWY237" s="475"/>
      <c r="AWZ237" s="475"/>
      <c r="AXA237" s="475"/>
      <c r="AXB237" s="475"/>
      <c r="AXC237" s="475"/>
      <c r="AXD237" s="475"/>
      <c r="AXE237" s="475"/>
      <c r="AXF237" s="475"/>
      <c r="AXG237" s="475"/>
      <c r="AXH237" s="475"/>
      <c r="AXI237" s="475"/>
      <c r="AXJ237" s="475"/>
      <c r="AXK237" s="475"/>
      <c r="AXL237" s="475"/>
      <c r="AXM237" s="475"/>
      <c r="AXN237" s="475"/>
      <c r="AXO237" s="475"/>
      <c r="AXP237" s="475"/>
      <c r="AXQ237" s="475"/>
      <c r="AXR237" s="475"/>
      <c r="AXS237" s="475"/>
      <c r="AXT237" s="475"/>
      <c r="AXU237" s="475"/>
      <c r="AXV237" s="475"/>
      <c r="AXW237" s="475"/>
      <c r="AXX237" s="475"/>
      <c r="AXY237" s="475"/>
      <c r="AXZ237" s="475"/>
      <c r="AYA237" s="475"/>
      <c r="AYB237" s="475"/>
      <c r="AYC237" s="475"/>
      <c r="AYD237" s="475"/>
      <c r="AYE237" s="475"/>
      <c r="AYF237" s="475"/>
      <c r="AYG237" s="475"/>
      <c r="AYH237" s="475"/>
      <c r="AYI237" s="475"/>
      <c r="AYJ237" s="475"/>
      <c r="AYK237" s="475"/>
      <c r="AYL237" s="475"/>
      <c r="AYM237" s="475"/>
      <c r="AYN237" s="475"/>
      <c r="AYO237" s="475"/>
      <c r="AYP237" s="475"/>
      <c r="AYQ237" s="475"/>
      <c r="AYR237" s="475"/>
      <c r="AYS237" s="475"/>
      <c r="AYT237" s="475"/>
      <c r="AYU237" s="475"/>
      <c r="AYV237" s="475"/>
      <c r="AYW237" s="475"/>
      <c r="AYX237" s="475"/>
      <c r="AYY237" s="475"/>
      <c r="AYZ237" s="475"/>
      <c r="AZA237" s="475"/>
      <c r="AZB237" s="475"/>
      <c r="AZC237" s="475"/>
      <c r="AZD237" s="475"/>
      <c r="AZE237" s="475"/>
      <c r="AZF237" s="475"/>
      <c r="AZG237" s="475"/>
      <c r="AZH237" s="475"/>
      <c r="AZI237" s="475"/>
      <c r="AZJ237" s="475"/>
      <c r="AZK237" s="475"/>
      <c r="AZL237" s="475"/>
      <c r="AZM237" s="475"/>
      <c r="AZN237" s="475"/>
      <c r="AZO237" s="475"/>
      <c r="AZP237" s="475"/>
      <c r="AZQ237" s="475"/>
      <c r="AZR237" s="475"/>
      <c r="AZS237" s="475"/>
      <c r="AZT237" s="475"/>
      <c r="AZU237" s="475"/>
      <c r="AZV237" s="475"/>
      <c r="AZW237" s="475"/>
      <c r="AZX237" s="475"/>
      <c r="AZY237" s="475"/>
      <c r="AZZ237" s="475"/>
      <c r="BAA237" s="475"/>
      <c r="BAB237" s="475"/>
      <c r="BAC237" s="475"/>
      <c r="BAD237" s="475"/>
      <c r="BAE237" s="475"/>
      <c r="BAF237" s="475"/>
      <c r="BAG237" s="475"/>
      <c r="BAH237" s="475"/>
      <c r="BAI237" s="475"/>
      <c r="BAJ237" s="475"/>
      <c r="BAK237" s="475"/>
      <c r="BAL237" s="475"/>
      <c r="BAM237" s="475"/>
      <c r="BAN237" s="475"/>
      <c r="BAO237" s="475"/>
      <c r="BAP237" s="475"/>
      <c r="BAQ237" s="475"/>
      <c r="BAR237" s="475"/>
      <c r="BAS237" s="475"/>
      <c r="BAT237" s="475"/>
      <c r="BAU237" s="475"/>
      <c r="BAV237" s="475"/>
      <c r="BAW237" s="475"/>
      <c r="BAX237" s="475"/>
      <c r="BAY237" s="475"/>
      <c r="BAZ237" s="475"/>
      <c r="BBA237" s="475"/>
      <c r="BBB237" s="475"/>
      <c r="BBC237" s="475"/>
      <c r="BBD237" s="475"/>
      <c r="BBE237" s="475"/>
      <c r="BBF237" s="475"/>
      <c r="BBG237" s="475"/>
      <c r="BBH237" s="475"/>
      <c r="BBI237" s="475"/>
      <c r="BBJ237" s="475"/>
      <c r="BBK237" s="475"/>
      <c r="BBL237" s="475"/>
      <c r="BBM237" s="475"/>
      <c r="BBN237" s="475"/>
      <c r="BBO237" s="475"/>
      <c r="BBP237" s="475"/>
      <c r="BBQ237" s="475"/>
      <c r="BBR237" s="475"/>
      <c r="BBS237" s="475"/>
      <c r="BBT237" s="475"/>
      <c r="BBU237" s="475"/>
      <c r="BBV237" s="475"/>
      <c r="BBW237" s="475"/>
      <c r="BBX237" s="475"/>
      <c r="BBY237" s="475"/>
      <c r="BBZ237" s="475"/>
      <c r="BCA237" s="475"/>
      <c r="BCB237" s="475"/>
      <c r="BCC237" s="475"/>
      <c r="BCD237" s="475"/>
      <c r="BCE237" s="475"/>
      <c r="BCF237" s="475"/>
      <c r="BCG237" s="475"/>
      <c r="BCH237" s="475"/>
      <c r="BCI237" s="475"/>
      <c r="BCJ237" s="475"/>
      <c r="BCK237" s="475"/>
      <c r="BCL237" s="475"/>
      <c r="BCM237" s="475"/>
      <c r="BCN237" s="475"/>
      <c r="BCO237" s="475"/>
      <c r="BCP237" s="475"/>
      <c r="BCQ237" s="475"/>
      <c r="BCR237" s="475"/>
      <c r="BCS237" s="475"/>
      <c r="BCT237" s="475"/>
      <c r="BCU237" s="475"/>
      <c r="BCV237" s="475"/>
      <c r="BCW237" s="475"/>
      <c r="BCX237" s="475"/>
      <c r="BCY237" s="475"/>
      <c r="BCZ237" s="475"/>
      <c r="BDA237" s="475"/>
      <c r="BDB237" s="475"/>
      <c r="BDC237" s="475"/>
      <c r="BDD237" s="475"/>
      <c r="BDE237" s="475"/>
      <c r="BDF237" s="475"/>
      <c r="BDG237" s="475"/>
      <c r="BDH237" s="475"/>
      <c r="BDI237" s="475"/>
      <c r="BDJ237" s="475"/>
      <c r="BDK237" s="475"/>
      <c r="BDL237" s="475"/>
      <c r="BDM237" s="475"/>
      <c r="BDN237" s="475"/>
      <c r="BDO237" s="475"/>
      <c r="BDP237" s="475"/>
      <c r="BDQ237" s="475"/>
      <c r="BDR237" s="475"/>
      <c r="BDS237" s="475"/>
      <c r="BDT237" s="475"/>
      <c r="BDU237" s="475"/>
      <c r="BDV237" s="475"/>
      <c r="BDW237" s="475"/>
      <c r="BDX237" s="475"/>
      <c r="BDY237" s="475"/>
      <c r="BDZ237" s="475"/>
      <c r="BEA237" s="475"/>
      <c r="BEB237" s="475"/>
      <c r="BEC237" s="475"/>
      <c r="BED237" s="475"/>
      <c r="BEE237" s="475"/>
      <c r="BEF237" s="475"/>
      <c r="BEG237" s="475"/>
      <c r="BEH237" s="475"/>
      <c r="BEI237" s="475"/>
      <c r="BEJ237" s="475"/>
      <c r="BEK237" s="475"/>
      <c r="BEL237" s="475"/>
      <c r="BEM237" s="475"/>
      <c r="BEN237" s="475"/>
      <c r="BEO237" s="475"/>
      <c r="BEP237" s="475"/>
      <c r="BEQ237" s="475"/>
      <c r="BER237" s="475"/>
      <c r="BES237" s="475"/>
      <c r="BET237" s="475"/>
      <c r="BEU237" s="475"/>
      <c r="BEV237" s="475"/>
      <c r="BEW237" s="475"/>
      <c r="BEX237" s="475"/>
      <c r="BEY237" s="475"/>
      <c r="BEZ237" s="475"/>
      <c r="BFA237" s="475"/>
      <c r="BFB237" s="475"/>
      <c r="BFC237" s="475"/>
      <c r="BFD237" s="475"/>
      <c r="BFE237" s="475"/>
      <c r="BFF237" s="475"/>
      <c r="BFG237" s="475"/>
      <c r="BFH237" s="475"/>
      <c r="BFI237" s="475"/>
      <c r="BFJ237" s="475"/>
      <c r="BFK237" s="475"/>
      <c r="BFL237" s="475"/>
      <c r="BFM237" s="475"/>
      <c r="BFN237" s="475"/>
      <c r="BFO237" s="475"/>
      <c r="BFP237" s="475"/>
      <c r="BFQ237" s="475"/>
      <c r="BFR237" s="475"/>
      <c r="BFS237" s="475"/>
      <c r="BFT237" s="475"/>
      <c r="BFU237" s="475"/>
      <c r="BFV237" s="475"/>
      <c r="BFW237" s="475"/>
      <c r="BFX237" s="475"/>
      <c r="BFY237" s="475"/>
      <c r="BFZ237" s="475"/>
      <c r="BGA237" s="475"/>
      <c r="BGB237" s="475"/>
      <c r="BGC237" s="475"/>
      <c r="BGD237" s="475"/>
      <c r="BGE237" s="475"/>
      <c r="BGF237" s="475"/>
      <c r="BGG237" s="475"/>
      <c r="BGH237" s="475"/>
      <c r="BGI237" s="475"/>
      <c r="BGJ237" s="475"/>
      <c r="BGK237" s="475"/>
      <c r="BGL237" s="475"/>
      <c r="BGM237" s="475"/>
      <c r="BGN237" s="475"/>
      <c r="BGO237" s="475"/>
      <c r="BGP237" s="475"/>
      <c r="BGQ237" s="475"/>
      <c r="BGR237" s="475"/>
      <c r="BGS237" s="475"/>
      <c r="BGT237" s="475"/>
      <c r="BGU237" s="475"/>
      <c r="BGV237" s="475"/>
      <c r="BGW237" s="475"/>
      <c r="BGX237" s="475"/>
      <c r="BGY237" s="475"/>
      <c r="BGZ237" s="475"/>
      <c r="BHA237" s="475"/>
      <c r="BHB237" s="475"/>
      <c r="BHC237" s="475"/>
      <c r="BHD237" s="475"/>
      <c r="BHE237" s="475"/>
      <c r="BHF237" s="475"/>
      <c r="BHG237" s="475"/>
      <c r="BHH237" s="475"/>
      <c r="BHI237" s="475"/>
      <c r="BHJ237" s="475"/>
      <c r="BHK237" s="475"/>
      <c r="BHL237" s="475"/>
      <c r="BHM237" s="475"/>
      <c r="BHN237" s="475"/>
      <c r="BHO237" s="475"/>
      <c r="BHP237" s="475"/>
      <c r="BHQ237" s="475"/>
      <c r="BHR237" s="475"/>
      <c r="BHS237" s="475"/>
      <c r="BHT237" s="475"/>
      <c r="BHU237" s="475"/>
      <c r="BHV237" s="475"/>
      <c r="BHW237" s="475"/>
      <c r="BHX237" s="475"/>
      <c r="BHY237" s="475"/>
      <c r="BHZ237" s="475"/>
      <c r="BIA237" s="475"/>
      <c r="BIB237" s="475"/>
      <c r="BIC237" s="475"/>
      <c r="BID237" s="475"/>
      <c r="BIE237" s="475"/>
      <c r="BIF237" s="475"/>
      <c r="BIG237" s="475"/>
      <c r="BIH237" s="475"/>
      <c r="BII237" s="475"/>
      <c r="BIJ237" s="475"/>
      <c r="BIK237" s="475"/>
      <c r="BIL237" s="475"/>
      <c r="BIM237" s="475"/>
      <c r="BIN237" s="475"/>
      <c r="BIO237" s="475"/>
      <c r="BIP237" s="475"/>
      <c r="BIQ237" s="475"/>
      <c r="BIR237" s="475"/>
      <c r="BIS237" s="475"/>
      <c r="BIT237" s="475"/>
      <c r="BIU237" s="475"/>
      <c r="BIV237" s="475"/>
      <c r="BIW237" s="475"/>
      <c r="BIX237" s="475"/>
      <c r="BIY237" s="475"/>
      <c r="BIZ237" s="475"/>
      <c r="BJA237" s="475"/>
      <c r="BJB237" s="475"/>
      <c r="BJC237" s="475"/>
      <c r="BJD237" s="475"/>
      <c r="BJE237" s="475"/>
      <c r="BJF237" s="475"/>
      <c r="BJG237" s="475"/>
      <c r="BJH237" s="475"/>
      <c r="BJI237" s="475"/>
      <c r="BJJ237" s="475"/>
      <c r="BJK237" s="475"/>
      <c r="BJL237" s="475"/>
      <c r="BJM237" s="475"/>
      <c r="BJN237" s="475"/>
      <c r="BJO237" s="475"/>
      <c r="BJP237" s="475"/>
      <c r="BJQ237" s="475"/>
      <c r="BJR237" s="475"/>
      <c r="BJS237" s="475"/>
      <c r="BJT237" s="475"/>
      <c r="BJU237" s="475"/>
      <c r="BJV237" s="475"/>
      <c r="BJW237" s="475"/>
      <c r="BJX237" s="475"/>
      <c r="BJY237" s="475"/>
      <c r="BJZ237" s="475"/>
      <c r="BKA237" s="475"/>
      <c r="BKB237" s="475"/>
      <c r="BKC237" s="475"/>
      <c r="BKD237" s="475"/>
      <c r="BKE237" s="475"/>
      <c r="BKF237" s="475"/>
      <c r="BKG237" s="475"/>
      <c r="BKH237" s="475"/>
      <c r="BKI237" s="475"/>
      <c r="BKJ237" s="475"/>
      <c r="BKK237" s="475"/>
      <c r="BKL237" s="475"/>
      <c r="BKM237" s="475"/>
      <c r="BKN237" s="475"/>
      <c r="BKO237" s="475"/>
      <c r="BKP237" s="475"/>
      <c r="BKQ237" s="475"/>
      <c r="BKR237" s="475"/>
      <c r="BKS237" s="475"/>
      <c r="BKT237" s="475"/>
      <c r="BKU237" s="475"/>
      <c r="BKV237" s="475"/>
      <c r="BKW237" s="475"/>
      <c r="BKX237" s="475"/>
      <c r="BKY237" s="475"/>
      <c r="BKZ237" s="475"/>
      <c r="BLA237" s="475"/>
      <c r="BLB237" s="475"/>
      <c r="BLC237" s="475"/>
      <c r="BLD237" s="475"/>
      <c r="BLE237" s="475"/>
      <c r="BLF237" s="475"/>
      <c r="BLG237" s="475"/>
      <c r="BLH237" s="475"/>
      <c r="BLI237" s="475"/>
      <c r="BLJ237" s="475"/>
      <c r="BLK237" s="475"/>
      <c r="BLL237" s="475"/>
      <c r="BLM237" s="475"/>
      <c r="BLN237" s="475"/>
      <c r="BLO237" s="475"/>
      <c r="BLP237" s="475"/>
      <c r="BLQ237" s="475"/>
      <c r="BLR237" s="475"/>
      <c r="BLS237" s="475"/>
      <c r="BLT237" s="475"/>
      <c r="BLU237" s="475"/>
      <c r="BLV237" s="475"/>
      <c r="BLW237" s="475"/>
      <c r="BLX237" s="475"/>
      <c r="BLY237" s="475"/>
      <c r="BLZ237" s="475"/>
      <c r="BMA237" s="475"/>
      <c r="BMB237" s="475"/>
      <c r="BMC237" s="475"/>
      <c r="BMD237" s="475"/>
      <c r="BME237" s="475"/>
      <c r="BMF237" s="475"/>
      <c r="BMG237" s="475"/>
      <c r="BMH237" s="475"/>
      <c r="BMI237" s="475"/>
      <c r="BMJ237" s="475"/>
      <c r="BMK237" s="475"/>
      <c r="BML237" s="475"/>
      <c r="BMM237" s="475"/>
      <c r="BMN237" s="475"/>
      <c r="BMO237" s="475"/>
      <c r="BMP237" s="475"/>
      <c r="BMQ237" s="475"/>
      <c r="BMR237" s="475"/>
      <c r="BMS237" s="475"/>
      <c r="BMT237" s="475"/>
      <c r="BMU237" s="475"/>
      <c r="BMV237" s="475"/>
      <c r="BMW237" s="475"/>
      <c r="BMX237" s="475"/>
      <c r="BMY237" s="475"/>
      <c r="BMZ237" s="475"/>
      <c r="BNA237" s="475"/>
      <c r="BNB237" s="475"/>
      <c r="BNC237" s="475"/>
      <c r="BND237" s="475"/>
      <c r="BNE237" s="475"/>
      <c r="BNF237" s="475"/>
      <c r="BNG237" s="475"/>
      <c r="BNH237" s="475"/>
      <c r="BNI237" s="475"/>
      <c r="BNJ237" s="475"/>
      <c r="BNK237" s="475"/>
      <c r="BNL237" s="475"/>
      <c r="BNM237" s="475"/>
      <c r="BNN237" s="475"/>
      <c r="BNO237" s="475"/>
      <c r="BNP237" s="475"/>
      <c r="BNQ237" s="475"/>
      <c r="BNR237" s="475"/>
      <c r="BNS237" s="475"/>
      <c r="BNT237" s="475"/>
      <c r="BNU237" s="475"/>
      <c r="BNV237" s="475"/>
      <c r="BNW237" s="475"/>
      <c r="BNX237" s="475"/>
      <c r="BNY237" s="475"/>
      <c r="BNZ237" s="475"/>
      <c r="BOA237" s="475"/>
      <c r="BOB237" s="475"/>
      <c r="BOC237" s="475"/>
      <c r="BOD237" s="475"/>
      <c r="BOE237" s="475"/>
      <c r="BOF237" s="475"/>
      <c r="BOG237" s="475"/>
      <c r="BOH237" s="475"/>
      <c r="BOI237" s="475"/>
      <c r="BOJ237" s="475"/>
      <c r="BOK237" s="475"/>
      <c r="BOL237" s="475"/>
      <c r="BOM237" s="475"/>
      <c r="BON237" s="475"/>
      <c r="BOO237" s="475"/>
      <c r="BOP237" s="475"/>
      <c r="BOQ237" s="475"/>
      <c r="BOR237" s="475"/>
      <c r="BOS237" s="475"/>
      <c r="BOT237" s="475"/>
      <c r="BOU237" s="475"/>
      <c r="BOV237" s="475"/>
      <c r="BOW237" s="475"/>
      <c r="BOX237" s="475"/>
      <c r="BOY237" s="475"/>
      <c r="BOZ237" s="475"/>
      <c r="BPA237" s="475"/>
      <c r="BPB237" s="475"/>
      <c r="BPC237" s="475"/>
      <c r="BPD237" s="475"/>
      <c r="BPE237" s="475"/>
      <c r="BPF237" s="475"/>
      <c r="BPG237" s="475"/>
      <c r="BPH237" s="475"/>
      <c r="BPI237" s="475"/>
      <c r="BPJ237" s="475"/>
      <c r="BPK237" s="475"/>
      <c r="BPL237" s="475"/>
      <c r="BPM237" s="475"/>
      <c r="BPN237" s="475"/>
      <c r="BPO237" s="475"/>
      <c r="BPP237" s="475"/>
      <c r="BPQ237" s="475"/>
      <c r="BPR237" s="475"/>
      <c r="BPS237" s="475"/>
      <c r="BPT237" s="475"/>
      <c r="BPU237" s="475"/>
      <c r="BPV237" s="475"/>
      <c r="BPW237" s="475"/>
      <c r="BPX237" s="475"/>
      <c r="BPY237" s="475"/>
      <c r="BPZ237" s="475"/>
      <c r="BQA237" s="475"/>
      <c r="BQB237" s="475"/>
      <c r="BQC237" s="475"/>
      <c r="BQD237" s="475"/>
      <c r="BQE237" s="475"/>
      <c r="BQF237" s="475"/>
      <c r="BQG237" s="475"/>
      <c r="BQH237" s="475"/>
      <c r="BQI237" s="475"/>
      <c r="BQJ237" s="475"/>
      <c r="BQK237" s="475"/>
      <c r="BQL237" s="475"/>
      <c r="BQM237" s="475"/>
      <c r="BQN237" s="475"/>
      <c r="BQO237" s="475"/>
      <c r="BQP237" s="475"/>
      <c r="BQQ237" s="475"/>
      <c r="BQR237" s="475"/>
      <c r="BQS237" s="475"/>
      <c r="BQT237" s="475"/>
      <c r="BQU237" s="475"/>
      <c r="BQV237" s="475"/>
      <c r="BQW237" s="475"/>
      <c r="BQX237" s="475"/>
      <c r="BQY237" s="475"/>
      <c r="BQZ237" s="475"/>
      <c r="BRA237" s="475"/>
      <c r="BRB237" s="475"/>
      <c r="BRC237" s="475"/>
      <c r="BRD237" s="475"/>
      <c r="BRE237" s="475"/>
      <c r="BRF237" s="475"/>
      <c r="BRG237" s="475"/>
      <c r="BRH237" s="475"/>
      <c r="BRI237" s="475"/>
      <c r="BRJ237" s="475"/>
      <c r="BRK237" s="475"/>
      <c r="BRL237" s="475"/>
      <c r="BRM237" s="475"/>
      <c r="BRN237" s="475"/>
      <c r="BRO237" s="475"/>
      <c r="BRP237" s="475"/>
      <c r="BRQ237" s="475"/>
      <c r="BRR237" s="475"/>
      <c r="BRS237" s="475"/>
      <c r="BRT237" s="475"/>
      <c r="BRU237" s="475"/>
      <c r="BRV237" s="475"/>
      <c r="BRW237" s="475"/>
      <c r="BRX237" s="475"/>
      <c r="BRY237" s="475"/>
      <c r="BRZ237" s="475"/>
      <c r="BSA237" s="475"/>
      <c r="BSB237" s="475"/>
      <c r="BSC237" s="475"/>
      <c r="BSD237" s="475"/>
      <c r="BSE237" s="475"/>
      <c r="BSF237" s="475"/>
      <c r="BSG237" s="475"/>
      <c r="BSH237" s="475"/>
      <c r="BSI237" s="475"/>
      <c r="BSJ237" s="475"/>
      <c r="BSK237" s="475"/>
      <c r="BSL237" s="475"/>
      <c r="BSM237" s="475"/>
      <c r="BSN237" s="475"/>
      <c r="BSO237" s="475"/>
      <c r="BSP237" s="475"/>
      <c r="BSQ237" s="475"/>
      <c r="BSR237" s="475"/>
      <c r="BSS237" s="475"/>
      <c r="BST237" s="475"/>
      <c r="BSU237" s="475"/>
      <c r="BSV237" s="475"/>
      <c r="BSW237" s="475"/>
      <c r="BSX237" s="475"/>
      <c r="BSY237" s="475"/>
      <c r="BSZ237" s="475"/>
      <c r="BTA237" s="475"/>
      <c r="BTB237" s="475"/>
      <c r="BTC237" s="475"/>
      <c r="BTD237" s="475"/>
      <c r="BTE237" s="475"/>
      <c r="BTF237" s="475"/>
      <c r="BTG237" s="475"/>
      <c r="BTH237" s="475"/>
      <c r="BTI237" s="475"/>
    </row>
    <row r="238" spans="1:1881" s="474" customFormat="1" ht="60" customHeight="1" x14ac:dyDescent="0.25">
      <c r="A238" s="726">
        <v>947</v>
      </c>
      <c r="B238" s="733"/>
      <c r="C238" s="734"/>
      <c r="D238" s="740" t="s">
        <v>895</v>
      </c>
      <c r="E238" s="730" t="s">
        <v>771</v>
      </c>
      <c r="F238" s="859"/>
      <c r="G238" s="536" t="str">
        <f>IF(ISBLANK(F238),"Please do not leave blank","")</f>
        <v>Please do not leave blank</v>
      </c>
      <c r="H238" s="476"/>
      <c r="I238"/>
      <c r="J238"/>
      <c r="K238"/>
      <c r="L238"/>
      <c r="M238"/>
      <c r="N238"/>
      <c r="O238"/>
      <c r="P238" s="475"/>
      <c r="Q238" s="475"/>
      <c r="R238"/>
      <c r="S238" s="475"/>
      <c r="T238" s="475"/>
      <c r="U238" s="475"/>
      <c r="V238" s="475"/>
      <c r="W238" s="475"/>
      <c r="X238" s="682"/>
      <c r="Y238" s="475"/>
      <c r="Z238" s="475"/>
      <c r="AA238" s="475"/>
      <c r="AB238" s="475"/>
      <c r="AC238" s="475"/>
      <c r="AD238" s="475"/>
      <c r="AE238" s="475"/>
      <c r="AF238" s="475"/>
      <c r="AG238" s="475"/>
      <c r="AH238" s="475"/>
      <c r="AI238" s="475"/>
      <c r="AJ238" s="475"/>
      <c r="AK238" s="475"/>
      <c r="AL238" s="475"/>
      <c r="AM238" s="475"/>
      <c r="AN238" s="475"/>
      <c r="AO238" s="475"/>
      <c r="AP238" s="475"/>
      <c r="AQ238" s="475"/>
      <c r="AR238" s="475"/>
      <c r="AS238" s="475"/>
      <c r="AT238" s="475"/>
      <c r="AU238" s="475"/>
      <c r="AV238" s="475"/>
      <c r="AW238" s="475"/>
      <c r="AX238" s="475"/>
      <c r="AY238" s="475"/>
      <c r="AZ238" s="475"/>
      <c r="BA238" s="475"/>
      <c r="BB238" s="475"/>
      <c r="BC238" s="475"/>
      <c r="BD238" s="475"/>
      <c r="BE238" s="475"/>
      <c r="BF238" s="475"/>
      <c r="BG238" s="475"/>
      <c r="BH238" s="475"/>
      <c r="BI238" s="475"/>
      <c r="BJ238" s="475"/>
      <c r="BK238" s="475"/>
      <c r="BL238" s="475"/>
      <c r="BM238" s="475"/>
      <c r="BN238" s="475"/>
      <c r="BO238" s="475"/>
      <c r="BP238" s="475"/>
      <c r="BQ238" s="475"/>
      <c r="BR238" s="475"/>
      <c r="BS238" s="475"/>
      <c r="BT238" s="475"/>
      <c r="BU238" s="475"/>
      <c r="BV238" s="475"/>
      <c r="BW238" s="475"/>
      <c r="BX238" s="475"/>
      <c r="BY238" s="475"/>
      <c r="BZ238" s="475"/>
      <c r="CA238" s="475"/>
      <c r="CB238" s="475"/>
      <c r="CC238" s="475"/>
      <c r="CD238" s="475"/>
      <c r="CE238" s="475"/>
      <c r="CF238" s="475"/>
      <c r="CG238" s="475"/>
      <c r="CH238" s="475"/>
      <c r="CI238" s="475"/>
      <c r="CJ238" s="475"/>
      <c r="CK238" s="475"/>
      <c r="CL238" s="475"/>
      <c r="CM238" s="475"/>
      <c r="CN238" s="475"/>
      <c r="CO238" s="475"/>
      <c r="CP238" s="475"/>
      <c r="CQ238" s="475"/>
      <c r="CR238" s="475"/>
      <c r="CS238" s="475"/>
      <c r="CT238" s="475"/>
      <c r="CU238" s="475"/>
      <c r="CV238" s="475"/>
      <c r="CW238" s="475"/>
      <c r="CX238" s="475"/>
      <c r="CY238" s="475"/>
      <c r="CZ238" s="475"/>
      <c r="DA238" s="475"/>
      <c r="DB238" s="475"/>
      <c r="DC238" s="475"/>
      <c r="DD238" s="475"/>
      <c r="DE238" s="475"/>
      <c r="DF238" s="475"/>
      <c r="DG238" s="475"/>
      <c r="DH238" s="475"/>
      <c r="DI238" s="475"/>
      <c r="DJ238" s="475"/>
      <c r="DK238" s="475"/>
      <c r="DL238" s="475"/>
      <c r="DM238" s="475"/>
      <c r="DN238" s="475"/>
      <c r="DO238" s="475"/>
      <c r="DP238" s="475"/>
      <c r="DQ238" s="475"/>
      <c r="DR238" s="475"/>
      <c r="DS238" s="475"/>
      <c r="DT238" s="475"/>
      <c r="DU238" s="475"/>
      <c r="DV238" s="475"/>
      <c r="DW238" s="475"/>
      <c r="DX238" s="475"/>
      <c r="DY238" s="475"/>
      <c r="DZ238" s="475"/>
      <c r="EA238" s="475"/>
      <c r="EB238" s="475"/>
      <c r="EC238" s="475"/>
      <c r="ED238" s="475"/>
      <c r="EE238" s="475"/>
      <c r="EF238" s="475"/>
      <c r="EG238" s="475"/>
      <c r="EH238" s="475"/>
      <c r="EI238" s="475"/>
      <c r="EJ238" s="475"/>
      <c r="EK238" s="475"/>
      <c r="EL238" s="475"/>
      <c r="EM238" s="475"/>
      <c r="EN238" s="475"/>
      <c r="EO238" s="475"/>
      <c r="EP238" s="475"/>
      <c r="EQ238" s="475"/>
      <c r="ER238" s="475"/>
      <c r="ES238" s="475"/>
      <c r="ET238" s="475"/>
      <c r="EU238" s="475"/>
      <c r="EV238" s="475"/>
      <c r="EW238" s="475"/>
      <c r="EX238" s="475"/>
      <c r="EY238" s="475"/>
      <c r="EZ238" s="475"/>
      <c r="FA238" s="475"/>
      <c r="FB238" s="475"/>
      <c r="FC238" s="475"/>
      <c r="FD238" s="475"/>
      <c r="FE238" s="475"/>
      <c r="FF238" s="475"/>
      <c r="FG238" s="475"/>
      <c r="FH238" s="475"/>
      <c r="FI238" s="475"/>
      <c r="FJ238" s="475"/>
      <c r="FK238" s="475"/>
      <c r="FL238" s="475"/>
      <c r="FM238" s="475"/>
      <c r="FN238" s="475"/>
      <c r="FO238" s="475"/>
      <c r="FP238" s="475"/>
      <c r="FQ238" s="475"/>
      <c r="FR238" s="475"/>
      <c r="FS238" s="475"/>
      <c r="FT238" s="475"/>
      <c r="FU238" s="475"/>
      <c r="FV238" s="475"/>
      <c r="FW238" s="475"/>
      <c r="FX238" s="475"/>
      <c r="FY238" s="475"/>
      <c r="FZ238" s="475"/>
      <c r="GA238" s="475"/>
      <c r="GB238" s="475"/>
      <c r="GC238" s="475"/>
      <c r="GD238" s="475"/>
      <c r="GE238" s="475"/>
      <c r="GF238" s="475"/>
      <c r="GG238" s="475"/>
      <c r="GH238" s="475"/>
      <c r="GI238" s="475"/>
      <c r="GJ238" s="475"/>
      <c r="GK238" s="475"/>
      <c r="GL238" s="475"/>
      <c r="GM238" s="475"/>
      <c r="GN238" s="475"/>
      <c r="GO238" s="475"/>
      <c r="GP238" s="475"/>
      <c r="GQ238" s="475"/>
      <c r="GR238" s="475"/>
      <c r="GS238" s="475"/>
      <c r="GT238" s="475"/>
      <c r="GU238" s="475"/>
      <c r="GV238" s="475"/>
      <c r="GW238" s="475"/>
      <c r="GX238" s="475"/>
      <c r="GY238" s="475"/>
      <c r="GZ238" s="475"/>
      <c r="HA238" s="475"/>
      <c r="HB238" s="475"/>
      <c r="HC238" s="475"/>
      <c r="HD238" s="475"/>
      <c r="HE238" s="475"/>
      <c r="HF238" s="475"/>
      <c r="HG238" s="475"/>
      <c r="HH238" s="475"/>
      <c r="HI238" s="475"/>
      <c r="HJ238" s="475"/>
      <c r="HK238" s="475"/>
      <c r="HL238" s="475"/>
      <c r="HM238" s="475"/>
      <c r="HN238" s="475"/>
      <c r="HO238" s="475"/>
      <c r="HP238" s="475"/>
      <c r="HQ238" s="475"/>
      <c r="HR238" s="475"/>
      <c r="HS238" s="475"/>
      <c r="HT238" s="475"/>
      <c r="HU238" s="475"/>
      <c r="HV238" s="475"/>
      <c r="HW238" s="475"/>
      <c r="HX238" s="475"/>
      <c r="HY238" s="475"/>
      <c r="HZ238" s="475"/>
      <c r="IA238" s="475"/>
      <c r="IB238" s="475"/>
      <c r="IC238" s="475"/>
      <c r="ID238" s="475"/>
      <c r="IE238" s="475"/>
      <c r="IF238" s="475"/>
      <c r="IG238" s="475"/>
      <c r="IH238" s="475"/>
      <c r="II238" s="475"/>
      <c r="IJ238" s="475"/>
      <c r="IK238" s="475"/>
      <c r="IL238" s="475"/>
      <c r="IM238" s="475"/>
      <c r="IN238" s="475"/>
      <c r="IO238" s="475"/>
      <c r="IP238" s="475"/>
      <c r="IQ238" s="475"/>
      <c r="IR238" s="475"/>
      <c r="IS238" s="475"/>
      <c r="IT238" s="475"/>
      <c r="IU238" s="475"/>
      <c r="IV238" s="475"/>
      <c r="IW238" s="475"/>
      <c r="IX238" s="475"/>
      <c r="IY238" s="475"/>
      <c r="IZ238" s="475"/>
      <c r="JA238" s="475"/>
      <c r="JB238" s="475"/>
      <c r="JC238" s="475"/>
      <c r="JD238" s="475"/>
      <c r="JE238" s="475"/>
      <c r="JF238" s="475"/>
      <c r="JG238" s="475"/>
      <c r="JH238" s="475"/>
      <c r="JI238" s="475"/>
      <c r="JJ238" s="475"/>
      <c r="JK238" s="475"/>
      <c r="JL238" s="475"/>
      <c r="JM238" s="475"/>
      <c r="JN238" s="475"/>
      <c r="JO238" s="475"/>
      <c r="JP238" s="475"/>
      <c r="JQ238" s="475"/>
      <c r="JR238" s="475"/>
      <c r="JS238" s="475"/>
      <c r="JT238" s="475"/>
      <c r="JU238" s="475"/>
      <c r="JV238" s="475"/>
      <c r="JW238" s="475"/>
      <c r="JX238" s="475"/>
      <c r="JY238" s="475"/>
      <c r="JZ238" s="475"/>
      <c r="KA238" s="475"/>
      <c r="KB238" s="475"/>
      <c r="KC238" s="475"/>
      <c r="KD238" s="475"/>
      <c r="KE238" s="475"/>
      <c r="KF238" s="475"/>
      <c r="KG238" s="475"/>
      <c r="KH238" s="475"/>
      <c r="KI238" s="475"/>
      <c r="KJ238" s="475"/>
      <c r="KK238" s="475"/>
      <c r="KL238" s="475"/>
      <c r="KM238" s="475"/>
      <c r="KN238" s="475"/>
      <c r="KO238" s="475"/>
      <c r="KP238" s="475"/>
      <c r="KQ238" s="475"/>
      <c r="KR238" s="475"/>
      <c r="KS238" s="475"/>
      <c r="KT238" s="475"/>
      <c r="KU238" s="475"/>
      <c r="KV238" s="475"/>
      <c r="KW238" s="475"/>
      <c r="KX238" s="475"/>
      <c r="KY238" s="475"/>
      <c r="KZ238" s="475"/>
      <c r="LA238" s="475"/>
      <c r="LB238" s="475"/>
      <c r="LC238" s="475"/>
      <c r="LD238" s="475"/>
      <c r="LE238" s="475"/>
      <c r="LF238" s="475"/>
      <c r="LG238" s="475"/>
      <c r="LH238" s="475"/>
      <c r="LI238" s="475"/>
      <c r="LJ238" s="475"/>
      <c r="LK238" s="475"/>
      <c r="LL238" s="475"/>
      <c r="LM238" s="475"/>
      <c r="LN238" s="475"/>
      <c r="LO238" s="475"/>
      <c r="LP238" s="475"/>
      <c r="LQ238" s="475"/>
      <c r="LR238" s="475"/>
      <c r="LS238" s="475"/>
      <c r="LT238" s="475"/>
      <c r="LU238" s="475"/>
      <c r="LV238" s="475"/>
      <c r="LW238" s="475"/>
      <c r="LX238" s="475"/>
      <c r="LY238" s="475"/>
      <c r="LZ238" s="475"/>
      <c r="MA238" s="475"/>
      <c r="MB238" s="475"/>
      <c r="MC238" s="475"/>
      <c r="MD238" s="475"/>
      <c r="ME238" s="475"/>
      <c r="MF238" s="475"/>
      <c r="MG238" s="475"/>
      <c r="MH238" s="475"/>
      <c r="MI238" s="475"/>
      <c r="MJ238" s="475"/>
      <c r="MK238" s="475"/>
      <c r="ML238" s="475"/>
      <c r="MM238" s="475"/>
      <c r="MN238" s="475"/>
      <c r="MO238" s="475"/>
      <c r="MP238" s="475"/>
      <c r="MQ238" s="475"/>
      <c r="MR238" s="475"/>
      <c r="MS238" s="475"/>
      <c r="MT238" s="475"/>
      <c r="MU238" s="475"/>
      <c r="MV238" s="475"/>
      <c r="MW238" s="475"/>
      <c r="MX238" s="475"/>
      <c r="MY238" s="475"/>
      <c r="MZ238" s="475"/>
      <c r="NA238" s="475"/>
      <c r="NB238" s="475"/>
      <c r="NC238" s="475"/>
      <c r="ND238" s="475"/>
      <c r="NE238" s="475"/>
      <c r="NF238" s="475"/>
      <c r="NG238" s="475"/>
      <c r="NH238" s="475"/>
      <c r="NI238" s="475"/>
      <c r="NJ238" s="475"/>
      <c r="NK238" s="475"/>
      <c r="NL238" s="475"/>
      <c r="NM238" s="475"/>
      <c r="NN238" s="475"/>
      <c r="NO238" s="475"/>
      <c r="NP238" s="475"/>
      <c r="NQ238" s="475"/>
      <c r="NR238" s="475"/>
      <c r="NS238" s="475"/>
      <c r="NT238" s="475"/>
      <c r="NU238" s="475"/>
      <c r="NV238" s="475"/>
      <c r="NW238" s="475"/>
      <c r="NX238" s="475"/>
      <c r="NY238" s="475"/>
      <c r="NZ238" s="475"/>
      <c r="OA238" s="475"/>
      <c r="OB238" s="475"/>
      <c r="OC238" s="475"/>
      <c r="OD238" s="475"/>
      <c r="OE238" s="475"/>
      <c r="OF238" s="475"/>
      <c r="OG238" s="475"/>
      <c r="OH238" s="475"/>
      <c r="OI238" s="475"/>
      <c r="OJ238" s="475"/>
      <c r="OK238" s="475"/>
      <c r="OL238" s="475"/>
      <c r="OM238" s="475"/>
      <c r="ON238" s="475"/>
      <c r="OO238" s="475"/>
      <c r="OP238" s="475"/>
      <c r="OQ238" s="475"/>
      <c r="OR238" s="475"/>
      <c r="OS238" s="475"/>
      <c r="OT238" s="475"/>
      <c r="OU238" s="475"/>
      <c r="OV238" s="475"/>
      <c r="OW238" s="475"/>
      <c r="OX238" s="475"/>
      <c r="OY238" s="475"/>
      <c r="OZ238" s="475"/>
      <c r="PA238" s="475"/>
      <c r="PB238" s="475"/>
      <c r="PC238" s="475"/>
      <c r="PD238" s="475"/>
      <c r="PE238" s="475"/>
      <c r="PF238" s="475"/>
      <c r="PG238" s="475"/>
      <c r="PH238" s="475"/>
      <c r="PI238" s="475"/>
      <c r="PJ238" s="475"/>
      <c r="PK238" s="475"/>
      <c r="PL238" s="475"/>
      <c r="PM238" s="475"/>
      <c r="PN238" s="475"/>
      <c r="PO238" s="475"/>
      <c r="PP238" s="475"/>
      <c r="PQ238" s="475"/>
      <c r="PR238" s="475"/>
      <c r="PS238" s="475"/>
      <c r="PT238" s="475"/>
      <c r="PU238" s="475"/>
      <c r="PV238" s="475"/>
      <c r="PW238" s="475"/>
      <c r="PX238" s="475"/>
      <c r="PY238" s="475"/>
      <c r="PZ238" s="475"/>
      <c r="QA238" s="475"/>
      <c r="QB238" s="475"/>
      <c r="QC238" s="475"/>
      <c r="QD238" s="475"/>
      <c r="QE238" s="475"/>
      <c r="QF238" s="475"/>
      <c r="QG238" s="475"/>
      <c r="QH238" s="475"/>
      <c r="QI238" s="475"/>
      <c r="QJ238" s="475"/>
      <c r="QK238" s="475"/>
      <c r="QL238" s="475"/>
      <c r="QM238" s="475"/>
      <c r="QN238" s="475"/>
      <c r="QO238" s="475"/>
      <c r="QP238" s="475"/>
      <c r="QQ238" s="475"/>
      <c r="QR238" s="475"/>
      <c r="QS238" s="475"/>
      <c r="QT238" s="475"/>
      <c r="QU238" s="475"/>
      <c r="QV238" s="475"/>
      <c r="QW238" s="475"/>
      <c r="QX238" s="475"/>
      <c r="QY238" s="475"/>
      <c r="QZ238" s="475"/>
      <c r="RA238" s="475"/>
      <c r="RB238" s="475"/>
      <c r="RC238" s="475"/>
      <c r="RD238" s="475"/>
      <c r="RE238" s="475"/>
      <c r="RF238" s="475"/>
      <c r="RG238" s="475"/>
      <c r="RH238" s="475"/>
      <c r="RI238" s="475"/>
      <c r="RJ238" s="475"/>
      <c r="RK238" s="475"/>
      <c r="RL238" s="475"/>
      <c r="RM238" s="475"/>
      <c r="RN238" s="475"/>
      <c r="RO238" s="475"/>
      <c r="RP238" s="475"/>
      <c r="RQ238" s="475"/>
      <c r="RR238" s="475"/>
      <c r="RS238" s="475"/>
      <c r="RT238" s="475"/>
      <c r="RU238" s="475"/>
      <c r="RV238" s="475"/>
      <c r="RW238" s="475"/>
      <c r="RX238" s="475"/>
      <c r="RY238" s="475"/>
      <c r="RZ238" s="475"/>
      <c r="SA238" s="475"/>
      <c r="SB238" s="475"/>
      <c r="SC238" s="475"/>
      <c r="SD238" s="475"/>
      <c r="SE238" s="475"/>
      <c r="SF238" s="475"/>
      <c r="SG238" s="475"/>
      <c r="SH238" s="475"/>
      <c r="SI238" s="475"/>
      <c r="SJ238" s="475"/>
      <c r="SK238" s="475"/>
      <c r="SL238" s="475"/>
      <c r="SM238" s="475"/>
      <c r="SN238" s="475"/>
      <c r="SO238" s="475"/>
      <c r="SP238" s="475"/>
      <c r="SQ238" s="475"/>
      <c r="SR238" s="475"/>
      <c r="SS238" s="475"/>
      <c r="ST238" s="475"/>
      <c r="SU238" s="475"/>
      <c r="SV238" s="475"/>
      <c r="SW238" s="475"/>
      <c r="SX238" s="475"/>
      <c r="SY238" s="475"/>
      <c r="SZ238" s="475"/>
      <c r="TA238" s="475"/>
      <c r="TB238" s="475"/>
      <c r="TC238" s="475"/>
      <c r="TD238" s="475"/>
      <c r="TE238" s="475"/>
      <c r="TF238" s="475"/>
      <c r="TG238" s="475"/>
      <c r="TH238" s="475"/>
      <c r="TI238" s="475"/>
      <c r="TJ238" s="475"/>
      <c r="TK238" s="475"/>
      <c r="TL238" s="475"/>
      <c r="TM238" s="475"/>
      <c r="TN238" s="475"/>
      <c r="TO238" s="475"/>
      <c r="TP238" s="475"/>
      <c r="TQ238" s="475"/>
      <c r="TR238" s="475"/>
      <c r="TS238" s="475"/>
      <c r="TT238" s="475"/>
      <c r="TU238" s="475"/>
      <c r="TV238" s="475"/>
      <c r="TW238" s="475"/>
      <c r="TX238" s="475"/>
      <c r="TY238" s="475"/>
      <c r="TZ238" s="475"/>
      <c r="UA238" s="475"/>
      <c r="UB238" s="475"/>
      <c r="UC238" s="475"/>
      <c r="UD238" s="475"/>
      <c r="UE238" s="475"/>
      <c r="UF238" s="475"/>
      <c r="UG238" s="475"/>
      <c r="UH238" s="475"/>
      <c r="UI238" s="475"/>
      <c r="UJ238" s="475"/>
      <c r="UK238" s="475"/>
      <c r="UL238" s="475"/>
      <c r="UM238" s="475"/>
      <c r="UN238" s="475"/>
      <c r="UO238" s="475"/>
      <c r="UP238" s="475"/>
      <c r="UQ238" s="475"/>
      <c r="UR238" s="475"/>
      <c r="US238" s="475"/>
      <c r="UT238" s="475"/>
      <c r="UU238" s="475"/>
      <c r="UV238" s="475"/>
      <c r="UW238" s="475"/>
      <c r="UX238" s="475"/>
      <c r="UY238" s="475"/>
      <c r="UZ238" s="475"/>
      <c r="VA238" s="475"/>
      <c r="VB238" s="475"/>
      <c r="VC238" s="475"/>
      <c r="VD238" s="475"/>
      <c r="VE238" s="475"/>
      <c r="VF238" s="475"/>
      <c r="VG238" s="475"/>
      <c r="VH238" s="475"/>
      <c r="VI238" s="475"/>
      <c r="VJ238" s="475"/>
      <c r="VK238" s="475"/>
      <c r="VL238" s="475"/>
      <c r="VM238" s="475"/>
      <c r="VN238" s="475"/>
      <c r="VO238" s="475"/>
      <c r="VP238" s="475"/>
      <c r="VQ238" s="475"/>
      <c r="VR238" s="475"/>
      <c r="VS238" s="475"/>
      <c r="VT238" s="475"/>
      <c r="VU238" s="475"/>
      <c r="VV238" s="475"/>
      <c r="VW238" s="475"/>
      <c r="VX238" s="475"/>
      <c r="VY238" s="475"/>
      <c r="VZ238" s="475"/>
      <c r="WA238" s="475"/>
      <c r="WB238" s="475"/>
      <c r="WC238" s="475"/>
      <c r="WD238" s="475"/>
      <c r="WE238" s="475"/>
      <c r="WF238" s="475"/>
      <c r="WG238" s="475"/>
      <c r="WH238" s="475"/>
      <c r="WI238" s="475"/>
      <c r="WJ238" s="475"/>
      <c r="WK238" s="475"/>
      <c r="WL238" s="475"/>
      <c r="WM238" s="475"/>
      <c r="WN238" s="475"/>
      <c r="WO238" s="475"/>
      <c r="WP238" s="475"/>
      <c r="WQ238" s="475"/>
      <c r="WR238" s="475"/>
      <c r="WS238" s="475"/>
      <c r="WT238" s="475"/>
      <c r="WU238" s="475"/>
      <c r="WV238" s="475"/>
      <c r="WW238" s="475"/>
      <c r="WX238" s="475"/>
      <c r="WY238" s="475"/>
      <c r="WZ238" s="475"/>
      <c r="XA238" s="475"/>
      <c r="XB238" s="475"/>
      <c r="XC238" s="475"/>
      <c r="XD238" s="475"/>
      <c r="XE238" s="475"/>
      <c r="XF238" s="475"/>
      <c r="XG238" s="475"/>
      <c r="XH238" s="475"/>
      <c r="XI238" s="475"/>
      <c r="XJ238" s="475"/>
      <c r="XK238" s="475"/>
      <c r="XL238" s="475"/>
      <c r="XM238" s="475"/>
      <c r="XN238" s="475"/>
      <c r="XO238" s="475"/>
      <c r="XP238" s="475"/>
      <c r="XQ238" s="475"/>
      <c r="XR238" s="475"/>
      <c r="XS238" s="475"/>
      <c r="XT238" s="475"/>
      <c r="XU238" s="475"/>
      <c r="XV238" s="475"/>
      <c r="XW238" s="475"/>
      <c r="XX238" s="475"/>
      <c r="XY238" s="475"/>
      <c r="XZ238" s="475"/>
      <c r="YA238" s="475"/>
      <c r="YB238" s="475"/>
      <c r="YC238" s="475"/>
      <c r="YD238" s="475"/>
      <c r="YE238" s="475"/>
      <c r="YF238" s="475"/>
      <c r="YG238" s="475"/>
      <c r="YH238" s="475"/>
      <c r="YI238" s="475"/>
      <c r="YJ238" s="475"/>
      <c r="YK238" s="475"/>
      <c r="YL238" s="475"/>
      <c r="YM238" s="475"/>
      <c r="YN238" s="475"/>
      <c r="YO238" s="475"/>
      <c r="YP238" s="475"/>
      <c r="YQ238" s="475"/>
      <c r="YR238" s="475"/>
      <c r="YS238" s="475"/>
      <c r="YT238" s="475"/>
      <c r="YU238" s="475"/>
      <c r="YV238" s="475"/>
      <c r="YW238" s="475"/>
      <c r="YX238" s="475"/>
      <c r="YY238" s="475"/>
      <c r="YZ238" s="475"/>
      <c r="ZA238" s="475"/>
      <c r="ZB238" s="475"/>
      <c r="ZC238" s="475"/>
      <c r="ZD238" s="475"/>
      <c r="ZE238" s="475"/>
      <c r="ZF238" s="475"/>
      <c r="ZG238" s="475"/>
      <c r="ZH238" s="475"/>
      <c r="ZI238" s="475"/>
      <c r="ZJ238" s="475"/>
      <c r="ZK238" s="475"/>
      <c r="ZL238" s="475"/>
      <c r="ZM238" s="475"/>
      <c r="ZN238" s="475"/>
      <c r="ZO238" s="475"/>
      <c r="ZP238" s="475"/>
      <c r="ZQ238" s="475"/>
      <c r="ZR238" s="475"/>
      <c r="ZS238" s="475"/>
      <c r="ZT238" s="475"/>
      <c r="ZU238" s="475"/>
      <c r="ZV238" s="475"/>
      <c r="ZW238" s="475"/>
      <c r="ZX238" s="475"/>
      <c r="ZY238" s="475"/>
      <c r="ZZ238" s="475"/>
      <c r="AAA238" s="475"/>
      <c r="AAB238" s="475"/>
      <c r="AAC238" s="475"/>
      <c r="AAD238" s="475"/>
      <c r="AAE238" s="475"/>
      <c r="AAF238" s="475"/>
      <c r="AAG238" s="475"/>
      <c r="AAH238" s="475"/>
      <c r="AAI238" s="475"/>
      <c r="AAJ238" s="475"/>
      <c r="AAK238" s="475"/>
      <c r="AAL238" s="475"/>
      <c r="AAM238" s="475"/>
      <c r="AAN238" s="475"/>
      <c r="AAO238" s="475"/>
      <c r="AAP238" s="475"/>
      <c r="AAQ238" s="475"/>
      <c r="AAR238" s="475"/>
      <c r="AAS238" s="475"/>
      <c r="AAT238" s="475"/>
      <c r="AAU238" s="475"/>
      <c r="AAV238" s="475"/>
      <c r="AAW238" s="475"/>
      <c r="AAX238" s="475"/>
      <c r="AAY238" s="475"/>
      <c r="AAZ238" s="475"/>
      <c r="ABA238" s="475"/>
      <c r="ABB238" s="475"/>
      <c r="ABC238" s="475"/>
      <c r="ABD238" s="475"/>
      <c r="ABE238" s="475"/>
      <c r="ABF238" s="475"/>
      <c r="ABG238" s="475"/>
      <c r="ABH238" s="475"/>
      <c r="ABI238" s="475"/>
      <c r="ABJ238" s="475"/>
      <c r="ABK238" s="475"/>
      <c r="ABL238" s="475"/>
      <c r="ABM238" s="475"/>
      <c r="ABN238" s="475"/>
      <c r="ABO238" s="475"/>
      <c r="ABP238" s="475"/>
      <c r="ABQ238" s="475"/>
      <c r="ABR238" s="475"/>
      <c r="ABS238" s="475"/>
      <c r="ABT238" s="475"/>
      <c r="ABU238" s="475"/>
      <c r="ABV238" s="475"/>
      <c r="ABW238" s="475"/>
      <c r="ABX238" s="475"/>
      <c r="ABY238" s="475"/>
      <c r="ABZ238" s="475"/>
      <c r="ACA238" s="475"/>
      <c r="ACB238" s="475"/>
      <c r="ACC238" s="475"/>
      <c r="ACD238" s="475"/>
      <c r="ACE238" s="475"/>
      <c r="ACF238" s="475"/>
      <c r="ACG238" s="475"/>
      <c r="ACH238" s="475"/>
      <c r="ACI238" s="475"/>
      <c r="ACJ238" s="475"/>
      <c r="ACK238" s="475"/>
      <c r="ACL238" s="475"/>
      <c r="ACM238" s="475"/>
      <c r="ACN238" s="475"/>
      <c r="ACO238" s="475"/>
      <c r="ACP238" s="475"/>
      <c r="ACQ238" s="475"/>
      <c r="ACR238" s="475"/>
      <c r="ACS238" s="475"/>
      <c r="ACT238" s="475"/>
      <c r="ACU238" s="475"/>
      <c r="ACV238" s="475"/>
      <c r="ACW238" s="475"/>
      <c r="ACX238" s="475"/>
      <c r="ACY238" s="475"/>
      <c r="ACZ238" s="475"/>
      <c r="ADA238" s="475"/>
      <c r="ADB238" s="475"/>
      <c r="ADC238" s="475"/>
      <c r="ADD238" s="475"/>
      <c r="ADE238" s="475"/>
      <c r="ADF238" s="475"/>
      <c r="ADG238" s="475"/>
      <c r="ADH238" s="475"/>
      <c r="ADI238" s="475"/>
      <c r="ADJ238" s="475"/>
      <c r="ADK238" s="475"/>
      <c r="ADL238" s="475"/>
      <c r="ADM238" s="475"/>
      <c r="ADN238" s="475"/>
      <c r="ADO238" s="475"/>
      <c r="ADP238" s="475"/>
      <c r="ADQ238" s="475"/>
      <c r="ADR238" s="475"/>
      <c r="ADS238" s="475"/>
      <c r="ADT238" s="475"/>
      <c r="ADU238" s="475"/>
      <c r="ADV238" s="475"/>
      <c r="ADW238" s="475"/>
      <c r="ADX238" s="475"/>
      <c r="ADY238" s="475"/>
      <c r="ADZ238" s="475"/>
      <c r="AEA238" s="475"/>
      <c r="AEB238" s="475"/>
      <c r="AEC238" s="475"/>
      <c r="AED238" s="475"/>
      <c r="AEE238" s="475"/>
      <c r="AEF238" s="475"/>
      <c r="AEG238" s="475"/>
      <c r="AEH238" s="475"/>
      <c r="AEI238" s="475"/>
      <c r="AEJ238" s="475"/>
      <c r="AEK238" s="475"/>
      <c r="AEL238" s="475"/>
      <c r="AEM238" s="475"/>
      <c r="AEN238" s="475"/>
      <c r="AEO238" s="475"/>
      <c r="AEP238" s="475"/>
      <c r="AEQ238" s="475"/>
      <c r="AER238" s="475"/>
      <c r="AES238" s="475"/>
      <c r="AET238" s="475"/>
      <c r="AEU238" s="475"/>
      <c r="AEV238" s="475"/>
      <c r="AEW238" s="475"/>
      <c r="AEX238" s="475"/>
      <c r="AEY238" s="475"/>
      <c r="AEZ238" s="475"/>
      <c r="AFA238" s="475"/>
      <c r="AFB238" s="475"/>
      <c r="AFC238" s="475"/>
      <c r="AFD238" s="475"/>
      <c r="AFE238" s="475"/>
      <c r="AFF238" s="475"/>
      <c r="AFG238" s="475"/>
      <c r="AFH238" s="475"/>
      <c r="AFI238" s="475"/>
      <c r="AFJ238" s="475"/>
      <c r="AFK238" s="475"/>
      <c r="AFL238" s="475"/>
      <c r="AFM238" s="475"/>
      <c r="AFN238" s="475"/>
      <c r="AFO238" s="475"/>
      <c r="AFP238" s="475"/>
      <c r="AFQ238" s="475"/>
      <c r="AFR238" s="475"/>
      <c r="AFS238" s="475"/>
      <c r="AFT238" s="475"/>
      <c r="AFU238" s="475"/>
      <c r="AFV238" s="475"/>
      <c r="AFW238" s="475"/>
      <c r="AFX238" s="475"/>
      <c r="AFY238" s="475"/>
      <c r="AFZ238" s="475"/>
      <c r="AGA238" s="475"/>
      <c r="AGB238" s="475"/>
      <c r="AGC238" s="475"/>
      <c r="AGD238" s="475"/>
      <c r="AGE238" s="475"/>
      <c r="AGF238" s="475"/>
      <c r="AGG238" s="475"/>
      <c r="AGH238" s="475"/>
      <c r="AGI238" s="475"/>
      <c r="AGJ238" s="475"/>
      <c r="AGK238" s="475"/>
      <c r="AGL238" s="475"/>
      <c r="AGM238" s="475"/>
      <c r="AGN238" s="475"/>
      <c r="AGO238" s="475"/>
      <c r="AGP238" s="475"/>
      <c r="AGQ238" s="475"/>
      <c r="AGR238" s="475"/>
      <c r="AGS238" s="475"/>
      <c r="AGT238" s="475"/>
      <c r="AGU238" s="475"/>
      <c r="AGV238" s="475"/>
      <c r="AGW238" s="475"/>
      <c r="AGX238" s="475"/>
      <c r="AGY238" s="475"/>
      <c r="AGZ238" s="475"/>
      <c r="AHA238" s="475"/>
      <c r="AHB238" s="475"/>
      <c r="AHC238" s="475"/>
      <c r="AHD238" s="475"/>
      <c r="AHE238" s="475"/>
      <c r="AHF238" s="475"/>
      <c r="AHG238" s="475"/>
      <c r="AHH238" s="475"/>
      <c r="AHI238" s="475"/>
      <c r="AHJ238" s="475"/>
      <c r="AHK238" s="475"/>
      <c r="AHL238" s="475"/>
      <c r="AHM238" s="475"/>
      <c r="AHN238" s="475"/>
      <c r="AHO238" s="475"/>
      <c r="AHP238" s="475"/>
      <c r="AHQ238" s="475"/>
      <c r="AHR238" s="475"/>
      <c r="AHS238" s="475"/>
      <c r="AHT238" s="475"/>
      <c r="AHU238" s="475"/>
      <c r="AHV238" s="475"/>
      <c r="AHW238" s="475"/>
      <c r="AHX238" s="475"/>
      <c r="AHY238" s="475"/>
      <c r="AHZ238" s="475"/>
      <c r="AIA238" s="475"/>
      <c r="AIB238" s="475"/>
      <c r="AIC238" s="475"/>
      <c r="AID238" s="475"/>
      <c r="AIE238" s="475"/>
      <c r="AIF238" s="475"/>
      <c r="AIG238" s="475"/>
      <c r="AIH238" s="475"/>
      <c r="AII238" s="475"/>
      <c r="AIJ238" s="475"/>
      <c r="AIK238" s="475"/>
      <c r="AIL238" s="475"/>
      <c r="AIM238" s="475"/>
      <c r="AIN238" s="475"/>
      <c r="AIO238" s="475"/>
      <c r="AIP238" s="475"/>
      <c r="AIQ238" s="475"/>
      <c r="AIR238" s="475"/>
      <c r="AIS238" s="475"/>
      <c r="AIT238" s="475"/>
      <c r="AIU238" s="475"/>
      <c r="AIV238" s="475"/>
      <c r="AIW238" s="475"/>
      <c r="AIX238" s="475"/>
      <c r="AIY238" s="475"/>
      <c r="AIZ238" s="475"/>
      <c r="AJA238" s="475"/>
      <c r="AJB238" s="475"/>
      <c r="AJC238" s="475"/>
      <c r="AJD238" s="475"/>
      <c r="AJE238" s="475"/>
      <c r="AJF238" s="475"/>
      <c r="AJG238" s="475"/>
      <c r="AJH238" s="475"/>
      <c r="AJI238" s="475"/>
      <c r="AJJ238" s="475"/>
      <c r="AJK238" s="475"/>
      <c r="AJL238" s="475"/>
      <c r="AJM238" s="475"/>
      <c r="AJN238" s="475"/>
      <c r="AJO238" s="475"/>
      <c r="AJP238" s="475"/>
      <c r="AJQ238" s="475"/>
      <c r="AJR238" s="475"/>
      <c r="AJS238" s="475"/>
      <c r="AJT238" s="475"/>
      <c r="AJU238" s="475"/>
      <c r="AJV238" s="475"/>
      <c r="AJW238" s="475"/>
      <c r="AJX238" s="475"/>
      <c r="AJY238" s="475"/>
      <c r="AJZ238" s="475"/>
      <c r="AKA238" s="475"/>
      <c r="AKB238" s="475"/>
      <c r="AKC238" s="475"/>
      <c r="AKD238" s="475"/>
      <c r="AKE238" s="475"/>
      <c r="AKF238" s="475"/>
      <c r="AKG238" s="475"/>
      <c r="AKH238" s="475"/>
      <c r="AKI238" s="475"/>
      <c r="AKJ238" s="475"/>
      <c r="AKK238" s="475"/>
      <c r="AKL238" s="475"/>
      <c r="AKM238" s="475"/>
      <c r="AKN238" s="475"/>
      <c r="AKO238" s="475"/>
      <c r="AKP238" s="475"/>
      <c r="AKQ238" s="475"/>
      <c r="AKR238" s="475"/>
      <c r="AKS238" s="475"/>
      <c r="AKT238" s="475"/>
      <c r="AKU238" s="475"/>
      <c r="AKV238" s="475"/>
      <c r="AKW238" s="475"/>
      <c r="AKX238" s="475"/>
      <c r="AKY238" s="475"/>
      <c r="AKZ238" s="475"/>
      <c r="ALA238" s="475"/>
      <c r="ALB238" s="475"/>
      <c r="ALC238" s="475"/>
      <c r="ALD238" s="475"/>
      <c r="ALE238" s="475"/>
      <c r="ALF238" s="475"/>
      <c r="ALG238" s="475"/>
      <c r="ALH238" s="475"/>
      <c r="ALI238" s="475"/>
      <c r="ALJ238" s="475"/>
      <c r="ALK238" s="475"/>
      <c r="ALL238" s="475"/>
      <c r="ALM238" s="475"/>
      <c r="ALN238" s="475"/>
      <c r="ALO238" s="475"/>
      <c r="ALP238" s="475"/>
      <c r="ALQ238" s="475"/>
      <c r="ALR238" s="475"/>
      <c r="ALS238" s="475"/>
      <c r="ALT238" s="475"/>
      <c r="ALU238" s="475"/>
      <c r="ALV238" s="475"/>
      <c r="ALW238" s="475"/>
      <c r="ALX238" s="475"/>
      <c r="ALY238" s="475"/>
      <c r="ALZ238" s="475"/>
      <c r="AMA238" s="475"/>
      <c r="AMB238" s="475"/>
      <c r="AMC238" s="475"/>
      <c r="AMD238" s="475"/>
      <c r="AME238" s="475"/>
      <c r="AMF238" s="475"/>
      <c r="AMG238" s="475"/>
      <c r="AMH238" s="475"/>
      <c r="AMI238" s="475"/>
      <c r="AMJ238" s="475"/>
      <c r="AMK238" s="475"/>
      <c r="AML238" s="475"/>
      <c r="AMM238" s="475"/>
      <c r="AMN238" s="475"/>
      <c r="AMO238" s="475"/>
      <c r="AMP238" s="475"/>
      <c r="AMQ238" s="475"/>
      <c r="AMR238" s="475"/>
      <c r="AMS238" s="475"/>
      <c r="AMT238" s="475"/>
      <c r="AMU238" s="475"/>
      <c r="AMV238" s="475"/>
      <c r="AMW238" s="475"/>
      <c r="AMX238" s="475"/>
      <c r="AMY238" s="475"/>
      <c r="AMZ238" s="475"/>
      <c r="ANA238" s="475"/>
      <c r="ANB238" s="475"/>
      <c r="ANC238" s="475"/>
      <c r="AND238" s="475"/>
      <c r="ANE238" s="475"/>
      <c r="ANF238" s="475"/>
      <c r="ANG238" s="475"/>
      <c r="ANH238" s="475"/>
      <c r="ANI238" s="475"/>
      <c r="ANJ238" s="475"/>
      <c r="ANK238" s="475"/>
      <c r="ANL238" s="475"/>
      <c r="ANM238" s="475"/>
      <c r="ANN238" s="475"/>
      <c r="ANO238" s="475"/>
      <c r="ANP238" s="475"/>
      <c r="ANQ238" s="475"/>
      <c r="ANR238" s="475"/>
      <c r="ANS238" s="475"/>
      <c r="ANT238" s="475"/>
      <c r="ANU238" s="475"/>
      <c r="ANV238" s="475"/>
      <c r="ANW238" s="475"/>
      <c r="ANX238" s="475"/>
      <c r="ANY238" s="475"/>
      <c r="ANZ238" s="475"/>
      <c r="AOA238" s="475"/>
      <c r="AOB238" s="475"/>
      <c r="AOC238" s="475"/>
      <c r="AOD238" s="475"/>
      <c r="AOE238" s="475"/>
      <c r="AOF238" s="475"/>
      <c r="AOG238" s="475"/>
      <c r="AOH238" s="475"/>
      <c r="AOI238" s="475"/>
      <c r="AOJ238" s="475"/>
      <c r="AOK238" s="475"/>
      <c r="AOL238" s="475"/>
      <c r="AOM238" s="475"/>
      <c r="AON238" s="475"/>
      <c r="AOO238" s="475"/>
      <c r="AOP238" s="475"/>
      <c r="AOQ238" s="475"/>
      <c r="AOR238" s="475"/>
      <c r="AOS238" s="475"/>
      <c r="AOT238" s="475"/>
      <c r="AOU238" s="475"/>
      <c r="AOV238" s="475"/>
      <c r="AOW238" s="475"/>
      <c r="AOX238" s="475"/>
      <c r="AOY238" s="475"/>
      <c r="AOZ238" s="475"/>
      <c r="APA238" s="475"/>
      <c r="APB238" s="475"/>
      <c r="APC238" s="475"/>
      <c r="APD238" s="475"/>
      <c r="APE238" s="475"/>
      <c r="APF238" s="475"/>
      <c r="APG238" s="475"/>
      <c r="APH238" s="475"/>
      <c r="API238" s="475"/>
      <c r="APJ238" s="475"/>
      <c r="APK238" s="475"/>
      <c r="APL238" s="475"/>
      <c r="APM238" s="475"/>
      <c r="APN238" s="475"/>
      <c r="APO238" s="475"/>
      <c r="APP238" s="475"/>
      <c r="APQ238" s="475"/>
      <c r="APR238" s="475"/>
      <c r="APS238" s="475"/>
      <c r="APT238" s="475"/>
      <c r="APU238" s="475"/>
      <c r="APV238" s="475"/>
      <c r="APW238" s="475"/>
      <c r="APX238" s="475"/>
      <c r="APY238" s="475"/>
      <c r="APZ238" s="475"/>
      <c r="AQA238" s="475"/>
      <c r="AQB238" s="475"/>
      <c r="AQC238" s="475"/>
      <c r="AQD238" s="475"/>
      <c r="AQE238" s="475"/>
      <c r="AQF238" s="475"/>
      <c r="AQG238" s="475"/>
      <c r="AQH238" s="475"/>
      <c r="AQI238" s="475"/>
      <c r="AQJ238" s="475"/>
      <c r="AQK238" s="475"/>
      <c r="AQL238" s="475"/>
      <c r="AQM238" s="475"/>
      <c r="AQN238" s="475"/>
      <c r="AQO238" s="475"/>
      <c r="AQP238" s="475"/>
      <c r="AQQ238" s="475"/>
      <c r="AQR238" s="475"/>
      <c r="AQS238" s="475"/>
      <c r="AQT238" s="475"/>
      <c r="AQU238" s="475"/>
      <c r="AQV238" s="475"/>
      <c r="AQW238" s="475"/>
      <c r="AQX238" s="475"/>
      <c r="AQY238" s="475"/>
      <c r="AQZ238" s="475"/>
      <c r="ARA238" s="475"/>
      <c r="ARB238" s="475"/>
      <c r="ARC238" s="475"/>
      <c r="ARD238" s="475"/>
      <c r="ARE238" s="475"/>
      <c r="ARF238" s="475"/>
      <c r="ARG238" s="475"/>
      <c r="ARH238" s="475"/>
      <c r="ARI238" s="475"/>
      <c r="ARJ238" s="475"/>
      <c r="ARK238" s="475"/>
      <c r="ARL238" s="475"/>
      <c r="ARM238" s="475"/>
      <c r="ARN238" s="475"/>
      <c r="ARO238" s="475"/>
      <c r="ARP238" s="475"/>
      <c r="ARQ238" s="475"/>
      <c r="ARR238" s="475"/>
      <c r="ARS238" s="475"/>
      <c r="ART238" s="475"/>
      <c r="ARU238" s="475"/>
      <c r="ARV238" s="475"/>
      <c r="ARW238" s="475"/>
      <c r="ARX238" s="475"/>
      <c r="ARY238" s="475"/>
      <c r="ARZ238" s="475"/>
      <c r="ASA238" s="475"/>
      <c r="ASB238" s="475"/>
      <c r="ASC238" s="475"/>
      <c r="ASD238" s="475"/>
      <c r="ASE238" s="475"/>
      <c r="ASF238" s="475"/>
      <c r="ASG238" s="475"/>
      <c r="ASH238" s="475"/>
      <c r="ASI238" s="475"/>
      <c r="ASJ238" s="475"/>
      <c r="ASK238" s="475"/>
      <c r="ASL238" s="475"/>
      <c r="ASM238" s="475"/>
      <c r="ASN238" s="475"/>
      <c r="ASO238" s="475"/>
      <c r="ASP238" s="475"/>
      <c r="ASQ238" s="475"/>
      <c r="ASR238" s="475"/>
      <c r="ASS238" s="475"/>
      <c r="AST238" s="475"/>
      <c r="ASU238" s="475"/>
      <c r="ASV238" s="475"/>
      <c r="ASW238" s="475"/>
      <c r="ASX238" s="475"/>
      <c r="ASY238" s="475"/>
      <c r="ASZ238" s="475"/>
      <c r="ATA238" s="475"/>
      <c r="ATB238" s="475"/>
      <c r="ATC238" s="475"/>
      <c r="ATD238" s="475"/>
      <c r="ATE238" s="475"/>
      <c r="ATF238" s="475"/>
      <c r="ATG238" s="475"/>
      <c r="ATH238" s="475"/>
      <c r="ATI238" s="475"/>
      <c r="ATJ238" s="475"/>
      <c r="ATK238" s="475"/>
      <c r="ATL238" s="475"/>
      <c r="ATM238" s="475"/>
      <c r="ATN238" s="475"/>
      <c r="ATO238" s="475"/>
      <c r="ATP238" s="475"/>
      <c r="ATQ238" s="475"/>
      <c r="ATR238" s="475"/>
      <c r="ATS238" s="475"/>
      <c r="ATT238" s="475"/>
      <c r="ATU238" s="475"/>
      <c r="ATV238" s="475"/>
      <c r="ATW238" s="475"/>
      <c r="ATX238" s="475"/>
      <c r="ATY238" s="475"/>
      <c r="ATZ238" s="475"/>
      <c r="AUA238" s="475"/>
      <c r="AUB238" s="475"/>
      <c r="AUC238" s="475"/>
      <c r="AUD238" s="475"/>
      <c r="AUE238" s="475"/>
      <c r="AUF238" s="475"/>
      <c r="AUG238" s="475"/>
      <c r="AUH238" s="475"/>
      <c r="AUI238" s="475"/>
      <c r="AUJ238" s="475"/>
      <c r="AUK238" s="475"/>
      <c r="AUL238" s="475"/>
      <c r="AUM238" s="475"/>
      <c r="AUN238" s="475"/>
      <c r="AUO238" s="475"/>
      <c r="AUP238" s="475"/>
      <c r="AUQ238" s="475"/>
      <c r="AUR238" s="475"/>
      <c r="AUS238" s="475"/>
      <c r="AUT238" s="475"/>
      <c r="AUU238" s="475"/>
      <c r="AUV238" s="475"/>
      <c r="AUW238" s="475"/>
      <c r="AUX238" s="475"/>
      <c r="AUY238" s="475"/>
      <c r="AUZ238" s="475"/>
      <c r="AVA238" s="475"/>
      <c r="AVB238" s="475"/>
      <c r="AVC238" s="475"/>
      <c r="AVD238" s="475"/>
      <c r="AVE238" s="475"/>
      <c r="AVF238" s="475"/>
      <c r="AVG238" s="475"/>
      <c r="AVH238" s="475"/>
      <c r="AVI238" s="475"/>
      <c r="AVJ238" s="475"/>
      <c r="AVK238" s="475"/>
      <c r="AVL238" s="475"/>
      <c r="AVM238" s="475"/>
      <c r="AVN238" s="475"/>
      <c r="AVO238" s="475"/>
      <c r="AVP238" s="475"/>
      <c r="AVQ238" s="475"/>
      <c r="AVR238" s="475"/>
      <c r="AVS238" s="475"/>
      <c r="AVT238" s="475"/>
      <c r="AVU238" s="475"/>
      <c r="AVV238" s="475"/>
      <c r="AVW238" s="475"/>
      <c r="AVX238" s="475"/>
      <c r="AVY238" s="475"/>
      <c r="AVZ238" s="475"/>
      <c r="AWA238" s="475"/>
      <c r="AWB238" s="475"/>
      <c r="AWC238" s="475"/>
      <c r="AWD238" s="475"/>
      <c r="AWE238" s="475"/>
      <c r="AWF238" s="475"/>
      <c r="AWG238" s="475"/>
      <c r="AWH238" s="475"/>
      <c r="AWI238" s="475"/>
      <c r="AWJ238" s="475"/>
      <c r="AWK238" s="475"/>
      <c r="AWL238" s="475"/>
      <c r="AWM238" s="475"/>
      <c r="AWN238" s="475"/>
      <c r="AWO238" s="475"/>
      <c r="AWP238" s="475"/>
      <c r="AWQ238" s="475"/>
      <c r="AWR238" s="475"/>
      <c r="AWS238" s="475"/>
      <c r="AWT238" s="475"/>
      <c r="AWU238" s="475"/>
      <c r="AWV238" s="475"/>
      <c r="AWW238" s="475"/>
      <c r="AWX238" s="475"/>
      <c r="AWY238" s="475"/>
      <c r="AWZ238" s="475"/>
      <c r="AXA238" s="475"/>
      <c r="AXB238" s="475"/>
      <c r="AXC238" s="475"/>
      <c r="AXD238" s="475"/>
      <c r="AXE238" s="475"/>
      <c r="AXF238" s="475"/>
      <c r="AXG238" s="475"/>
      <c r="AXH238" s="475"/>
      <c r="AXI238" s="475"/>
      <c r="AXJ238" s="475"/>
      <c r="AXK238" s="475"/>
      <c r="AXL238" s="475"/>
      <c r="AXM238" s="475"/>
      <c r="AXN238" s="475"/>
      <c r="AXO238" s="475"/>
      <c r="AXP238" s="475"/>
      <c r="AXQ238" s="475"/>
      <c r="AXR238" s="475"/>
      <c r="AXS238" s="475"/>
      <c r="AXT238" s="475"/>
      <c r="AXU238" s="475"/>
      <c r="AXV238" s="475"/>
      <c r="AXW238" s="475"/>
      <c r="AXX238" s="475"/>
      <c r="AXY238" s="475"/>
      <c r="AXZ238" s="475"/>
      <c r="AYA238" s="475"/>
      <c r="AYB238" s="475"/>
      <c r="AYC238" s="475"/>
      <c r="AYD238" s="475"/>
      <c r="AYE238" s="475"/>
      <c r="AYF238" s="475"/>
      <c r="AYG238" s="475"/>
      <c r="AYH238" s="475"/>
      <c r="AYI238" s="475"/>
      <c r="AYJ238" s="475"/>
      <c r="AYK238" s="475"/>
      <c r="AYL238" s="475"/>
      <c r="AYM238" s="475"/>
      <c r="AYN238" s="475"/>
      <c r="AYO238" s="475"/>
      <c r="AYP238" s="475"/>
      <c r="AYQ238" s="475"/>
      <c r="AYR238" s="475"/>
      <c r="AYS238" s="475"/>
      <c r="AYT238" s="475"/>
      <c r="AYU238" s="475"/>
      <c r="AYV238" s="475"/>
      <c r="AYW238" s="475"/>
      <c r="AYX238" s="475"/>
      <c r="AYY238" s="475"/>
      <c r="AYZ238" s="475"/>
      <c r="AZA238" s="475"/>
      <c r="AZB238" s="475"/>
      <c r="AZC238" s="475"/>
      <c r="AZD238" s="475"/>
      <c r="AZE238" s="475"/>
      <c r="AZF238" s="475"/>
      <c r="AZG238" s="475"/>
      <c r="AZH238" s="475"/>
      <c r="AZI238" s="475"/>
      <c r="AZJ238" s="475"/>
      <c r="AZK238" s="475"/>
      <c r="AZL238" s="475"/>
      <c r="AZM238" s="475"/>
      <c r="AZN238" s="475"/>
      <c r="AZO238" s="475"/>
      <c r="AZP238" s="475"/>
      <c r="AZQ238" s="475"/>
      <c r="AZR238" s="475"/>
      <c r="AZS238" s="475"/>
      <c r="AZT238" s="475"/>
      <c r="AZU238" s="475"/>
      <c r="AZV238" s="475"/>
      <c r="AZW238" s="475"/>
      <c r="AZX238" s="475"/>
      <c r="AZY238" s="475"/>
      <c r="AZZ238" s="475"/>
      <c r="BAA238" s="475"/>
      <c r="BAB238" s="475"/>
      <c r="BAC238" s="475"/>
      <c r="BAD238" s="475"/>
      <c r="BAE238" s="475"/>
      <c r="BAF238" s="475"/>
      <c r="BAG238" s="475"/>
      <c r="BAH238" s="475"/>
      <c r="BAI238" s="475"/>
      <c r="BAJ238" s="475"/>
      <c r="BAK238" s="475"/>
      <c r="BAL238" s="475"/>
      <c r="BAM238" s="475"/>
      <c r="BAN238" s="475"/>
      <c r="BAO238" s="475"/>
      <c r="BAP238" s="475"/>
      <c r="BAQ238" s="475"/>
      <c r="BAR238" s="475"/>
      <c r="BAS238" s="475"/>
      <c r="BAT238" s="475"/>
      <c r="BAU238" s="475"/>
      <c r="BAV238" s="475"/>
      <c r="BAW238" s="475"/>
      <c r="BAX238" s="475"/>
      <c r="BAY238" s="475"/>
      <c r="BAZ238" s="475"/>
      <c r="BBA238" s="475"/>
      <c r="BBB238" s="475"/>
      <c r="BBC238" s="475"/>
      <c r="BBD238" s="475"/>
      <c r="BBE238" s="475"/>
      <c r="BBF238" s="475"/>
      <c r="BBG238" s="475"/>
      <c r="BBH238" s="475"/>
      <c r="BBI238" s="475"/>
      <c r="BBJ238" s="475"/>
      <c r="BBK238" s="475"/>
      <c r="BBL238" s="475"/>
      <c r="BBM238" s="475"/>
      <c r="BBN238" s="475"/>
      <c r="BBO238" s="475"/>
      <c r="BBP238" s="475"/>
      <c r="BBQ238" s="475"/>
      <c r="BBR238" s="475"/>
      <c r="BBS238" s="475"/>
      <c r="BBT238" s="475"/>
      <c r="BBU238" s="475"/>
      <c r="BBV238" s="475"/>
      <c r="BBW238" s="475"/>
      <c r="BBX238" s="475"/>
      <c r="BBY238" s="475"/>
      <c r="BBZ238" s="475"/>
      <c r="BCA238" s="475"/>
      <c r="BCB238" s="475"/>
      <c r="BCC238" s="475"/>
      <c r="BCD238" s="475"/>
      <c r="BCE238" s="475"/>
      <c r="BCF238" s="475"/>
      <c r="BCG238" s="475"/>
      <c r="BCH238" s="475"/>
      <c r="BCI238" s="475"/>
      <c r="BCJ238" s="475"/>
      <c r="BCK238" s="475"/>
      <c r="BCL238" s="475"/>
      <c r="BCM238" s="475"/>
      <c r="BCN238" s="475"/>
      <c r="BCO238" s="475"/>
      <c r="BCP238" s="475"/>
      <c r="BCQ238" s="475"/>
      <c r="BCR238" s="475"/>
      <c r="BCS238" s="475"/>
      <c r="BCT238" s="475"/>
      <c r="BCU238" s="475"/>
      <c r="BCV238" s="475"/>
      <c r="BCW238" s="475"/>
      <c r="BCX238" s="475"/>
      <c r="BCY238" s="475"/>
      <c r="BCZ238" s="475"/>
      <c r="BDA238" s="475"/>
      <c r="BDB238" s="475"/>
      <c r="BDC238" s="475"/>
      <c r="BDD238" s="475"/>
      <c r="BDE238" s="475"/>
      <c r="BDF238" s="475"/>
      <c r="BDG238" s="475"/>
      <c r="BDH238" s="475"/>
      <c r="BDI238" s="475"/>
      <c r="BDJ238" s="475"/>
      <c r="BDK238" s="475"/>
      <c r="BDL238" s="475"/>
      <c r="BDM238" s="475"/>
      <c r="BDN238" s="475"/>
      <c r="BDO238" s="475"/>
      <c r="BDP238" s="475"/>
      <c r="BDQ238" s="475"/>
      <c r="BDR238" s="475"/>
      <c r="BDS238" s="475"/>
      <c r="BDT238" s="475"/>
      <c r="BDU238" s="475"/>
      <c r="BDV238" s="475"/>
      <c r="BDW238" s="475"/>
      <c r="BDX238" s="475"/>
      <c r="BDY238" s="475"/>
      <c r="BDZ238" s="475"/>
      <c r="BEA238" s="475"/>
      <c r="BEB238" s="475"/>
      <c r="BEC238" s="475"/>
      <c r="BED238" s="475"/>
      <c r="BEE238" s="475"/>
      <c r="BEF238" s="475"/>
      <c r="BEG238" s="475"/>
      <c r="BEH238" s="475"/>
      <c r="BEI238" s="475"/>
      <c r="BEJ238" s="475"/>
      <c r="BEK238" s="475"/>
      <c r="BEL238" s="475"/>
      <c r="BEM238" s="475"/>
      <c r="BEN238" s="475"/>
      <c r="BEO238" s="475"/>
      <c r="BEP238" s="475"/>
      <c r="BEQ238" s="475"/>
      <c r="BER238" s="475"/>
      <c r="BES238" s="475"/>
      <c r="BET238" s="475"/>
      <c r="BEU238" s="475"/>
      <c r="BEV238" s="475"/>
      <c r="BEW238" s="475"/>
      <c r="BEX238" s="475"/>
      <c r="BEY238" s="475"/>
      <c r="BEZ238" s="475"/>
      <c r="BFA238" s="475"/>
      <c r="BFB238" s="475"/>
      <c r="BFC238" s="475"/>
      <c r="BFD238" s="475"/>
      <c r="BFE238" s="475"/>
      <c r="BFF238" s="475"/>
      <c r="BFG238" s="475"/>
      <c r="BFH238" s="475"/>
      <c r="BFI238" s="475"/>
      <c r="BFJ238" s="475"/>
      <c r="BFK238" s="475"/>
      <c r="BFL238" s="475"/>
      <c r="BFM238" s="475"/>
      <c r="BFN238" s="475"/>
      <c r="BFO238" s="475"/>
      <c r="BFP238" s="475"/>
      <c r="BFQ238" s="475"/>
      <c r="BFR238" s="475"/>
      <c r="BFS238" s="475"/>
      <c r="BFT238" s="475"/>
      <c r="BFU238" s="475"/>
      <c r="BFV238" s="475"/>
      <c r="BFW238" s="475"/>
      <c r="BFX238" s="475"/>
      <c r="BFY238" s="475"/>
      <c r="BFZ238" s="475"/>
      <c r="BGA238" s="475"/>
      <c r="BGB238" s="475"/>
      <c r="BGC238" s="475"/>
      <c r="BGD238" s="475"/>
      <c r="BGE238" s="475"/>
      <c r="BGF238" s="475"/>
      <c r="BGG238" s="475"/>
      <c r="BGH238" s="475"/>
      <c r="BGI238" s="475"/>
      <c r="BGJ238" s="475"/>
      <c r="BGK238" s="475"/>
      <c r="BGL238" s="475"/>
      <c r="BGM238" s="475"/>
      <c r="BGN238" s="475"/>
      <c r="BGO238" s="475"/>
      <c r="BGP238" s="475"/>
      <c r="BGQ238" s="475"/>
      <c r="BGR238" s="475"/>
      <c r="BGS238" s="475"/>
      <c r="BGT238" s="475"/>
      <c r="BGU238" s="475"/>
      <c r="BGV238" s="475"/>
      <c r="BGW238" s="475"/>
      <c r="BGX238" s="475"/>
      <c r="BGY238" s="475"/>
      <c r="BGZ238" s="475"/>
      <c r="BHA238" s="475"/>
      <c r="BHB238" s="475"/>
      <c r="BHC238" s="475"/>
      <c r="BHD238" s="475"/>
      <c r="BHE238" s="475"/>
      <c r="BHF238" s="475"/>
      <c r="BHG238" s="475"/>
      <c r="BHH238" s="475"/>
      <c r="BHI238" s="475"/>
      <c r="BHJ238" s="475"/>
      <c r="BHK238" s="475"/>
      <c r="BHL238" s="475"/>
      <c r="BHM238" s="475"/>
      <c r="BHN238" s="475"/>
      <c r="BHO238" s="475"/>
      <c r="BHP238" s="475"/>
      <c r="BHQ238" s="475"/>
      <c r="BHR238" s="475"/>
      <c r="BHS238" s="475"/>
      <c r="BHT238" s="475"/>
      <c r="BHU238" s="475"/>
      <c r="BHV238" s="475"/>
      <c r="BHW238" s="475"/>
      <c r="BHX238" s="475"/>
      <c r="BHY238" s="475"/>
      <c r="BHZ238" s="475"/>
      <c r="BIA238" s="475"/>
      <c r="BIB238" s="475"/>
      <c r="BIC238" s="475"/>
      <c r="BID238" s="475"/>
      <c r="BIE238" s="475"/>
      <c r="BIF238" s="475"/>
      <c r="BIG238" s="475"/>
      <c r="BIH238" s="475"/>
      <c r="BII238" s="475"/>
      <c r="BIJ238" s="475"/>
      <c r="BIK238" s="475"/>
      <c r="BIL238" s="475"/>
      <c r="BIM238" s="475"/>
      <c r="BIN238" s="475"/>
      <c r="BIO238" s="475"/>
      <c r="BIP238" s="475"/>
      <c r="BIQ238" s="475"/>
      <c r="BIR238" s="475"/>
      <c r="BIS238" s="475"/>
      <c r="BIT238" s="475"/>
      <c r="BIU238" s="475"/>
      <c r="BIV238" s="475"/>
      <c r="BIW238" s="475"/>
      <c r="BIX238" s="475"/>
      <c r="BIY238" s="475"/>
      <c r="BIZ238" s="475"/>
      <c r="BJA238" s="475"/>
      <c r="BJB238" s="475"/>
      <c r="BJC238" s="475"/>
      <c r="BJD238" s="475"/>
      <c r="BJE238" s="475"/>
      <c r="BJF238" s="475"/>
      <c r="BJG238" s="475"/>
      <c r="BJH238" s="475"/>
      <c r="BJI238" s="475"/>
      <c r="BJJ238" s="475"/>
      <c r="BJK238" s="475"/>
      <c r="BJL238" s="475"/>
      <c r="BJM238" s="475"/>
      <c r="BJN238" s="475"/>
      <c r="BJO238" s="475"/>
      <c r="BJP238" s="475"/>
      <c r="BJQ238" s="475"/>
      <c r="BJR238" s="475"/>
      <c r="BJS238" s="475"/>
      <c r="BJT238" s="475"/>
      <c r="BJU238" s="475"/>
      <c r="BJV238" s="475"/>
      <c r="BJW238" s="475"/>
      <c r="BJX238" s="475"/>
      <c r="BJY238" s="475"/>
      <c r="BJZ238" s="475"/>
      <c r="BKA238" s="475"/>
      <c r="BKB238" s="475"/>
      <c r="BKC238" s="475"/>
      <c r="BKD238" s="475"/>
      <c r="BKE238" s="475"/>
      <c r="BKF238" s="475"/>
      <c r="BKG238" s="475"/>
      <c r="BKH238" s="475"/>
      <c r="BKI238" s="475"/>
      <c r="BKJ238" s="475"/>
      <c r="BKK238" s="475"/>
      <c r="BKL238" s="475"/>
      <c r="BKM238" s="475"/>
      <c r="BKN238" s="475"/>
      <c r="BKO238" s="475"/>
      <c r="BKP238" s="475"/>
      <c r="BKQ238" s="475"/>
      <c r="BKR238" s="475"/>
      <c r="BKS238" s="475"/>
      <c r="BKT238" s="475"/>
      <c r="BKU238" s="475"/>
      <c r="BKV238" s="475"/>
      <c r="BKW238" s="475"/>
      <c r="BKX238" s="475"/>
      <c r="BKY238" s="475"/>
      <c r="BKZ238" s="475"/>
      <c r="BLA238" s="475"/>
      <c r="BLB238" s="475"/>
      <c r="BLC238" s="475"/>
      <c r="BLD238" s="475"/>
      <c r="BLE238" s="475"/>
      <c r="BLF238" s="475"/>
      <c r="BLG238" s="475"/>
      <c r="BLH238" s="475"/>
      <c r="BLI238" s="475"/>
      <c r="BLJ238" s="475"/>
      <c r="BLK238" s="475"/>
      <c r="BLL238" s="475"/>
      <c r="BLM238" s="475"/>
      <c r="BLN238" s="475"/>
      <c r="BLO238" s="475"/>
      <c r="BLP238" s="475"/>
      <c r="BLQ238" s="475"/>
      <c r="BLR238" s="475"/>
      <c r="BLS238" s="475"/>
      <c r="BLT238" s="475"/>
      <c r="BLU238" s="475"/>
      <c r="BLV238" s="475"/>
      <c r="BLW238" s="475"/>
      <c r="BLX238" s="475"/>
      <c r="BLY238" s="475"/>
      <c r="BLZ238" s="475"/>
      <c r="BMA238" s="475"/>
      <c r="BMB238" s="475"/>
      <c r="BMC238" s="475"/>
      <c r="BMD238" s="475"/>
      <c r="BME238" s="475"/>
      <c r="BMF238" s="475"/>
      <c r="BMG238" s="475"/>
      <c r="BMH238" s="475"/>
      <c r="BMI238" s="475"/>
      <c r="BMJ238" s="475"/>
      <c r="BMK238" s="475"/>
      <c r="BML238" s="475"/>
      <c r="BMM238" s="475"/>
      <c r="BMN238" s="475"/>
      <c r="BMO238" s="475"/>
      <c r="BMP238" s="475"/>
      <c r="BMQ238" s="475"/>
      <c r="BMR238" s="475"/>
      <c r="BMS238" s="475"/>
      <c r="BMT238" s="475"/>
      <c r="BMU238" s="475"/>
      <c r="BMV238" s="475"/>
      <c r="BMW238" s="475"/>
      <c r="BMX238" s="475"/>
      <c r="BMY238" s="475"/>
      <c r="BMZ238" s="475"/>
      <c r="BNA238" s="475"/>
      <c r="BNB238" s="475"/>
      <c r="BNC238" s="475"/>
      <c r="BND238" s="475"/>
      <c r="BNE238" s="475"/>
      <c r="BNF238" s="475"/>
      <c r="BNG238" s="475"/>
      <c r="BNH238" s="475"/>
      <c r="BNI238" s="475"/>
      <c r="BNJ238" s="475"/>
      <c r="BNK238" s="475"/>
      <c r="BNL238" s="475"/>
      <c r="BNM238" s="475"/>
      <c r="BNN238" s="475"/>
      <c r="BNO238" s="475"/>
      <c r="BNP238" s="475"/>
      <c r="BNQ238" s="475"/>
      <c r="BNR238" s="475"/>
      <c r="BNS238" s="475"/>
      <c r="BNT238" s="475"/>
      <c r="BNU238" s="475"/>
      <c r="BNV238" s="475"/>
      <c r="BNW238" s="475"/>
      <c r="BNX238" s="475"/>
      <c r="BNY238" s="475"/>
      <c r="BNZ238" s="475"/>
      <c r="BOA238" s="475"/>
      <c r="BOB238" s="475"/>
      <c r="BOC238" s="475"/>
      <c r="BOD238" s="475"/>
      <c r="BOE238" s="475"/>
      <c r="BOF238" s="475"/>
      <c r="BOG238" s="475"/>
      <c r="BOH238" s="475"/>
      <c r="BOI238" s="475"/>
      <c r="BOJ238" s="475"/>
      <c r="BOK238" s="475"/>
      <c r="BOL238" s="475"/>
      <c r="BOM238" s="475"/>
      <c r="BON238" s="475"/>
      <c r="BOO238" s="475"/>
      <c r="BOP238" s="475"/>
      <c r="BOQ238" s="475"/>
      <c r="BOR238" s="475"/>
      <c r="BOS238" s="475"/>
      <c r="BOT238" s="475"/>
      <c r="BOU238" s="475"/>
      <c r="BOV238" s="475"/>
      <c r="BOW238" s="475"/>
      <c r="BOX238" s="475"/>
      <c r="BOY238" s="475"/>
      <c r="BOZ238" s="475"/>
      <c r="BPA238" s="475"/>
      <c r="BPB238" s="475"/>
      <c r="BPC238" s="475"/>
      <c r="BPD238" s="475"/>
      <c r="BPE238" s="475"/>
      <c r="BPF238" s="475"/>
      <c r="BPG238" s="475"/>
      <c r="BPH238" s="475"/>
      <c r="BPI238" s="475"/>
      <c r="BPJ238" s="475"/>
      <c r="BPK238" s="475"/>
      <c r="BPL238" s="475"/>
      <c r="BPM238" s="475"/>
      <c r="BPN238" s="475"/>
      <c r="BPO238" s="475"/>
      <c r="BPP238" s="475"/>
      <c r="BPQ238" s="475"/>
      <c r="BPR238" s="475"/>
      <c r="BPS238" s="475"/>
      <c r="BPT238" s="475"/>
      <c r="BPU238" s="475"/>
      <c r="BPV238" s="475"/>
      <c r="BPW238" s="475"/>
      <c r="BPX238" s="475"/>
      <c r="BPY238" s="475"/>
      <c r="BPZ238" s="475"/>
      <c r="BQA238" s="475"/>
      <c r="BQB238" s="475"/>
      <c r="BQC238" s="475"/>
      <c r="BQD238" s="475"/>
      <c r="BQE238" s="475"/>
      <c r="BQF238" s="475"/>
      <c r="BQG238" s="475"/>
      <c r="BQH238" s="475"/>
      <c r="BQI238" s="475"/>
      <c r="BQJ238" s="475"/>
      <c r="BQK238" s="475"/>
      <c r="BQL238" s="475"/>
      <c r="BQM238" s="475"/>
      <c r="BQN238" s="475"/>
      <c r="BQO238" s="475"/>
      <c r="BQP238" s="475"/>
      <c r="BQQ238" s="475"/>
      <c r="BQR238" s="475"/>
      <c r="BQS238" s="475"/>
      <c r="BQT238" s="475"/>
      <c r="BQU238" s="475"/>
      <c r="BQV238" s="475"/>
      <c r="BQW238" s="475"/>
      <c r="BQX238" s="475"/>
      <c r="BQY238" s="475"/>
      <c r="BQZ238" s="475"/>
      <c r="BRA238" s="475"/>
      <c r="BRB238" s="475"/>
      <c r="BRC238" s="475"/>
      <c r="BRD238" s="475"/>
      <c r="BRE238" s="475"/>
      <c r="BRF238" s="475"/>
      <c r="BRG238" s="475"/>
      <c r="BRH238" s="475"/>
      <c r="BRI238" s="475"/>
      <c r="BRJ238" s="475"/>
      <c r="BRK238" s="475"/>
      <c r="BRL238" s="475"/>
      <c r="BRM238" s="475"/>
      <c r="BRN238" s="475"/>
      <c r="BRO238" s="475"/>
      <c r="BRP238" s="475"/>
      <c r="BRQ238" s="475"/>
      <c r="BRR238" s="475"/>
      <c r="BRS238" s="475"/>
      <c r="BRT238" s="475"/>
      <c r="BRU238" s="475"/>
      <c r="BRV238" s="475"/>
      <c r="BRW238" s="475"/>
      <c r="BRX238" s="475"/>
      <c r="BRY238" s="475"/>
      <c r="BRZ238" s="475"/>
      <c r="BSA238" s="475"/>
      <c r="BSB238" s="475"/>
      <c r="BSC238" s="475"/>
      <c r="BSD238" s="475"/>
      <c r="BSE238" s="475"/>
      <c r="BSF238" s="475"/>
      <c r="BSG238" s="475"/>
      <c r="BSH238" s="475"/>
      <c r="BSI238" s="475"/>
      <c r="BSJ238" s="475"/>
      <c r="BSK238" s="475"/>
      <c r="BSL238" s="475"/>
      <c r="BSM238" s="475"/>
      <c r="BSN238" s="475"/>
      <c r="BSO238" s="475"/>
      <c r="BSP238" s="475"/>
      <c r="BSQ238" s="475"/>
      <c r="BSR238" s="475"/>
      <c r="BSS238" s="475"/>
      <c r="BST238" s="475"/>
      <c r="BSU238" s="475"/>
      <c r="BSV238" s="475"/>
      <c r="BSW238" s="475"/>
      <c r="BSX238" s="475"/>
      <c r="BSY238" s="475"/>
      <c r="BSZ238" s="475"/>
      <c r="BTA238" s="475"/>
      <c r="BTB238" s="475"/>
      <c r="BTC238" s="475"/>
      <c r="BTD238" s="475"/>
      <c r="BTE238" s="475"/>
      <c r="BTF238" s="475"/>
      <c r="BTG238" s="475"/>
      <c r="BTH238" s="475"/>
      <c r="BTI238" s="475"/>
    </row>
    <row r="239" spans="1:1881" s="474" customFormat="1" ht="57.75" customHeight="1" x14ac:dyDescent="0.25">
      <c r="A239" s="726">
        <v>948</v>
      </c>
      <c r="B239" s="733"/>
      <c r="C239" s="734"/>
      <c r="D239" s="739" t="s">
        <v>896</v>
      </c>
      <c r="E239" s="730" t="s">
        <v>771</v>
      </c>
      <c r="F239" s="859"/>
      <c r="G239" s="536" t="str">
        <f t="shared" ref="G239:G245" si="3">IF(ISBLANK(F239),"Please do not leave blank","")</f>
        <v>Please do not leave blank</v>
      </c>
      <c r="H239" s="476"/>
      <c r="I239"/>
      <c r="J239"/>
      <c r="K239"/>
      <c r="L239"/>
      <c r="M239"/>
      <c r="N239"/>
      <c r="O239"/>
      <c r="P239" s="475"/>
      <c r="Q239" s="475"/>
      <c r="R239"/>
      <c r="S239" s="475"/>
      <c r="T239" s="475"/>
      <c r="U239" s="475"/>
      <c r="V239" s="475"/>
      <c r="W239" s="475"/>
      <c r="X239" s="682"/>
      <c r="Y239" s="475"/>
      <c r="Z239" s="475"/>
      <c r="AA239" s="475"/>
      <c r="AB239" s="475"/>
      <c r="AC239" s="475"/>
      <c r="AD239" s="475"/>
      <c r="AE239" s="475"/>
      <c r="AF239" s="475"/>
      <c r="AG239" s="475"/>
      <c r="AH239" s="475"/>
      <c r="AI239" s="475"/>
      <c r="AJ239" s="475"/>
      <c r="AK239" s="475"/>
      <c r="AL239" s="475"/>
      <c r="AM239" s="475"/>
      <c r="AN239" s="475"/>
      <c r="AO239" s="475"/>
      <c r="AP239" s="475"/>
      <c r="AQ239" s="475"/>
      <c r="AR239" s="475"/>
      <c r="AS239" s="475"/>
      <c r="AT239" s="475"/>
      <c r="AU239" s="475"/>
      <c r="AV239" s="475"/>
      <c r="AW239" s="475"/>
      <c r="AX239" s="475"/>
      <c r="AY239" s="475"/>
      <c r="AZ239" s="475"/>
      <c r="BA239" s="475"/>
      <c r="BB239" s="475"/>
      <c r="BC239" s="475"/>
      <c r="BD239" s="475"/>
      <c r="BE239" s="475"/>
      <c r="BF239" s="475"/>
      <c r="BG239" s="475"/>
      <c r="BH239" s="475"/>
      <c r="BI239" s="475"/>
      <c r="BJ239" s="475"/>
      <c r="BK239" s="475"/>
      <c r="BL239" s="475"/>
      <c r="BM239" s="475"/>
      <c r="BN239" s="475"/>
      <c r="BO239" s="475"/>
      <c r="BP239" s="475"/>
      <c r="BQ239" s="475"/>
      <c r="BR239" s="475"/>
      <c r="BS239" s="475"/>
      <c r="BT239" s="475"/>
      <c r="BU239" s="475"/>
      <c r="BV239" s="475"/>
      <c r="BW239" s="475"/>
      <c r="BX239" s="475"/>
      <c r="BY239" s="475"/>
      <c r="BZ239" s="475"/>
      <c r="CA239" s="475"/>
      <c r="CB239" s="475"/>
      <c r="CC239" s="475"/>
      <c r="CD239" s="475"/>
      <c r="CE239" s="475"/>
      <c r="CF239" s="475"/>
      <c r="CG239" s="475"/>
      <c r="CH239" s="475"/>
      <c r="CI239" s="475"/>
      <c r="CJ239" s="475"/>
      <c r="CK239" s="475"/>
      <c r="CL239" s="475"/>
      <c r="CM239" s="475"/>
      <c r="CN239" s="475"/>
      <c r="CO239" s="475"/>
      <c r="CP239" s="475"/>
      <c r="CQ239" s="475"/>
      <c r="CR239" s="475"/>
      <c r="CS239" s="475"/>
      <c r="CT239" s="475"/>
      <c r="CU239" s="475"/>
      <c r="CV239" s="475"/>
      <c r="CW239" s="475"/>
      <c r="CX239" s="475"/>
      <c r="CY239" s="475"/>
      <c r="CZ239" s="475"/>
      <c r="DA239" s="475"/>
      <c r="DB239" s="475"/>
      <c r="DC239" s="475"/>
      <c r="DD239" s="475"/>
      <c r="DE239" s="475"/>
      <c r="DF239" s="475"/>
      <c r="DG239" s="475"/>
      <c r="DH239" s="475"/>
      <c r="DI239" s="475"/>
      <c r="DJ239" s="475"/>
      <c r="DK239" s="475"/>
      <c r="DL239" s="475"/>
      <c r="DM239" s="475"/>
      <c r="DN239" s="475"/>
      <c r="DO239" s="475"/>
      <c r="DP239" s="475"/>
      <c r="DQ239" s="475"/>
      <c r="DR239" s="475"/>
      <c r="DS239" s="475"/>
      <c r="DT239" s="475"/>
      <c r="DU239" s="475"/>
      <c r="DV239" s="475"/>
      <c r="DW239" s="475"/>
      <c r="DX239" s="475"/>
      <c r="DY239" s="475"/>
      <c r="DZ239" s="475"/>
      <c r="EA239" s="475"/>
      <c r="EB239" s="475"/>
      <c r="EC239" s="475"/>
      <c r="ED239" s="475"/>
      <c r="EE239" s="475"/>
      <c r="EF239" s="475"/>
      <c r="EG239" s="475"/>
      <c r="EH239" s="475"/>
      <c r="EI239" s="475"/>
      <c r="EJ239" s="475"/>
      <c r="EK239" s="475"/>
      <c r="EL239" s="475"/>
      <c r="EM239" s="475"/>
      <c r="EN239" s="475"/>
      <c r="EO239" s="475"/>
      <c r="EP239" s="475"/>
      <c r="EQ239" s="475"/>
      <c r="ER239" s="475"/>
      <c r="ES239" s="475"/>
      <c r="ET239" s="475"/>
      <c r="EU239" s="475"/>
      <c r="EV239" s="475"/>
      <c r="EW239" s="475"/>
      <c r="EX239" s="475"/>
      <c r="EY239" s="475"/>
      <c r="EZ239" s="475"/>
      <c r="FA239" s="475"/>
      <c r="FB239" s="475"/>
      <c r="FC239" s="475"/>
      <c r="FD239" s="475"/>
      <c r="FE239" s="475"/>
      <c r="FF239" s="475"/>
      <c r="FG239" s="475"/>
      <c r="FH239" s="475"/>
      <c r="FI239" s="475"/>
      <c r="FJ239" s="475"/>
      <c r="FK239" s="475"/>
      <c r="FL239" s="475"/>
      <c r="FM239" s="475"/>
      <c r="FN239" s="475"/>
      <c r="FO239" s="475"/>
      <c r="FP239" s="475"/>
      <c r="FQ239" s="475"/>
      <c r="FR239" s="475"/>
      <c r="FS239" s="475"/>
      <c r="FT239" s="475"/>
      <c r="FU239" s="475"/>
      <c r="FV239" s="475"/>
      <c r="FW239" s="475"/>
      <c r="FX239" s="475"/>
      <c r="FY239" s="475"/>
      <c r="FZ239" s="475"/>
      <c r="GA239" s="475"/>
      <c r="GB239" s="475"/>
      <c r="GC239" s="475"/>
      <c r="GD239" s="475"/>
      <c r="GE239" s="475"/>
      <c r="GF239" s="475"/>
      <c r="GG239" s="475"/>
      <c r="GH239" s="475"/>
      <c r="GI239" s="475"/>
      <c r="GJ239" s="475"/>
      <c r="GK239" s="475"/>
      <c r="GL239" s="475"/>
      <c r="GM239" s="475"/>
      <c r="GN239" s="475"/>
      <c r="GO239" s="475"/>
      <c r="GP239" s="475"/>
      <c r="GQ239" s="475"/>
      <c r="GR239" s="475"/>
      <c r="GS239" s="475"/>
      <c r="GT239" s="475"/>
      <c r="GU239" s="475"/>
      <c r="GV239" s="475"/>
      <c r="GW239" s="475"/>
      <c r="GX239" s="475"/>
      <c r="GY239" s="475"/>
      <c r="GZ239" s="475"/>
      <c r="HA239" s="475"/>
      <c r="HB239" s="475"/>
      <c r="HC239" s="475"/>
      <c r="HD239" s="475"/>
      <c r="HE239" s="475"/>
      <c r="HF239" s="475"/>
      <c r="HG239" s="475"/>
      <c r="HH239" s="475"/>
      <c r="HI239" s="475"/>
      <c r="HJ239" s="475"/>
      <c r="HK239" s="475"/>
      <c r="HL239" s="475"/>
      <c r="HM239" s="475"/>
      <c r="HN239" s="475"/>
      <c r="HO239" s="475"/>
      <c r="HP239" s="475"/>
      <c r="HQ239" s="475"/>
      <c r="HR239" s="475"/>
      <c r="HS239" s="475"/>
      <c r="HT239" s="475"/>
      <c r="HU239" s="475"/>
      <c r="HV239" s="475"/>
      <c r="HW239" s="475"/>
      <c r="HX239" s="475"/>
      <c r="HY239" s="475"/>
      <c r="HZ239" s="475"/>
      <c r="IA239" s="475"/>
      <c r="IB239" s="475"/>
      <c r="IC239" s="475"/>
      <c r="ID239" s="475"/>
      <c r="IE239" s="475"/>
      <c r="IF239" s="475"/>
      <c r="IG239" s="475"/>
      <c r="IH239" s="475"/>
      <c r="II239" s="475"/>
      <c r="IJ239" s="475"/>
      <c r="IK239" s="475"/>
      <c r="IL239" s="475"/>
      <c r="IM239" s="475"/>
      <c r="IN239" s="475"/>
      <c r="IO239" s="475"/>
      <c r="IP239" s="475"/>
      <c r="IQ239" s="475"/>
      <c r="IR239" s="475"/>
      <c r="IS239" s="475"/>
      <c r="IT239" s="475"/>
      <c r="IU239" s="475"/>
      <c r="IV239" s="475"/>
      <c r="IW239" s="475"/>
      <c r="IX239" s="475"/>
      <c r="IY239" s="475"/>
      <c r="IZ239" s="475"/>
      <c r="JA239" s="475"/>
      <c r="JB239" s="475"/>
      <c r="JC239" s="475"/>
      <c r="JD239" s="475"/>
      <c r="JE239" s="475"/>
      <c r="JF239" s="475"/>
      <c r="JG239" s="475"/>
      <c r="JH239" s="475"/>
      <c r="JI239" s="475"/>
      <c r="JJ239" s="475"/>
      <c r="JK239" s="475"/>
      <c r="JL239" s="475"/>
      <c r="JM239" s="475"/>
      <c r="JN239" s="475"/>
      <c r="JO239" s="475"/>
      <c r="JP239" s="475"/>
      <c r="JQ239" s="475"/>
      <c r="JR239" s="475"/>
      <c r="JS239" s="475"/>
      <c r="JT239" s="475"/>
      <c r="JU239" s="475"/>
      <c r="JV239" s="475"/>
      <c r="JW239" s="475"/>
      <c r="JX239" s="475"/>
      <c r="JY239" s="475"/>
      <c r="JZ239" s="475"/>
      <c r="KA239" s="475"/>
      <c r="KB239" s="475"/>
      <c r="KC239" s="475"/>
      <c r="KD239" s="475"/>
      <c r="KE239" s="475"/>
      <c r="KF239" s="475"/>
      <c r="KG239" s="475"/>
      <c r="KH239" s="475"/>
      <c r="KI239" s="475"/>
      <c r="KJ239" s="475"/>
      <c r="KK239" s="475"/>
      <c r="KL239" s="475"/>
      <c r="KM239" s="475"/>
      <c r="KN239" s="475"/>
      <c r="KO239" s="475"/>
      <c r="KP239" s="475"/>
      <c r="KQ239" s="475"/>
      <c r="KR239" s="475"/>
      <c r="KS239" s="475"/>
      <c r="KT239" s="475"/>
      <c r="KU239" s="475"/>
      <c r="KV239" s="475"/>
      <c r="KW239" s="475"/>
      <c r="KX239" s="475"/>
      <c r="KY239" s="475"/>
      <c r="KZ239" s="475"/>
      <c r="LA239" s="475"/>
      <c r="LB239" s="475"/>
      <c r="LC239" s="475"/>
      <c r="LD239" s="475"/>
      <c r="LE239" s="475"/>
      <c r="LF239" s="475"/>
      <c r="LG239" s="475"/>
      <c r="LH239" s="475"/>
      <c r="LI239" s="475"/>
      <c r="LJ239" s="475"/>
      <c r="LK239" s="475"/>
      <c r="LL239" s="475"/>
      <c r="LM239" s="475"/>
      <c r="LN239" s="475"/>
      <c r="LO239" s="475"/>
      <c r="LP239" s="475"/>
      <c r="LQ239" s="475"/>
      <c r="LR239" s="475"/>
      <c r="LS239" s="475"/>
      <c r="LT239" s="475"/>
      <c r="LU239" s="475"/>
      <c r="LV239" s="475"/>
      <c r="LW239" s="475"/>
      <c r="LX239" s="475"/>
      <c r="LY239" s="475"/>
      <c r="LZ239" s="475"/>
      <c r="MA239" s="475"/>
      <c r="MB239" s="475"/>
      <c r="MC239" s="475"/>
      <c r="MD239" s="475"/>
      <c r="ME239" s="475"/>
      <c r="MF239" s="475"/>
      <c r="MG239" s="475"/>
      <c r="MH239" s="475"/>
      <c r="MI239" s="475"/>
      <c r="MJ239" s="475"/>
      <c r="MK239" s="475"/>
      <c r="ML239" s="475"/>
      <c r="MM239" s="475"/>
      <c r="MN239" s="475"/>
      <c r="MO239" s="475"/>
      <c r="MP239" s="475"/>
      <c r="MQ239" s="475"/>
      <c r="MR239" s="475"/>
      <c r="MS239" s="475"/>
      <c r="MT239" s="475"/>
      <c r="MU239" s="475"/>
      <c r="MV239" s="475"/>
      <c r="MW239" s="475"/>
      <c r="MX239" s="475"/>
      <c r="MY239" s="475"/>
      <c r="MZ239" s="475"/>
      <c r="NA239" s="475"/>
      <c r="NB239" s="475"/>
      <c r="NC239" s="475"/>
      <c r="ND239" s="475"/>
      <c r="NE239" s="475"/>
      <c r="NF239" s="475"/>
      <c r="NG239" s="475"/>
      <c r="NH239" s="475"/>
      <c r="NI239" s="475"/>
      <c r="NJ239" s="475"/>
      <c r="NK239" s="475"/>
      <c r="NL239" s="475"/>
      <c r="NM239" s="475"/>
      <c r="NN239" s="475"/>
      <c r="NO239" s="475"/>
      <c r="NP239" s="475"/>
      <c r="NQ239" s="475"/>
      <c r="NR239" s="475"/>
      <c r="NS239" s="475"/>
      <c r="NT239" s="475"/>
      <c r="NU239" s="475"/>
      <c r="NV239" s="475"/>
      <c r="NW239" s="475"/>
      <c r="NX239" s="475"/>
      <c r="NY239" s="475"/>
      <c r="NZ239" s="475"/>
      <c r="OA239" s="475"/>
      <c r="OB239" s="475"/>
      <c r="OC239" s="475"/>
      <c r="OD239" s="475"/>
      <c r="OE239" s="475"/>
      <c r="OF239" s="475"/>
      <c r="OG239" s="475"/>
      <c r="OH239" s="475"/>
      <c r="OI239" s="475"/>
      <c r="OJ239" s="475"/>
      <c r="OK239" s="475"/>
      <c r="OL239" s="475"/>
      <c r="OM239" s="475"/>
      <c r="ON239" s="475"/>
      <c r="OO239" s="475"/>
      <c r="OP239" s="475"/>
      <c r="OQ239" s="475"/>
      <c r="OR239" s="475"/>
      <c r="OS239" s="475"/>
      <c r="OT239" s="475"/>
      <c r="OU239" s="475"/>
      <c r="OV239" s="475"/>
      <c r="OW239" s="475"/>
      <c r="OX239" s="475"/>
      <c r="OY239" s="475"/>
      <c r="OZ239" s="475"/>
      <c r="PA239" s="475"/>
      <c r="PB239" s="475"/>
      <c r="PC239" s="475"/>
      <c r="PD239" s="475"/>
      <c r="PE239" s="475"/>
      <c r="PF239" s="475"/>
      <c r="PG239" s="475"/>
      <c r="PH239" s="475"/>
      <c r="PI239" s="475"/>
      <c r="PJ239" s="475"/>
      <c r="PK239" s="475"/>
      <c r="PL239" s="475"/>
      <c r="PM239" s="475"/>
      <c r="PN239" s="475"/>
      <c r="PO239" s="475"/>
      <c r="PP239" s="475"/>
      <c r="PQ239" s="475"/>
      <c r="PR239" s="475"/>
      <c r="PS239" s="475"/>
      <c r="PT239" s="475"/>
      <c r="PU239" s="475"/>
      <c r="PV239" s="475"/>
      <c r="PW239" s="475"/>
      <c r="PX239" s="475"/>
      <c r="PY239" s="475"/>
      <c r="PZ239" s="475"/>
      <c r="QA239" s="475"/>
      <c r="QB239" s="475"/>
      <c r="QC239" s="475"/>
      <c r="QD239" s="475"/>
      <c r="QE239" s="475"/>
      <c r="QF239" s="475"/>
      <c r="QG239" s="475"/>
      <c r="QH239" s="475"/>
      <c r="QI239" s="475"/>
      <c r="QJ239" s="475"/>
      <c r="QK239" s="475"/>
      <c r="QL239" s="475"/>
      <c r="QM239" s="475"/>
      <c r="QN239" s="475"/>
      <c r="QO239" s="475"/>
      <c r="QP239" s="475"/>
      <c r="QQ239" s="475"/>
      <c r="QR239" s="475"/>
      <c r="QS239" s="475"/>
      <c r="QT239" s="475"/>
      <c r="QU239" s="475"/>
      <c r="QV239" s="475"/>
      <c r="QW239" s="475"/>
      <c r="QX239" s="475"/>
      <c r="QY239" s="475"/>
      <c r="QZ239" s="475"/>
      <c r="RA239" s="475"/>
      <c r="RB239" s="475"/>
      <c r="RC239" s="475"/>
      <c r="RD239" s="475"/>
      <c r="RE239" s="475"/>
      <c r="RF239" s="475"/>
      <c r="RG239" s="475"/>
      <c r="RH239" s="475"/>
      <c r="RI239" s="475"/>
      <c r="RJ239" s="475"/>
      <c r="RK239" s="475"/>
      <c r="RL239" s="475"/>
      <c r="RM239" s="475"/>
      <c r="RN239" s="475"/>
      <c r="RO239" s="475"/>
      <c r="RP239" s="475"/>
      <c r="RQ239" s="475"/>
      <c r="RR239" s="475"/>
      <c r="RS239" s="475"/>
      <c r="RT239" s="475"/>
      <c r="RU239" s="475"/>
      <c r="RV239" s="475"/>
      <c r="RW239" s="475"/>
      <c r="RX239" s="475"/>
      <c r="RY239" s="475"/>
      <c r="RZ239" s="475"/>
      <c r="SA239" s="475"/>
      <c r="SB239" s="475"/>
      <c r="SC239" s="475"/>
      <c r="SD239" s="475"/>
      <c r="SE239" s="475"/>
      <c r="SF239" s="475"/>
      <c r="SG239" s="475"/>
      <c r="SH239" s="475"/>
      <c r="SI239" s="475"/>
      <c r="SJ239" s="475"/>
      <c r="SK239" s="475"/>
      <c r="SL239" s="475"/>
      <c r="SM239" s="475"/>
      <c r="SN239" s="475"/>
      <c r="SO239" s="475"/>
      <c r="SP239" s="475"/>
      <c r="SQ239" s="475"/>
      <c r="SR239" s="475"/>
      <c r="SS239" s="475"/>
      <c r="ST239" s="475"/>
      <c r="SU239" s="475"/>
      <c r="SV239" s="475"/>
      <c r="SW239" s="475"/>
      <c r="SX239" s="475"/>
      <c r="SY239" s="475"/>
      <c r="SZ239" s="475"/>
      <c r="TA239" s="475"/>
      <c r="TB239" s="475"/>
      <c r="TC239" s="475"/>
      <c r="TD239" s="475"/>
      <c r="TE239" s="475"/>
      <c r="TF239" s="475"/>
      <c r="TG239" s="475"/>
      <c r="TH239" s="475"/>
      <c r="TI239" s="475"/>
      <c r="TJ239" s="475"/>
      <c r="TK239" s="475"/>
      <c r="TL239" s="475"/>
      <c r="TM239" s="475"/>
      <c r="TN239" s="475"/>
      <c r="TO239" s="475"/>
      <c r="TP239" s="475"/>
      <c r="TQ239" s="475"/>
      <c r="TR239" s="475"/>
      <c r="TS239" s="475"/>
      <c r="TT239" s="475"/>
      <c r="TU239" s="475"/>
      <c r="TV239" s="475"/>
      <c r="TW239" s="475"/>
      <c r="TX239" s="475"/>
      <c r="TY239" s="475"/>
      <c r="TZ239" s="475"/>
      <c r="UA239" s="475"/>
      <c r="UB239" s="475"/>
      <c r="UC239" s="475"/>
      <c r="UD239" s="475"/>
      <c r="UE239" s="475"/>
      <c r="UF239" s="475"/>
      <c r="UG239" s="475"/>
      <c r="UH239" s="475"/>
      <c r="UI239" s="475"/>
      <c r="UJ239" s="475"/>
      <c r="UK239" s="475"/>
      <c r="UL239" s="475"/>
      <c r="UM239" s="475"/>
      <c r="UN239" s="475"/>
      <c r="UO239" s="475"/>
      <c r="UP239" s="475"/>
      <c r="UQ239" s="475"/>
      <c r="UR239" s="475"/>
      <c r="US239" s="475"/>
      <c r="UT239" s="475"/>
      <c r="UU239" s="475"/>
      <c r="UV239" s="475"/>
      <c r="UW239" s="475"/>
      <c r="UX239" s="475"/>
      <c r="UY239" s="475"/>
      <c r="UZ239" s="475"/>
      <c r="VA239" s="475"/>
      <c r="VB239" s="475"/>
      <c r="VC239" s="475"/>
      <c r="VD239" s="475"/>
      <c r="VE239" s="475"/>
      <c r="VF239" s="475"/>
      <c r="VG239" s="475"/>
      <c r="VH239" s="475"/>
      <c r="VI239" s="475"/>
      <c r="VJ239" s="475"/>
      <c r="VK239" s="475"/>
      <c r="VL239" s="475"/>
      <c r="VM239" s="475"/>
      <c r="VN239" s="475"/>
      <c r="VO239" s="475"/>
      <c r="VP239" s="475"/>
      <c r="VQ239" s="475"/>
      <c r="VR239" s="475"/>
      <c r="VS239" s="475"/>
      <c r="VT239" s="475"/>
      <c r="VU239" s="475"/>
      <c r="VV239" s="475"/>
      <c r="VW239" s="475"/>
      <c r="VX239" s="475"/>
      <c r="VY239" s="475"/>
      <c r="VZ239" s="475"/>
      <c r="WA239" s="475"/>
      <c r="WB239" s="475"/>
      <c r="WC239" s="475"/>
      <c r="WD239" s="475"/>
      <c r="WE239" s="475"/>
      <c r="WF239" s="475"/>
      <c r="WG239" s="475"/>
      <c r="WH239" s="475"/>
      <c r="WI239" s="475"/>
      <c r="WJ239" s="475"/>
      <c r="WK239" s="475"/>
      <c r="WL239" s="475"/>
      <c r="WM239" s="475"/>
      <c r="WN239" s="475"/>
      <c r="WO239" s="475"/>
      <c r="WP239" s="475"/>
      <c r="WQ239" s="475"/>
      <c r="WR239" s="475"/>
      <c r="WS239" s="475"/>
      <c r="WT239" s="475"/>
      <c r="WU239" s="475"/>
      <c r="WV239" s="475"/>
      <c r="WW239" s="475"/>
      <c r="WX239" s="475"/>
      <c r="WY239" s="475"/>
      <c r="WZ239" s="475"/>
      <c r="XA239" s="475"/>
      <c r="XB239" s="475"/>
      <c r="XC239" s="475"/>
      <c r="XD239" s="475"/>
      <c r="XE239" s="475"/>
      <c r="XF239" s="475"/>
      <c r="XG239" s="475"/>
      <c r="XH239" s="475"/>
      <c r="XI239" s="475"/>
      <c r="XJ239" s="475"/>
      <c r="XK239" s="475"/>
      <c r="XL239" s="475"/>
      <c r="XM239" s="475"/>
      <c r="XN239" s="475"/>
      <c r="XO239" s="475"/>
      <c r="XP239" s="475"/>
      <c r="XQ239" s="475"/>
      <c r="XR239" s="475"/>
      <c r="XS239" s="475"/>
      <c r="XT239" s="475"/>
      <c r="XU239" s="475"/>
      <c r="XV239" s="475"/>
      <c r="XW239" s="475"/>
      <c r="XX239" s="475"/>
      <c r="XY239" s="475"/>
      <c r="XZ239" s="475"/>
      <c r="YA239" s="475"/>
      <c r="YB239" s="475"/>
      <c r="YC239" s="475"/>
      <c r="YD239" s="475"/>
      <c r="YE239" s="475"/>
      <c r="YF239" s="475"/>
      <c r="YG239" s="475"/>
      <c r="YH239" s="475"/>
      <c r="YI239" s="475"/>
      <c r="YJ239" s="475"/>
      <c r="YK239" s="475"/>
      <c r="YL239" s="475"/>
      <c r="YM239" s="475"/>
      <c r="YN239" s="475"/>
      <c r="YO239" s="475"/>
      <c r="YP239" s="475"/>
      <c r="YQ239" s="475"/>
      <c r="YR239" s="475"/>
      <c r="YS239" s="475"/>
      <c r="YT239" s="475"/>
      <c r="YU239" s="475"/>
      <c r="YV239" s="475"/>
      <c r="YW239" s="475"/>
      <c r="YX239" s="475"/>
      <c r="YY239" s="475"/>
      <c r="YZ239" s="475"/>
      <c r="ZA239" s="475"/>
      <c r="ZB239" s="475"/>
      <c r="ZC239" s="475"/>
      <c r="ZD239" s="475"/>
      <c r="ZE239" s="475"/>
      <c r="ZF239" s="475"/>
      <c r="ZG239" s="475"/>
      <c r="ZH239" s="475"/>
      <c r="ZI239" s="475"/>
      <c r="ZJ239" s="475"/>
      <c r="ZK239" s="475"/>
      <c r="ZL239" s="475"/>
      <c r="ZM239" s="475"/>
      <c r="ZN239" s="475"/>
      <c r="ZO239" s="475"/>
      <c r="ZP239" s="475"/>
      <c r="ZQ239" s="475"/>
      <c r="ZR239" s="475"/>
      <c r="ZS239" s="475"/>
      <c r="ZT239" s="475"/>
      <c r="ZU239" s="475"/>
      <c r="ZV239" s="475"/>
      <c r="ZW239" s="475"/>
      <c r="ZX239" s="475"/>
      <c r="ZY239" s="475"/>
      <c r="ZZ239" s="475"/>
      <c r="AAA239" s="475"/>
      <c r="AAB239" s="475"/>
      <c r="AAC239" s="475"/>
      <c r="AAD239" s="475"/>
      <c r="AAE239" s="475"/>
      <c r="AAF239" s="475"/>
      <c r="AAG239" s="475"/>
      <c r="AAH239" s="475"/>
      <c r="AAI239" s="475"/>
      <c r="AAJ239" s="475"/>
      <c r="AAK239" s="475"/>
      <c r="AAL239" s="475"/>
      <c r="AAM239" s="475"/>
      <c r="AAN239" s="475"/>
      <c r="AAO239" s="475"/>
      <c r="AAP239" s="475"/>
      <c r="AAQ239" s="475"/>
      <c r="AAR239" s="475"/>
      <c r="AAS239" s="475"/>
      <c r="AAT239" s="475"/>
      <c r="AAU239" s="475"/>
      <c r="AAV239" s="475"/>
      <c r="AAW239" s="475"/>
      <c r="AAX239" s="475"/>
      <c r="AAY239" s="475"/>
      <c r="AAZ239" s="475"/>
      <c r="ABA239" s="475"/>
      <c r="ABB239" s="475"/>
      <c r="ABC239" s="475"/>
      <c r="ABD239" s="475"/>
      <c r="ABE239" s="475"/>
      <c r="ABF239" s="475"/>
      <c r="ABG239" s="475"/>
      <c r="ABH239" s="475"/>
      <c r="ABI239" s="475"/>
      <c r="ABJ239" s="475"/>
      <c r="ABK239" s="475"/>
      <c r="ABL239" s="475"/>
      <c r="ABM239" s="475"/>
      <c r="ABN239" s="475"/>
      <c r="ABO239" s="475"/>
      <c r="ABP239" s="475"/>
      <c r="ABQ239" s="475"/>
      <c r="ABR239" s="475"/>
      <c r="ABS239" s="475"/>
      <c r="ABT239" s="475"/>
      <c r="ABU239" s="475"/>
      <c r="ABV239" s="475"/>
      <c r="ABW239" s="475"/>
      <c r="ABX239" s="475"/>
      <c r="ABY239" s="475"/>
      <c r="ABZ239" s="475"/>
      <c r="ACA239" s="475"/>
      <c r="ACB239" s="475"/>
      <c r="ACC239" s="475"/>
      <c r="ACD239" s="475"/>
      <c r="ACE239" s="475"/>
      <c r="ACF239" s="475"/>
      <c r="ACG239" s="475"/>
      <c r="ACH239" s="475"/>
      <c r="ACI239" s="475"/>
      <c r="ACJ239" s="475"/>
      <c r="ACK239" s="475"/>
      <c r="ACL239" s="475"/>
      <c r="ACM239" s="475"/>
      <c r="ACN239" s="475"/>
      <c r="ACO239" s="475"/>
      <c r="ACP239" s="475"/>
      <c r="ACQ239" s="475"/>
      <c r="ACR239" s="475"/>
      <c r="ACS239" s="475"/>
      <c r="ACT239" s="475"/>
      <c r="ACU239" s="475"/>
      <c r="ACV239" s="475"/>
      <c r="ACW239" s="475"/>
      <c r="ACX239" s="475"/>
      <c r="ACY239" s="475"/>
      <c r="ACZ239" s="475"/>
      <c r="ADA239" s="475"/>
      <c r="ADB239" s="475"/>
      <c r="ADC239" s="475"/>
      <c r="ADD239" s="475"/>
      <c r="ADE239" s="475"/>
      <c r="ADF239" s="475"/>
      <c r="ADG239" s="475"/>
      <c r="ADH239" s="475"/>
      <c r="ADI239" s="475"/>
      <c r="ADJ239" s="475"/>
      <c r="ADK239" s="475"/>
      <c r="ADL239" s="475"/>
      <c r="ADM239" s="475"/>
      <c r="ADN239" s="475"/>
      <c r="ADO239" s="475"/>
      <c r="ADP239" s="475"/>
      <c r="ADQ239" s="475"/>
      <c r="ADR239" s="475"/>
      <c r="ADS239" s="475"/>
      <c r="ADT239" s="475"/>
      <c r="ADU239" s="475"/>
      <c r="ADV239" s="475"/>
      <c r="ADW239" s="475"/>
      <c r="ADX239" s="475"/>
      <c r="ADY239" s="475"/>
      <c r="ADZ239" s="475"/>
      <c r="AEA239" s="475"/>
      <c r="AEB239" s="475"/>
      <c r="AEC239" s="475"/>
      <c r="AED239" s="475"/>
      <c r="AEE239" s="475"/>
      <c r="AEF239" s="475"/>
      <c r="AEG239" s="475"/>
      <c r="AEH239" s="475"/>
      <c r="AEI239" s="475"/>
      <c r="AEJ239" s="475"/>
      <c r="AEK239" s="475"/>
      <c r="AEL239" s="475"/>
      <c r="AEM239" s="475"/>
      <c r="AEN239" s="475"/>
      <c r="AEO239" s="475"/>
      <c r="AEP239" s="475"/>
      <c r="AEQ239" s="475"/>
      <c r="AER239" s="475"/>
      <c r="AES239" s="475"/>
      <c r="AET239" s="475"/>
      <c r="AEU239" s="475"/>
      <c r="AEV239" s="475"/>
      <c r="AEW239" s="475"/>
      <c r="AEX239" s="475"/>
      <c r="AEY239" s="475"/>
      <c r="AEZ239" s="475"/>
      <c r="AFA239" s="475"/>
      <c r="AFB239" s="475"/>
      <c r="AFC239" s="475"/>
      <c r="AFD239" s="475"/>
      <c r="AFE239" s="475"/>
      <c r="AFF239" s="475"/>
      <c r="AFG239" s="475"/>
      <c r="AFH239" s="475"/>
      <c r="AFI239" s="475"/>
      <c r="AFJ239" s="475"/>
      <c r="AFK239" s="475"/>
      <c r="AFL239" s="475"/>
      <c r="AFM239" s="475"/>
      <c r="AFN239" s="475"/>
      <c r="AFO239" s="475"/>
      <c r="AFP239" s="475"/>
      <c r="AFQ239" s="475"/>
      <c r="AFR239" s="475"/>
      <c r="AFS239" s="475"/>
      <c r="AFT239" s="475"/>
      <c r="AFU239" s="475"/>
      <c r="AFV239" s="475"/>
      <c r="AFW239" s="475"/>
      <c r="AFX239" s="475"/>
      <c r="AFY239" s="475"/>
      <c r="AFZ239" s="475"/>
      <c r="AGA239" s="475"/>
      <c r="AGB239" s="475"/>
      <c r="AGC239" s="475"/>
      <c r="AGD239" s="475"/>
      <c r="AGE239" s="475"/>
      <c r="AGF239" s="475"/>
      <c r="AGG239" s="475"/>
      <c r="AGH239" s="475"/>
      <c r="AGI239" s="475"/>
      <c r="AGJ239" s="475"/>
      <c r="AGK239" s="475"/>
      <c r="AGL239" s="475"/>
      <c r="AGM239" s="475"/>
      <c r="AGN239" s="475"/>
      <c r="AGO239" s="475"/>
      <c r="AGP239" s="475"/>
      <c r="AGQ239" s="475"/>
      <c r="AGR239" s="475"/>
      <c r="AGS239" s="475"/>
      <c r="AGT239" s="475"/>
      <c r="AGU239" s="475"/>
      <c r="AGV239" s="475"/>
      <c r="AGW239" s="475"/>
      <c r="AGX239" s="475"/>
      <c r="AGY239" s="475"/>
      <c r="AGZ239" s="475"/>
      <c r="AHA239" s="475"/>
      <c r="AHB239" s="475"/>
      <c r="AHC239" s="475"/>
      <c r="AHD239" s="475"/>
      <c r="AHE239" s="475"/>
      <c r="AHF239" s="475"/>
      <c r="AHG239" s="475"/>
      <c r="AHH239" s="475"/>
      <c r="AHI239" s="475"/>
      <c r="AHJ239" s="475"/>
      <c r="AHK239" s="475"/>
      <c r="AHL239" s="475"/>
      <c r="AHM239" s="475"/>
      <c r="AHN239" s="475"/>
      <c r="AHO239" s="475"/>
      <c r="AHP239" s="475"/>
      <c r="AHQ239" s="475"/>
      <c r="AHR239" s="475"/>
      <c r="AHS239" s="475"/>
      <c r="AHT239" s="475"/>
      <c r="AHU239" s="475"/>
      <c r="AHV239" s="475"/>
      <c r="AHW239" s="475"/>
      <c r="AHX239" s="475"/>
      <c r="AHY239" s="475"/>
      <c r="AHZ239" s="475"/>
      <c r="AIA239" s="475"/>
      <c r="AIB239" s="475"/>
      <c r="AIC239" s="475"/>
      <c r="AID239" s="475"/>
      <c r="AIE239" s="475"/>
      <c r="AIF239" s="475"/>
      <c r="AIG239" s="475"/>
      <c r="AIH239" s="475"/>
      <c r="AII239" s="475"/>
      <c r="AIJ239" s="475"/>
      <c r="AIK239" s="475"/>
      <c r="AIL239" s="475"/>
      <c r="AIM239" s="475"/>
      <c r="AIN239" s="475"/>
      <c r="AIO239" s="475"/>
      <c r="AIP239" s="475"/>
      <c r="AIQ239" s="475"/>
      <c r="AIR239" s="475"/>
      <c r="AIS239" s="475"/>
      <c r="AIT239" s="475"/>
      <c r="AIU239" s="475"/>
      <c r="AIV239" s="475"/>
      <c r="AIW239" s="475"/>
      <c r="AIX239" s="475"/>
      <c r="AIY239" s="475"/>
      <c r="AIZ239" s="475"/>
      <c r="AJA239" s="475"/>
      <c r="AJB239" s="475"/>
      <c r="AJC239" s="475"/>
      <c r="AJD239" s="475"/>
      <c r="AJE239" s="475"/>
      <c r="AJF239" s="475"/>
      <c r="AJG239" s="475"/>
      <c r="AJH239" s="475"/>
      <c r="AJI239" s="475"/>
      <c r="AJJ239" s="475"/>
      <c r="AJK239" s="475"/>
      <c r="AJL239" s="475"/>
      <c r="AJM239" s="475"/>
      <c r="AJN239" s="475"/>
      <c r="AJO239" s="475"/>
      <c r="AJP239" s="475"/>
      <c r="AJQ239" s="475"/>
      <c r="AJR239" s="475"/>
      <c r="AJS239" s="475"/>
      <c r="AJT239" s="475"/>
      <c r="AJU239" s="475"/>
      <c r="AJV239" s="475"/>
      <c r="AJW239" s="475"/>
      <c r="AJX239" s="475"/>
      <c r="AJY239" s="475"/>
      <c r="AJZ239" s="475"/>
      <c r="AKA239" s="475"/>
      <c r="AKB239" s="475"/>
      <c r="AKC239" s="475"/>
      <c r="AKD239" s="475"/>
      <c r="AKE239" s="475"/>
      <c r="AKF239" s="475"/>
      <c r="AKG239" s="475"/>
      <c r="AKH239" s="475"/>
      <c r="AKI239" s="475"/>
      <c r="AKJ239" s="475"/>
      <c r="AKK239" s="475"/>
      <c r="AKL239" s="475"/>
      <c r="AKM239" s="475"/>
      <c r="AKN239" s="475"/>
      <c r="AKO239" s="475"/>
      <c r="AKP239" s="475"/>
      <c r="AKQ239" s="475"/>
      <c r="AKR239" s="475"/>
      <c r="AKS239" s="475"/>
      <c r="AKT239" s="475"/>
      <c r="AKU239" s="475"/>
      <c r="AKV239" s="475"/>
      <c r="AKW239" s="475"/>
      <c r="AKX239" s="475"/>
      <c r="AKY239" s="475"/>
      <c r="AKZ239" s="475"/>
      <c r="ALA239" s="475"/>
      <c r="ALB239" s="475"/>
      <c r="ALC239" s="475"/>
      <c r="ALD239" s="475"/>
      <c r="ALE239" s="475"/>
      <c r="ALF239" s="475"/>
      <c r="ALG239" s="475"/>
      <c r="ALH239" s="475"/>
      <c r="ALI239" s="475"/>
      <c r="ALJ239" s="475"/>
      <c r="ALK239" s="475"/>
      <c r="ALL239" s="475"/>
      <c r="ALM239" s="475"/>
      <c r="ALN239" s="475"/>
      <c r="ALO239" s="475"/>
      <c r="ALP239" s="475"/>
      <c r="ALQ239" s="475"/>
      <c r="ALR239" s="475"/>
      <c r="ALS239" s="475"/>
      <c r="ALT239" s="475"/>
      <c r="ALU239" s="475"/>
      <c r="ALV239" s="475"/>
      <c r="ALW239" s="475"/>
      <c r="ALX239" s="475"/>
      <c r="ALY239" s="475"/>
      <c r="ALZ239" s="475"/>
      <c r="AMA239" s="475"/>
      <c r="AMB239" s="475"/>
      <c r="AMC239" s="475"/>
      <c r="AMD239" s="475"/>
      <c r="AME239" s="475"/>
      <c r="AMF239" s="475"/>
      <c r="AMG239" s="475"/>
      <c r="AMH239" s="475"/>
      <c r="AMI239" s="475"/>
      <c r="AMJ239" s="475"/>
      <c r="AMK239" s="475"/>
      <c r="AML239" s="475"/>
      <c r="AMM239" s="475"/>
      <c r="AMN239" s="475"/>
      <c r="AMO239" s="475"/>
      <c r="AMP239" s="475"/>
      <c r="AMQ239" s="475"/>
      <c r="AMR239" s="475"/>
      <c r="AMS239" s="475"/>
      <c r="AMT239" s="475"/>
      <c r="AMU239" s="475"/>
      <c r="AMV239" s="475"/>
      <c r="AMW239" s="475"/>
      <c r="AMX239" s="475"/>
      <c r="AMY239" s="475"/>
      <c r="AMZ239" s="475"/>
      <c r="ANA239" s="475"/>
      <c r="ANB239" s="475"/>
      <c r="ANC239" s="475"/>
      <c r="AND239" s="475"/>
      <c r="ANE239" s="475"/>
      <c r="ANF239" s="475"/>
      <c r="ANG239" s="475"/>
      <c r="ANH239" s="475"/>
      <c r="ANI239" s="475"/>
      <c r="ANJ239" s="475"/>
      <c r="ANK239" s="475"/>
      <c r="ANL239" s="475"/>
      <c r="ANM239" s="475"/>
      <c r="ANN239" s="475"/>
      <c r="ANO239" s="475"/>
      <c r="ANP239" s="475"/>
      <c r="ANQ239" s="475"/>
      <c r="ANR239" s="475"/>
      <c r="ANS239" s="475"/>
      <c r="ANT239" s="475"/>
      <c r="ANU239" s="475"/>
      <c r="ANV239" s="475"/>
      <c r="ANW239" s="475"/>
      <c r="ANX239" s="475"/>
      <c r="ANY239" s="475"/>
      <c r="ANZ239" s="475"/>
      <c r="AOA239" s="475"/>
      <c r="AOB239" s="475"/>
      <c r="AOC239" s="475"/>
      <c r="AOD239" s="475"/>
      <c r="AOE239" s="475"/>
      <c r="AOF239" s="475"/>
      <c r="AOG239" s="475"/>
      <c r="AOH239" s="475"/>
      <c r="AOI239" s="475"/>
      <c r="AOJ239" s="475"/>
      <c r="AOK239" s="475"/>
      <c r="AOL239" s="475"/>
      <c r="AOM239" s="475"/>
      <c r="AON239" s="475"/>
      <c r="AOO239" s="475"/>
      <c r="AOP239" s="475"/>
      <c r="AOQ239" s="475"/>
      <c r="AOR239" s="475"/>
      <c r="AOS239" s="475"/>
      <c r="AOT239" s="475"/>
      <c r="AOU239" s="475"/>
      <c r="AOV239" s="475"/>
      <c r="AOW239" s="475"/>
      <c r="AOX239" s="475"/>
      <c r="AOY239" s="475"/>
      <c r="AOZ239" s="475"/>
      <c r="APA239" s="475"/>
      <c r="APB239" s="475"/>
      <c r="APC239" s="475"/>
      <c r="APD239" s="475"/>
      <c r="APE239" s="475"/>
      <c r="APF239" s="475"/>
      <c r="APG239" s="475"/>
      <c r="APH239" s="475"/>
      <c r="API239" s="475"/>
      <c r="APJ239" s="475"/>
      <c r="APK239" s="475"/>
      <c r="APL239" s="475"/>
      <c r="APM239" s="475"/>
      <c r="APN239" s="475"/>
      <c r="APO239" s="475"/>
      <c r="APP239" s="475"/>
      <c r="APQ239" s="475"/>
      <c r="APR239" s="475"/>
      <c r="APS239" s="475"/>
      <c r="APT239" s="475"/>
      <c r="APU239" s="475"/>
      <c r="APV239" s="475"/>
      <c r="APW239" s="475"/>
      <c r="APX239" s="475"/>
      <c r="APY239" s="475"/>
      <c r="APZ239" s="475"/>
      <c r="AQA239" s="475"/>
      <c r="AQB239" s="475"/>
      <c r="AQC239" s="475"/>
      <c r="AQD239" s="475"/>
      <c r="AQE239" s="475"/>
      <c r="AQF239" s="475"/>
      <c r="AQG239" s="475"/>
      <c r="AQH239" s="475"/>
      <c r="AQI239" s="475"/>
      <c r="AQJ239" s="475"/>
      <c r="AQK239" s="475"/>
      <c r="AQL239" s="475"/>
      <c r="AQM239" s="475"/>
      <c r="AQN239" s="475"/>
      <c r="AQO239" s="475"/>
      <c r="AQP239" s="475"/>
      <c r="AQQ239" s="475"/>
      <c r="AQR239" s="475"/>
      <c r="AQS239" s="475"/>
      <c r="AQT239" s="475"/>
      <c r="AQU239" s="475"/>
      <c r="AQV239" s="475"/>
      <c r="AQW239" s="475"/>
      <c r="AQX239" s="475"/>
      <c r="AQY239" s="475"/>
      <c r="AQZ239" s="475"/>
      <c r="ARA239" s="475"/>
      <c r="ARB239" s="475"/>
      <c r="ARC239" s="475"/>
      <c r="ARD239" s="475"/>
      <c r="ARE239" s="475"/>
      <c r="ARF239" s="475"/>
      <c r="ARG239" s="475"/>
      <c r="ARH239" s="475"/>
      <c r="ARI239" s="475"/>
      <c r="ARJ239" s="475"/>
      <c r="ARK239" s="475"/>
      <c r="ARL239" s="475"/>
      <c r="ARM239" s="475"/>
      <c r="ARN239" s="475"/>
      <c r="ARO239" s="475"/>
      <c r="ARP239" s="475"/>
      <c r="ARQ239" s="475"/>
      <c r="ARR239" s="475"/>
      <c r="ARS239" s="475"/>
      <c r="ART239" s="475"/>
      <c r="ARU239" s="475"/>
      <c r="ARV239" s="475"/>
      <c r="ARW239" s="475"/>
      <c r="ARX239" s="475"/>
      <c r="ARY239" s="475"/>
      <c r="ARZ239" s="475"/>
      <c r="ASA239" s="475"/>
      <c r="ASB239" s="475"/>
      <c r="ASC239" s="475"/>
      <c r="ASD239" s="475"/>
      <c r="ASE239" s="475"/>
      <c r="ASF239" s="475"/>
      <c r="ASG239" s="475"/>
      <c r="ASH239" s="475"/>
      <c r="ASI239" s="475"/>
      <c r="ASJ239" s="475"/>
      <c r="ASK239" s="475"/>
      <c r="ASL239" s="475"/>
      <c r="ASM239" s="475"/>
      <c r="ASN239" s="475"/>
      <c r="ASO239" s="475"/>
      <c r="ASP239" s="475"/>
      <c r="ASQ239" s="475"/>
      <c r="ASR239" s="475"/>
      <c r="ASS239" s="475"/>
      <c r="AST239" s="475"/>
      <c r="ASU239" s="475"/>
      <c r="ASV239" s="475"/>
      <c r="ASW239" s="475"/>
      <c r="ASX239" s="475"/>
      <c r="ASY239" s="475"/>
      <c r="ASZ239" s="475"/>
      <c r="ATA239" s="475"/>
      <c r="ATB239" s="475"/>
      <c r="ATC239" s="475"/>
      <c r="ATD239" s="475"/>
      <c r="ATE239" s="475"/>
      <c r="ATF239" s="475"/>
      <c r="ATG239" s="475"/>
      <c r="ATH239" s="475"/>
      <c r="ATI239" s="475"/>
      <c r="ATJ239" s="475"/>
      <c r="ATK239" s="475"/>
      <c r="ATL239" s="475"/>
      <c r="ATM239" s="475"/>
      <c r="ATN239" s="475"/>
      <c r="ATO239" s="475"/>
      <c r="ATP239" s="475"/>
      <c r="ATQ239" s="475"/>
      <c r="ATR239" s="475"/>
      <c r="ATS239" s="475"/>
      <c r="ATT239" s="475"/>
      <c r="ATU239" s="475"/>
      <c r="ATV239" s="475"/>
      <c r="ATW239" s="475"/>
      <c r="ATX239" s="475"/>
      <c r="ATY239" s="475"/>
      <c r="ATZ239" s="475"/>
      <c r="AUA239" s="475"/>
      <c r="AUB239" s="475"/>
      <c r="AUC239" s="475"/>
      <c r="AUD239" s="475"/>
      <c r="AUE239" s="475"/>
      <c r="AUF239" s="475"/>
      <c r="AUG239" s="475"/>
      <c r="AUH239" s="475"/>
      <c r="AUI239" s="475"/>
      <c r="AUJ239" s="475"/>
      <c r="AUK239" s="475"/>
      <c r="AUL239" s="475"/>
      <c r="AUM239" s="475"/>
      <c r="AUN239" s="475"/>
      <c r="AUO239" s="475"/>
      <c r="AUP239" s="475"/>
      <c r="AUQ239" s="475"/>
      <c r="AUR239" s="475"/>
      <c r="AUS239" s="475"/>
      <c r="AUT239" s="475"/>
      <c r="AUU239" s="475"/>
      <c r="AUV239" s="475"/>
      <c r="AUW239" s="475"/>
      <c r="AUX239" s="475"/>
      <c r="AUY239" s="475"/>
      <c r="AUZ239" s="475"/>
      <c r="AVA239" s="475"/>
      <c r="AVB239" s="475"/>
      <c r="AVC239" s="475"/>
      <c r="AVD239" s="475"/>
      <c r="AVE239" s="475"/>
      <c r="AVF239" s="475"/>
      <c r="AVG239" s="475"/>
      <c r="AVH239" s="475"/>
      <c r="AVI239" s="475"/>
      <c r="AVJ239" s="475"/>
      <c r="AVK239" s="475"/>
      <c r="AVL239" s="475"/>
      <c r="AVM239" s="475"/>
      <c r="AVN239" s="475"/>
      <c r="AVO239" s="475"/>
      <c r="AVP239" s="475"/>
      <c r="AVQ239" s="475"/>
      <c r="AVR239" s="475"/>
      <c r="AVS239" s="475"/>
      <c r="AVT239" s="475"/>
      <c r="AVU239" s="475"/>
      <c r="AVV239" s="475"/>
      <c r="AVW239" s="475"/>
      <c r="AVX239" s="475"/>
      <c r="AVY239" s="475"/>
      <c r="AVZ239" s="475"/>
      <c r="AWA239" s="475"/>
      <c r="AWB239" s="475"/>
      <c r="AWC239" s="475"/>
      <c r="AWD239" s="475"/>
      <c r="AWE239" s="475"/>
      <c r="AWF239" s="475"/>
      <c r="AWG239" s="475"/>
      <c r="AWH239" s="475"/>
      <c r="AWI239" s="475"/>
      <c r="AWJ239" s="475"/>
      <c r="AWK239" s="475"/>
      <c r="AWL239" s="475"/>
      <c r="AWM239" s="475"/>
      <c r="AWN239" s="475"/>
      <c r="AWO239" s="475"/>
      <c r="AWP239" s="475"/>
      <c r="AWQ239" s="475"/>
      <c r="AWR239" s="475"/>
      <c r="AWS239" s="475"/>
      <c r="AWT239" s="475"/>
      <c r="AWU239" s="475"/>
      <c r="AWV239" s="475"/>
      <c r="AWW239" s="475"/>
      <c r="AWX239" s="475"/>
      <c r="AWY239" s="475"/>
      <c r="AWZ239" s="475"/>
      <c r="AXA239" s="475"/>
      <c r="AXB239" s="475"/>
      <c r="AXC239" s="475"/>
      <c r="AXD239" s="475"/>
      <c r="AXE239" s="475"/>
      <c r="AXF239" s="475"/>
      <c r="AXG239" s="475"/>
      <c r="AXH239" s="475"/>
      <c r="AXI239" s="475"/>
      <c r="AXJ239" s="475"/>
      <c r="AXK239" s="475"/>
      <c r="AXL239" s="475"/>
      <c r="AXM239" s="475"/>
      <c r="AXN239" s="475"/>
      <c r="AXO239" s="475"/>
      <c r="AXP239" s="475"/>
      <c r="AXQ239" s="475"/>
      <c r="AXR239" s="475"/>
      <c r="AXS239" s="475"/>
      <c r="AXT239" s="475"/>
      <c r="AXU239" s="475"/>
      <c r="AXV239" s="475"/>
      <c r="AXW239" s="475"/>
      <c r="AXX239" s="475"/>
      <c r="AXY239" s="475"/>
      <c r="AXZ239" s="475"/>
      <c r="AYA239" s="475"/>
      <c r="AYB239" s="475"/>
      <c r="AYC239" s="475"/>
      <c r="AYD239" s="475"/>
      <c r="AYE239" s="475"/>
      <c r="AYF239" s="475"/>
      <c r="AYG239" s="475"/>
      <c r="AYH239" s="475"/>
      <c r="AYI239" s="475"/>
      <c r="AYJ239" s="475"/>
      <c r="AYK239" s="475"/>
      <c r="AYL239" s="475"/>
      <c r="AYM239" s="475"/>
      <c r="AYN239" s="475"/>
      <c r="AYO239" s="475"/>
      <c r="AYP239" s="475"/>
      <c r="AYQ239" s="475"/>
      <c r="AYR239" s="475"/>
      <c r="AYS239" s="475"/>
      <c r="AYT239" s="475"/>
      <c r="AYU239" s="475"/>
      <c r="AYV239" s="475"/>
      <c r="AYW239" s="475"/>
      <c r="AYX239" s="475"/>
      <c r="AYY239" s="475"/>
      <c r="AYZ239" s="475"/>
      <c r="AZA239" s="475"/>
      <c r="AZB239" s="475"/>
      <c r="AZC239" s="475"/>
      <c r="AZD239" s="475"/>
      <c r="AZE239" s="475"/>
      <c r="AZF239" s="475"/>
      <c r="AZG239" s="475"/>
      <c r="AZH239" s="475"/>
      <c r="AZI239" s="475"/>
      <c r="AZJ239" s="475"/>
      <c r="AZK239" s="475"/>
      <c r="AZL239" s="475"/>
      <c r="AZM239" s="475"/>
      <c r="AZN239" s="475"/>
      <c r="AZO239" s="475"/>
      <c r="AZP239" s="475"/>
      <c r="AZQ239" s="475"/>
      <c r="AZR239" s="475"/>
      <c r="AZS239" s="475"/>
      <c r="AZT239" s="475"/>
      <c r="AZU239" s="475"/>
      <c r="AZV239" s="475"/>
      <c r="AZW239" s="475"/>
      <c r="AZX239" s="475"/>
      <c r="AZY239" s="475"/>
      <c r="AZZ239" s="475"/>
      <c r="BAA239" s="475"/>
      <c r="BAB239" s="475"/>
      <c r="BAC239" s="475"/>
      <c r="BAD239" s="475"/>
      <c r="BAE239" s="475"/>
      <c r="BAF239" s="475"/>
      <c r="BAG239" s="475"/>
      <c r="BAH239" s="475"/>
      <c r="BAI239" s="475"/>
      <c r="BAJ239" s="475"/>
      <c r="BAK239" s="475"/>
      <c r="BAL239" s="475"/>
      <c r="BAM239" s="475"/>
      <c r="BAN239" s="475"/>
      <c r="BAO239" s="475"/>
      <c r="BAP239" s="475"/>
      <c r="BAQ239" s="475"/>
      <c r="BAR239" s="475"/>
      <c r="BAS239" s="475"/>
      <c r="BAT239" s="475"/>
      <c r="BAU239" s="475"/>
      <c r="BAV239" s="475"/>
      <c r="BAW239" s="475"/>
      <c r="BAX239" s="475"/>
      <c r="BAY239" s="475"/>
      <c r="BAZ239" s="475"/>
      <c r="BBA239" s="475"/>
      <c r="BBB239" s="475"/>
      <c r="BBC239" s="475"/>
      <c r="BBD239" s="475"/>
      <c r="BBE239" s="475"/>
      <c r="BBF239" s="475"/>
      <c r="BBG239" s="475"/>
      <c r="BBH239" s="475"/>
      <c r="BBI239" s="475"/>
      <c r="BBJ239" s="475"/>
      <c r="BBK239" s="475"/>
      <c r="BBL239" s="475"/>
      <c r="BBM239" s="475"/>
      <c r="BBN239" s="475"/>
      <c r="BBO239" s="475"/>
      <c r="BBP239" s="475"/>
      <c r="BBQ239" s="475"/>
      <c r="BBR239" s="475"/>
      <c r="BBS239" s="475"/>
      <c r="BBT239" s="475"/>
      <c r="BBU239" s="475"/>
      <c r="BBV239" s="475"/>
      <c r="BBW239" s="475"/>
      <c r="BBX239" s="475"/>
      <c r="BBY239" s="475"/>
      <c r="BBZ239" s="475"/>
      <c r="BCA239" s="475"/>
      <c r="BCB239" s="475"/>
      <c r="BCC239" s="475"/>
      <c r="BCD239" s="475"/>
      <c r="BCE239" s="475"/>
      <c r="BCF239" s="475"/>
      <c r="BCG239" s="475"/>
      <c r="BCH239" s="475"/>
      <c r="BCI239" s="475"/>
      <c r="BCJ239" s="475"/>
      <c r="BCK239" s="475"/>
      <c r="BCL239" s="475"/>
      <c r="BCM239" s="475"/>
      <c r="BCN239" s="475"/>
      <c r="BCO239" s="475"/>
      <c r="BCP239" s="475"/>
      <c r="BCQ239" s="475"/>
      <c r="BCR239" s="475"/>
      <c r="BCS239" s="475"/>
      <c r="BCT239" s="475"/>
      <c r="BCU239" s="475"/>
      <c r="BCV239" s="475"/>
      <c r="BCW239" s="475"/>
      <c r="BCX239" s="475"/>
      <c r="BCY239" s="475"/>
      <c r="BCZ239" s="475"/>
      <c r="BDA239" s="475"/>
      <c r="BDB239" s="475"/>
      <c r="BDC239" s="475"/>
      <c r="BDD239" s="475"/>
      <c r="BDE239" s="475"/>
      <c r="BDF239" s="475"/>
      <c r="BDG239" s="475"/>
      <c r="BDH239" s="475"/>
      <c r="BDI239" s="475"/>
      <c r="BDJ239" s="475"/>
      <c r="BDK239" s="475"/>
      <c r="BDL239" s="475"/>
      <c r="BDM239" s="475"/>
      <c r="BDN239" s="475"/>
      <c r="BDO239" s="475"/>
      <c r="BDP239" s="475"/>
      <c r="BDQ239" s="475"/>
      <c r="BDR239" s="475"/>
      <c r="BDS239" s="475"/>
      <c r="BDT239" s="475"/>
      <c r="BDU239" s="475"/>
      <c r="BDV239" s="475"/>
      <c r="BDW239" s="475"/>
      <c r="BDX239" s="475"/>
      <c r="BDY239" s="475"/>
      <c r="BDZ239" s="475"/>
      <c r="BEA239" s="475"/>
      <c r="BEB239" s="475"/>
      <c r="BEC239" s="475"/>
      <c r="BED239" s="475"/>
      <c r="BEE239" s="475"/>
      <c r="BEF239" s="475"/>
      <c r="BEG239" s="475"/>
      <c r="BEH239" s="475"/>
      <c r="BEI239" s="475"/>
      <c r="BEJ239" s="475"/>
      <c r="BEK239" s="475"/>
      <c r="BEL239" s="475"/>
      <c r="BEM239" s="475"/>
      <c r="BEN239" s="475"/>
      <c r="BEO239" s="475"/>
      <c r="BEP239" s="475"/>
      <c r="BEQ239" s="475"/>
      <c r="BER239" s="475"/>
      <c r="BES239" s="475"/>
      <c r="BET239" s="475"/>
      <c r="BEU239" s="475"/>
      <c r="BEV239" s="475"/>
      <c r="BEW239" s="475"/>
      <c r="BEX239" s="475"/>
      <c r="BEY239" s="475"/>
      <c r="BEZ239" s="475"/>
      <c r="BFA239" s="475"/>
      <c r="BFB239" s="475"/>
      <c r="BFC239" s="475"/>
      <c r="BFD239" s="475"/>
      <c r="BFE239" s="475"/>
      <c r="BFF239" s="475"/>
      <c r="BFG239" s="475"/>
      <c r="BFH239" s="475"/>
      <c r="BFI239" s="475"/>
      <c r="BFJ239" s="475"/>
      <c r="BFK239" s="475"/>
      <c r="BFL239" s="475"/>
      <c r="BFM239" s="475"/>
      <c r="BFN239" s="475"/>
      <c r="BFO239" s="475"/>
      <c r="BFP239" s="475"/>
      <c r="BFQ239" s="475"/>
      <c r="BFR239" s="475"/>
      <c r="BFS239" s="475"/>
      <c r="BFT239" s="475"/>
      <c r="BFU239" s="475"/>
      <c r="BFV239" s="475"/>
      <c r="BFW239" s="475"/>
      <c r="BFX239" s="475"/>
      <c r="BFY239" s="475"/>
      <c r="BFZ239" s="475"/>
      <c r="BGA239" s="475"/>
      <c r="BGB239" s="475"/>
      <c r="BGC239" s="475"/>
      <c r="BGD239" s="475"/>
      <c r="BGE239" s="475"/>
      <c r="BGF239" s="475"/>
      <c r="BGG239" s="475"/>
      <c r="BGH239" s="475"/>
      <c r="BGI239" s="475"/>
      <c r="BGJ239" s="475"/>
      <c r="BGK239" s="475"/>
      <c r="BGL239" s="475"/>
      <c r="BGM239" s="475"/>
      <c r="BGN239" s="475"/>
      <c r="BGO239" s="475"/>
      <c r="BGP239" s="475"/>
      <c r="BGQ239" s="475"/>
      <c r="BGR239" s="475"/>
      <c r="BGS239" s="475"/>
      <c r="BGT239" s="475"/>
      <c r="BGU239" s="475"/>
      <c r="BGV239" s="475"/>
      <c r="BGW239" s="475"/>
      <c r="BGX239" s="475"/>
      <c r="BGY239" s="475"/>
      <c r="BGZ239" s="475"/>
      <c r="BHA239" s="475"/>
      <c r="BHB239" s="475"/>
      <c r="BHC239" s="475"/>
      <c r="BHD239" s="475"/>
      <c r="BHE239" s="475"/>
      <c r="BHF239" s="475"/>
      <c r="BHG239" s="475"/>
      <c r="BHH239" s="475"/>
      <c r="BHI239" s="475"/>
      <c r="BHJ239" s="475"/>
      <c r="BHK239" s="475"/>
      <c r="BHL239" s="475"/>
      <c r="BHM239" s="475"/>
      <c r="BHN239" s="475"/>
      <c r="BHO239" s="475"/>
      <c r="BHP239" s="475"/>
      <c r="BHQ239" s="475"/>
      <c r="BHR239" s="475"/>
      <c r="BHS239" s="475"/>
      <c r="BHT239" s="475"/>
      <c r="BHU239" s="475"/>
      <c r="BHV239" s="475"/>
      <c r="BHW239" s="475"/>
      <c r="BHX239" s="475"/>
      <c r="BHY239" s="475"/>
      <c r="BHZ239" s="475"/>
      <c r="BIA239" s="475"/>
      <c r="BIB239" s="475"/>
      <c r="BIC239" s="475"/>
      <c r="BID239" s="475"/>
      <c r="BIE239" s="475"/>
      <c r="BIF239" s="475"/>
      <c r="BIG239" s="475"/>
      <c r="BIH239" s="475"/>
      <c r="BII239" s="475"/>
      <c r="BIJ239" s="475"/>
      <c r="BIK239" s="475"/>
      <c r="BIL239" s="475"/>
      <c r="BIM239" s="475"/>
      <c r="BIN239" s="475"/>
      <c r="BIO239" s="475"/>
      <c r="BIP239" s="475"/>
      <c r="BIQ239" s="475"/>
      <c r="BIR239" s="475"/>
      <c r="BIS239" s="475"/>
      <c r="BIT239" s="475"/>
      <c r="BIU239" s="475"/>
      <c r="BIV239" s="475"/>
      <c r="BIW239" s="475"/>
      <c r="BIX239" s="475"/>
      <c r="BIY239" s="475"/>
      <c r="BIZ239" s="475"/>
      <c r="BJA239" s="475"/>
      <c r="BJB239" s="475"/>
      <c r="BJC239" s="475"/>
      <c r="BJD239" s="475"/>
      <c r="BJE239" s="475"/>
      <c r="BJF239" s="475"/>
      <c r="BJG239" s="475"/>
      <c r="BJH239" s="475"/>
      <c r="BJI239" s="475"/>
      <c r="BJJ239" s="475"/>
      <c r="BJK239" s="475"/>
      <c r="BJL239" s="475"/>
      <c r="BJM239" s="475"/>
      <c r="BJN239" s="475"/>
      <c r="BJO239" s="475"/>
      <c r="BJP239" s="475"/>
      <c r="BJQ239" s="475"/>
      <c r="BJR239" s="475"/>
      <c r="BJS239" s="475"/>
      <c r="BJT239" s="475"/>
      <c r="BJU239" s="475"/>
      <c r="BJV239" s="475"/>
      <c r="BJW239" s="475"/>
      <c r="BJX239" s="475"/>
      <c r="BJY239" s="475"/>
      <c r="BJZ239" s="475"/>
      <c r="BKA239" s="475"/>
      <c r="BKB239" s="475"/>
      <c r="BKC239" s="475"/>
      <c r="BKD239" s="475"/>
      <c r="BKE239" s="475"/>
      <c r="BKF239" s="475"/>
      <c r="BKG239" s="475"/>
      <c r="BKH239" s="475"/>
      <c r="BKI239" s="475"/>
      <c r="BKJ239" s="475"/>
      <c r="BKK239" s="475"/>
      <c r="BKL239" s="475"/>
      <c r="BKM239" s="475"/>
      <c r="BKN239" s="475"/>
      <c r="BKO239" s="475"/>
      <c r="BKP239" s="475"/>
      <c r="BKQ239" s="475"/>
      <c r="BKR239" s="475"/>
      <c r="BKS239" s="475"/>
      <c r="BKT239" s="475"/>
      <c r="BKU239" s="475"/>
      <c r="BKV239" s="475"/>
      <c r="BKW239" s="475"/>
      <c r="BKX239" s="475"/>
      <c r="BKY239" s="475"/>
      <c r="BKZ239" s="475"/>
      <c r="BLA239" s="475"/>
      <c r="BLB239" s="475"/>
      <c r="BLC239" s="475"/>
      <c r="BLD239" s="475"/>
      <c r="BLE239" s="475"/>
      <c r="BLF239" s="475"/>
      <c r="BLG239" s="475"/>
      <c r="BLH239" s="475"/>
      <c r="BLI239" s="475"/>
      <c r="BLJ239" s="475"/>
      <c r="BLK239" s="475"/>
      <c r="BLL239" s="475"/>
      <c r="BLM239" s="475"/>
      <c r="BLN239" s="475"/>
      <c r="BLO239" s="475"/>
      <c r="BLP239" s="475"/>
      <c r="BLQ239" s="475"/>
      <c r="BLR239" s="475"/>
      <c r="BLS239" s="475"/>
      <c r="BLT239" s="475"/>
      <c r="BLU239" s="475"/>
      <c r="BLV239" s="475"/>
      <c r="BLW239" s="475"/>
      <c r="BLX239" s="475"/>
      <c r="BLY239" s="475"/>
      <c r="BLZ239" s="475"/>
      <c r="BMA239" s="475"/>
      <c r="BMB239" s="475"/>
      <c r="BMC239" s="475"/>
      <c r="BMD239" s="475"/>
      <c r="BME239" s="475"/>
      <c r="BMF239" s="475"/>
      <c r="BMG239" s="475"/>
      <c r="BMH239" s="475"/>
      <c r="BMI239" s="475"/>
      <c r="BMJ239" s="475"/>
      <c r="BMK239" s="475"/>
      <c r="BML239" s="475"/>
      <c r="BMM239" s="475"/>
      <c r="BMN239" s="475"/>
      <c r="BMO239" s="475"/>
      <c r="BMP239" s="475"/>
      <c r="BMQ239" s="475"/>
      <c r="BMR239" s="475"/>
      <c r="BMS239" s="475"/>
      <c r="BMT239" s="475"/>
      <c r="BMU239" s="475"/>
      <c r="BMV239" s="475"/>
      <c r="BMW239" s="475"/>
      <c r="BMX239" s="475"/>
      <c r="BMY239" s="475"/>
      <c r="BMZ239" s="475"/>
      <c r="BNA239" s="475"/>
      <c r="BNB239" s="475"/>
      <c r="BNC239" s="475"/>
      <c r="BND239" s="475"/>
      <c r="BNE239" s="475"/>
      <c r="BNF239" s="475"/>
      <c r="BNG239" s="475"/>
      <c r="BNH239" s="475"/>
      <c r="BNI239" s="475"/>
      <c r="BNJ239" s="475"/>
      <c r="BNK239" s="475"/>
      <c r="BNL239" s="475"/>
      <c r="BNM239" s="475"/>
      <c r="BNN239" s="475"/>
      <c r="BNO239" s="475"/>
      <c r="BNP239" s="475"/>
      <c r="BNQ239" s="475"/>
      <c r="BNR239" s="475"/>
      <c r="BNS239" s="475"/>
      <c r="BNT239" s="475"/>
      <c r="BNU239" s="475"/>
      <c r="BNV239" s="475"/>
      <c r="BNW239" s="475"/>
      <c r="BNX239" s="475"/>
      <c r="BNY239" s="475"/>
      <c r="BNZ239" s="475"/>
      <c r="BOA239" s="475"/>
      <c r="BOB239" s="475"/>
      <c r="BOC239" s="475"/>
      <c r="BOD239" s="475"/>
      <c r="BOE239" s="475"/>
      <c r="BOF239" s="475"/>
      <c r="BOG239" s="475"/>
      <c r="BOH239" s="475"/>
      <c r="BOI239" s="475"/>
      <c r="BOJ239" s="475"/>
      <c r="BOK239" s="475"/>
      <c r="BOL239" s="475"/>
      <c r="BOM239" s="475"/>
      <c r="BON239" s="475"/>
      <c r="BOO239" s="475"/>
      <c r="BOP239" s="475"/>
      <c r="BOQ239" s="475"/>
      <c r="BOR239" s="475"/>
      <c r="BOS239" s="475"/>
      <c r="BOT239" s="475"/>
      <c r="BOU239" s="475"/>
      <c r="BOV239" s="475"/>
      <c r="BOW239" s="475"/>
      <c r="BOX239" s="475"/>
      <c r="BOY239" s="475"/>
      <c r="BOZ239" s="475"/>
      <c r="BPA239" s="475"/>
      <c r="BPB239" s="475"/>
      <c r="BPC239" s="475"/>
      <c r="BPD239" s="475"/>
      <c r="BPE239" s="475"/>
      <c r="BPF239" s="475"/>
      <c r="BPG239" s="475"/>
      <c r="BPH239" s="475"/>
      <c r="BPI239" s="475"/>
      <c r="BPJ239" s="475"/>
      <c r="BPK239" s="475"/>
      <c r="BPL239" s="475"/>
      <c r="BPM239" s="475"/>
      <c r="BPN239" s="475"/>
      <c r="BPO239" s="475"/>
      <c r="BPP239" s="475"/>
      <c r="BPQ239" s="475"/>
      <c r="BPR239" s="475"/>
      <c r="BPS239" s="475"/>
      <c r="BPT239" s="475"/>
      <c r="BPU239" s="475"/>
      <c r="BPV239" s="475"/>
      <c r="BPW239" s="475"/>
      <c r="BPX239" s="475"/>
      <c r="BPY239" s="475"/>
      <c r="BPZ239" s="475"/>
      <c r="BQA239" s="475"/>
      <c r="BQB239" s="475"/>
      <c r="BQC239" s="475"/>
      <c r="BQD239" s="475"/>
      <c r="BQE239" s="475"/>
      <c r="BQF239" s="475"/>
      <c r="BQG239" s="475"/>
      <c r="BQH239" s="475"/>
      <c r="BQI239" s="475"/>
      <c r="BQJ239" s="475"/>
      <c r="BQK239" s="475"/>
      <c r="BQL239" s="475"/>
      <c r="BQM239" s="475"/>
      <c r="BQN239" s="475"/>
      <c r="BQO239" s="475"/>
      <c r="BQP239" s="475"/>
      <c r="BQQ239" s="475"/>
      <c r="BQR239" s="475"/>
      <c r="BQS239" s="475"/>
      <c r="BQT239" s="475"/>
      <c r="BQU239" s="475"/>
      <c r="BQV239" s="475"/>
      <c r="BQW239" s="475"/>
      <c r="BQX239" s="475"/>
      <c r="BQY239" s="475"/>
      <c r="BQZ239" s="475"/>
      <c r="BRA239" s="475"/>
      <c r="BRB239" s="475"/>
      <c r="BRC239" s="475"/>
      <c r="BRD239" s="475"/>
      <c r="BRE239" s="475"/>
      <c r="BRF239" s="475"/>
      <c r="BRG239" s="475"/>
      <c r="BRH239" s="475"/>
      <c r="BRI239" s="475"/>
      <c r="BRJ239" s="475"/>
      <c r="BRK239" s="475"/>
      <c r="BRL239" s="475"/>
      <c r="BRM239" s="475"/>
      <c r="BRN239" s="475"/>
      <c r="BRO239" s="475"/>
      <c r="BRP239" s="475"/>
      <c r="BRQ239" s="475"/>
      <c r="BRR239" s="475"/>
      <c r="BRS239" s="475"/>
      <c r="BRT239" s="475"/>
      <c r="BRU239" s="475"/>
      <c r="BRV239" s="475"/>
      <c r="BRW239" s="475"/>
      <c r="BRX239" s="475"/>
      <c r="BRY239" s="475"/>
      <c r="BRZ239" s="475"/>
      <c r="BSA239" s="475"/>
      <c r="BSB239" s="475"/>
      <c r="BSC239" s="475"/>
      <c r="BSD239" s="475"/>
      <c r="BSE239" s="475"/>
      <c r="BSF239" s="475"/>
      <c r="BSG239" s="475"/>
      <c r="BSH239" s="475"/>
      <c r="BSI239" s="475"/>
      <c r="BSJ239" s="475"/>
      <c r="BSK239" s="475"/>
      <c r="BSL239" s="475"/>
      <c r="BSM239" s="475"/>
      <c r="BSN239" s="475"/>
      <c r="BSO239" s="475"/>
      <c r="BSP239" s="475"/>
      <c r="BSQ239" s="475"/>
      <c r="BSR239" s="475"/>
      <c r="BSS239" s="475"/>
      <c r="BST239" s="475"/>
      <c r="BSU239" s="475"/>
      <c r="BSV239" s="475"/>
      <c r="BSW239" s="475"/>
      <c r="BSX239" s="475"/>
      <c r="BSY239" s="475"/>
      <c r="BSZ239" s="475"/>
      <c r="BTA239" s="475"/>
      <c r="BTB239" s="475"/>
      <c r="BTC239" s="475"/>
      <c r="BTD239" s="475"/>
      <c r="BTE239" s="475"/>
      <c r="BTF239" s="475"/>
      <c r="BTG239" s="475"/>
      <c r="BTH239" s="475"/>
      <c r="BTI239" s="475"/>
    </row>
    <row r="240" spans="1:1881" s="474" customFormat="1" ht="53.25" customHeight="1" x14ac:dyDescent="0.25">
      <c r="A240" s="726">
        <v>949</v>
      </c>
      <c r="B240" s="733"/>
      <c r="C240" s="734"/>
      <c r="D240" s="739" t="s">
        <v>897</v>
      </c>
      <c r="E240" s="730" t="s">
        <v>771</v>
      </c>
      <c r="F240" s="859"/>
      <c r="G240" s="536" t="str">
        <f t="shared" si="3"/>
        <v>Please do not leave blank</v>
      </c>
      <c r="H240" s="476"/>
      <c r="I240"/>
      <c r="J240"/>
      <c r="K240"/>
      <c r="L240"/>
      <c r="M240"/>
      <c r="N240"/>
      <c r="O240"/>
      <c r="P240" s="475"/>
      <c r="Q240" s="475"/>
      <c r="R240"/>
      <c r="S240" s="475"/>
      <c r="T240" s="475"/>
      <c r="U240" s="475"/>
      <c r="V240" s="475"/>
      <c r="W240" s="475"/>
      <c r="X240" s="682"/>
      <c r="Y240" s="475"/>
      <c r="Z240" s="475"/>
      <c r="AA240" s="475"/>
      <c r="AB240" s="475"/>
      <c r="AC240" s="475"/>
      <c r="AD240" s="475"/>
      <c r="AE240" s="475"/>
      <c r="AF240" s="475"/>
      <c r="AG240" s="475"/>
      <c r="AH240" s="475"/>
      <c r="AI240" s="475"/>
      <c r="AJ240" s="475"/>
      <c r="AK240" s="475"/>
      <c r="AL240" s="475"/>
      <c r="AM240" s="475"/>
      <c r="AN240" s="475"/>
      <c r="AO240" s="475"/>
      <c r="AP240" s="475"/>
      <c r="AQ240" s="475"/>
      <c r="AR240" s="475"/>
      <c r="AS240" s="475"/>
      <c r="AT240" s="475"/>
      <c r="AU240" s="475"/>
      <c r="AV240" s="475"/>
      <c r="AW240" s="475"/>
      <c r="AX240" s="475"/>
      <c r="AY240" s="475"/>
      <c r="AZ240" s="475"/>
      <c r="BA240" s="475"/>
      <c r="BB240" s="475"/>
      <c r="BC240" s="475"/>
      <c r="BD240" s="475"/>
      <c r="BE240" s="475"/>
      <c r="BF240" s="475"/>
      <c r="BG240" s="475"/>
      <c r="BH240" s="475"/>
      <c r="BI240" s="475"/>
      <c r="BJ240" s="475"/>
      <c r="BK240" s="475"/>
      <c r="BL240" s="475"/>
      <c r="BM240" s="475"/>
      <c r="BN240" s="475"/>
      <c r="BO240" s="475"/>
      <c r="BP240" s="475"/>
      <c r="BQ240" s="475"/>
      <c r="BR240" s="475"/>
      <c r="BS240" s="475"/>
      <c r="BT240" s="475"/>
      <c r="BU240" s="475"/>
      <c r="BV240" s="475"/>
      <c r="BW240" s="475"/>
      <c r="BX240" s="475"/>
      <c r="BY240" s="475"/>
      <c r="BZ240" s="475"/>
      <c r="CA240" s="475"/>
      <c r="CB240" s="475"/>
      <c r="CC240" s="475"/>
      <c r="CD240" s="475"/>
      <c r="CE240" s="475"/>
      <c r="CF240" s="475"/>
      <c r="CG240" s="475"/>
      <c r="CH240" s="475"/>
      <c r="CI240" s="475"/>
      <c r="CJ240" s="475"/>
      <c r="CK240" s="475"/>
      <c r="CL240" s="475"/>
      <c r="CM240" s="475"/>
      <c r="CN240" s="475"/>
      <c r="CO240" s="475"/>
      <c r="CP240" s="475"/>
      <c r="CQ240" s="475"/>
      <c r="CR240" s="475"/>
      <c r="CS240" s="475"/>
      <c r="CT240" s="475"/>
      <c r="CU240" s="475"/>
      <c r="CV240" s="475"/>
      <c r="CW240" s="475"/>
      <c r="CX240" s="475"/>
      <c r="CY240" s="475"/>
      <c r="CZ240" s="475"/>
      <c r="DA240" s="475"/>
      <c r="DB240" s="475"/>
      <c r="DC240" s="475"/>
      <c r="DD240" s="475"/>
      <c r="DE240" s="475"/>
      <c r="DF240" s="475"/>
      <c r="DG240" s="475"/>
      <c r="DH240" s="475"/>
      <c r="DI240" s="475"/>
      <c r="DJ240" s="475"/>
      <c r="DK240" s="475"/>
      <c r="DL240" s="475"/>
      <c r="DM240" s="475"/>
      <c r="DN240" s="475"/>
      <c r="DO240" s="475"/>
      <c r="DP240" s="475"/>
      <c r="DQ240" s="475"/>
      <c r="DR240" s="475"/>
      <c r="DS240" s="475"/>
      <c r="DT240" s="475"/>
      <c r="DU240" s="475"/>
      <c r="DV240" s="475"/>
      <c r="DW240" s="475"/>
      <c r="DX240" s="475"/>
      <c r="DY240" s="475"/>
      <c r="DZ240" s="475"/>
      <c r="EA240" s="475"/>
      <c r="EB240" s="475"/>
      <c r="EC240" s="475"/>
      <c r="ED240" s="475"/>
      <c r="EE240" s="475"/>
      <c r="EF240" s="475"/>
      <c r="EG240" s="475"/>
      <c r="EH240" s="475"/>
      <c r="EI240" s="475"/>
      <c r="EJ240" s="475"/>
      <c r="EK240" s="475"/>
      <c r="EL240" s="475"/>
      <c r="EM240" s="475"/>
      <c r="EN240" s="475"/>
      <c r="EO240" s="475"/>
      <c r="EP240" s="475"/>
      <c r="EQ240" s="475"/>
      <c r="ER240" s="475"/>
      <c r="ES240" s="475"/>
      <c r="ET240" s="475"/>
      <c r="EU240" s="475"/>
      <c r="EV240" s="475"/>
      <c r="EW240" s="475"/>
      <c r="EX240" s="475"/>
      <c r="EY240" s="475"/>
      <c r="EZ240" s="475"/>
      <c r="FA240" s="475"/>
      <c r="FB240" s="475"/>
      <c r="FC240" s="475"/>
      <c r="FD240" s="475"/>
      <c r="FE240" s="475"/>
      <c r="FF240" s="475"/>
      <c r="FG240" s="475"/>
      <c r="FH240" s="475"/>
      <c r="FI240" s="475"/>
      <c r="FJ240" s="475"/>
      <c r="FK240" s="475"/>
      <c r="FL240" s="475"/>
      <c r="FM240" s="475"/>
      <c r="FN240" s="475"/>
      <c r="FO240" s="475"/>
      <c r="FP240" s="475"/>
      <c r="FQ240" s="475"/>
      <c r="FR240" s="475"/>
      <c r="FS240" s="475"/>
      <c r="FT240" s="475"/>
      <c r="FU240" s="475"/>
      <c r="FV240" s="475"/>
      <c r="FW240" s="475"/>
      <c r="FX240" s="475"/>
      <c r="FY240" s="475"/>
      <c r="FZ240" s="475"/>
      <c r="GA240" s="475"/>
      <c r="GB240" s="475"/>
      <c r="GC240" s="475"/>
      <c r="GD240" s="475"/>
      <c r="GE240" s="475"/>
      <c r="GF240" s="475"/>
      <c r="GG240" s="475"/>
      <c r="GH240" s="475"/>
      <c r="GI240" s="475"/>
      <c r="GJ240" s="475"/>
      <c r="GK240" s="475"/>
      <c r="GL240" s="475"/>
      <c r="GM240" s="475"/>
      <c r="GN240" s="475"/>
      <c r="GO240" s="475"/>
      <c r="GP240" s="475"/>
      <c r="GQ240" s="475"/>
      <c r="GR240" s="475"/>
      <c r="GS240" s="475"/>
      <c r="GT240" s="475"/>
      <c r="GU240" s="475"/>
      <c r="GV240" s="475"/>
      <c r="GW240" s="475"/>
      <c r="GX240" s="475"/>
      <c r="GY240" s="475"/>
      <c r="GZ240" s="475"/>
      <c r="HA240" s="475"/>
      <c r="HB240" s="475"/>
      <c r="HC240" s="475"/>
      <c r="HD240" s="475"/>
      <c r="HE240" s="475"/>
      <c r="HF240" s="475"/>
      <c r="HG240" s="475"/>
      <c r="HH240" s="475"/>
      <c r="HI240" s="475"/>
      <c r="HJ240" s="475"/>
      <c r="HK240" s="475"/>
      <c r="HL240" s="475"/>
      <c r="HM240" s="475"/>
      <c r="HN240" s="475"/>
      <c r="HO240" s="475"/>
      <c r="HP240" s="475"/>
      <c r="HQ240" s="475"/>
      <c r="HR240" s="475"/>
      <c r="HS240" s="475"/>
      <c r="HT240" s="475"/>
      <c r="HU240" s="475"/>
      <c r="HV240" s="475"/>
      <c r="HW240" s="475"/>
      <c r="HX240" s="475"/>
      <c r="HY240" s="475"/>
      <c r="HZ240" s="475"/>
      <c r="IA240" s="475"/>
      <c r="IB240" s="475"/>
      <c r="IC240" s="475"/>
      <c r="ID240" s="475"/>
      <c r="IE240" s="475"/>
      <c r="IF240" s="475"/>
      <c r="IG240" s="475"/>
      <c r="IH240" s="475"/>
      <c r="II240" s="475"/>
      <c r="IJ240" s="475"/>
      <c r="IK240" s="475"/>
      <c r="IL240" s="475"/>
      <c r="IM240" s="475"/>
      <c r="IN240" s="475"/>
      <c r="IO240" s="475"/>
      <c r="IP240" s="475"/>
      <c r="IQ240" s="475"/>
      <c r="IR240" s="475"/>
      <c r="IS240" s="475"/>
      <c r="IT240" s="475"/>
      <c r="IU240" s="475"/>
      <c r="IV240" s="475"/>
      <c r="IW240" s="475"/>
      <c r="IX240" s="475"/>
      <c r="IY240" s="475"/>
      <c r="IZ240" s="475"/>
      <c r="JA240" s="475"/>
      <c r="JB240" s="475"/>
      <c r="JC240" s="475"/>
      <c r="JD240" s="475"/>
      <c r="JE240" s="475"/>
      <c r="JF240" s="475"/>
      <c r="JG240" s="475"/>
      <c r="JH240" s="475"/>
      <c r="JI240" s="475"/>
      <c r="JJ240" s="475"/>
      <c r="JK240" s="475"/>
      <c r="JL240" s="475"/>
      <c r="JM240" s="475"/>
      <c r="JN240" s="475"/>
      <c r="JO240" s="475"/>
      <c r="JP240" s="475"/>
      <c r="JQ240" s="475"/>
      <c r="JR240" s="475"/>
      <c r="JS240" s="475"/>
      <c r="JT240" s="475"/>
      <c r="JU240" s="475"/>
      <c r="JV240" s="475"/>
      <c r="JW240" s="475"/>
      <c r="JX240" s="475"/>
      <c r="JY240" s="475"/>
      <c r="JZ240" s="475"/>
      <c r="KA240" s="475"/>
      <c r="KB240" s="475"/>
      <c r="KC240" s="475"/>
      <c r="KD240" s="475"/>
      <c r="KE240" s="475"/>
      <c r="KF240" s="475"/>
      <c r="KG240" s="475"/>
      <c r="KH240" s="475"/>
      <c r="KI240" s="475"/>
      <c r="KJ240" s="475"/>
      <c r="KK240" s="475"/>
      <c r="KL240" s="475"/>
      <c r="KM240" s="475"/>
      <c r="KN240" s="475"/>
      <c r="KO240" s="475"/>
      <c r="KP240" s="475"/>
      <c r="KQ240" s="475"/>
      <c r="KR240" s="475"/>
      <c r="KS240" s="475"/>
      <c r="KT240" s="475"/>
      <c r="KU240" s="475"/>
      <c r="KV240" s="475"/>
      <c r="KW240" s="475"/>
      <c r="KX240" s="475"/>
      <c r="KY240" s="475"/>
      <c r="KZ240" s="475"/>
      <c r="LA240" s="475"/>
      <c r="LB240" s="475"/>
      <c r="LC240" s="475"/>
      <c r="LD240" s="475"/>
      <c r="LE240" s="475"/>
      <c r="LF240" s="475"/>
      <c r="LG240" s="475"/>
      <c r="LH240" s="475"/>
      <c r="LI240" s="475"/>
      <c r="LJ240" s="475"/>
      <c r="LK240" s="475"/>
      <c r="LL240" s="475"/>
      <c r="LM240" s="475"/>
      <c r="LN240" s="475"/>
      <c r="LO240" s="475"/>
      <c r="LP240" s="475"/>
      <c r="LQ240" s="475"/>
      <c r="LR240" s="475"/>
      <c r="LS240" s="475"/>
      <c r="LT240" s="475"/>
      <c r="LU240" s="475"/>
      <c r="LV240" s="475"/>
      <c r="LW240" s="475"/>
      <c r="LX240" s="475"/>
      <c r="LY240" s="475"/>
      <c r="LZ240" s="475"/>
      <c r="MA240" s="475"/>
      <c r="MB240" s="475"/>
      <c r="MC240" s="475"/>
      <c r="MD240" s="475"/>
      <c r="ME240" s="475"/>
      <c r="MF240" s="475"/>
      <c r="MG240" s="475"/>
      <c r="MH240" s="475"/>
      <c r="MI240" s="475"/>
      <c r="MJ240" s="475"/>
      <c r="MK240" s="475"/>
      <c r="ML240" s="475"/>
      <c r="MM240" s="475"/>
      <c r="MN240" s="475"/>
      <c r="MO240" s="475"/>
      <c r="MP240" s="475"/>
      <c r="MQ240" s="475"/>
      <c r="MR240" s="475"/>
      <c r="MS240" s="475"/>
      <c r="MT240" s="475"/>
      <c r="MU240" s="475"/>
      <c r="MV240" s="475"/>
      <c r="MW240" s="475"/>
      <c r="MX240" s="475"/>
      <c r="MY240" s="475"/>
      <c r="MZ240" s="475"/>
      <c r="NA240" s="475"/>
      <c r="NB240" s="475"/>
      <c r="NC240" s="475"/>
      <c r="ND240" s="475"/>
      <c r="NE240" s="475"/>
      <c r="NF240" s="475"/>
      <c r="NG240" s="475"/>
      <c r="NH240" s="475"/>
      <c r="NI240" s="475"/>
      <c r="NJ240" s="475"/>
      <c r="NK240" s="475"/>
      <c r="NL240" s="475"/>
      <c r="NM240" s="475"/>
      <c r="NN240" s="475"/>
      <c r="NO240" s="475"/>
      <c r="NP240" s="475"/>
      <c r="NQ240" s="475"/>
      <c r="NR240" s="475"/>
      <c r="NS240" s="475"/>
      <c r="NT240" s="475"/>
      <c r="NU240" s="475"/>
      <c r="NV240" s="475"/>
      <c r="NW240" s="475"/>
      <c r="NX240" s="475"/>
      <c r="NY240" s="475"/>
      <c r="NZ240" s="475"/>
      <c r="OA240" s="475"/>
      <c r="OB240" s="475"/>
      <c r="OC240" s="475"/>
      <c r="OD240" s="475"/>
      <c r="OE240" s="475"/>
      <c r="OF240" s="475"/>
      <c r="OG240" s="475"/>
      <c r="OH240" s="475"/>
      <c r="OI240" s="475"/>
      <c r="OJ240" s="475"/>
      <c r="OK240" s="475"/>
      <c r="OL240" s="475"/>
      <c r="OM240" s="475"/>
      <c r="ON240" s="475"/>
      <c r="OO240" s="475"/>
      <c r="OP240" s="475"/>
      <c r="OQ240" s="475"/>
      <c r="OR240" s="475"/>
      <c r="OS240" s="475"/>
      <c r="OT240" s="475"/>
      <c r="OU240" s="475"/>
      <c r="OV240" s="475"/>
      <c r="OW240" s="475"/>
      <c r="OX240" s="475"/>
      <c r="OY240" s="475"/>
      <c r="OZ240" s="475"/>
      <c r="PA240" s="475"/>
      <c r="PB240" s="475"/>
      <c r="PC240" s="475"/>
      <c r="PD240" s="475"/>
      <c r="PE240" s="475"/>
      <c r="PF240" s="475"/>
      <c r="PG240" s="475"/>
      <c r="PH240" s="475"/>
      <c r="PI240" s="475"/>
      <c r="PJ240" s="475"/>
      <c r="PK240" s="475"/>
      <c r="PL240" s="475"/>
      <c r="PM240" s="475"/>
      <c r="PN240" s="475"/>
      <c r="PO240" s="475"/>
      <c r="PP240" s="475"/>
      <c r="PQ240" s="475"/>
      <c r="PR240" s="475"/>
      <c r="PS240" s="475"/>
      <c r="PT240" s="475"/>
      <c r="PU240" s="475"/>
      <c r="PV240" s="475"/>
      <c r="PW240" s="475"/>
      <c r="PX240" s="475"/>
      <c r="PY240" s="475"/>
      <c r="PZ240" s="475"/>
      <c r="QA240" s="475"/>
      <c r="QB240" s="475"/>
      <c r="QC240" s="475"/>
      <c r="QD240" s="475"/>
      <c r="QE240" s="475"/>
      <c r="QF240" s="475"/>
      <c r="QG240" s="475"/>
      <c r="QH240" s="475"/>
      <c r="QI240" s="475"/>
      <c r="QJ240" s="475"/>
      <c r="QK240" s="475"/>
      <c r="QL240" s="475"/>
      <c r="QM240" s="475"/>
      <c r="QN240" s="475"/>
      <c r="QO240" s="475"/>
      <c r="QP240" s="475"/>
      <c r="QQ240" s="475"/>
      <c r="QR240" s="475"/>
      <c r="QS240" s="475"/>
      <c r="QT240" s="475"/>
      <c r="QU240" s="475"/>
      <c r="QV240" s="475"/>
      <c r="QW240" s="475"/>
      <c r="QX240" s="475"/>
      <c r="QY240" s="475"/>
      <c r="QZ240" s="475"/>
      <c r="RA240" s="475"/>
      <c r="RB240" s="475"/>
      <c r="RC240" s="475"/>
      <c r="RD240" s="475"/>
      <c r="RE240" s="475"/>
      <c r="RF240" s="475"/>
      <c r="RG240" s="475"/>
      <c r="RH240" s="475"/>
      <c r="RI240" s="475"/>
      <c r="RJ240" s="475"/>
      <c r="RK240" s="475"/>
      <c r="RL240" s="475"/>
      <c r="RM240" s="475"/>
      <c r="RN240" s="475"/>
      <c r="RO240" s="475"/>
      <c r="RP240" s="475"/>
      <c r="RQ240" s="475"/>
      <c r="RR240" s="475"/>
      <c r="RS240" s="475"/>
      <c r="RT240" s="475"/>
      <c r="RU240" s="475"/>
      <c r="RV240" s="475"/>
      <c r="RW240" s="475"/>
      <c r="RX240" s="475"/>
      <c r="RY240" s="475"/>
      <c r="RZ240" s="475"/>
      <c r="SA240" s="475"/>
      <c r="SB240" s="475"/>
      <c r="SC240" s="475"/>
      <c r="SD240" s="475"/>
      <c r="SE240" s="475"/>
      <c r="SF240" s="475"/>
      <c r="SG240" s="475"/>
      <c r="SH240" s="475"/>
      <c r="SI240" s="475"/>
      <c r="SJ240" s="475"/>
      <c r="SK240" s="475"/>
      <c r="SL240" s="475"/>
      <c r="SM240" s="475"/>
      <c r="SN240" s="475"/>
      <c r="SO240" s="475"/>
      <c r="SP240" s="475"/>
      <c r="SQ240" s="475"/>
      <c r="SR240" s="475"/>
      <c r="SS240" s="475"/>
      <c r="ST240" s="475"/>
      <c r="SU240" s="475"/>
      <c r="SV240" s="475"/>
      <c r="SW240" s="475"/>
      <c r="SX240" s="475"/>
      <c r="SY240" s="475"/>
      <c r="SZ240" s="475"/>
      <c r="TA240" s="475"/>
      <c r="TB240" s="475"/>
      <c r="TC240" s="475"/>
      <c r="TD240" s="475"/>
      <c r="TE240" s="475"/>
      <c r="TF240" s="475"/>
      <c r="TG240" s="475"/>
      <c r="TH240" s="475"/>
      <c r="TI240" s="475"/>
      <c r="TJ240" s="475"/>
      <c r="TK240" s="475"/>
      <c r="TL240" s="475"/>
      <c r="TM240" s="475"/>
      <c r="TN240" s="475"/>
      <c r="TO240" s="475"/>
      <c r="TP240" s="475"/>
      <c r="TQ240" s="475"/>
      <c r="TR240" s="475"/>
      <c r="TS240" s="475"/>
      <c r="TT240" s="475"/>
      <c r="TU240" s="475"/>
      <c r="TV240" s="475"/>
      <c r="TW240" s="475"/>
      <c r="TX240" s="475"/>
      <c r="TY240" s="475"/>
      <c r="TZ240" s="475"/>
      <c r="UA240" s="475"/>
      <c r="UB240" s="475"/>
      <c r="UC240" s="475"/>
      <c r="UD240" s="475"/>
      <c r="UE240" s="475"/>
      <c r="UF240" s="475"/>
      <c r="UG240" s="475"/>
      <c r="UH240" s="475"/>
      <c r="UI240" s="475"/>
      <c r="UJ240" s="475"/>
      <c r="UK240" s="475"/>
      <c r="UL240" s="475"/>
      <c r="UM240" s="475"/>
      <c r="UN240" s="475"/>
      <c r="UO240" s="475"/>
      <c r="UP240" s="475"/>
      <c r="UQ240" s="475"/>
      <c r="UR240" s="475"/>
      <c r="US240" s="475"/>
      <c r="UT240" s="475"/>
      <c r="UU240" s="475"/>
      <c r="UV240" s="475"/>
      <c r="UW240" s="475"/>
      <c r="UX240" s="475"/>
      <c r="UY240" s="475"/>
      <c r="UZ240" s="475"/>
      <c r="VA240" s="475"/>
      <c r="VB240" s="475"/>
      <c r="VC240" s="475"/>
      <c r="VD240" s="475"/>
      <c r="VE240" s="475"/>
      <c r="VF240" s="475"/>
      <c r="VG240" s="475"/>
      <c r="VH240" s="475"/>
      <c r="VI240" s="475"/>
      <c r="VJ240" s="475"/>
      <c r="VK240" s="475"/>
      <c r="VL240" s="475"/>
      <c r="VM240" s="475"/>
      <c r="VN240" s="475"/>
      <c r="VO240" s="475"/>
      <c r="VP240" s="475"/>
      <c r="VQ240" s="475"/>
      <c r="VR240" s="475"/>
      <c r="VS240" s="475"/>
      <c r="VT240" s="475"/>
      <c r="VU240" s="475"/>
      <c r="VV240" s="475"/>
      <c r="VW240" s="475"/>
      <c r="VX240" s="475"/>
      <c r="VY240" s="475"/>
      <c r="VZ240" s="475"/>
      <c r="WA240" s="475"/>
      <c r="WB240" s="475"/>
      <c r="WC240" s="475"/>
      <c r="WD240" s="475"/>
      <c r="WE240" s="475"/>
      <c r="WF240" s="475"/>
      <c r="WG240" s="475"/>
      <c r="WH240" s="475"/>
      <c r="WI240" s="475"/>
      <c r="WJ240" s="475"/>
      <c r="WK240" s="475"/>
      <c r="WL240" s="475"/>
      <c r="WM240" s="475"/>
      <c r="WN240" s="475"/>
      <c r="WO240" s="475"/>
      <c r="WP240" s="475"/>
      <c r="WQ240" s="475"/>
      <c r="WR240" s="475"/>
      <c r="WS240" s="475"/>
      <c r="WT240" s="475"/>
      <c r="WU240" s="475"/>
      <c r="WV240" s="475"/>
      <c r="WW240" s="475"/>
      <c r="WX240" s="475"/>
      <c r="WY240" s="475"/>
      <c r="WZ240" s="475"/>
      <c r="XA240" s="475"/>
      <c r="XB240" s="475"/>
      <c r="XC240" s="475"/>
      <c r="XD240" s="475"/>
      <c r="XE240" s="475"/>
      <c r="XF240" s="475"/>
      <c r="XG240" s="475"/>
      <c r="XH240" s="475"/>
      <c r="XI240" s="475"/>
      <c r="XJ240" s="475"/>
      <c r="XK240" s="475"/>
      <c r="XL240" s="475"/>
      <c r="XM240" s="475"/>
      <c r="XN240" s="475"/>
      <c r="XO240" s="475"/>
      <c r="XP240" s="475"/>
      <c r="XQ240" s="475"/>
      <c r="XR240" s="475"/>
      <c r="XS240" s="475"/>
      <c r="XT240" s="475"/>
      <c r="XU240" s="475"/>
      <c r="XV240" s="475"/>
      <c r="XW240" s="475"/>
      <c r="XX240" s="475"/>
      <c r="XY240" s="475"/>
      <c r="XZ240" s="475"/>
      <c r="YA240" s="475"/>
      <c r="YB240" s="475"/>
      <c r="YC240" s="475"/>
      <c r="YD240" s="475"/>
      <c r="YE240" s="475"/>
      <c r="YF240" s="475"/>
      <c r="YG240" s="475"/>
      <c r="YH240" s="475"/>
      <c r="YI240" s="475"/>
      <c r="YJ240" s="475"/>
      <c r="YK240" s="475"/>
      <c r="YL240" s="475"/>
      <c r="YM240" s="475"/>
      <c r="YN240" s="475"/>
      <c r="YO240" s="475"/>
      <c r="YP240" s="475"/>
      <c r="YQ240" s="475"/>
      <c r="YR240" s="475"/>
      <c r="YS240" s="475"/>
      <c r="YT240" s="475"/>
      <c r="YU240" s="475"/>
      <c r="YV240" s="475"/>
      <c r="YW240" s="475"/>
      <c r="YX240" s="475"/>
      <c r="YY240" s="475"/>
      <c r="YZ240" s="475"/>
      <c r="ZA240" s="475"/>
      <c r="ZB240" s="475"/>
      <c r="ZC240" s="475"/>
      <c r="ZD240" s="475"/>
      <c r="ZE240" s="475"/>
      <c r="ZF240" s="475"/>
      <c r="ZG240" s="475"/>
      <c r="ZH240" s="475"/>
      <c r="ZI240" s="475"/>
      <c r="ZJ240" s="475"/>
      <c r="ZK240" s="475"/>
      <c r="ZL240" s="475"/>
      <c r="ZM240" s="475"/>
      <c r="ZN240" s="475"/>
      <c r="ZO240" s="475"/>
      <c r="ZP240" s="475"/>
      <c r="ZQ240" s="475"/>
      <c r="ZR240" s="475"/>
      <c r="ZS240" s="475"/>
      <c r="ZT240" s="475"/>
      <c r="ZU240" s="475"/>
      <c r="ZV240" s="475"/>
      <c r="ZW240" s="475"/>
      <c r="ZX240" s="475"/>
      <c r="ZY240" s="475"/>
      <c r="ZZ240" s="475"/>
      <c r="AAA240" s="475"/>
      <c r="AAB240" s="475"/>
      <c r="AAC240" s="475"/>
      <c r="AAD240" s="475"/>
      <c r="AAE240" s="475"/>
      <c r="AAF240" s="475"/>
      <c r="AAG240" s="475"/>
      <c r="AAH240" s="475"/>
      <c r="AAI240" s="475"/>
      <c r="AAJ240" s="475"/>
      <c r="AAK240" s="475"/>
      <c r="AAL240" s="475"/>
      <c r="AAM240" s="475"/>
      <c r="AAN240" s="475"/>
      <c r="AAO240" s="475"/>
      <c r="AAP240" s="475"/>
      <c r="AAQ240" s="475"/>
      <c r="AAR240" s="475"/>
      <c r="AAS240" s="475"/>
      <c r="AAT240" s="475"/>
      <c r="AAU240" s="475"/>
      <c r="AAV240" s="475"/>
      <c r="AAW240" s="475"/>
      <c r="AAX240" s="475"/>
      <c r="AAY240" s="475"/>
      <c r="AAZ240" s="475"/>
      <c r="ABA240" s="475"/>
      <c r="ABB240" s="475"/>
      <c r="ABC240" s="475"/>
      <c r="ABD240" s="475"/>
      <c r="ABE240" s="475"/>
      <c r="ABF240" s="475"/>
      <c r="ABG240" s="475"/>
      <c r="ABH240" s="475"/>
      <c r="ABI240" s="475"/>
      <c r="ABJ240" s="475"/>
      <c r="ABK240" s="475"/>
      <c r="ABL240" s="475"/>
      <c r="ABM240" s="475"/>
      <c r="ABN240" s="475"/>
      <c r="ABO240" s="475"/>
      <c r="ABP240" s="475"/>
      <c r="ABQ240" s="475"/>
      <c r="ABR240" s="475"/>
      <c r="ABS240" s="475"/>
      <c r="ABT240" s="475"/>
      <c r="ABU240" s="475"/>
      <c r="ABV240" s="475"/>
      <c r="ABW240" s="475"/>
      <c r="ABX240" s="475"/>
      <c r="ABY240" s="475"/>
      <c r="ABZ240" s="475"/>
      <c r="ACA240" s="475"/>
      <c r="ACB240" s="475"/>
      <c r="ACC240" s="475"/>
      <c r="ACD240" s="475"/>
      <c r="ACE240" s="475"/>
      <c r="ACF240" s="475"/>
      <c r="ACG240" s="475"/>
      <c r="ACH240" s="475"/>
      <c r="ACI240" s="475"/>
      <c r="ACJ240" s="475"/>
      <c r="ACK240" s="475"/>
      <c r="ACL240" s="475"/>
      <c r="ACM240" s="475"/>
      <c r="ACN240" s="475"/>
      <c r="ACO240" s="475"/>
      <c r="ACP240" s="475"/>
      <c r="ACQ240" s="475"/>
      <c r="ACR240" s="475"/>
      <c r="ACS240" s="475"/>
      <c r="ACT240" s="475"/>
      <c r="ACU240" s="475"/>
      <c r="ACV240" s="475"/>
      <c r="ACW240" s="475"/>
      <c r="ACX240" s="475"/>
      <c r="ACY240" s="475"/>
      <c r="ACZ240" s="475"/>
      <c r="ADA240" s="475"/>
      <c r="ADB240" s="475"/>
      <c r="ADC240" s="475"/>
      <c r="ADD240" s="475"/>
      <c r="ADE240" s="475"/>
      <c r="ADF240" s="475"/>
      <c r="ADG240" s="475"/>
      <c r="ADH240" s="475"/>
      <c r="ADI240" s="475"/>
      <c r="ADJ240" s="475"/>
      <c r="ADK240" s="475"/>
      <c r="ADL240" s="475"/>
      <c r="ADM240" s="475"/>
      <c r="ADN240" s="475"/>
      <c r="ADO240" s="475"/>
      <c r="ADP240" s="475"/>
      <c r="ADQ240" s="475"/>
      <c r="ADR240" s="475"/>
      <c r="ADS240" s="475"/>
      <c r="ADT240" s="475"/>
      <c r="ADU240" s="475"/>
      <c r="ADV240" s="475"/>
      <c r="ADW240" s="475"/>
      <c r="ADX240" s="475"/>
      <c r="ADY240" s="475"/>
      <c r="ADZ240" s="475"/>
      <c r="AEA240" s="475"/>
      <c r="AEB240" s="475"/>
      <c r="AEC240" s="475"/>
      <c r="AED240" s="475"/>
      <c r="AEE240" s="475"/>
      <c r="AEF240" s="475"/>
      <c r="AEG240" s="475"/>
      <c r="AEH240" s="475"/>
      <c r="AEI240" s="475"/>
      <c r="AEJ240" s="475"/>
      <c r="AEK240" s="475"/>
      <c r="AEL240" s="475"/>
      <c r="AEM240" s="475"/>
      <c r="AEN240" s="475"/>
      <c r="AEO240" s="475"/>
      <c r="AEP240" s="475"/>
      <c r="AEQ240" s="475"/>
      <c r="AER240" s="475"/>
      <c r="AES240" s="475"/>
      <c r="AET240" s="475"/>
      <c r="AEU240" s="475"/>
      <c r="AEV240" s="475"/>
      <c r="AEW240" s="475"/>
      <c r="AEX240" s="475"/>
      <c r="AEY240" s="475"/>
      <c r="AEZ240" s="475"/>
      <c r="AFA240" s="475"/>
      <c r="AFB240" s="475"/>
      <c r="AFC240" s="475"/>
      <c r="AFD240" s="475"/>
      <c r="AFE240" s="475"/>
      <c r="AFF240" s="475"/>
      <c r="AFG240" s="475"/>
      <c r="AFH240" s="475"/>
      <c r="AFI240" s="475"/>
      <c r="AFJ240" s="475"/>
      <c r="AFK240" s="475"/>
      <c r="AFL240" s="475"/>
      <c r="AFM240" s="475"/>
      <c r="AFN240" s="475"/>
      <c r="AFO240" s="475"/>
      <c r="AFP240" s="475"/>
      <c r="AFQ240" s="475"/>
      <c r="AFR240" s="475"/>
      <c r="AFS240" s="475"/>
      <c r="AFT240" s="475"/>
      <c r="AFU240" s="475"/>
      <c r="AFV240" s="475"/>
      <c r="AFW240" s="475"/>
      <c r="AFX240" s="475"/>
      <c r="AFY240" s="475"/>
      <c r="AFZ240" s="475"/>
      <c r="AGA240" s="475"/>
      <c r="AGB240" s="475"/>
      <c r="AGC240" s="475"/>
      <c r="AGD240" s="475"/>
      <c r="AGE240" s="475"/>
      <c r="AGF240" s="475"/>
      <c r="AGG240" s="475"/>
      <c r="AGH240" s="475"/>
      <c r="AGI240" s="475"/>
      <c r="AGJ240" s="475"/>
      <c r="AGK240" s="475"/>
      <c r="AGL240" s="475"/>
      <c r="AGM240" s="475"/>
      <c r="AGN240" s="475"/>
      <c r="AGO240" s="475"/>
      <c r="AGP240" s="475"/>
      <c r="AGQ240" s="475"/>
      <c r="AGR240" s="475"/>
      <c r="AGS240" s="475"/>
      <c r="AGT240" s="475"/>
      <c r="AGU240" s="475"/>
      <c r="AGV240" s="475"/>
      <c r="AGW240" s="475"/>
      <c r="AGX240" s="475"/>
      <c r="AGY240" s="475"/>
      <c r="AGZ240" s="475"/>
      <c r="AHA240" s="475"/>
      <c r="AHB240" s="475"/>
      <c r="AHC240" s="475"/>
      <c r="AHD240" s="475"/>
      <c r="AHE240" s="475"/>
      <c r="AHF240" s="475"/>
      <c r="AHG240" s="475"/>
      <c r="AHH240" s="475"/>
      <c r="AHI240" s="475"/>
      <c r="AHJ240" s="475"/>
      <c r="AHK240" s="475"/>
      <c r="AHL240" s="475"/>
      <c r="AHM240" s="475"/>
      <c r="AHN240" s="475"/>
      <c r="AHO240" s="475"/>
      <c r="AHP240" s="475"/>
      <c r="AHQ240" s="475"/>
      <c r="AHR240" s="475"/>
      <c r="AHS240" s="475"/>
      <c r="AHT240" s="475"/>
      <c r="AHU240" s="475"/>
      <c r="AHV240" s="475"/>
      <c r="AHW240" s="475"/>
      <c r="AHX240" s="475"/>
      <c r="AHY240" s="475"/>
      <c r="AHZ240" s="475"/>
      <c r="AIA240" s="475"/>
      <c r="AIB240" s="475"/>
      <c r="AIC240" s="475"/>
      <c r="AID240" s="475"/>
      <c r="AIE240" s="475"/>
      <c r="AIF240" s="475"/>
      <c r="AIG240" s="475"/>
      <c r="AIH240" s="475"/>
      <c r="AII240" s="475"/>
      <c r="AIJ240" s="475"/>
      <c r="AIK240" s="475"/>
      <c r="AIL240" s="475"/>
      <c r="AIM240" s="475"/>
      <c r="AIN240" s="475"/>
      <c r="AIO240" s="475"/>
      <c r="AIP240" s="475"/>
      <c r="AIQ240" s="475"/>
      <c r="AIR240" s="475"/>
      <c r="AIS240" s="475"/>
      <c r="AIT240" s="475"/>
      <c r="AIU240" s="475"/>
      <c r="AIV240" s="475"/>
      <c r="AIW240" s="475"/>
      <c r="AIX240" s="475"/>
      <c r="AIY240" s="475"/>
      <c r="AIZ240" s="475"/>
      <c r="AJA240" s="475"/>
      <c r="AJB240" s="475"/>
      <c r="AJC240" s="475"/>
      <c r="AJD240" s="475"/>
      <c r="AJE240" s="475"/>
      <c r="AJF240" s="475"/>
      <c r="AJG240" s="475"/>
      <c r="AJH240" s="475"/>
      <c r="AJI240" s="475"/>
      <c r="AJJ240" s="475"/>
      <c r="AJK240" s="475"/>
      <c r="AJL240" s="475"/>
      <c r="AJM240" s="475"/>
      <c r="AJN240" s="475"/>
      <c r="AJO240" s="475"/>
      <c r="AJP240" s="475"/>
      <c r="AJQ240" s="475"/>
      <c r="AJR240" s="475"/>
      <c r="AJS240" s="475"/>
      <c r="AJT240" s="475"/>
      <c r="AJU240" s="475"/>
      <c r="AJV240" s="475"/>
      <c r="AJW240" s="475"/>
      <c r="AJX240" s="475"/>
      <c r="AJY240" s="475"/>
      <c r="AJZ240" s="475"/>
      <c r="AKA240" s="475"/>
      <c r="AKB240" s="475"/>
      <c r="AKC240" s="475"/>
      <c r="AKD240" s="475"/>
      <c r="AKE240" s="475"/>
      <c r="AKF240" s="475"/>
      <c r="AKG240" s="475"/>
      <c r="AKH240" s="475"/>
      <c r="AKI240" s="475"/>
      <c r="AKJ240" s="475"/>
      <c r="AKK240" s="475"/>
      <c r="AKL240" s="475"/>
      <c r="AKM240" s="475"/>
      <c r="AKN240" s="475"/>
      <c r="AKO240" s="475"/>
      <c r="AKP240" s="475"/>
      <c r="AKQ240" s="475"/>
      <c r="AKR240" s="475"/>
      <c r="AKS240" s="475"/>
      <c r="AKT240" s="475"/>
      <c r="AKU240" s="475"/>
      <c r="AKV240" s="475"/>
      <c r="AKW240" s="475"/>
      <c r="AKX240" s="475"/>
      <c r="AKY240" s="475"/>
      <c r="AKZ240" s="475"/>
      <c r="ALA240" s="475"/>
      <c r="ALB240" s="475"/>
      <c r="ALC240" s="475"/>
      <c r="ALD240" s="475"/>
      <c r="ALE240" s="475"/>
      <c r="ALF240" s="475"/>
      <c r="ALG240" s="475"/>
      <c r="ALH240" s="475"/>
      <c r="ALI240" s="475"/>
      <c r="ALJ240" s="475"/>
      <c r="ALK240" s="475"/>
      <c r="ALL240" s="475"/>
      <c r="ALM240" s="475"/>
      <c r="ALN240" s="475"/>
      <c r="ALO240" s="475"/>
      <c r="ALP240" s="475"/>
      <c r="ALQ240" s="475"/>
      <c r="ALR240" s="475"/>
      <c r="ALS240" s="475"/>
      <c r="ALT240" s="475"/>
      <c r="ALU240" s="475"/>
      <c r="ALV240" s="475"/>
      <c r="ALW240" s="475"/>
      <c r="ALX240" s="475"/>
      <c r="ALY240" s="475"/>
      <c r="ALZ240" s="475"/>
      <c r="AMA240" s="475"/>
      <c r="AMB240" s="475"/>
      <c r="AMC240" s="475"/>
      <c r="AMD240" s="475"/>
      <c r="AME240" s="475"/>
      <c r="AMF240" s="475"/>
      <c r="AMG240" s="475"/>
      <c r="AMH240" s="475"/>
      <c r="AMI240" s="475"/>
      <c r="AMJ240" s="475"/>
      <c r="AMK240" s="475"/>
      <c r="AML240" s="475"/>
      <c r="AMM240" s="475"/>
      <c r="AMN240" s="475"/>
      <c r="AMO240" s="475"/>
      <c r="AMP240" s="475"/>
      <c r="AMQ240" s="475"/>
      <c r="AMR240" s="475"/>
      <c r="AMS240" s="475"/>
      <c r="AMT240" s="475"/>
      <c r="AMU240" s="475"/>
      <c r="AMV240" s="475"/>
      <c r="AMW240" s="475"/>
      <c r="AMX240" s="475"/>
      <c r="AMY240" s="475"/>
      <c r="AMZ240" s="475"/>
      <c r="ANA240" s="475"/>
      <c r="ANB240" s="475"/>
      <c r="ANC240" s="475"/>
      <c r="AND240" s="475"/>
      <c r="ANE240" s="475"/>
      <c r="ANF240" s="475"/>
      <c r="ANG240" s="475"/>
      <c r="ANH240" s="475"/>
      <c r="ANI240" s="475"/>
      <c r="ANJ240" s="475"/>
      <c r="ANK240" s="475"/>
      <c r="ANL240" s="475"/>
      <c r="ANM240" s="475"/>
      <c r="ANN240" s="475"/>
      <c r="ANO240" s="475"/>
      <c r="ANP240" s="475"/>
      <c r="ANQ240" s="475"/>
      <c r="ANR240" s="475"/>
      <c r="ANS240" s="475"/>
      <c r="ANT240" s="475"/>
      <c r="ANU240" s="475"/>
      <c r="ANV240" s="475"/>
      <c r="ANW240" s="475"/>
      <c r="ANX240" s="475"/>
      <c r="ANY240" s="475"/>
      <c r="ANZ240" s="475"/>
      <c r="AOA240" s="475"/>
      <c r="AOB240" s="475"/>
      <c r="AOC240" s="475"/>
      <c r="AOD240" s="475"/>
      <c r="AOE240" s="475"/>
      <c r="AOF240" s="475"/>
      <c r="AOG240" s="475"/>
      <c r="AOH240" s="475"/>
      <c r="AOI240" s="475"/>
      <c r="AOJ240" s="475"/>
      <c r="AOK240" s="475"/>
      <c r="AOL240" s="475"/>
      <c r="AOM240" s="475"/>
      <c r="AON240" s="475"/>
      <c r="AOO240" s="475"/>
      <c r="AOP240" s="475"/>
      <c r="AOQ240" s="475"/>
      <c r="AOR240" s="475"/>
      <c r="AOS240" s="475"/>
      <c r="AOT240" s="475"/>
      <c r="AOU240" s="475"/>
      <c r="AOV240" s="475"/>
      <c r="AOW240" s="475"/>
      <c r="AOX240" s="475"/>
      <c r="AOY240" s="475"/>
      <c r="AOZ240" s="475"/>
      <c r="APA240" s="475"/>
      <c r="APB240" s="475"/>
      <c r="APC240" s="475"/>
      <c r="APD240" s="475"/>
      <c r="APE240" s="475"/>
      <c r="APF240" s="475"/>
      <c r="APG240" s="475"/>
      <c r="APH240" s="475"/>
      <c r="API240" s="475"/>
      <c r="APJ240" s="475"/>
      <c r="APK240" s="475"/>
      <c r="APL240" s="475"/>
      <c r="APM240" s="475"/>
      <c r="APN240" s="475"/>
      <c r="APO240" s="475"/>
      <c r="APP240" s="475"/>
      <c r="APQ240" s="475"/>
      <c r="APR240" s="475"/>
      <c r="APS240" s="475"/>
      <c r="APT240" s="475"/>
      <c r="APU240" s="475"/>
      <c r="APV240" s="475"/>
      <c r="APW240" s="475"/>
      <c r="APX240" s="475"/>
      <c r="APY240" s="475"/>
      <c r="APZ240" s="475"/>
      <c r="AQA240" s="475"/>
      <c r="AQB240" s="475"/>
      <c r="AQC240" s="475"/>
      <c r="AQD240" s="475"/>
      <c r="AQE240" s="475"/>
      <c r="AQF240" s="475"/>
      <c r="AQG240" s="475"/>
      <c r="AQH240" s="475"/>
      <c r="AQI240" s="475"/>
      <c r="AQJ240" s="475"/>
      <c r="AQK240" s="475"/>
      <c r="AQL240" s="475"/>
      <c r="AQM240" s="475"/>
      <c r="AQN240" s="475"/>
      <c r="AQO240" s="475"/>
      <c r="AQP240" s="475"/>
      <c r="AQQ240" s="475"/>
      <c r="AQR240" s="475"/>
      <c r="AQS240" s="475"/>
      <c r="AQT240" s="475"/>
      <c r="AQU240" s="475"/>
      <c r="AQV240" s="475"/>
      <c r="AQW240" s="475"/>
      <c r="AQX240" s="475"/>
      <c r="AQY240" s="475"/>
      <c r="AQZ240" s="475"/>
      <c r="ARA240" s="475"/>
      <c r="ARB240" s="475"/>
      <c r="ARC240" s="475"/>
      <c r="ARD240" s="475"/>
      <c r="ARE240" s="475"/>
      <c r="ARF240" s="475"/>
      <c r="ARG240" s="475"/>
      <c r="ARH240" s="475"/>
      <c r="ARI240" s="475"/>
      <c r="ARJ240" s="475"/>
      <c r="ARK240" s="475"/>
      <c r="ARL240" s="475"/>
      <c r="ARM240" s="475"/>
      <c r="ARN240" s="475"/>
      <c r="ARO240" s="475"/>
      <c r="ARP240" s="475"/>
      <c r="ARQ240" s="475"/>
      <c r="ARR240" s="475"/>
      <c r="ARS240" s="475"/>
      <c r="ART240" s="475"/>
      <c r="ARU240" s="475"/>
      <c r="ARV240" s="475"/>
      <c r="ARW240" s="475"/>
      <c r="ARX240" s="475"/>
      <c r="ARY240" s="475"/>
      <c r="ARZ240" s="475"/>
      <c r="ASA240" s="475"/>
      <c r="ASB240" s="475"/>
      <c r="ASC240" s="475"/>
      <c r="ASD240" s="475"/>
      <c r="ASE240" s="475"/>
      <c r="ASF240" s="475"/>
      <c r="ASG240" s="475"/>
      <c r="ASH240" s="475"/>
      <c r="ASI240" s="475"/>
      <c r="ASJ240" s="475"/>
      <c r="ASK240" s="475"/>
      <c r="ASL240" s="475"/>
      <c r="ASM240" s="475"/>
      <c r="ASN240" s="475"/>
      <c r="ASO240" s="475"/>
      <c r="ASP240" s="475"/>
      <c r="ASQ240" s="475"/>
      <c r="ASR240" s="475"/>
      <c r="ASS240" s="475"/>
      <c r="AST240" s="475"/>
      <c r="ASU240" s="475"/>
      <c r="ASV240" s="475"/>
      <c r="ASW240" s="475"/>
      <c r="ASX240" s="475"/>
      <c r="ASY240" s="475"/>
      <c r="ASZ240" s="475"/>
      <c r="ATA240" s="475"/>
      <c r="ATB240" s="475"/>
      <c r="ATC240" s="475"/>
      <c r="ATD240" s="475"/>
      <c r="ATE240" s="475"/>
      <c r="ATF240" s="475"/>
      <c r="ATG240" s="475"/>
      <c r="ATH240" s="475"/>
      <c r="ATI240" s="475"/>
      <c r="ATJ240" s="475"/>
      <c r="ATK240" s="475"/>
      <c r="ATL240" s="475"/>
      <c r="ATM240" s="475"/>
      <c r="ATN240" s="475"/>
      <c r="ATO240" s="475"/>
      <c r="ATP240" s="475"/>
      <c r="ATQ240" s="475"/>
      <c r="ATR240" s="475"/>
      <c r="ATS240" s="475"/>
      <c r="ATT240" s="475"/>
      <c r="ATU240" s="475"/>
      <c r="ATV240" s="475"/>
      <c r="ATW240" s="475"/>
      <c r="ATX240" s="475"/>
      <c r="ATY240" s="475"/>
      <c r="ATZ240" s="475"/>
      <c r="AUA240" s="475"/>
      <c r="AUB240" s="475"/>
      <c r="AUC240" s="475"/>
      <c r="AUD240" s="475"/>
      <c r="AUE240" s="475"/>
      <c r="AUF240" s="475"/>
      <c r="AUG240" s="475"/>
      <c r="AUH240" s="475"/>
      <c r="AUI240" s="475"/>
      <c r="AUJ240" s="475"/>
      <c r="AUK240" s="475"/>
      <c r="AUL240" s="475"/>
      <c r="AUM240" s="475"/>
      <c r="AUN240" s="475"/>
      <c r="AUO240" s="475"/>
      <c r="AUP240" s="475"/>
      <c r="AUQ240" s="475"/>
      <c r="AUR240" s="475"/>
      <c r="AUS240" s="475"/>
      <c r="AUT240" s="475"/>
      <c r="AUU240" s="475"/>
      <c r="AUV240" s="475"/>
      <c r="AUW240" s="475"/>
      <c r="AUX240" s="475"/>
      <c r="AUY240" s="475"/>
      <c r="AUZ240" s="475"/>
      <c r="AVA240" s="475"/>
      <c r="AVB240" s="475"/>
      <c r="AVC240" s="475"/>
      <c r="AVD240" s="475"/>
      <c r="AVE240" s="475"/>
      <c r="AVF240" s="475"/>
      <c r="AVG240" s="475"/>
      <c r="AVH240" s="475"/>
      <c r="AVI240" s="475"/>
      <c r="AVJ240" s="475"/>
      <c r="AVK240" s="475"/>
      <c r="AVL240" s="475"/>
      <c r="AVM240" s="475"/>
      <c r="AVN240" s="475"/>
      <c r="AVO240" s="475"/>
      <c r="AVP240" s="475"/>
      <c r="AVQ240" s="475"/>
      <c r="AVR240" s="475"/>
      <c r="AVS240" s="475"/>
      <c r="AVT240" s="475"/>
      <c r="AVU240" s="475"/>
      <c r="AVV240" s="475"/>
      <c r="AVW240" s="475"/>
      <c r="AVX240" s="475"/>
      <c r="AVY240" s="475"/>
      <c r="AVZ240" s="475"/>
      <c r="AWA240" s="475"/>
      <c r="AWB240" s="475"/>
      <c r="AWC240" s="475"/>
      <c r="AWD240" s="475"/>
      <c r="AWE240" s="475"/>
      <c r="AWF240" s="475"/>
      <c r="AWG240" s="475"/>
      <c r="AWH240" s="475"/>
      <c r="AWI240" s="475"/>
      <c r="AWJ240" s="475"/>
      <c r="AWK240" s="475"/>
      <c r="AWL240" s="475"/>
      <c r="AWM240" s="475"/>
      <c r="AWN240" s="475"/>
      <c r="AWO240" s="475"/>
      <c r="AWP240" s="475"/>
      <c r="AWQ240" s="475"/>
      <c r="AWR240" s="475"/>
      <c r="AWS240" s="475"/>
      <c r="AWT240" s="475"/>
      <c r="AWU240" s="475"/>
      <c r="AWV240" s="475"/>
      <c r="AWW240" s="475"/>
      <c r="AWX240" s="475"/>
      <c r="AWY240" s="475"/>
      <c r="AWZ240" s="475"/>
      <c r="AXA240" s="475"/>
      <c r="AXB240" s="475"/>
      <c r="AXC240" s="475"/>
      <c r="AXD240" s="475"/>
      <c r="AXE240" s="475"/>
      <c r="AXF240" s="475"/>
      <c r="AXG240" s="475"/>
      <c r="AXH240" s="475"/>
      <c r="AXI240" s="475"/>
      <c r="AXJ240" s="475"/>
      <c r="AXK240" s="475"/>
      <c r="AXL240" s="475"/>
      <c r="AXM240" s="475"/>
      <c r="AXN240" s="475"/>
      <c r="AXO240" s="475"/>
      <c r="AXP240" s="475"/>
      <c r="AXQ240" s="475"/>
      <c r="AXR240" s="475"/>
      <c r="AXS240" s="475"/>
      <c r="AXT240" s="475"/>
      <c r="AXU240" s="475"/>
      <c r="AXV240" s="475"/>
      <c r="AXW240" s="475"/>
      <c r="AXX240" s="475"/>
      <c r="AXY240" s="475"/>
      <c r="AXZ240" s="475"/>
      <c r="AYA240" s="475"/>
      <c r="AYB240" s="475"/>
      <c r="AYC240" s="475"/>
      <c r="AYD240" s="475"/>
      <c r="AYE240" s="475"/>
      <c r="AYF240" s="475"/>
      <c r="AYG240" s="475"/>
      <c r="AYH240" s="475"/>
      <c r="AYI240" s="475"/>
      <c r="AYJ240" s="475"/>
      <c r="AYK240" s="475"/>
      <c r="AYL240" s="475"/>
      <c r="AYM240" s="475"/>
      <c r="AYN240" s="475"/>
      <c r="AYO240" s="475"/>
      <c r="AYP240" s="475"/>
      <c r="AYQ240" s="475"/>
      <c r="AYR240" s="475"/>
      <c r="AYS240" s="475"/>
      <c r="AYT240" s="475"/>
      <c r="AYU240" s="475"/>
      <c r="AYV240" s="475"/>
      <c r="AYW240" s="475"/>
      <c r="AYX240" s="475"/>
      <c r="AYY240" s="475"/>
      <c r="AYZ240" s="475"/>
      <c r="AZA240" s="475"/>
      <c r="AZB240" s="475"/>
      <c r="AZC240" s="475"/>
      <c r="AZD240" s="475"/>
      <c r="AZE240" s="475"/>
      <c r="AZF240" s="475"/>
      <c r="AZG240" s="475"/>
      <c r="AZH240" s="475"/>
      <c r="AZI240" s="475"/>
      <c r="AZJ240" s="475"/>
      <c r="AZK240" s="475"/>
      <c r="AZL240" s="475"/>
      <c r="AZM240" s="475"/>
      <c r="AZN240" s="475"/>
      <c r="AZO240" s="475"/>
      <c r="AZP240" s="475"/>
      <c r="AZQ240" s="475"/>
      <c r="AZR240" s="475"/>
      <c r="AZS240" s="475"/>
      <c r="AZT240" s="475"/>
      <c r="AZU240" s="475"/>
      <c r="AZV240" s="475"/>
      <c r="AZW240" s="475"/>
      <c r="AZX240" s="475"/>
      <c r="AZY240" s="475"/>
      <c r="AZZ240" s="475"/>
      <c r="BAA240" s="475"/>
      <c r="BAB240" s="475"/>
      <c r="BAC240" s="475"/>
      <c r="BAD240" s="475"/>
      <c r="BAE240" s="475"/>
      <c r="BAF240" s="475"/>
      <c r="BAG240" s="475"/>
      <c r="BAH240" s="475"/>
      <c r="BAI240" s="475"/>
      <c r="BAJ240" s="475"/>
      <c r="BAK240" s="475"/>
      <c r="BAL240" s="475"/>
      <c r="BAM240" s="475"/>
      <c r="BAN240" s="475"/>
      <c r="BAO240" s="475"/>
      <c r="BAP240" s="475"/>
      <c r="BAQ240" s="475"/>
      <c r="BAR240" s="475"/>
      <c r="BAS240" s="475"/>
      <c r="BAT240" s="475"/>
      <c r="BAU240" s="475"/>
      <c r="BAV240" s="475"/>
      <c r="BAW240" s="475"/>
      <c r="BAX240" s="475"/>
      <c r="BAY240" s="475"/>
      <c r="BAZ240" s="475"/>
      <c r="BBA240" s="475"/>
      <c r="BBB240" s="475"/>
      <c r="BBC240" s="475"/>
      <c r="BBD240" s="475"/>
      <c r="BBE240" s="475"/>
      <c r="BBF240" s="475"/>
      <c r="BBG240" s="475"/>
      <c r="BBH240" s="475"/>
      <c r="BBI240" s="475"/>
      <c r="BBJ240" s="475"/>
      <c r="BBK240" s="475"/>
      <c r="BBL240" s="475"/>
      <c r="BBM240" s="475"/>
      <c r="BBN240" s="475"/>
      <c r="BBO240" s="475"/>
      <c r="BBP240" s="475"/>
      <c r="BBQ240" s="475"/>
      <c r="BBR240" s="475"/>
      <c r="BBS240" s="475"/>
      <c r="BBT240" s="475"/>
      <c r="BBU240" s="475"/>
      <c r="BBV240" s="475"/>
      <c r="BBW240" s="475"/>
      <c r="BBX240" s="475"/>
      <c r="BBY240" s="475"/>
      <c r="BBZ240" s="475"/>
      <c r="BCA240" s="475"/>
      <c r="BCB240" s="475"/>
      <c r="BCC240" s="475"/>
      <c r="BCD240" s="475"/>
      <c r="BCE240" s="475"/>
      <c r="BCF240" s="475"/>
      <c r="BCG240" s="475"/>
      <c r="BCH240" s="475"/>
      <c r="BCI240" s="475"/>
      <c r="BCJ240" s="475"/>
      <c r="BCK240" s="475"/>
      <c r="BCL240" s="475"/>
      <c r="BCM240" s="475"/>
      <c r="BCN240" s="475"/>
      <c r="BCO240" s="475"/>
      <c r="BCP240" s="475"/>
      <c r="BCQ240" s="475"/>
      <c r="BCR240" s="475"/>
      <c r="BCS240" s="475"/>
      <c r="BCT240" s="475"/>
      <c r="BCU240" s="475"/>
      <c r="BCV240" s="475"/>
      <c r="BCW240" s="475"/>
      <c r="BCX240" s="475"/>
      <c r="BCY240" s="475"/>
      <c r="BCZ240" s="475"/>
      <c r="BDA240" s="475"/>
      <c r="BDB240" s="475"/>
      <c r="BDC240" s="475"/>
      <c r="BDD240" s="475"/>
      <c r="BDE240" s="475"/>
      <c r="BDF240" s="475"/>
      <c r="BDG240" s="475"/>
      <c r="BDH240" s="475"/>
      <c r="BDI240" s="475"/>
      <c r="BDJ240" s="475"/>
      <c r="BDK240" s="475"/>
      <c r="BDL240" s="475"/>
      <c r="BDM240" s="475"/>
      <c r="BDN240" s="475"/>
      <c r="BDO240" s="475"/>
      <c r="BDP240" s="475"/>
      <c r="BDQ240" s="475"/>
      <c r="BDR240" s="475"/>
      <c r="BDS240" s="475"/>
      <c r="BDT240" s="475"/>
      <c r="BDU240" s="475"/>
      <c r="BDV240" s="475"/>
      <c r="BDW240" s="475"/>
      <c r="BDX240" s="475"/>
      <c r="BDY240" s="475"/>
      <c r="BDZ240" s="475"/>
      <c r="BEA240" s="475"/>
      <c r="BEB240" s="475"/>
      <c r="BEC240" s="475"/>
      <c r="BED240" s="475"/>
      <c r="BEE240" s="475"/>
      <c r="BEF240" s="475"/>
      <c r="BEG240" s="475"/>
      <c r="BEH240" s="475"/>
      <c r="BEI240" s="475"/>
      <c r="BEJ240" s="475"/>
      <c r="BEK240" s="475"/>
      <c r="BEL240" s="475"/>
      <c r="BEM240" s="475"/>
      <c r="BEN240" s="475"/>
      <c r="BEO240" s="475"/>
      <c r="BEP240" s="475"/>
      <c r="BEQ240" s="475"/>
      <c r="BER240" s="475"/>
      <c r="BES240" s="475"/>
      <c r="BET240" s="475"/>
      <c r="BEU240" s="475"/>
      <c r="BEV240" s="475"/>
      <c r="BEW240" s="475"/>
      <c r="BEX240" s="475"/>
      <c r="BEY240" s="475"/>
      <c r="BEZ240" s="475"/>
      <c r="BFA240" s="475"/>
      <c r="BFB240" s="475"/>
      <c r="BFC240" s="475"/>
      <c r="BFD240" s="475"/>
      <c r="BFE240" s="475"/>
      <c r="BFF240" s="475"/>
      <c r="BFG240" s="475"/>
      <c r="BFH240" s="475"/>
      <c r="BFI240" s="475"/>
      <c r="BFJ240" s="475"/>
      <c r="BFK240" s="475"/>
      <c r="BFL240" s="475"/>
      <c r="BFM240" s="475"/>
      <c r="BFN240" s="475"/>
      <c r="BFO240" s="475"/>
      <c r="BFP240" s="475"/>
      <c r="BFQ240" s="475"/>
      <c r="BFR240" s="475"/>
      <c r="BFS240" s="475"/>
      <c r="BFT240" s="475"/>
      <c r="BFU240" s="475"/>
      <c r="BFV240" s="475"/>
      <c r="BFW240" s="475"/>
      <c r="BFX240" s="475"/>
      <c r="BFY240" s="475"/>
      <c r="BFZ240" s="475"/>
      <c r="BGA240" s="475"/>
      <c r="BGB240" s="475"/>
      <c r="BGC240" s="475"/>
      <c r="BGD240" s="475"/>
      <c r="BGE240" s="475"/>
      <c r="BGF240" s="475"/>
      <c r="BGG240" s="475"/>
      <c r="BGH240" s="475"/>
      <c r="BGI240" s="475"/>
      <c r="BGJ240" s="475"/>
      <c r="BGK240" s="475"/>
      <c r="BGL240" s="475"/>
      <c r="BGM240" s="475"/>
      <c r="BGN240" s="475"/>
      <c r="BGO240" s="475"/>
      <c r="BGP240" s="475"/>
      <c r="BGQ240" s="475"/>
      <c r="BGR240" s="475"/>
      <c r="BGS240" s="475"/>
      <c r="BGT240" s="475"/>
      <c r="BGU240" s="475"/>
      <c r="BGV240" s="475"/>
      <c r="BGW240" s="475"/>
      <c r="BGX240" s="475"/>
      <c r="BGY240" s="475"/>
      <c r="BGZ240" s="475"/>
      <c r="BHA240" s="475"/>
      <c r="BHB240" s="475"/>
      <c r="BHC240" s="475"/>
      <c r="BHD240" s="475"/>
      <c r="BHE240" s="475"/>
      <c r="BHF240" s="475"/>
      <c r="BHG240" s="475"/>
      <c r="BHH240" s="475"/>
      <c r="BHI240" s="475"/>
      <c r="BHJ240" s="475"/>
      <c r="BHK240" s="475"/>
      <c r="BHL240" s="475"/>
      <c r="BHM240" s="475"/>
      <c r="BHN240" s="475"/>
      <c r="BHO240" s="475"/>
      <c r="BHP240" s="475"/>
      <c r="BHQ240" s="475"/>
      <c r="BHR240" s="475"/>
      <c r="BHS240" s="475"/>
      <c r="BHT240" s="475"/>
      <c r="BHU240" s="475"/>
      <c r="BHV240" s="475"/>
      <c r="BHW240" s="475"/>
      <c r="BHX240" s="475"/>
      <c r="BHY240" s="475"/>
      <c r="BHZ240" s="475"/>
      <c r="BIA240" s="475"/>
      <c r="BIB240" s="475"/>
      <c r="BIC240" s="475"/>
      <c r="BID240" s="475"/>
      <c r="BIE240" s="475"/>
      <c r="BIF240" s="475"/>
      <c r="BIG240" s="475"/>
      <c r="BIH240" s="475"/>
      <c r="BII240" s="475"/>
      <c r="BIJ240" s="475"/>
      <c r="BIK240" s="475"/>
      <c r="BIL240" s="475"/>
      <c r="BIM240" s="475"/>
      <c r="BIN240" s="475"/>
      <c r="BIO240" s="475"/>
      <c r="BIP240" s="475"/>
      <c r="BIQ240" s="475"/>
      <c r="BIR240" s="475"/>
      <c r="BIS240" s="475"/>
      <c r="BIT240" s="475"/>
      <c r="BIU240" s="475"/>
      <c r="BIV240" s="475"/>
      <c r="BIW240" s="475"/>
      <c r="BIX240" s="475"/>
      <c r="BIY240" s="475"/>
      <c r="BIZ240" s="475"/>
      <c r="BJA240" s="475"/>
      <c r="BJB240" s="475"/>
      <c r="BJC240" s="475"/>
      <c r="BJD240" s="475"/>
      <c r="BJE240" s="475"/>
      <c r="BJF240" s="475"/>
      <c r="BJG240" s="475"/>
      <c r="BJH240" s="475"/>
      <c r="BJI240" s="475"/>
      <c r="BJJ240" s="475"/>
      <c r="BJK240" s="475"/>
      <c r="BJL240" s="475"/>
      <c r="BJM240" s="475"/>
      <c r="BJN240" s="475"/>
      <c r="BJO240" s="475"/>
      <c r="BJP240" s="475"/>
      <c r="BJQ240" s="475"/>
      <c r="BJR240" s="475"/>
      <c r="BJS240" s="475"/>
      <c r="BJT240" s="475"/>
      <c r="BJU240" s="475"/>
      <c r="BJV240" s="475"/>
      <c r="BJW240" s="475"/>
      <c r="BJX240" s="475"/>
      <c r="BJY240" s="475"/>
      <c r="BJZ240" s="475"/>
      <c r="BKA240" s="475"/>
      <c r="BKB240" s="475"/>
      <c r="BKC240" s="475"/>
      <c r="BKD240" s="475"/>
      <c r="BKE240" s="475"/>
      <c r="BKF240" s="475"/>
      <c r="BKG240" s="475"/>
      <c r="BKH240" s="475"/>
      <c r="BKI240" s="475"/>
      <c r="BKJ240" s="475"/>
      <c r="BKK240" s="475"/>
      <c r="BKL240" s="475"/>
      <c r="BKM240" s="475"/>
      <c r="BKN240" s="475"/>
      <c r="BKO240" s="475"/>
      <c r="BKP240" s="475"/>
      <c r="BKQ240" s="475"/>
      <c r="BKR240" s="475"/>
      <c r="BKS240" s="475"/>
      <c r="BKT240" s="475"/>
      <c r="BKU240" s="475"/>
      <c r="BKV240" s="475"/>
      <c r="BKW240" s="475"/>
      <c r="BKX240" s="475"/>
      <c r="BKY240" s="475"/>
      <c r="BKZ240" s="475"/>
      <c r="BLA240" s="475"/>
      <c r="BLB240" s="475"/>
      <c r="BLC240" s="475"/>
      <c r="BLD240" s="475"/>
      <c r="BLE240" s="475"/>
      <c r="BLF240" s="475"/>
      <c r="BLG240" s="475"/>
      <c r="BLH240" s="475"/>
      <c r="BLI240" s="475"/>
      <c r="BLJ240" s="475"/>
      <c r="BLK240" s="475"/>
      <c r="BLL240" s="475"/>
      <c r="BLM240" s="475"/>
      <c r="BLN240" s="475"/>
      <c r="BLO240" s="475"/>
      <c r="BLP240" s="475"/>
      <c r="BLQ240" s="475"/>
      <c r="BLR240" s="475"/>
      <c r="BLS240" s="475"/>
      <c r="BLT240" s="475"/>
      <c r="BLU240" s="475"/>
      <c r="BLV240" s="475"/>
      <c r="BLW240" s="475"/>
      <c r="BLX240" s="475"/>
      <c r="BLY240" s="475"/>
      <c r="BLZ240" s="475"/>
      <c r="BMA240" s="475"/>
      <c r="BMB240" s="475"/>
      <c r="BMC240" s="475"/>
      <c r="BMD240" s="475"/>
      <c r="BME240" s="475"/>
      <c r="BMF240" s="475"/>
      <c r="BMG240" s="475"/>
      <c r="BMH240" s="475"/>
      <c r="BMI240" s="475"/>
      <c r="BMJ240" s="475"/>
      <c r="BMK240" s="475"/>
      <c r="BML240" s="475"/>
      <c r="BMM240" s="475"/>
      <c r="BMN240" s="475"/>
      <c r="BMO240" s="475"/>
      <c r="BMP240" s="475"/>
      <c r="BMQ240" s="475"/>
      <c r="BMR240" s="475"/>
      <c r="BMS240" s="475"/>
      <c r="BMT240" s="475"/>
      <c r="BMU240" s="475"/>
      <c r="BMV240" s="475"/>
      <c r="BMW240" s="475"/>
      <c r="BMX240" s="475"/>
      <c r="BMY240" s="475"/>
      <c r="BMZ240" s="475"/>
      <c r="BNA240" s="475"/>
      <c r="BNB240" s="475"/>
      <c r="BNC240" s="475"/>
      <c r="BND240" s="475"/>
      <c r="BNE240" s="475"/>
      <c r="BNF240" s="475"/>
      <c r="BNG240" s="475"/>
      <c r="BNH240" s="475"/>
      <c r="BNI240" s="475"/>
      <c r="BNJ240" s="475"/>
      <c r="BNK240" s="475"/>
      <c r="BNL240" s="475"/>
      <c r="BNM240" s="475"/>
      <c r="BNN240" s="475"/>
      <c r="BNO240" s="475"/>
      <c r="BNP240" s="475"/>
      <c r="BNQ240" s="475"/>
      <c r="BNR240" s="475"/>
      <c r="BNS240" s="475"/>
      <c r="BNT240" s="475"/>
      <c r="BNU240" s="475"/>
      <c r="BNV240" s="475"/>
      <c r="BNW240" s="475"/>
      <c r="BNX240" s="475"/>
      <c r="BNY240" s="475"/>
      <c r="BNZ240" s="475"/>
      <c r="BOA240" s="475"/>
      <c r="BOB240" s="475"/>
      <c r="BOC240" s="475"/>
      <c r="BOD240" s="475"/>
      <c r="BOE240" s="475"/>
      <c r="BOF240" s="475"/>
      <c r="BOG240" s="475"/>
      <c r="BOH240" s="475"/>
      <c r="BOI240" s="475"/>
      <c r="BOJ240" s="475"/>
      <c r="BOK240" s="475"/>
      <c r="BOL240" s="475"/>
      <c r="BOM240" s="475"/>
      <c r="BON240" s="475"/>
      <c r="BOO240" s="475"/>
      <c r="BOP240" s="475"/>
      <c r="BOQ240" s="475"/>
      <c r="BOR240" s="475"/>
      <c r="BOS240" s="475"/>
      <c r="BOT240" s="475"/>
      <c r="BOU240" s="475"/>
      <c r="BOV240" s="475"/>
      <c r="BOW240" s="475"/>
      <c r="BOX240" s="475"/>
      <c r="BOY240" s="475"/>
      <c r="BOZ240" s="475"/>
      <c r="BPA240" s="475"/>
      <c r="BPB240" s="475"/>
      <c r="BPC240" s="475"/>
      <c r="BPD240" s="475"/>
      <c r="BPE240" s="475"/>
      <c r="BPF240" s="475"/>
      <c r="BPG240" s="475"/>
      <c r="BPH240" s="475"/>
      <c r="BPI240" s="475"/>
      <c r="BPJ240" s="475"/>
      <c r="BPK240" s="475"/>
      <c r="BPL240" s="475"/>
      <c r="BPM240" s="475"/>
      <c r="BPN240" s="475"/>
      <c r="BPO240" s="475"/>
      <c r="BPP240" s="475"/>
      <c r="BPQ240" s="475"/>
      <c r="BPR240" s="475"/>
      <c r="BPS240" s="475"/>
      <c r="BPT240" s="475"/>
      <c r="BPU240" s="475"/>
      <c r="BPV240" s="475"/>
      <c r="BPW240" s="475"/>
      <c r="BPX240" s="475"/>
      <c r="BPY240" s="475"/>
      <c r="BPZ240" s="475"/>
      <c r="BQA240" s="475"/>
      <c r="BQB240" s="475"/>
      <c r="BQC240" s="475"/>
      <c r="BQD240" s="475"/>
      <c r="BQE240" s="475"/>
      <c r="BQF240" s="475"/>
      <c r="BQG240" s="475"/>
      <c r="BQH240" s="475"/>
      <c r="BQI240" s="475"/>
      <c r="BQJ240" s="475"/>
      <c r="BQK240" s="475"/>
      <c r="BQL240" s="475"/>
      <c r="BQM240" s="475"/>
      <c r="BQN240" s="475"/>
      <c r="BQO240" s="475"/>
      <c r="BQP240" s="475"/>
      <c r="BQQ240" s="475"/>
      <c r="BQR240" s="475"/>
      <c r="BQS240" s="475"/>
      <c r="BQT240" s="475"/>
      <c r="BQU240" s="475"/>
      <c r="BQV240" s="475"/>
      <c r="BQW240" s="475"/>
      <c r="BQX240" s="475"/>
      <c r="BQY240" s="475"/>
      <c r="BQZ240" s="475"/>
      <c r="BRA240" s="475"/>
      <c r="BRB240" s="475"/>
      <c r="BRC240" s="475"/>
      <c r="BRD240" s="475"/>
      <c r="BRE240" s="475"/>
      <c r="BRF240" s="475"/>
      <c r="BRG240" s="475"/>
      <c r="BRH240" s="475"/>
      <c r="BRI240" s="475"/>
      <c r="BRJ240" s="475"/>
      <c r="BRK240" s="475"/>
      <c r="BRL240" s="475"/>
      <c r="BRM240" s="475"/>
      <c r="BRN240" s="475"/>
      <c r="BRO240" s="475"/>
      <c r="BRP240" s="475"/>
      <c r="BRQ240" s="475"/>
      <c r="BRR240" s="475"/>
      <c r="BRS240" s="475"/>
      <c r="BRT240" s="475"/>
      <c r="BRU240" s="475"/>
      <c r="BRV240" s="475"/>
      <c r="BRW240" s="475"/>
      <c r="BRX240" s="475"/>
      <c r="BRY240" s="475"/>
      <c r="BRZ240" s="475"/>
      <c r="BSA240" s="475"/>
      <c r="BSB240" s="475"/>
      <c r="BSC240" s="475"/>
      <c r="BSD240" s="475"/>
      <c r="BSE240" s="475"/>
      <c r="BSF240" s="475"/>
      <c r="BSG240" s="475"/>
      <c r="BSH240" s="475"/>
      <c r="BSI240" s="475"/>
      <c r="BSJ240" s="475"/>
      <c r="BSK240" s="475"/>
      <c r="BSL240" s="475"/>
      <c r="BSM240" s="475"/>
      <c r="BSN240" s="475"/>
      <c r="BSO240" s="475"/>
      <c r="BSP240" s="475"/>
      <c r="BSQ240" s="475"/>
      <c r="BSR240" s="475"/>
      <c r="BSS240" s="475"/>
      <c r="BST240" s="475"/>
      <c r="BSU240" s="475"/>
      <c r="BSV240" s="475"/>
      <c r="BSW240" s="475"/>
      <c r="BSX240" s="475"/>
      <c r="BSY240" s="475"/>
      <c r="BSZ240" s="475"/>
      <c r="BTA240" s="475"/>
      <c r="BTB240" s="475"/>
      <c r="BTC240" s="475"/>
      <c r="BTD240" s="475"/>
      <c r="BTE240" s="475"/>
      <c r="BTF240" s="475"/>
      <c r="BTG240" s="475"/>
      <c r="BTH240" s="475"/>
      <c r="BTI240" s="475"/>
    </row>
    <row r="241" spans="1:1881" s="474" customFormat="1" ht="58.5" customHeight="1" x14ac:dyDescent="0.25">
      <c r="A241" s="726">
        <v>950</v>
      </c>
      <c r="B241" s="733"/>
      <c r="C241" s="734"/>
      <c r="D241" s="739" t="s">
        <v>773</v>
      </c>
      <c r="E241" s="730" t="s">
        <v>771</v>
      </c>
      <c r="F241" s="859"/>
      <c r="G241" s="536" t="str">
        <f t="shared" si="3"/>
        <v>Please do not leave blank</v>
      </c>
      <c r="H241" s="476"/>
      <c r="I241"/>
      <c r="J241"/>
      <c r="K241"/>
      <c r="L241"/>
      <c r="M241"/>
      <c r="N241"/>
      <c r="O241"/>
      <c r="P241" s="475"/>
      <c r="Q241" s="475"/>
      <c r="R241"/>
      <c r="S241" s="471"/>
      <c r="T241" s="475"/>
      <c r="U241" s="475"/>
      <c r="V241" s="475"/>
      <c r="W241" s="475"/>
      <c r="X241" s="682"/>
      <c r="Y241" s="475"/>
      <c r="Z241" s="475"/>
      <c r="AA241" s="475"/>
      <c r="AB241" s="475"/>
      <c r="AC241" s="475"/>
      <c r="AD241" s="475"/>
      <c r="AE241" s="475"/>
      <c r="AF241" s="475"/>
      <c r="AG241" s="475"/>
      <c r="AH241" s="475"/>
      <c r="AI241" s="475"/>
      <c r="AJ241" s="475"/>
      <c r="AK241" s="475"/>
      <c r="AL241" s="475"/>
      <c r="AM241" s="475"/>
      <c r="AN241" s="475"/>
      <c r="AO241" s="475"/>
      <c r="AP241" s="475"/>
      <c r="AQ241" s="475"/>
      <c r="AR241" s="475"/>
      <c r="AS241" s="475"/>
      <c r="AT241" s="475"/>
      <c r="AU241" s="475"/>
      <c r="AV241" s="475"/>
      <c r="AW241" s="475"/>
      <c r="AX241" s="475"/>
      <c r="AY241" s="475"/>
      <c r="AZ241" s="475"/>
      <c r="BA241" s="475"/>
      <c r="BB241" s="475"/>
      <c r="BC241" s="475"/>
      <c r="BD241" s="475"/>
      <c r="BE241" s="475"/>
      <c r="BF241" s="475"/>
      <c r="BG241" s="475"/>
      <c r="BH241" s="475"/>
      <c r="BI241" s="475"/>
      <c r="BJ241" s="475"/>
      <c r="BK241" s="475"/>
      <c r="BL241" s="475"/>
      <c r="BM241" s="475"/>
      <c r="BN241" s="475"/>
      <c r="BO241" s="475"/>
      <c r="BP241" s="475"/>
      <c r="BQ241" s="475"/>
      <c r="BR241" s="475"/>
      <c r="BS241" s="475"/>
      <c r="BT241" s="475"/>
      <c r="BU241" s="475"/>
      <c r="BV241" s="475"/>
      <c r="BW241" s="475"/>
      <c r="BX241" s="475"/>
      <c r="BY241" s="475"/>
      <c r="BZ241" s="475"/>
      <c r="CA241" s="475"/>
      <c r="CB241" s="475"/>
      <c r="CC241" s="475"/>
      <c r="CD241" s="475"/>
      <c r="CE241" s="475"/>
      <c r="CF241" s="475"/>
      <c r="CG241" s="475"/>
      <c r="CH241" s="475"/>
      <c r="CI241" s="475"/>
      <c r="CJ241" s="475"/>
      <c r="CK241" s="475"/>
      <c r="CL241" s="475"/>
      <c r="CM241" s="475"/>
      <c r="CN241" s="475"/>
      <c r="CO241" s="475"/>
      <c r="CP241" s="475"/>
      <c r="CQ241" s="475"/>
      <c r="CR241" s="475"/>
      <c r="CS241" s="475"/>
      <c r="CT241" s="475"/>
      <c r="CU241" s="475"/>
      <c r="CV241" s="475"/>
      <c r="CW241" s="475"/>
      <c r="CX241" s="475"/>
      <c r="CY241" s="475"/>
      <c r="CZ241" s="475"/>
      <c r="DA241" s="475"/>
      <c r="DB241" s="475"/>
      <c r="DC241" s="475"/>
      <c r="DD241" s="475"/>
      <c r="DE241" s="475"/>
      <c r="DF241" s="475"/>
      <c r="DG241" s="475"/>
      <c r="DH241" s="475"/>
      <c r="DI241" s="475"/>
      <c r="DJ241" s="475"/>
      <c r="DK241" s="475"/>
      <c r="DL241" s="475"/>
      <c r="DM241" s="475"/>
      <c r="DN241" s="475"/>
      <c r="DO241" s="475"/>
      <c r="DP241" s="475"/>
      <c r="DQ241" s="475"/>
      <c r="DR241" s="475"/>
      <c r="DS241" s="475"/>
      <c r="DT241" s="475"/>
      <c r="DU241" s="475"/>
      <c r="DV241" s="475"/>
      <c r="DW241" s="475"/>
      <c r="DX241" s="475"/>
      <c r="DY241" s="475"/>
      <c r="DZ241" s="475"/>
      <c r="EA241" s="475"/>
      <c r="EB241" s="475"/>
      <c r="EC241" s="475"/>
      <c r="ED241" s="475"/>
      <c r="EE241" s="475"/>
      <c r="EF241" s="475"/>
      <c r="EG241" s="475"/>
      <c r="EH241" s="475"/>
      <c r="EI241" s="475"/>
      <c r="EJ241" s="475"/>
      <c r="EK241" s="475"/>
      <c r="EL241" s="475"/>
      <c r="EM241" s="475"/>
      <c r="EN241" s="475"/>
      <c r="EO241" s="475"/>
      <c r="EP241" s="475"/>
      <c r="EQ241" s="475"/>
      <c r="ER241" s="475"/>
      <c r="ES241" s="475"/>
      <c r="ET241" s="475"/>
      <c r="EU241" s="475"/>
      <c r="EV241" s="475"/>
      <c r="EW241" s="475"/>
      <c r="EX241" s="475"/>
      <c r="EY241" s="475"/>
      <c r="EZ241" s="475"/>
      <c r="FA241" s="475"/>
      <c r="FB241" s="475"/>
      <c r="FC241" s="475"/>
      <c r="FD241" s="475"/>
      <c r="FE241" s="475"/>
      <c r="FF241" s="475"/>
      <c r="FG241" s="475"/>
      <c r="FH241" s="475"/>
      <c r="FI241" s="475"/>
      <c r="FJ241" s="475"/>
      <c r="FK241" s="475"/>
      <c r="FL241" s="475"/>
      <c r="FM241" s="475"/>
      <c r="FN241" s="475"/>
      <c r="FO241" s="475"/>
      <c r="FP241" s="475"/>
      <c r="FQ241" s="475"/>
      <c r="FR241" s="475"/>
      <c r="FS241" s="475"/>
      <c r="FT241" s="475"/>
      <c r="FU241" s="475"/>
      <c r="FV241" s="475"/>
      <c r="FW241" s="475"/>
      <c r="FX241" s="475"/>
      <c r="FY241" s="475"/>
      <c r="FZ241" s="475"/>
      <c r="GA241" s="475"/>
      <c r="GB241" s="475"/>
      <c r="GC241" s="475"/>
      <c r="GD241" s="475"/>
      <c r="GE241" s="475"/>
      <c r="GF241" s="475"/>
      <c r="GG241" s="475"/>
      <c r="GH241" s="475"/>
      <c r="GI241" s="475"/>
      <c r="GJ241" s="475"/>
      <c r="GK241" s="475"/>
      <c r="GL241" s="475"/>
      <c r="GM241" s="475"/>
      <c r="GN241" s="475"/>
      <c r="GO241" s="475"/>
      <c r="GP241" s="475"/>
      <c r="GQ241" s="475"/>
      <c r="GR241" s="475"/>
      <c r="GS241" s="475"/>
      <c r="GT241" s="475"/>
      <c r="GU241" s="475"/>
      <c r="GV241" s="475"/>
      <c r="GW241" s="475"/>
      <c r="GX241" s="475"/>
      <c r="GY241" s="475"/>
      <c r="GZ241" s="475"/>
      <c r="HA241" s="475"/>
      <c r="HB241" s="475"/>
      <c r="HC241" s="475"/>
      <c r="HD241" s="475"/>
      <c r="HE241" s="475"/>
      <c r="HF241" s="475"/>
      <c r="HG241" s="475"/>
      <c r="HH241" s="475"/>
      <c r="HI241" s="475"/>
      <c r="HJ241" s="475"/>
      <c r="HK241" s="475"/>
      <c r="HL241" s="475"/>
      <c r="HM241" s="475"/>
      <c r="HN241" s="475"/>
      <c r="HO241" s="475"/>
      <c r="HP241" s="475"/>
      <c r="HQ241" s="475"/>
      <c r="HR241" s="475"/>
      <c r="HS241" s="475"/>
      <c r="HT241" s="475"/>
      <c r="HU241" s="475"/>
      <c r="HV241" s="475"/>
      <c r="HW241" s="475"/>
      <c r="HX241" s="475"/>
      <c r="HY241" s="475"/>
      <c r="HZ241" s="475"/>
      <c r="IA241" s="475"/>
      <c r="IB241" s="475"/>
      <c r="IC241" s="475"/>
      <c r="ID241" s="475"/>
      <c r="IE241" s="475"/>
      <c r="IF241" s="475"/>
      <c r="IG241" s="475"/>
      <c r="IH241" s="475"/>
      <c r="II241" s="475"/>
      <c r="IJ241" s="475"/>
      <c r="IK241" s="475"/>
      <c r="IL241" s="475"/>
      <c r="IM241" s="475"/>
      <c r="IN241" s="475"/>
      <c r="IO241" s="475"/>
      <c r="IP241" s="475"/>
      <c r="IQ241" s="475"/>
      <c r="IR241" s="475"/>
      <c r="IS241" s="475"/>
      <c r="IT241" s="475"/>
      <c r="IU241" s="475"/>
      <c r="IV241" s="475"/>
      <c r="IW241" s="475"/>
      <c r="IX241" s="475"/>
      <c r="IY241" s="475"/>
      <c r="IZ241" s="475"/>
      <c r="JA241" s="475"/>
      <c r="JB241" s="475"/>
      <c r="JC241" s="475"/>
      <c r="JD241" s="475"/>
      <c r="JE241" s="475"/>
      <c r="JF241" s="475"/>
      <c r="JG241" s="475"/>
      <c r="JH241" s="475"/>
      <c r="JI241" s="475"/>
      <c r="JJ241" s="475"/>
      <c r="JK241" s="475"/>
      <c r="JL241" s="475"/>
      <c r="JM241" s="475"/>
      <c r="JN241" s="475"/>
      <c r="JO241" s="475"/>
      <c r="JP241" s="475"/>
      <c r="JQ241" s="475"/>
      <c r="JR241" s="475"/>
      <c r="JS241" s="475"/>
      <c r="JT241" s="475"/>
      <c r="JU241" s="475"/>
      <c r="JV241" s="475"/>
      <c r="JW241" s="475"/>
      <c r="JX241" s="475"/>
      <c r="JY241" s="475"/>
      <c r="JZ241" s="475"/>
      <c r="KA241" s="475"/>
      <c r="KB241" s="475"/>
      <c r="KC241" s="475"/>
      <c r="KD241" s="475"/>
      <c r="KE241" s="475"/>
      <c r="KF241" s="475"/>
      <c r="KG241" s="475"/>
      <c r="KH241" s="475"/>
      <c r="KI241" s="475"/>
      <c r="KJ241" s="475"/>
      <c r="KK241" s="475"/>
      <c r="KL241" s="475"/>
      <c r="KM241" s="475"/>
      <c r="KN241" s="475"/>
      <c r="KO241" s="475"/>
      <c r="KP241" s="475"/>
      <c r="KQ241" s="475"/>
      <c r="KR241" s="475"/>
      <c r="KS241" s="475"/>
      <c r="KT241" s="475"/>
      <c r="KU241" s="475"/>
      <c r="KV241" s="475"/>
      <c r="KW241" s="475"/>
      <c r="KX241" s="475"/>
      <c r="KY241" s="475"/>
      <c r="KZ241" s="475"/>
      <c r="LA241" s="475"/>
      <c r="LB241" s="475"/>
      <c r="LC241" s="475"/>
      <c r="LD241" s="475"/>
      <c r="LE241" s="475"/>
      <c r="LF241" s="475"/>
      <c r="LG241" s="475"/>
      <c r="LH241" s="475"/>
      <c r="LI241" s="475"/>
      <c r="LJ241" s="475"/>
      <c r="LK241" s="475"/>
      <c r="LL241" s="475"/>
      <c r="LM241" s="475"/>
      <c r="LN241" s="475"/>
      <c r="LO241" s="475"/>
      <c r="LP241" s="475"/>
      <c r="LQ241" s="475"/>
      <c r="LR241" s="475"/>
      <c r="LS241" s="475"/>
      <c r="LT241" s="475"/>
      <c r="LU241" s="475"/>
      <c r="LV241" s="475"/>
      <c r="LW241" s="475"/>
      <c r="LX241" s="475"/>
      <c r="LY241" s="475"/>
      <c r="LZ241" s="475"/>
      <c r="MA241" s="475"/>
      <c r="MB241" s="475"/>
      <c r="MC241" s="475"/>
      <c r="MD241" s="475"/>
      <c r="ME241" s="475"/>
      <c r="MF241" s="475"/>
      <c r="MG241" s="475"/>
      <c r="MH241" s="475"/>
      <c r="MI241" s="475"/>
      <c r="MJ241" s="475"/>
      <c r="MK241" s="475"/>
      <c r="ML241" s="475"/>
      <c r="MM241" s="475"/>
      <c r="MN241" s="475"/>
      <c r="MO241" s="475"/>
      <c r="MP241" s="475"/>
      <c r="MQ241" s="475"/>
      <c r="MR241" s="475"/>
      <c r="MS241" s="475"/>
      <c r="MT241" s="475"/>
      <c r="MU241" s="475"/>
      <c r="MV241" s="475"/>
      <c r="MW241" s="475"/>
      <c r="MX241" s="475"/>
      <c r="MY241" s="475"/>
      <c r="MZ241" s="475"/>
      <c r="NA241" s="475"/>
      <c r="NB241" s="475"/>
      <c r="NC241" s="475"/>
      <c r="ND241" s="475"/>
      <c r="NE241" s="475"/>
      <c r="NF241" s="475"/>
      <c r="NG241" s="475"/>
      <c r="NH241" s="475"/>
      <c r="NI241" s="475"/>
      <c r="NJ241" s="475"/>
      <c r="NK241" s="475"/>
      <c r="NL241" s="475"/>
      <c r="NM241" s="475"/>
      <c r="NN241" s="475"/>
      <c r="NO241" s="475"/>
      <c r="NP241" s="475"/>
      <c r="NQ241" s="475"/>
      <c r="NR241" s="475"/>
      <c r="NS241" s="475"/>
      <c r="NT241" s="475"/>
      <c r="NU241" s="475"/>
      <c r="NV241" s="475"/>
      <c r="NW241" s="475"/>
      <c r="NX241" s="475"/>
      <c r="NY241" s="475"/>
      <c r="NZ241" s="475"/>
      <c r="OA241" s="475"/>
      <c r="OB241" s="475"/>
      <c r="OC241" s="475"/>
      <c r="OD241" s="475"/>
      <c r="OE241" s="475"/>
      <c r="OF241" s="475"/>
      <c r="OG241" s="475"/>
      <c r="OH241" s="475"/>
      <c r="OI241" s="475"/>
      <c r="OJ241" s="475"/>
      <c r="OK241" s="475"/>
      <c r="OL241" s="475"/>
      <c r="OM241" s="475"/>
      <c r="ON241" s="475"/>
      <c r="OO241" s="475"/>
      <c r="OP241" s="475"/>
      <c r="OQ241" s="475"/>
      <c r="OR241" s="475"/>
      <c r="OS241" s="475"/>
      <c r="OT241" s="475"/>
      <c r="OU241" s="475"/>
      <c r="OV241" s="475"/>
      <c r="OW241" s="475"/>
      <c r="OX241" s="475"/>
      <c r="OY241" s="475"/>
      <c r="OZ241" s="475"/>
      <c r="PA241" s="475"/>
      <c r="PB241" s="475"/>
      <c r="PC241" s="475"/>
      <c r="PD241" s="475"/>
      <c r="PE241" s="475"/>
      <c r="PF241" s="475"/>
      <c r="PG241" s="475"/>
      <c r="PH241" s="475"/>
      <c r="PI241" s="475"/>
      <c r="PJ241" s="475"/>
      <c r="PK241" s="475"/>
      <c r="PL241" s="475"/>
      <c r="PM241" s="475"/>
      <c r="PN241" s="475"/>
      <c r="PO241" s="475"/>
      <c r="PP241" s="475"/>
      <c r="PQ241" s="475"/>
      <c r="PR241" s="475"/>
      <c r="PS241" s="475"/>
      <c r="PT241" s="475"/>
      <c r="PU241" s="475"/>
      <c r="PV241" s="475"/>
      <c r="PW241" s="475"/>
      <c r="PX241" s="475"/>
      <c r="PY241" s="475"/>
      <c r="PZ241" s="475"/>
      <c r="QA241" s="475"/>
      <c r="QB241" s="475"/>
      <c r="QC241" s="475"/>
      <c r="QD241" s="475"/>
      <c r="QE241" s="475"/>
      <c r="QF241" s="475"/>
      <c r="QG241" s="475"/>
      <c r="QH241" s="475"/>
      <c r="QI241" s="475"/>
      <c r="QJ241" s="475"/>
      <c r="QK241" s="475"/>
      <c r="QL241" s="475"/>
      <c r="QM241" s="475"/>
      <c r="QN241" s="475"/>
      <c r="QO241" s="475"/>
      <c r="QP241" s="475"/>
      <c r="QQ241" s="475"/>
      <c r="QR241" s="475"/>
      <c r="QS241" s="475"/>
      <c r="QT241" s="475"/>
      <c r="QU241" s="475"/>
      <c r="QV241" s="475"/>
      <c r="QW241" s="475"/>
      <c r="QX241" s="475"/>
      <c r="QY241" s="475"/>
      <c r="QZ241" s="475"/>
      <c r="RA241" s="475"/>
      <c r="RB241" s="475"/>
      <c r="RC241" s="475"/>
      <c r="RD241" s="475"/>
      <c r="RE241" s="475"/>
      <c r="RF241" s="475"/>
      <c r="RG241" s="475"/>
      <c r="RH241" s="475"/>
      <c r="RI241" s="475"/>
      <c r="RJ241" s="475"/>
      <c r="RK241" s="475"/>
      <c r="RL241" s="475"/>
      <c r="RM241" s="475"/>
      <c r="RN241" s="475"/>
      <c r="RO241" s="475"/>
      <c r="RP241" s="475"/>
      <c r="RQ241" s="475"/>
      <c r="RR241" s="475"/>
      <c r="RS241" s="475"/>
      <c r="RT241" s="475"/>
      <c r="RU241" s="475"/>
      <c r="RV241" s="475"/>
      <c r="RW241" s="475"/>
      <c r="RX241" s="475"/>
      <c r="RY241" s="475"/>
      <c r="RZ241" s="475"/>
      <c r="SA241" s="475"/>
      <c r="SB241" s="475"/>
      <c r="SC241" s="475"/>
      <c r="SD241" s="475"/>
      <c r="SE241" s="475"/>
      <c r="SF241" s="475"/>
      <c r="SG241" s="475"/>
      <c r="SH241" s="475"/>
      <c r="SI241" s="475"/>
      <c r="SJ241" s="475"/>
      <c r="SK241" s="475"/>
      <c r="SL241" s="475"/>
      <c r="SM241" s="475"/>
      <c r="SN241" s="475"/>
      <c r="SO241" s="475"/>
      <c r="SP241" s="475"/>
      <c r="SQ241" s="475"/>
      <c r="SR241" s="475"/>
      <c r="SS241" s="475"/>
      <c r="ST241" s="475"/>
      <c r="SU241" s="475"/>
      <c r="SV241" s="475"/>
      <c r="SW241" s="475"/>
      <c r="SX241" s="475"/>
      <c r="SY241" s="475"/>
      <c r="SZ241" s="475"/>
      <c r="TA241" s="475"/>
      <c r="TB241" s="475"/>
      <c r="TC241" s="475"/>
      <c r="TD241" s="475"/>
      <c r="TE241" s="475"/>
      <c r="TF241" s="475"/>
      <c r="TG241" s="475"/>
      <c r="TH241" s="475"/>
      <c r="TI241" s="475"/>
      <c r="TJ241" s="475"/>
      <c r="TK241" s="475"/>
      <c r="TL241" s="475"/>
      <c r="TM241" s="475"/>
      <c r="TN241" s="475"/>
      <c r="TO241" s="475"/>
      <c r="TP241" s="475"/>
      <c r="TQ241" s="475"/>
      <c r="TR241" s="475"/>
      <c r="TS241" s="475"/>
      <c r="TT241" s="475"/>
      <c r="TU241" s="475"/>
      <c r="TV241" s="475"/>
      <c r="TW241" s="475"/>
      <c r="TX241" s="475"/>
      <c r="TY241" s="475"/>
      <c r="TZ241" s="475"/>
      <c r="UA241" s="475"/>
      <c r="UB241" s="475"/>
      <c r="UC241" s="475"/>
      <c r="UD241" s="475"/>
      <c r="UE241" s="475"/>
      <c r="UF241" s="475"/>
      <c r="UG241" s="475"/>
      <c r="UH241" s="475"/>
      <c r="UI241" s="475"/>
      <c r="UJ241" s="475"/>
      <c r="UK241" s="475"/>
      <c r="UL241" s="475"/>
      <c r="UM241" s="475"/>
      <c r="UN241" s="475"/>
      <c r="UO241" s="475"/>
      <c r="UP241" s="475"/>
      <c r="UQ241" s="475"/>
      <c r="UR241" s="475"/>
      <c r="US241" s="475"/>
      <c r="UT241" s="475"/>
      <c r="UU241" s="475"/>
      <c r="UV241" s="475"/>
      <c r="UW241" s="475"/>
      <c r="UX241" s="475"/>
      <c r="UY241" s="475"/>
      <c r="UZ241" s="475"/>
      <c r="VA241" s="475"/>
      <c r="VB241" s="475"/>
      <c r="VC241" s="475"/>
      <c r="VD241" s="475"/>
      <c r="VE241" s="475"/>
      <c r="VF241" s="475"/>
      <c r="VG241" s="475"/>
      <c r="VH241" s="475"/>
      <c r="VI241" s="475"/>
      <c r="VJ241" s="475"/>
      <c r="VK241" s="475"/>
      <c r="VL241" s="475"/>
      <c r="VM241" s="475"/>
      <c r="VN241" s="475"/>
      <c r="VO241" s="475"/>
      <c r="VP241" s="475"/>
      <c r="VQ241" s="475"/>
      <c r="VR241" s="475"/>
      <c r="VS241" s="475"/>
      <c r="VT241" s="475"/>
      <c r="VU241" s="475"/>
      <c r="VV241" s="475"/>
      <c r="VW241" s="475"/>
      <c r="VX241" s="475"/>
      <c r="VY241" s="475"/>
      <c r="VZ241" s="475"/>
      <c r="WA241" s="475"/>
      <c r="WB241" s="475"/>
      <c r="WC241" s="475"/>
      <c r="WD241" s="475"/>
      <c r="WE241" s="475"/>
      <c r="WF241" s="475"/>
      <c r="WG241" s="475"/>
      <c r="WH241" s="475"/>
      <c r="WI241" s="475"/>
      <c r="WJ241" s="475"/>
      <c r="WK241" s="475"/>
      <c r="WL241" s="475"/>
      <c r="WM241" s="475"/>
      <c r="WN241" s="475"/>
      <c r="WO241" s="475"/>
      <c r="WP241" s="475"/>
      <c r="WQ241" s="475"/>
      <c r="WR241" s="475"/>
      <c r="WS241" s="475"/>
      <c r="WT241" s="475"/>
      <c r="WU241" s="475"/>
      <c r="WV241" s="475"/>
      <c r="WW241" s="475"/>
      <c r="WX241" s="475"/>
      <c r="WY241" s="475"/>
      <c r="WZ241" s="475"/>
      <c r="XA241" s="475"/>
      <c r="XB241" s="475"/>
      <c r="XC241" s="475"/>
      <c r="XD241" s="475"/>
      <c r="XE241" s="475"/>
      <c r="XF241" s="475"/>
      <c r="XG241" s="475"/>
      <c r="XH241" s="475"/>
      <c r="XI241" s="475"/>
      <c r="XJ241" s="475"/>
      <c r="XK241" s="475"/>
      <c r="XL241" s="475"/>
      <c r="XM241" s="475"/>
      <c r="XN241" s="475"/>
      <c r="XO241" s="475"/>
      <c r="XP241" s="475"/>
      <c r="XQ241" s="475"/>
      <c r="XR241" s="475"/>
      <c r="XS241" s="475"/>
      <c r="XT241" s="475"/>
      <c r="XU241" s="475"/>
      <c r="XV241" s="475"/>
      <c r="XW241" s="475"/>
      <c r="XX241" s="475"/>
      <c r="XY241" s="475"/>
      <c r="XZ241" s="475"/>
      <c r="YA241" s="475"/>
      <c r="YB241" s="475"/>
      <c r="YC241" s="475"/>
      <c r="YD241" s="475"/>
      <c r="YE241" s="475"/>
      <c r="YF241" s="475"/>
      <c r="YG241" s="475"/>
      <c r="YH241" s="475"/>
      <c r="YI241" s="475"/>
      <c r="YJ241" s="475"/>
      <c r="YK241" s="475"/>
      <c r="YL241" s="475"/>
      <c r="YM241" s="475"/>
      <c r="YN241" s="475"/>
      <c r="YO241" s="475"/>
      <c r="YP241" s="475"/>
      <c r="YQ241" s="475"/>
      <c r="YR241" s="475"/>
      <c r="YS241" s="475"/>
      <c r="YT241" s="475"/>
      <c r="YU241" s="475"/>
      <c r="YV241" s="475"/>
      <c r="YW241" s="475"/>
      <c r="YX241" s="475"/>
      <c r="YY241" s="475"/>
      <c r="YZ241" s="475"/>
      <c r="ZA241" s="475"/>
      <c r="ZB241" s="475"/>
      <c r="ZC241" s="475"/>
      <c r="ZD241" s="475"/>
      <c r="ZE241" s="475"/>
      <c r="ZF241" s="475"/>
      <c r="ZG241" s="475"/>
      <c r="ZH241" s="475"/>
      <c r="ZI241" s="475"/>
      <c r="ZJ241" s="475"/>
      <c r="ZK241" s="475"/>
      <c r="ZL241" s="475"/>
      <c r="ZM241" s="475"/>
      <c r="ZN241" s="475"/>
      <c r="ZO241" s="475"/>
      <c r="ZP241" s="475"/>
      <c r="ZQ241" s="475"/>
      <c r="ZR241" s="475"/>
      <c r="ZS241" s="475"/>
      <c r="ZT241" s="475"/>
      <c r="ZU241" s="475"/>
      <c r="ZV241" s="475"/>
      <c r="ZW241" s="475"/>
      <c r="ZX241" s="475"/>
      <c r="ZY241" s="475"/>
      <c r="ZZ241" s="475"/>
      <c r="AAA241" s="475"/>
      <c r="AAB241" s="475"/>
      <c r="AAC241" s="475"/>
      <c r="AAD241" s="475"/>
      <c r="AAE241" s="475"/>
      <c r="AAF241" s="475"/>
      <c r="AAG241" s="475"/>
      <c r="AAH241" s="475"/>
      <c r="AAI241" s="475"/>
      <c r="AAJ241" s="475"/>
      <c r="AAK241" s="475"/>
      <c r="AAL241" s="475"/>
      <c r="AAM241" s="475"/>
      <c r="AAN241" s="475"/>
      <c r="AAO241" s="475"/>
      <c r="AAP241" s="475"/>
      <c r="AAQ241" s="475"/>
      <c r="AAR241" s="475"/>
      <c r="AAS241" s="475"/>
      <c r="AAT241" s="475"/>
      <c r="AAU241" s="475"/>
      <c r="AAV241" s="475"/>
      <c r="AAW241" s="475"/>
      <c r="AAX241" s="475"/>
      <c r="AAY241" s="475"/>
      <c r="AAZ241" s="475"/>
      <c r="ABA241" s="475"/>
      <c r="ABB241" s="475"/>
      <c r="ABC241" s="475"/>
      <c r="ABD241" s="475"/>
      <c r="ABE241" s="475"/>
      <c r="ABF241" s="475"/>
      <c r="ABG241" s="475"/>
      <c r="ABH241" s="475"/>
      <c r="ABI241" s="475"/>
      <c r="ABJ241" s="475"/>
      <c r="ABK241" s="475"/>
      <c r="ABL241" s="475"/>
      <c r="ABM241" s="475"/>
      <c r="ABN241" s="475"/>
      <c r="ABO241" s="475"/>
      <c r="ABP241" s="475"/>
      <c r="ABQ241" s="475"/>
      <c r="ABR241" s="475"/>
      <c r="ABS241" s="475"/>
      <c r="ABT241" s="475"/>
      <c r="ABU241" s="475"/>
      <c r="ABV241" s="475"/>
      <c r="ABW241" s="475"/>
      <c r="ABX241" s="475"/>
      <c r="ABY241" s="475"/>
      <c r="ABZ241" s="475"/>
      <c r="ACA241" s="475"/>
      <c r="ACB241" s="475"/>
      <c r="ACC241" s="475"/>
      <c r="ACD241" s="475"/>
      <c r="ACE241" s="475"/>
      <c r="ACF241" s="475"/>
      <c r="ACG241" s="475"/>
      <c r="ACH241" s="475"/>
      <c r="ACI241" s="475"/>
      <c r="ACJ241" s="475"/>
      <c r="ACK241" s="475"/>
      <c r="ACL241" s="475"/>
      <c r="ACM241" s="475"/>
      <c r="ACN241" s="475"/>
      <c r="ACO241" s="475"/>
      <c r="ACP241" s="475"/>
      <c r="ACQ241" s="475"/>
      <c r="ACR241" s="475"/>
      <c r="ACS241" s="475"/>
      <c r="ACT241" s="475"/>
      <c r="ACU241" s="475"/>
      <c r="ACV241" s="475"/>
      <c r="ACW241" s="475"/>
      <c r="ACX241" s="475"/>
      <c r="ACY241" s="475"/>
      <c r="ACZ241" s="475"/>
      <c r="ADA241" s="475"/>
      <c r="ADB241" s="475"/>
      <c r="ADC241" s="475"/>
      <c r="ADD241" s="475"/>
      <c r="ADE241" s="475"/>
      <c r="ADF241" s="475"/>
      <c r="ADG241" s="475"/>
      <c r="ADH241" s="475"/>
      <c r="ADI241" s="475"/>
      <c r="ADJ241" s="475"/>
      <c r="ADK241" s="475"/>
      <c r="ADL241" s="475"/>
      <c r="ADM241" s="475"/>
      <c r="ADN241" s="475"/>
      <c r="ADO241" s="475"/>
      <c r="ADP241" s="475"/>
      <c r="ADQ241" s="475"/>
      <c r="ADR241" s="475"/>
      <c r="ADS241" s="475"/>
      <c r="ADT241" s="475"/>
      <c r="ADU241" s="475"/>
      <c r="ADV241" s="475"/>
      <c r="ADW241" s="475"/>
      <c r="ADX241" s="475"/>
      <c r="ADY241" s="475"/>
      <c r="ADZ241" s="475"/>
      <c r="AEA241" s="475"/>
      <c r="AEB241" s="475"/>
      <c r="AEC241" s="475"/>
      <c r="AED241" s="475"/>
      <c r="AEE241" s="475"/>
      <c r="AEF241" s="475"/>
      <c r="AEG241" s="475"/>
      <c r="AEH241" s="475"/>
      <c r="AEI241" s="475"/>
      <c r="AEJ241" s="475"/>
      <c r="AEK241" s="475"/>
      <c r="AEL241" s="475"/>
      <c r="AEM241" s="475"/>
      <c r="AEN241" s="475"/>
      <c r="AEO241" s="475"/>
      <c r="AEP241" s="475"/>
      <c r="AEQ241" s="475"/>
      <c r="AER241" s="475"/>
      <c r="AES241" s="475"/>
      <c r="AET241" s="475"/>
      <c r="AEU241" s="475"/>
      <c r="AEV241" s="475"/>
      <c r="AEW241" s="475"/>
      <c r="AEX241" s="475"/>
      <c r="AEY241" s="475"/>
      <c r="AEZ241" s="475"/>
      <c r="AFA241" s="475"/>
      <c r="AFB241" s="475"/>
      <c r="AFC241" s="475"/>
      <c r="AFD241" s="475"/>
      <c r="AFE241" s="475"/>
      <c r="AFF241" s="475"/>
      <c r="AFG241" s="475"/>
      <c r="AFH241" s="475"/>
      <c r="AFI241" s="475"/>
      <c r="AFJ241" s="475"/>
      <c r="AFK241" s="475"/>
      <c r="AFL241" s="475"/>
      <c r="AFM241" s="475"/>
      <c r="AFN241" s="475"/>
      <c r="AFO241" s="475"/>
      <c r="AFP241" s="475"/>
      <c r="AFQ241" s="475"/>
      <c r="AFR241" s="475"/>
      <c r="AFS241" s="475"/>
      <c r="AFT241" s="475"/>
      <c r="AFU241" s="475"/>
      <c r="AFV241" s="475"/>
      <c r="AFW241" s="475"/>
      <c r="AFX241" s="475"/>
      <c r="AFY241" s="475"/>
      <c r="AFZ241" s="475"/>
      <c r="AGA241" s="475"/>
      <c r="AGB241" s="475"/>
      <c r="AGC241" s="475"/>
      <c r="AGD241" s="475"/>
      <c r="AGE241" s="475"/>
      <c r="AGF241" s="475"/>
      <c r="AGG241" s="475"/>
      <c r="AGH241" s="475"/>
      <c r="AGI241" s="475"/>
      <c r="AGJ241" s="475"/>
      <c r="AGK241" s="475"/>
      <c r="AGL241" s="475"/>
      <c r="AGM241" s="475"/>
      <c r="AGN241" s="475"/>
      <c r="AGO241" s="475"/>
      <c r="AGP241" s="475"/>
      <c r="AGQ241" s="475"/>
      <c r="AGR241" s="475"/>
      <c r="AGS241" s="475"/>
      <c r="AGT241" s="475"/>
      <c r="AGU241" s="475"/>
      <c r="AGV241" s="475"/>
      <c r="AGW241" s="475"/>
      <c r="AGX241" s="475"/>
      <c r="AGY241" s="475"/>
      <c r="AGZ241" s="475"/>
      <c r="AHA241" s="475"/>
      <c r="AHB241" s="475"/>
      <c r="AHC241" s="475"/>
      <c r="AHD241" s="475"/>
      <c r="AHE241" s="475"/>
      <c r="AHF241" s="475"/>
      <c r="AHG241" s="475"/>
      <c r="AHH241" s="475"/>
      <c r="AHI241" s="475"/>
      <c r="AHJ241" s="475"/>
      <c r="AHK241" s="475"/>
      <c r="AHL241" s="475"/>
      <c r="AHM241" s="475"/>
      <c r="AHN241" s="475"/>
      <c r="AHO241" s="475"/>
      <c r="AHP241" s="475"/>
      <c r="AHQ241" s="475"/>
      <c r="AHR241" s="475"/>
      <c r="AHS241" s="475"/>
      <c r="AHT241" s="475"/>
      <c r="AHU241" s="475"/>
      <c r="AHV241" s="475"/>
      <c r="AHW241" s="475"/>
      <c r="AHX241" s="475"/>
      <c r="AHY241" s="475"/>
      <c r="AHZ241" s="475"/>
      <c r="AIA241" s="475"/>
      <c r="AIB241" s="475"/>
      <c r="AIC241" s="475"/>
      <c r="AID241" s="475"/>
      <c r="AIE241" s="475"/>
      <c r="AIF241" s="475"/>
      <c r="AIG241" s="475"/>
      <c r="AIH241" s="475"/>
      <c r="AII241" s="475"/>
      <c r="AIJ241" s="475"/>
      <c r="AIK241" s="475"/>
      <c r="AIL241" s="475"/>
      <c r="AIM241" s="475"/>
      <c r="AIN241" s="475"/>
      <c r="AIO241" s="475"/>
      <c r="AIP241" s="475"/>
      <c r="AIQ241" s="475"/>
      <c r="AIR241" s="475"/>
      <c r="AIS241" s="475"/>
      <c r="AIT241" s="475"/>
      <c r="AIU241" s="475"/>
      <c r="AIV241" s="475"/>
      <c r="AIW241" s="475"/>
      <c r="AIX241" s="475"/>
      <c r="AIY241" s="475"/>
      <c r="AIZ241" s="475"/>
      <c r="AJA241" s="475"/>
      <c r="AJB241" s="475"/>
      <c r="AJC241" s="475"/>
      <c r="AJD241" s="475"/>
      <c r="AJE241" s="475"/>
      <c r="AJF241" s="475"/>
      <c r="AJG241" s="475"/>
      <c r="AJH241" s="475"/>
      <c r="AJI241" s="475"/>
      <c r="AJJ241" s="475"/>
      <c r="AJK241" s="475"/>
      <c r="AJL241" s="475"/>
      <c r="AJM241" s="475"/>
      <c r="AJN241" s="475"/>
      <c r="AJO241" s="475"/>
      <c r="AJP241" s="475"/>
      <c r="AJQ241" s="475"/>
      <c r="AJR241" s="475"/>
      <c r="AJS241" s="475"/>
      <c r="AJT241" s="475"/>
      <c r="AJU241" s="475"/>
      <c r="AJV241" s="475"/>
      <c r="AJW241" s="475"/>
      <c r="AJX241" s="475"/>
      <c r="AJY241" s="475"/>
      <c r="AJZ241" s="475"/>
      <c r="AKA241" s="475"/>
      <c r="AKB241" s="475"/>
      <c r="AKC241" s="475"/>
      <c r="AKD241" s="475"/>
      <c r="AKE241" s="475"/>
      <c r="AKF241" s="475"/>
      <c r="AKG241" s="475"/>
      <c r="AKH241" s="475"/>
      <c r="AKI241" s="475"/>
      <c r="AKJ241" s="475"/>
      <c r="AKK241" s="475"/>
      <c r="AKL241" s="475"/>
      <c r="AKM241" s="475"/>
      <c r="AKN241" s="475"/>
      <c r="AKO241" s="475"/>
      <c r="AKP241" s="475"/>
      <c r="AKQ241" s="475"/>
      <c r="AKR241" s="475"/>
      <c r="AKS241" s="475"/>
      <c r="AKT241" s="475"/>
      <c r="AKU241" s="475"/>
      <c r="AKV241" s="475"/>
      <c r="AKW241" s="475"/>
      <c r="AKX241" s="475"/>
      <c r="AKY241" s="475"/>
      <c r="AKZ241" s="475"/>
      <c r="ALA241" s="475"/>
      <c r="ALB241" s="475"/>
      <c r="ALC241" s="475"/>
      <c r="ALD241" s="475"/>
      <c r="ALE241" s="475"/>
      <c r="ALF241" s="475"/>
      <c r="ALG241" s="475"/>
      <c r="ALH241" s="475"/>
      <c r="ALI241" s="475"/>
      <c r="ALJ241" s="475"/>
      <c r="ALK241" s="475"/>
      <c r="ALL241" s="475"/>
      <c r="ALM241" s="475"/>
      <c r="ALN241" s="475"/>
      <c r="ALO241" s="475"/>
      <c r="ALP241" s="475"/>
      <c r="ALQ241" s="475"/>
      <c r="ALR241" s="475"/>
      <c r="ALS241" s="475"/>
      <c r="ALT241" s="475"/>
      <c r="ALU241" s="475"/>
      <c r="ALV241" s="475"/>
      <c r="ALW241" s="475"/>
      <c r="ALX241" s="475"/>
      <c r="ALY241" s="475"/>
      <c r="ALZ241" s="475"/>
      <c r="AMA241" s="475"/>
      <c r="AMB241" s="475"/>
      <c r="AMC241" s="475"/>
      <c r="AMD241" s="475"/>
      <c r="AME241" s="475"/>
      <c r="AMF241" s="475"/>
      <c r="AMG241" s="475"/>
      <c r="AMH241" s="475"/>
      <c r="AMI241" s="475"/>
      <c r="AMJ241" s="475"/>
      <c r="AMK241" s="475"/>
      <c r="AML241" s="475"/>
      <c r="AMM241" s="475"/>
      <c r="AMN241" s="475"/>
      <c r="AMO241" s="475"/>
      <c r="AMP241" s="475"/>
      <c r="AMQ241" s="475"/>
      <c r="AMR241" s="475"/>
      <c r="AMS241" s="475"/>
      <c r="AMT241" s="475"/>
      <c r="AMU241" s="475"/>
      <c r="AMV241" s="475"/>
      <c r="AMW241" s="475"/>
      <c r="AMX241" s="475"/>
      <c r="AMY241" s="475"/>
      <c r="AMZ241" s="475"/>
      <c r="ANA241" s="475"/>
      <c r="ANB241" s="475"/>
      <c r="ANC241" s="475"/>
      <c r="AND241" s="475"/>
      <c r="ANE241" s="475"/>
      <c r="ANF241" s="475"/>
      <c r="ANG241" s="475"/>
      <c r="ANH241" s="475"/>
      <c r="ANI241" s="475"/>
      <c r="ANJ241" s="475"/>
      <c r="ANK241" s="475"/>
      <c r="ANL241" s="475"/>
      <c r="ANM241" s="475"/>
      <c r="ANN241" s="475"/>
      <c r="ANO241" s="475"/>
      <c r="ANP241" s="475"/>
      <c r="ANQ241" s="475"/>
      <c r="ANR241" s="475"/>
      <c r="ANS241" s="475"/>
      <c r="ANT241" s="475"/>
      <c r="ANU241" s="475"/>
      <c r="ANV241" s="475"/>
      <c r="ANW241" s="475"/>
      <c r="ANX241" s="475"/>
      <c r="ANY241" s="475"/>
      <c r="ANZ241" s="475"/>
      <c r="AOA241" s="475"/>
      <c r="AOB241" s="475"/>
      <c r="AOC241" s="475"/>
      <c r="AOD241" s="475"/>
      <c r="AOE241" s="475"/>
      <c r="AOF241" s="475"/>
      <c r="AOG241" s="475"/>
      <c r="AOH241" s="475"/>
      <c r="AOI241" s="475"/>
      <c r="AOJ241" s="475"/>
      <c r="AOK241" s="475"/>
      <c r="AOL241" s="475"/>
      <c r="AOM241" s="475"/>
      <c r="AON241" s="475"/>
      <c r="AOO241" s="475"/>
      <c r="AOP241" s="475"/>
      <c r="AOQ241" s="475"/>
      <c r="AOR241" s="475"/>
      <c r="AOS241" s="475"/>
      <c r="AOT241" s="475"/>
      <c r="AOU241" s="475"/>
      <c r="AOV241" s="475"/>
      <c r="AOW241" s="475"/>
      <c r="AOX241" s="475"/>
      <c r="AOY241" s="475"/>
      <c r="AOZ241" s="475"/>
      <c r="APA241" s="475"/>
      <c r="APB241" s="475"/>
      <c r="APC241" s="475"/>
      <c r="APD241" s="475"/>
      <c r="APE241" s="475"/>
      <c r="APF241" s="475"/>
      <c r="APG241" s="475"/>
      <c r="APH241" s="475"/>
      <c r="API241" s="475"/>
      <c r="APJ241" s="475"/>
      <c r="APK241" s="475"/>
      <c r="APL241" s="475"/>
      <c r="APM241" s="475"/>
      <c r="APN241" s="475"/>
      <c r="APO241" s="475"/>
      <c r="APP241" s="475"/>
      <c r="APQ241" s="475"/>
      <c r="APR241" s="475"/>
      <c r="APS241" s="475"/>
      <c r="APT241" s="475"/>
      <c r="APU241" s="475"/>
      <c r="APV241" s="475"/>
      <c r="APW241" s="475"/>
      <c r="APX241" s="475"/>
      <c r="APY241" s="475"/>
      <c r="APZ241" s="475"/>
      <c r="AQA241" s="475"/>
      <c r="AQB241" s="475"/>
      <c r="AQC241" s="475"/>
      <c r="AQD241" s="475"/>
      <c r="AQE241" s="475"/>
      <c r="AQF241" s="475"/>
      <c r="AQG241" s="475"/>
      <c r="AQH241" s="475"/>
      <c r="AQI241" s="475"/>
      <c r="AQJ241" s="475"/>
      <c r="AQK241" s="475"/>
      <c r="AQL241" s="475"/>
      <c r="AQM241" s="475"/>
      <c r="AQN241" s="475"/>
      <c r="AQO241" s="475"/>
      <c r="AQP241" s="475"/>
      <c r="AQQ241" s="475"/>
      <c r="AQR241" s="475"/>
      <c r="AQS241" s="475"/>
      <c r="AQT241" s="475"/>
      <c r="AQU241" s="475"/>
      <c r="AQV241" s="475"/>
      <c r="AQW241" s="475"/>
      <c r="AQX241" s="475"/>
      <c r="AQY241" s="475"/>
      <c r="AQZ241" s="475"/>
      <c r="ARA241" s="475"/>
      <c r="ARB241" s="475"/>
      <c r="ARC241" s="475"/>
      <c r="ARD241" s="475"/>
      <c r="ARE241" s="475"/>
      <c r="ARF241" s="475"/>
      <c r="ARG241" s="475"/>
      <c r="ARH241" s="475"/>
      <c r="ARI241" s="475"/>
      <c r="ARJ241" s="475"/>
      <c r="ARK241" s="475"/>
      <c r="ARL241" s="475"/>
      <c r="ARM241" s="475"/>
      <c r="ARN241" s="475"/>
      <c r="ARO241" s="475"/>
      <c r="ARP241" s="475"/>
      <c r="ARQ241" s="475"/>
      <c r="ARR241" s="475"/>
      <c r="ARS241" s="475"/>
      <c r="ART241" s="475"/>
      <c r="ARU241" s="475"/>
      <c r="ARV241" s="475"/>
      <c r="ARW241" s="475"/>
      <c r="ARX241" s="475"/>
      <c r="ARY241" s="475"/>
      <c r="ARZ241" s="475"/>
      <c r="ASA241" s="475"/>
      <c r="ASB241" s="475"/>
      <c r="ASC241" s="475"/>
      <c r="ASD241" s="475"/>
      <c r="ASE241" s="475"/>
      <c r="ASF241" s="475"/>
      <c r="ASG241" s="475"/>
      <c r="ASH241" s="475"/>
      <c r="ASI241" s="475"/>
      <c r="ASJ241" s="475"/>
      <c r="ASK241" s="475"/>
      <c r="ASL241" s="475"/>
      <c r="ASM241" s="475"/>
      <c r="ASN241" s="475"/>
      <c r="ASO241" s="475"/>
      <c r="ASP241" s="475"/>
      <c r="ASQ241" s="475"/>
      <c r="ASR241" s="475"/>
      <c r="ASS241" s="475"/>
      <c r="AST241" s="475"/>
      <c r="ASU241" s="475"/>
      <c r="ASV241" s="475"/>
      <c r="ASW241" s="475"/>
      <c r="ASX241" s="475"/>
      <c r="ASY241" s="475"/>
      <c r="ASZ241" s="475"/>
      <c r="ATA241" s="475"/>
      <c r="ATB241" s="475"/>
      <c r="ATC241" s="475"/>
      <c r="ATD241" s="475"/>
      <c r="ATE241" s="475"/>
      <c r="ATF241" s="475"/>
      <c r="ATG241" s="475"/>
      <c r="ATH241" s="475"/>
      <c r="ATI241" s="475"/>
      <c r="ATJ241" s="475"/>
      <c r="ATK241" s="475"/>
      <c r="ATL241" s="475"/>
      <c r="ATM241" s="475"/>
      <c r="ATN241" s="475"/>
      <c r="ATO241" s="475"/>
      <c r="ATP241" s="475"/>
      <c r="ATQ241" s="475"/>
      <c r="ATR241" s="475"/>
      <c r="ATS241" s="475"/>
      <c r="ATT241" s="475"/>
      <c r="ATU241" s="475"/>
      <c r="ATV241" s="475"/>
      <c r="ATW241" s="475"/>
      <c r="ATX241" s="475"/>
      <c r="ATY241" s="475"/>
      <c r="ATZ241" s="475"/>
      <c r="AUA241" s="475"/>
      <c r="AUB241" s="475"/>
      <c r="AUC241" s="475"/>
      <c r="AUD241" s="475"/>
      <c r="AUE241" s="475"/>
      <c r="AUF241" s="475"/>
      <c r="AUG241" s="475"/>
      <c r="AUH241" s="475"/>
      <c r="AUI241" s="475"/>
      <c r="AUJ241" s="475"/>
      <c r="AUK241" s="475"/>
      <c r="AUL241" s="475"/>
      <c r="AUM241" s="475"/>
      <c r="AUN241" s="475"/>
      <c r="AUO241" s="475"/>
      <c r="AUP241" s="475"/>
      <c r="AUQ241" s="475"/>
      <c r="AUR241" s="475"/>
      <c r="AUS241" s="475"/>
      <c r="AUT241" s="475"/>
      <c r="AUU241" s="475"/>
      <c r="AUV241" s="475"/>
      <c r="AUW241" s="475"/>
      <c r="AUX241" s="475"/>
      <c r="AUY241" s="475"/>
      <c r="AUZ241" s="475"/>
      <c r="AVA241" s="475"/>
      <c r="AVB241" s="475"/>
      <c r="AVC241" s="475"/>
      <c r="AVD241" s="475"/>
      <c r="AVE241" s="475"/>
      <c r="AVF241" s="475"/>
      <c r="AVG241" s="475"/>
      <c r="AVH241" s="475"/>
      <c r="AVI241" s="475"/>
      <c r="AVJ241" s="475"/>
      <c r="AVK241" s="475"/>
      <c r="AVL241" s="475"/>
      <c r="AVM241" s="475"/>
      <c r="AVN241" s="475"/>
      <c r="AVO241" s="475"/>
      <c r="AVP241" s="475"/>
      <c r="AVQ241" s="475"/>
      <c r="AVR241" s="475"/>
      <c r="AVS241" s="475"/>
      <c r="AVT241" s="475"/>
      <c r="AVU241" s="475"/>
      <c r="AVV241" s="475"/>
      <c r="AVW241" s="475"/>
      <c r="AVX241" s="475"/>
      <c r="AVY241" s="475"/>
      <c r="AVZ241" s="475"/>
      <c r="AWA241" s="475"/>
      <c r="AWB241" s="475"/>
      <c r="AWC241" s="475"/>
      <c r="AWD241" s="475"/>
      <c r="AWE241" s="475"/>
      <c r="AWF241" s="475"/>
      <c r="AWG241" s="475"/>
      <c r="AWH241" s="475"/>
      <c r="AWI241" s="475"/>
      <c r="AWJ241" s="475"/>
      <c r="AWK241" s="475"/>
      <c r="AWL241" s="475"/>
      <c r="AWM241" s="475"/>
      <c r="AWN241" s="475"/>
      <c r="AWO241" s="475"/>
      <c r="AWP241" s="475"/>
      <c r="AWQ241" s="475"/>
      <c r="AWR241" s="475"/>
      <c r="AWS241" s="475"/>
      <c r="AWT241" s="475"/>
      <c r="AWU241" s="475"/>
      <c r="AWV241" s="475"/>
      <c r="AWW241" s="475"/>
      <c r="AWX241" s="475"/>
      <c r="AWY241" s="475"/>
      <c r="AWZ241" s="475"/>
      <c r="AXA241" s="475"/>
      <c r="AXB241" s="475"/>
      <c r="AXC241" s="475"/>
      <c r="AXD241" s="475"/>
      <c r="AXE241" s="475"/>
      <c r="AXF241" s="475"/>
      <c r="AXG241" s="475"/>
      <c r="AXH241" s="475"/>
      <c r="AXI241" s="475"/>
      <c r="AXJ241" s="475"/>
      <c r="AXK241" s="475"/>
      <c r="AXL241" s="475"/>
      <c r="AXM241" s="475"/>
      <c r="AXN241" s="475"/>
      <c r="AXO241" s="475"/>
      <c r="AXP241" s="475"/>
      <c r="AXQ241" s="475"/>
      <c r="AXR241" s="475"/>
      <c r="AXS241" s="475"/>
      <c r="AXT241" s="475"/>
      <c r="AXU241" s="475"/>
      <c r="AXV241" s="475"/>
      <c r="AXW241" s="475"/>
      <c r="AXX241" s="475"/>
      <c r="AXY241" s="475"/>
      <c r="AXZ241" s="475"/>
      <c r="AYA241" s="475"/>
      <c r="AYB241" s="475"/>
      <c r="AYC241" s="475"/>
      <c r="AYD241" s="475"/>
      <c r="AYE241" s="475"/>
      <c r="AYF241" s="475"/>
      <c r="AYG241" s="475"/>
      <c r="AYH241" s="475"/>
      <c r="AYI241" s="475"/>
      <c r="AYJ241" s="475"/>
      <c r="AYK241" s="475"/>
      <c r="AYL241" s="475"/>
      <c r="AYM241" s="475"/>
      <c r="AYN241" s="475"/>
      <c r="AYO241" s="475"/>
      <c r="AYP241" s="475"/>
      <c r="AYQ241" s="475"/>
      <c r="AYR241" s="475"/>
      <c r="AYS241" s="475"/>
      <c r="AYT241" s="475"/>
      <c r="AYU241" s="475"/>
      <c r="AYV241" s="475"/>
      <c r="AYW241" s="475"/>
      <c r="AYX241" s="475"/>
      <c r="AYY241" s="475"/>
      <c r="AYZ241" s="475"/>
      <c r="AZA241" s="475"/>
      <c r="AZB241" s="475"/>
      <c r="AZC241" s="475"/>
      <c r="AZD241" s="475"/>
      <c r="AZE241" s="475"/>
      <c r="AZF241" s="475"/>
      <c r="AZG241" s="475"/>
      <c r="AZH241" s="475"/>
      <c r="AZI241" s="475"/>
      <c r="AZJ241" s="475"/>
      <c r="AZK241" s="475"/>
      <c r="AZL241" s="475"/>
      <c r="AZM241" s="475"/>
      <c r="AZN241" s="475"/>
      <c r="AZO241" s="475"/>
      <c r="AZP241" s="475"/>
      <c r="AZQ241" s="475"/>
      <c r="AZR241" s="475"/>
      <c r="AZS241" s="475"/>
      <c r="AZT241" s="475"/>
      <c r="AZU241" s="475"/>
      <c r="AZV241" s="475"/>
      <c r="AZW241" s="475"/>
      <c r="AZX241" s="475"/>
      <c r="AZY241" s="475"/>
      <c r="AZZ241" s="475"/>
      <c r="BAA241" s="475"/>
      <c r="BAB241" s="475"/>
      <c r="BAC241" s="475"/>
      <c r="BAD241" s="475"/>
      <c r="BAE241" s="475"/>
      <c r="BAF241" s="475"/>
      <c r="BAG241" s="475"/>
      <c r="BAH241" s="475"/>
      <c r="BAI241" s="475"/>
      <c r="BAJ241" s="475"/>
      <c r="BAK241" s="475"/>
      <c r="BAL241" s="475"/>
      <c r="BAM241" s="475"/>
      <c r="BAN241" s="475"/>
      <c r="BAO241" s="475"/>
      <c r="BAP241" s="475"/>
      <c r="BAQ241" s="475"/>
      <c r="BAR241" s="475"/>
      <c r="BAS241" s="475"/>
      <c r="BAT241" s="475"/>
      <c r="BAU241" s="475"/>
      <c r="BAV241" s="475"/>
      <c r="BAW241" s="475"/>
      <c r="BAX241" s="475"/>
      <c r="BAY241" s="475"/>
      <c r="BAZ241" s="475"/>
      <c r="BBA241" s="475"/>
      <c r="BBB241" s="475"/>
      <c r="BBC241" s="475"/>
      <c r="BBD241" s="475"/>
      <c r="BBE241" s="475"/>
      <c r="BBF241" s="475"/>
      <c r="BBG241" s="475"/>
      <c r="BBH241" s="475"/>
      <c r="BBI241" s="475"/>
      <c r="BBJ241" s="475"/>
      <c r="BBK241" s="475"/>
      <c r="BBL241" s="475"/>
      <c r="BBM241" s="475"/>
      <c r="BBN241" s="475"/>
      <c r="BBO241" s="475"/>
      <c r="BBP241" s="475"/>
      <c r="BBQ241" s="475"/>
      <c r="BBR241" s="475"/>
      <c r="BBS241" s="475"/>
      <c r="BBT241" s="475"/>
      <c r="BBU241" s="475"/>
      <c r="BBV241" s="475"/>
      <c r="BBW241" s="475"/>
      <c r="BBX241" s="475"/>
      <c r="BBY241" s="475"/>
      <c r="BBZ241" s="475"/>
      <c r="BCA241" s="475"/>
      <c r="BCB241" s="475"/>
      <c r="BCC241" s="475"/>
      <c r="BCD241" s="475"/>
      <c r="BCE241" s="475"/>
      <c r="BCF241" s="475"/>
      <c r="BCG241" s="475"/>
      <c r="BCH241" s="475"/>
      <c r="BCI241" s="475"/>
      <c r="BCJ241" s="475"/>
      <c r="BCK241" s="475"/>
      <c r="BCL241" s="475"/>
      <c r="BCM241" s="475"/>
      <c r="BCN241" s="475"/>
      <c r="BCO241" s="475"/>
      <c r="BCP241" s="475"/>
      <c r="BCQ241" s="475"/>
      <c r="BCR241" s="475"/>
      <c r="BCS241" s="475"/>
      <c r="BCT241" s="475"/>
      <c r="BCU241" s="475"/>
      <c r="BCV241" s="475"/>
      <c r="BCW241" s="475"/>
      <c r="BCX241" s="475"/>
      <c r="BCY241" s="475"/>
      <c r="BCZ241" s="475"/>
      <c r="BDA241" s="475"/>
      <c r="BDB241" s="475"/>
      <c r="BDC241" s="475"/>
      <c r="BDD241" s="475"/>
      <c r="BDE241" s="475"/>
      <c r="BDF241" s="475"/>
      <c r="BDG241" s="475"/>
      <c r="BDH241" s="475"/>
      <c r="BDI241" s="475"/>
      <c r="BDJ241" s="475"/>
      <c r="BDK241" s="475"/>
      <c r="BDL241" s="475"/>
      <c r="BDM241" s="475"/>
      <c r="BDN241" s="475"/>
      <c r="BDO241" s="475"/>
      <c r="BDP241" s="475"/>
      <c r="BDQ241" s="475"/>
      <c r="BDR241" s="475"/>
      <c r="BDS241" s="475"/>
      <c r="BDT241" s="475"/>
      <c r="BDU241" s="475"/>
      <c r="BDV241" s="475"/>
      <c r="BDW241" s="475"/>
      <c r="BDX241" s="475"/>
      <c r="BDY241" s="475"/>
      <c r="BDZ241" s="475"/>
      <c r="BEA241" s="475"/>
      <c r="BEB241" s="475"/>
      <c r="BEC241" s="475"/>
      <c r="BED241" s="475"/>
      <c r="BEE241" s="475"/>
      <c r="BEF241" s="475"/>
      <c r="BEG241" s="475"/>
      <c r="BEH241" s="475"/>
      <c r="BEI241" s="475"/>
      <c r="BEJ241" s="475"/>
      <c r="BEK241" s="475"/>
      <c r="BEL241" s="475"/>
      <c r="BEM241" s="475"/>
      <c r="BEN241" s="475"/>
      <c r="BEO241" s="475"/>
      <c r="BEP241" s="475"/>
      <c r="BEQ241" s="475"/>
      <c r="BER241" s="475"/>
      <c r="BES241" s="475"/>
      <c r="BET241" s="475"/>
      <c r="BEU241" s="475"/>
      <c r="BEV241" s="475"/>
      <c r="BEW241" s="475"/>
      <c r="BEX241" s="475"/>
      <c r="BEY241" s="475"/>
      <c r="BEZ241" s="475"/>
      <c r="BFA241" s="475"/>
      <c r="BFB241" s="475"/>
      <c r="BFC241" s="475"/>
      <c r="BFD241" s="475"/>
      <c r="BFE241" s="475"/>
      <c r="BFF241" s="475"/>
      <c r="BFG241" s="475"/>
      <c r="BFH241" s="475"/>
      <c r="BFI241" s="475"/>
      <c r="BFJ241" s="475"/>
      <c r="BFK241" s="475"/>
      <c r="BFL241" s="475"/>
      <c r="BFM241" s="475"/>
      <c r="BFN241" s="475"/>
      <c r="BFO241" s="475"/>
      <c r="BFP241" s="475"/>
      <c r="BFQ241" s="475"/>
      <c r="BFR241" s="475"/>
      <c r="BFS241" s="475"/>
      <c r="BFT241" s="475"/>
      <c r="BFU241" s="475"/>
      <c r="BFV241" s="475"/>
      <c r="BFW241" s="475"/>
      <c r="BFX241" s="475"/>
      <c r="BFY241" s="475"/>
      <c r="BFZ241" s="475"/>
      <c r="BGA241" s="475"/>
      <c r="BGB241" s="475"/>
      <c r="BGC241" s="475"/>
      <c r="BGD241" s="475"/>
      <c r="BGE241" s="475"/>
      <c r="BGF241" s="475"/>
      <c r="BGG241" s="475"/>
      <c r="BGH241" s="475"/>
      <c r="BGI241" s="475"/>
      <c r="BGJ241" s="475"/>
      <c r="BGK241" s="475"/>
      <c r="BGL241" s="475"/>
      <c r="BGM241" s="475"/>
      <c r="BGN241" s="475"/>
      <c r="BGO241" s="475"/>
      <c r="BGP241" s="475"/>
      <c r="BGQ241" s="475"/>
      <c r="BGR241" s="475"/>
      <c r="BGS241" s="475"/>
      <c r="BGT241" s="475"/>
      <c r="BGU241" s="475"/>
      <c r="BGV241" s="475"/>
      <c r="BGW241" s="475"/>
      <c r="BGX241" s="475"/>
      <c r="BGY241" s="475"/>
      <c r="BGZ241" s="475"/>
      <c r="BHA241" s="475"/>
      <c r="BHB241" s="475"/>
      <c r="BHC241" s="475"/>
      <c r="BHD241" s="475"/>
      <c r="BHE241" s="475"/>
      <c r="BHF241" s="475"/>
      <c r="BHG241" s="475"/>
      <c r="BHH241" s="475"/>
      <c r="BHI241" s="475"/>
      <c r="BHJ241" s="475"/>
      <c r="BHK241" s="475"/>
      <c r="BHL241" s="475"/>
      <c r="BHM241" s="475"/>
      <c r="BHN241" s="475"/>
      <c r="BHO241" s="475"/>
      <c r="BHP241" s="475"/>
      <c r="BHQ241" s="475"/>
      <c r="BHR241" s="475"/>
      <c r="BHS241" s="475"/>
      <c r="BHT241" s="475"/>
      <c r="BHU241" s="475"/>
      <c r="BHV241" s="475"/>
      <c r="BHW241" s="475"/>
      <c r="BHX241" s="475"/>
      <c r="BHY241" s="475"/>
      <c r="BHZ241" s="475"/>
      <c r="BIA241" s="475"/>
      <c r="BIB241" s="475"/>
      <c r="BIC241" s="475"/>
      <c r="BID241" s="475"/>
      <c r="BIE241" s="475"/>
      <c r="BIF241" s="475"/>
      <c r="BIG241" s="475"/>
      <c r="BIH241" s="475"/>
      <c r="BII241" s="475"/>
      <c r="BIJ241" s="475"/>
      <c r="BIK241" s="475"/>
      <c r="BIL241" s="475"/>
      <c r="BIM241" s="475"/>
      <c r="BIN241" s="475"/>
      <c r="BIO241" s="475"/>
      <c r="BIP241" s="475"/>
      <c r="BIQ241" s="475"/>
      <c r="BIR241" s="475"/>
      <c r="BIS241" s="475"/>
      <c r="BIT241" s="475"/>
      <c r="BIU241" s="475"/>
      <c r="BIV241" s="475"/>
      <c r="BIW241" s="475"/>
      <c r="BIX241" s="475"/>
      <c r="BIY241" s="475"/>
      <c r="BIZ241" s="475"/>
      <c r="BJA241" s="475"/>
      <c r="BJB241" s="475"/>
      <c r="BJC241" s="475"/>
      <c r="BJD241" s="475"/>
      <c r="BJE241" s="475"/>
      <c r="BJF241" s="475"/>
      <c r="BJG241" s="475"/>
      <c r="BJH241" s="475"/>
      <c r="BJI241" s="475"/>
      <c r="BJJ241" s="475"/>
      <c r="BJK241" s="475"/>
      <c r="BJL241" s="475"/>
      <c r="BJM241" s="475"/>
      <c r="BJN241" s="475"/>
      <c r="BJO241" s="475"/>
      <c r="BJP241" s="475"/>
      <c r="BJQ241" s="475"/>
      <c r="BJR241" s="475"/>
      <c r="BJS241" s="475"/>
      <c r="BJT241" s="475"/>
      <c r="BJU241" s="475"/>
      <c r="BJV241" s="475"/>
      <c r="BJW241" s="475"/>
      <c r="BJX241" s="475"/>
      <c r="BJY241" s="475"/>
      <c r="BJZ241" s="475"/>
      <c r="BKA241" s="475"/>
      <c r="BKB241" s="475"/>
      <c r="BKC241" s="475"/>
      <c r="BKD241" s="475"/>
      <c r="BKE241" s="475"/>
      <c r="BKF241" s="475"/>
      <c r="BKG241" s="475"/>
      <c r="BKH241" s="475"/>
      <c r="BKI241" s="475"/>
      <c r="BKJ241" s="475"/>
      <c r="BKK241" s="475"/>
      <c r="BKL241" s="475"/>
      <c r="BKM241" s="475"/>
      <c r="BKN241" s="475"/>
      <c r="BKO241" s="475"/>
      <c r="BKP241" s="475"/>
      <c r="BKQ241" s="475"/>
      <c r="BKR241" s="475"/>
      <c r="BKS241" s="475"/>
      <c r="BKT241" s="475"/>
      <c r="BKU241" s="475"/>
      <c r="BKV241" s="475"/>
      <c r="BKW241" s="475"/>
      <c r="BKX241" s="475"/>
      <c r="BKY241" s="475"/>
      <c r="BKZ241" s="475"/>
      <c r="BLA241" s="475"/>
      <c r="BLB241" s="475"/>
      <c r="BLC241" s="475"/>
      <c r="BLD241" s="475"/>
      <c r="BLE241" s="475"/>
      <c r="BLF241" s="475"/>
      <c r="BLG241" s="475"/>
      <c r="BLH241" s="475"/>
      <c r="BLI241" s="475"/>
      <c r="BLJ241" s="475"/>
      <c r="BLK241" s="475"/>
      <c r="BLL241" s="475"/>
      <c r="BLM241" s="475"/>
      <c r="BLN241" s="475"/>
      <c r="BLO241" s="475"/>
      <c r="BLP241" s="475"/>
      <c r="BLQ241" s="475"/>
      <c r="BLR241" s="475"/>
      <c r="BLS241" s="475"/>
      <c r="BLT241" s="475"/>
      <c r="BLU241" s="475"/>
      <c r="BLV241" s="475"/>
      <c r="BLW241" s="475"/>
      <c r="BLX241" s="475"/>
      <c r="BLY241" s="475"/>
      <c r="BLZ241" s="475"/>
      <c r="BMA241" s="475"/>
      <c r="BMB241" s="475"/>
      <c r="BMC241" s="475"/>
      <c r="BMD241" s="475"/>
      <c r="BME241" s="475"/>
      <c r="BMF241" s="475"/>
      <c r="BMG241" s="475"/>
      <c r="BMH241" s="475"/>
      <c r="BMI241" s="475"/>
      <c r="BMJ241" s="475"/>
      <c r="BMK241" s="475"/>
      <c r="BML241" s="475"/>
      <c r="BMM241" s="475"/>
      <c r="BMN241" s="475"/>
      <c r="BMO241" s="475"/>
      <c r="BMP241" s="475"/>
      <c r="BMQ241" s="475"/>
      <c r="BMR241" s="475"/>
      <c r="BMS241" s="475"/>
      <c r="BMT241" s="475"/>
      <c r="BMU241" s="475"/>
      <c r="BMV241" s="475"/>
      <c r="BMW241" s="475"/>
      <c r="BMX241" s="475"/>
      <c r="BMY241" s="475"/>
      <c r="BMZ241" s="475"/>
      <c r="BNA241" s="475"/>
      <c r="BNB241" s="475"/>
      <c r="BNC241" s="475"/>
      <c r="BND241" s="475"/>
      <c r="BNE241" s="475"/>
      <c r="BNF241" s="475"/>
      <c r="BNG241" s="475"/>
      <c r="BNH241" s="475"/>
      <c r="BNI241" s="475"/>
      <c r="BNJ241" s="475"/>
      <c r="BNK241" s="475"/>
      <c r="BNL241" s="475"/>
      <c r="BNM241" s="475"/>
      <c r="BNN241" s="475"/>
      <c r="BNO241" s="475"/>
      <c r="BNP241" s="475"/>
      <c r="BNQ241" s="475"/>
      <c r="BNR241" s="475"/>
      <c r="BNS241" s="475"/>
      <c r="BNT241" s="475"/>
      <c r="BNU241" s="475"/>
      <c r="BNV241" s="475"/>
      <c r="BNW241" s="475"/>
      <c r="BNX241" s="475"/>
      <c r="BNY241" s="475"/>
      <c r="BNZ241" s="475"/>
      <c r="BOA241" s="475"/>
      <c r="BOB241" s="475"/>
      <c r="BOC241" s="475"/>
      <c r="BOD241" s="475"/>
      <c r="BOE241" s="475"/>
      <c r="BOF241" s="475"/>
      <c r="BOG241" s="475"/>
      <c r="BOH241" s="475"/>
      <c r="BOI241" s="475"/>
      <c r="BOJ241" s="475"/>
      <c r="BOK241" s="475"/>
      <c r="BOL241" s="475"/>
      <c r="BOM241" s="475"/>
      <c r="BON241" s="475"/>
      <c r="BOO241" s="475"/>
      <c r="BOP241" s="475"/>
      <c r="BOQ241" s="475"/>
      <c r="BOR241" s="475"/>
      <c r="BOS241" s="475"/>
      <c r="BOT241" s="475"/>
      <c r="BOU241" s="475"/>
      <c r="BOV241" s="475"/>
      <c r="BOW241" s="475"/>
      <c r="BOX241" s="475"/>
      <c r="BOY241" s="475"/>
      <c r="BOZ241" s="475"/>
      <c r="BPA241" s="475"/>
      <c r="BPB241" s="475"/>
      <c r="BPC241" s="475"/>
      <c r="BPD241" s="475"/>
      <c r="BPE241" s="475"/>
      <c r="BPF241" s="475"/>
      <c r="BPG241" s="475"/>
      <c r="BPH241" s="475"/>
      <c r="BPI241" s="475"/>
      <c r="BPJ241" s="475"/>
      <c r="BPK241" s="475"/>
      <c r="BPL241" s="475"/>
      <c r="BPM241" s="475"/>
      <c r="BPN241" s="475"/>
      <c r="BPO241" s="475"/>
      <c r="BPP241" s="475"/>
      <c r="BPQ241" s="475"/>
      <c r="BPR241" s="475"/>
      <c r="BPS241" s="475"/>
      <c r="BPT241" s="475"/>
      <c r="BPU241" s="475"/>
      <c r="BPV241" s="475"/>
      <c r="BPW241" s="475"/>
      <c r="BPX241" s="475"/>
      <c r="BPY241" s="475"/>
      <c r="BPZ241" s="475"/>
      <c r="BQA241" s="475"/>
      <c r="BQB241" s="475"/>
      <c r="BQC241" s="475"/>
      <c r="BQD241" s="475"/>
      <c r="BQE241" s="475"/>
      <c r="BQF241" s="475"/>
      <c r="BQG241" s="475"/>
      <c r="BQH241" s="475"/>
      <c r="BQI241" s="475"/>
      <c r="BQJ241" s="475"/>
      <c r="BQK241" s="475"/>
      <c r="BQL241" s="475"/>
      <c r="BQM241" s="475"/>
      <c r="BQN241" s="475"/>
      <c r="BQO241" s="475"/>
      <c r="BQP241" s="475"/>
      <c r="BQQ241" s="475"/>
      <c r="BQR241" s="475"/>
      <c r="BQS241" s="475"/>
      <c r="BQT241" s="475"/>
      <c r="BQU241" s="475"/>
      <c r="BQV241" s="475"/>
      <c r="BQW241" s="475"/>
      <c r="BQX241" s="475"/>
      <c r="BQY241" s="475"/>
      <c r="BQZ241" s="475"/>
      <c r="BRA241" s="475"/>
      <c r="BRB241" s="475"/>
      <c r="BRC241" s="475"/>
      <c r="BRD241" s="475"/>
      <c r="BRE241" s="475"/>
      <c r="BRF241" s="475"/>
      <c r="BRG241" s="475"/>
      <c r="BRH241" s="475"/>
      <c r="BRI241" s="475"/>
      <c r="BRJ241" s="475"/>
      <c r="BRK241" s="475"/>
      <c r="BRL241" s="475"/>
      <c r="BRM241" s="475"/>
      <c r="BRN241" s="475"/>
      <c r="BRO241" s="475"/>
      <c r="BRP241" s="475"/>
      <c r="BRQ241" s="475"/>
      <c r="BRR241" s="475"/>
      <c r="BRS241" s="475"/>
      <c r="BRT241" s="475"/>
      <c r="BRU241" s="475"/>
      <c r="BRV241" s="475"/>
      <c r="BRW241" s="475"/>
      <c r="BRX241" s="475"/>
      <c r="BRY241" s="475"/>
      <c r="BRZ241" s="475"/>
      <c r="BSA241" s="475"/>
      <c r="BSB241" s="475"/>
      <c r="BSC241" s="475"/>
      <c r="BSD241" s="475"/>
      <c r="BSE241" s="475"/>
      <c r="BSF241" s="475"/>
      <c r="BSG241" s="475"/>
      <c r="BSH241" s="475"/>
      <c r="BSI241" s="475"/>
      <c r="BSJ241" s="475"/>
      <c r="BSK241" s="475"/>
      <c r="BSL241" s="475"/>
      <c r="BSM241" s="475"/>
      <c r="BSN241" s="475"/>
      <c r="BSO241" s="475"/>
      <c r="BSP241" s="475"/>
      <c r="BSQ241" s="475"/>
      <c r="BSR241" s="475"/>
      <c r="BSS241" s="475"/>
      <c r="BST241" s="475"/>
      <c r="BSU241" s="475"/>
      <c r="BSV241" s="475"/>
      <c r="BSW241" s="475"/>
      <c r="BSX241" s="475"/>
      <c r="BSY241" s="475"/>
      <c r="BSZ241" s="475"/>
      <c r="BTA241" s="475"/>
      <c r="BTB241" s="475"/>
      <c r="BTC241" s="475"/>
      <c r="BTD241" s="475"/>
      <c r="BTE241" s="475"/>
      <c r="BTF241" s="475"/>
      <c r="BTG241" s="475"/>
      <c r="BTH241" s="475"/>
      <c r="BTI241" s="475"/>
    </row>
    <row r="242" spans="1:1881" s="474" customFormat="1" ht="90" x14ac:dyDescent="0.25">
      <c r="A242" s="726">
        <v>952</v>
      </c>
      <c r="B242" s="733"/>
      <c r="C242" s="734"/>
      <c r="D242" s="731" t="s">
        <v>1025</v>
      </c>
      <c r="E242" s="730" t="s">
        <v>771</v>
      </c>
      <c r="F242" s="800"/>
      <c r="G242" s="536" t="str">
        <f t="shared" si="3"/>
        <v>Please do not leave blank</v>
      </c>
      <c r="H242" s="476"/>
      <c r="I242"/>
      <c r="J242"/>
      <c r="K242"/>
      <c r="L242"/>
      <c r="M242"/>
      <c r="N242"/>
      <c r="O242"/>
      <c r="P242" s="475"/>
      <c r="Q242" s="475"/>
      <c r="R242"/>
      <c r="S242" s="471"/>
      <c r="T242" s="475"/>
      <c r="U242" s="475"/>
      <c r="V242" s="475"/>
      <c r="W242" s="475"/>
      <c r="X242" s="682"/>
      <c r="Y242" s="475"/>
      <c r="Z242" s="475"/>
      <c r="AA242" s="475"/>
      <c r="AB242" s="475"/>
      <c r="AC242" s="475"/>
      <c r="AD242" s="475"/>
      <c r="AE242" s="475"/>
      <c r="AF242" s="475"/>
      <c r="AG242" s="475"/>
      <c r="AH242" s="475"/>
      <c r="AI242" s="475"/>
      <c r="AJ242" s="475"/>
      <c r="AK242" s="475"/>
      <c r="AL242" s="475"/>
      <c r="AM242" s="475"/>
      <c r="AN242" s="475"/>
      <c r="AO242" s="475"/>
      <c r="AP242" s="475"/>
      <c r="AQ242" s="475"/>
      <c r="AR242" s="475"/>
      <c r="AS242" s="475"/>
      <c r="AT242" s="475"/>
      <c r="AU242" s="475"/>
      <c r="AV242" s="475"/>
      <c r="AW242" s="475"/>
      <c r="AX242" s="475"/>
      <c r="AY242" s="475"/>
      <c r="AZ242" s="475"/>
      <c r="BA242" s="475"/>
      <c r="BB242" s="475"/>
      <c r="BC242" s="475"/>
      <c r="BD242" s="475"/>
      <c r="BE242" s="475"/>
      <c r="BF242" s="475"/>
      <c r="BG242" s="475"/>
      <c r="BH242" s="475"/>
      <c r="BI242" s="475"/>
      <c r="BJ242" s="475"/>
      <c r="BK242" s="475"/>
      <c r="BL242" s="475"/>
      <c r="BM242" s="475"/>
      <c r="BN242" s="475"/>
      <c r="BO242" s="475"/>
      <c r="BP242" s="475"/>
      <c r="BQ242" s="475"/>
      <c r="BR242" s="475"/>
      <c r="BS242" s="475"/>
      <c r="BT242" s="475"/>
      <c r="BU242" s="475"/>
      <c r="BV242" s="475"/>
      <c r="BW242" s="475"/>
      <c r="BX242" s="475"/>
      <c r="BY242" s="475"/>
      <c r="BZ242" s="475"/>
      <c r="CA242" s="475"/>
      <c r="CB242" s="475"/>
      <c r="CC242" s="475"/>
      <c r="CD242" s="475"/>
      <c r="CE242" s="475"/>
      <c r="CF242" s="475"/>
      <c r="CG242" s="475"/>
      <c r="CH242" s="475"/>
      <c r="CI242" s="475"/>
      <c r="CJ242" s="475"/>
      <c r="CK242" s="475"/>
      <c r="CL242" s="475"/>
      <c r="CM242" s="475"/>
      <c r="CN242" s="475"/>
      <c r="CO242" s="475"/>
      <c r="CP242" s="475"/>
      <c r="CQ242" s="475"/>
      <c r="CR242" s="475"/>
      <c r="CS242" s="475"/>
      <c r="CT242" s="475"/>
      <c r="CU242" s="475"/>
      <c r="CV242" s="475"/>
      <c r="CW242" s="475"/>
      <c r="CX242" s="475"/>
      <c r="CY242" s="475"/>
      <c r="CZ242" s="475"/>
      <c r="DA242" s="475"/>
      <c r="DB242" s="475"/>
      <c r="DC242" s="475"/>
      <c r="DD242" s="475"/>
      <c r="DE242" s="475"/>
      <c r="DF242" s="475"/>
      <c r="DG242" s="475"/>
      <c r="DH242" s="475"/>
      <c r="DI242" s="475"/>
      <c r="DJ242" s="475"/>
      <c r="DK242" s="475"/>
      <c r="DL242" s="475"/>
      <c r="DM242" s="475"/>
      <c r="DN242" s="475"/>
      <c r="DO242" s="475"/>
      <c r="DP242" s="475"/>
      <c r="DQ242" s="475"/>
      <c r="DR242" s="475"/>
      <c r="DS242" s="475"/>
      <c r="DT242" s="475"/>
      <c r="DU242" s="475"/>
      <c r="DV242" s="475"/>
      <c r="DW242" s="475"/>
      <c r="DX242" s="475"/>
      <c r="DY242" s="475"/>
      <c r="DZ242" s="475"/>
      <c r="EA242" s="475"/>
      <c r="EB242" s="475"/>
      <c r="EC242" s="475"/>
      <c r="ED242" s="475"/>
      <c r="EE242" s="475"/>
      <c r="EF242" s="475"/>
      <c r="EG242" s="475"/>
      <c r="EH242" s="475"/>
      <c r="EI242" s="475"/>
      <c r="EJ242" s="475"/>
      <c r="EK242" s="475"/>
      <c r="EL242" s="475"/>
      <c r="EM242" s="475"/>
      <c r="EN242" s="475"/>
      <c r="EO242" s="475"/>
      <c r="EP242" s="475"/>
      <c r="EQ242" s="475"/>
      <c r="ER242" s="475"/>
      <c r="ES242" s="475"/>
      <c r="ET242" s="475"/>
      <c r="EU242" s="475"/>
      <c r="EV242" s="475"/>
      <c r="EW242" s="475"/>
      <c r="EX242" s="475"/>
      <c r="EY242" s="475"/>
      <c r="EZ242" s="475"/>
      <c r="FA242" s="475"/>
      <c r="FB242" s="475"/>
      <c r="FC242" s="475"/>
      <c r="FD242" s="475"/>
      <c r="FE242" s="475"/>
      <c r="FF242" s="475"/>
      <c r="FG242" s="475"/>
      <c r="FH242" s="475"/>
      <c r="FI242" s="475"/>
      <c r="FJ242" s="475"/>
      <c r="FK242" s="475"/>
      <c r="FL242" s="475"/>
      <c r="FM242" s="475"/>
      <c r="FN242" s="475"/>
      <c r="FO242" s="475"/>
      <c r="FP242" s="475"/>
      <c r="FQ242" s="475"/>
      <c r="FR242" s="475"/>
      <c r="FS242" s="475"/>
      <c r="FT242" s="475"/>
      <c r="FU242" s="475"/>
      <c r="FV242" s="475"/>
      <c r="FW242" s="475"/>
      <c r="FX242" s="475"/>
      <c r="FY242" s="475"/>
      <c r="FZ242" s="475"/>
      <c r="GA242" s="475"/>
      <c r="GB242" s="475"/>
      <c r="GC242" s="475"/>
      <c r="GD242" s="475"/>
      <c r="GE242" s="475"/>
      <c r="GF242" s="475"/>
      <c r="GG242" s="475"/>
      <c r="GH242" s="475"/>
      <c r="GI242" s="475"/>
      <c r="GJ242" s="475"/>
      <c r="GK242" s="475"/>
      <c r="GL242" s="475"/>
      <c r="GM242" s="475"/>
      <c r="GN242" s="475"/>
      <c r="GO242" s="475"/>
      <c r="GP242" s="475"/>
      <c r="GQ242" s="475"/>
      <c r="GR242" s="475"/>
      <c r="GS242" s="475"/>
      <c r="GT242" s="475"/>
      <c r="GU242" s="475"/>
      <c r="GV242" s="475"/>
      <c r="GW242" s="475"/>
      <c r="GX242" s="475"/>
      <c r="GY242" s="475"/>
      <c r="GZ242" s="475"/>
      <c r="HA242" s="475"/>
      <c r="HB242" s="475"/>
      <c r="HC242" s="475"/>
      <c r="HD242" s="475"/>
      <c r="HE242" s="475"/>
      <c r="HF242" s="475"/>
      <c r="HG242" s="475"/>
      <c r="HH242" s="475"/>
      <c r="HI242" s="475"/>
      <c r="HJ242" s="475"/>
      <c r="HK242" s="475"/>
      <c r="HL242" s="475"/>
      <c r="HM242" s="475"/>
      <c r="HN242" s="475"/>
      <c r="HO242" s="475"/>
      <c r="HP242" s="475"/>
      <c r="HQ242" s="475"/>
      <c r="HR242" s="475"/>
      <c r="HS242" s="475"/>
      <c r="HT242" s="475"/>
      <c r="HU242" s="475"/>
      <c r="HV242" s="475"/>
      <c r="HW242" s="475"/>
      <c r="HX242" s="475"/>
      <c r="HY242" s="475"/>
      <c r="HZ242" s="475"/>
      <c r="IA242" s="475"/>
      <c r="IB242" s="475"/>
      <c r="IC242" s="475"/>
      <c r="ID242" s="475"/>
      <c r="IE242" s="475"/>
      <c r="IF242" s="475"/>
      <c r="IG242" s="475"/>
      <c r="IH242" s="475"/>
      <c r="II242" s="475"/>
      <c r="IJ242" s="475"/>
      <c r="IK242" s="475"/>
      <c r="IL242" s="475"/>
      <c r="IM242" s="475"/>
      <c r="IN242" s="475"/>
      <c r="IO242" s="475"/>
      <c r="IP242" s="475"/>
      <c r="IQ242" s="475"/>
      <c r="IR242" s="475"/>
      <c r="IS242" s="475"/>
      <c r="IT242" s="475"/>
      <c r="IU242" s="475"/>
      <c r="IV242" s="475"/>
      <c r="IW242" s="475"/>
      <c r="IX242" s="475"/>
      <c r="IY242" s="475"/>
      <c r="IZ242" s="475"/>
      <c r="JA242" s="475"/>
      <c r="JB242" s="475"/>
      <c r="JC242" s="475"/>
      <c r="JD242" s="475"/>
      <c r="JE242" s="475"/>
      <c r="JF242" s="475"/>
      <c r="JG242" s="475"/>
      <c r="JH242" s="475"/>
      <c r="JI242" s="475"/>
      <c r="JJ242" s="475"/>
      <c r="JK242" s="475"/>
      <c r="JL242" s="475"/>
      <c r="JM242" s="475"/>
      <c r="JN242" s="475"/>
      <c r="JO242" s="475"/>
      <c r="JP242" s="475"/>
      <c r="JQ242" s="475"/>
      <c r="JR242" s="475"/>
      <c r="JS242" s="475"/>
      <c r="JT242" s="475"/>
      <c r="JU242" s="475"/>
      <c r="JV242" s="475"/>
      <c r="JW242" s="475"/>
      <c r="JX242" s="475"/>
      <c r="JY242" s="475"/>
      <c r="JZ242" s="475"/>
      <c r="KA242" s="475"/>
      <c r="KB242" s="475"/>
      <c r="KC242" s="475"/>
      <c r="KD242" s="475"/>
      <c r="KE242" s="475"/>
      <c r="KF242" s="475"/>
      <c r="KG242" s="475"/>
      <c r="KH242" s="475"/>
      <c r="KI242" s="475"/>
      <c r="KJ242" s="475"/>
      <c r="KK242" s="475"/>
      <c r="KL242" s="475"/>
      <c r="KM242" s="475"/>
      <c r="KN242" s="475"/>
      <c r="KO242" s="475"/>
      <c r="KP242" s="475"/>
      <c r="KQ242" s="475"/>
      <c r="KR242" s="475"/>
      <c r="KS242" s="475"/>
      <c r="KT242" s="475"/>
      <c r="KU242" s="475"/>
      <c r="KV242" s="475"/>
      <c r="KW242" s="475"/>
      <c r="KX242" s="475"/>
      <c r="KY242" s="475"/>
      <c r="KZ242" s="475"/>
      <c r="LA242" s="475"/>
      <c r="LB242" s="475"/>
      <c r="LC242" s="475"/>
      <c r="LD242" s="475"/>
      <c r="LE242" s="475"/>
      <c r="LF242" s="475"/>
      <c r="LG242" s="475"/>
      <c r="LH242" s="475"/>
      <c r="LI242" s="475"/>
      <c r="LJ242" s="475"/>
      <c r="LK242" s="475"/>
      <c r="LL242" s="475"/>
      <c r="LM242" s="475"/>
      <c r="LN242" s="475"/>
      <c r="LO242" s="475"/>
      <c r="LP242" s="475"/>
      <c r="LQ242" s="475"/>
      <c r="LR242" s="475"/>
      <c r="LS242" s="475"/>
      <c r="LT242" s="475"/>
      <c r="LU242" s="475"/>
      <c r="LV242" s="475"/>
      <c r="LW242" s="475"/>
      <c r="LX242" s="475"/>
      <c r="LY242" s="475"/>
      <c r="LZ242" s="475"/>
      <c r="MA242" s="475"/>
      <c r="MB242" s="475"/>
      <c r="MC242" s="475"/>
      <c r="MD242" s="475"/>
      <c r="ME242" s="475"/>
      <c r="MF242" s="475"/>
      <c r="MG242" s="475"/>
      <c r="MH242" s="475"/>
      <c r="MI242" s="475"/>
      <c r="MJ242" s="475"/>
      <c r="MK242" s="475"/>
      <c r="ML242" s="475"/>
      <c r="MM242" s="475"/>
      <c r="MN242" s="475"/>
      <c r="MO242" s="475"/>
      <c r="MP242" s="475"/>
      <c r="MQ242" s="475"/>
      <c r="MR242" s="475"/>
      <c r="MS242" s="475"/>
      <c r="MT242" s="475"/>
      <c r="MU242" s="475"/>
      <c r="MV242" s="475"/>
      <c r="MW242" s="475"/>
      <c r="MX242" s="475"/>
      <c r="MY242" s="475"/>
      <c r="MZ242" s="475"/>
      <c r="NA242" s="475"/>
      <c r="NB242" s="475"/>
      <c r="NC242" s="475"/>
      <c r="ND242" s="475"/>
      <c r="NE242" s="475"/>
      <c r="NF242" s="475"/>
      <c r="NG242" s="475"/>
      <c r="NH242" s="475"/>
      <c r="NI242" s="475"/>
      <c r="NJ242" s="475"/>
      <c r="NK242" s="475"/>
      <c r="NL242" s="475"/>
      <c r="NM242" s="475"/>
      <c r="NN242" s="475"/>
      <c r="NO242" s="475"/>
      <c r="NP242" s="475"/>
      <c r="NQ242" s="475"/>
      <c r="NR242" s="475"/>
      <c r="NS242" s="475"/>
      <c r="NT242" s="475"/>
      <c r="NU242" s="475"/>
      <c r="NV242" s="475"/>
      <c r="NW242" s="475"/>
      <c r="NX242" s="475"/>
      <c r="NY242" s="475"/>
      <c r="NZ242" s="475"/>
      <c r="OA242" s="475"/>
      <c r="OB242" s="475"/>
      <c r="OC242" s="475"/>
      <c r="OD242" s="475"/>
      <c r="OE242" s="475"/>
      <c r="OF242" s="475"/>
      <c r="OG242" s="475"/>
      <c r="OH242" s="475"/>
      <c r="OI242" s="475"/>
      <c r="OJ242" s="475"/>
      <c r="OK242" s="475"/>
      <c r="OL242" s="475"/>
      <c r="OM242" s="475"/>
      <c r="ON242" s="475"/>
      <c r="OO242" s="475"/>
      <c r="OP242" s="475"/>
      <c r="OQ242" s="475"/>
      <c r="OR242" s="475"/>
      <c r="OS242" s="475"/>
      <c r="OT242" s="475"/>
      <c r="OU242" s="475"/>
      <c r="OV242" s="475"/>
      <c r="OW242" s="475"/>
      <c r="OX242" s="475"/>
      <c r="OY242" s="475"/>
      <c r="OZ242" s="475"/>
      <c r="PA242" s="475"/>
      <c r="PB242" s="475"/>
      <c r="PC242" s="475"/>
      <c r="PD242" s="475"/>
      <c r="PE242" s="475"/>
      <c r="PF242" s="475"/>
      <c r="PG242" s="475"/>
      <c r="PH242" s="475"/>
      <c r="PI242" s="475"/>
      <c r="PJ242" s="475"/>
      <c r="PK242" s="475"/>
      <c r="PL242" s="475"/>
      <c r="PM242" s="475"/>
      <c r="PN242" s="475"/>
      <c r="PO242" s="475"/>
      <c r="PP242" s="475"/>
      <c r="PQ242" s="475"/>
      <c r="PR242" s="475"/>
      <c r="PS242" s="475"/>
      <c r="PT242" s="475"/>
      <c r="PU242" s="475"/>
      <c r="PV242" s="475"/>
      <c r="PW242" s="475"/>
      <c r="PX242" s="475"/>
      <c r="PY242" s="475"/>
      <c r="PZ242" s="475"/>
      <c r="QA242" s="475"/>
      <c r="QB242" s="475"/>
      <c r="QC242" s="475"/>
      <c r="QD242" s="475"/>
      <c r="QE242" s="475"/>
      <c r="QF242" s="475"/>
      <c r="QG242" s="475"/>
      <c r="QH242" s="475"/>
      <c r="QI242" s="475"/>
      <c r="QJ242" s="475"/>
      <c r="QK242" s="475"/>
      <c r="QL242" s="475"/>
      <c r="QM242" s="475"/>
      <c r="QN242" s="475"/>
      <c r="QO242" s="475"/>
      <c r="QP242" s="475"/>
      <c r="QQ242" s="475"/>
      <c r="QR242" s="475"/>
      <c r="QS242" s="475"/>
      <c r="QT242" s="475"/>
      <c r="QU242" s="475"/>
      <c r="QV242" s="475"/>
      <c r="QW242" s="475"/>
      <c r="QX242" s="475"/>
      <c r="QY242" s="475"/>
      <c r="QZ242" s="475"/>
      <c r="RA242" s="475"/>
      <c r="RB242" s="475"/>
      <c r="RC242" s="475"/>
      <c r="RD242" s="475"/>
      <c r="RE242" s="475"/>
      <c r="RF242" s="475"/>
      <c r="RG242" s="475"/>
      <c r="RH242" s="475"/>
      <c r="RI242" s="475"/>
      <c r="RJ242" s="475"/>
      <c r="RK242" s="475"/>
      <c r="RL242" s="475"/>
      <c r="RM242" s="475"/>
      <c r="RN242" s="475"/>
      <c r="RO242" s="475"/>
      <c r="RP242" s="475"/>
      <c r="RQ242" s="475"/>
      <c r="RR242" s="475"/>
      <c r="RS242" s="475"/>
      <c r="RT242" s="475"/>
      <c r="RU242" s="475"/>
      <c r="RV242" s="475"/>
      <c r="RW242" s="475"/>
      <c r="RX242" s="475"/>
      <c r="RY242" s="475"/>
      <c r="RZ242" s="475"/>
      <c r="SA242" s="475"/>
      <c r="SB242" s="475"/>
      <c r="SC242" s="475"/>
      <c r="SD242" s="475"/>
      <c r="SE242" s="475"/>
      <c r="SF242" s="475"/>
      <c r="SG242" s="475"/>
      <c r="SH242" s="475"/>
      <c r="SI242" s="475"/>
      <c r="SJ242" s="475"/>
      <c r="SK242" s="475"/>
      <c r="SL242" s="475"/>
      <c r="SM242" s="475"/>
      <c r="SN242" s="475"/>
      <c r="SO242" s="475"/>
      <c r="SP242" s="475"/>
      <c r="SQ242" s="475"/>
      <c r="SR242" s="475"/>
      <c r="SS242" s="475"/>
      <c r="ST242" s="475"/>
      <c r="SU242" s="475"/>
      <c r="SV242" s="475"/>
      <c r="SW242" s="475"/>
      <c r="SX242" s="475"/>
      <c r="SY242" s="475"/>
      <c r="SZ242" s="475"/>
      <c r="TA242" s="475"/>
      <c r="TB242" s="475"/>
      <c r="TC242" s="475"/>
      <c r="TD242" s="475"/>
      <c r="TE242" s="475"/>
      <c r="TF242" s="475"/>
      <c r="TG242" s="475"/>
      <c r="TH242" s="475"/>
      <c r="TI242" s="475"/>
      <c r="TJ242" s="475"/>
      <c r="TK242" s="475"/>
      <c r="TL242" s="475"/>
      <c r="TM242" s="475"/>
      <c r="TN242" s="475"/>
      <c r="TO242" s="475"/>
      <c r="TP242" s="475"/>
      <c r="TQ242" s="475"/>
      <c r="TR242" s="475"/>
      <c r="TS242" s="475"/>
      <c r="TT242" s="475"/>
      <c r="TU242" s="475"/>
      <c r="TV242" s="475"/>
      <c r="TW242" s="475"/>
      <c r="TX242" s="475"/>
      <c r="TY242" s="475"/>
      <c r="TZ242" s="475"/>
      <c r="UA242" s="475"/>
      <c r="UB242" s="475"/>
      <c r="UC242" s="475"/>
      <c r="UD242" s="475"/>
      <c r="UE242" s="475"/>
      <c r="UF242" s="475"/>
      <c r="UG242" s="475"/>
      <c r="UH242" s="475"/>
      <c r="UI242" s="475"/>
      <c r="UJ242" s="475"/>
      <c r="UK242" s="475"/>
      <c r="UL242" s="475"/>
      <c r="UM242" s="475"/>
      <c r="UN242" s="475"/>
      <c r="UO242" s="475"/>
      <c r="UP242" s="475"/>
      <c r="UQ242" s="475"/>
      <c r="UR242" s="475"/>
      <c r="US242" s="475"/>
      <c r="UT242" s="475"/>
      <c r="UU242" s="475"/>
      <c r="UV242" s="475"/>
      <c r="UW242" s="475"/>
      <c r="UX242" s="475"/>
      <c r="UY242" s="475"/>
      <c r="UZ242" s="475"/>
      <c r="VA242" s="475"/>
      <c r="VB242" s="475"/>
      <c r="VC242" s="475"/>
      <c r="VD242" s="475"/>
      <c r="VE242" s="475"/>
      <c r="VF242" s="475"/>
      <c r="VG242" s="475"/>
      <c r="VH242" s="475"/>
      <c r="VI242" s="475"/>
      <c r="VJ242" s="475"/>
      <c r="VK242" s="475"/>
      <c r="VL242" s="475"/>
      <c r="VM242" s="475"/>
      <c r="VN242" s="475"/>
      <c r="VO242" s="475"/>
      <c r="VP242" s="475"/>
      <c r="VQ242" s="475"/>
      <c r="VR242" s="475"/>
      <c r="VS242" s="475"/>
      <c r="VT242" s="475"/>
      <c r="VU242" s="475"/>
      <c r="VV242" s="475"/>
      <c r="VW242" s="475"/>
      <c r="VX242" s="475"/>
      <c r="VY242" s="475"/>
      <c r="VZ242" s="475"/>
      <c r="WA242" s="475"/>
      <c r="WB242" s="475"/>
      <c r="WC242" s="475"/>
      <c r="WD242" s="475"/>
      <c r="WE242" s="475"/>
      <c r="WF242" s="475"/>
      <c r="WG242" s="475"/>
      <c r="WH242" s="475"/>
      <c r="WI242" s="475"/>
      <c r="WJ242" s="475"/>
      <c r="WK242" s="475"/>
      <c r="WL242" s="475"/>
      <c r="WM242" s="475"/>
      <c r="WN242" s="475"/>
      <c r="WO242" s="475"/>
      <c r="WP242" s="475"/>
      <c r="WQ242" s="475"/>
      <c r="WR242" s="475"/>
      <c r="WS242" s="475"/>
      <c r="WT242" s="475"/>
      <c r="WU242" s="475"/>
      <c r="WV242" s="475"/>
      <c r="WW242" s="475"/>
      <c r="WX242" s="475"/>
      <c r="WY242" s="475"/>
      <c r="WZ242" s="475"/>
      <c r="XA242" s="475"/>
      <c r="XB242" s="475"/>
      <c r="XC242" s="475"/>
      <c r="XD242" s="475"/>
      <c r="XE242" s="475"/>
      <c r="XF242" s="475"/>
      <c r="XG242" s="475"/>
      <c r="XH242" s="475"/>
      <c r="XI242" s="475"/>
      <c r="XJ242" s="475"/>
      <c r="XK242" s="475"/>
      <c r="XL242" s="475"/>
      <c r="XM242" s="475"/>
      <c r="XN242" s="475"/>
      <c r="XO242" s="475"/>
      <c r="XP242" s="475"/>
      <c r="XQ242" s="475"/>
      <c r="XR242" s="475"/>
      <c r="XS242" s="475"/>
      <c r="XT242" s="475"/>
      <c r="XU242" s="475"/>
      <c r="XV242" s="475"/>
      <c r="XW242" s="475"/>
      <c r="XX242" s="475"/>
      <c r="XY242" s="475"/>
      <c r="XZ242" s="475"/>
      <c r="YA242" s="475"/>
      <c r="YB242" s="475"/>
      <c r="YC242" s="475"/>
      <c r="YD242" s="475"/>
      <c r="YE242" s="475"/>
      <c r="YF242" s="475"/>
      <c r="YG242" s="475"/>
      <c r="YH242" s="475"/>
      <c r="YI242" s="475"/>
      <c r="YJ242" s="475"/>
      <c r="YK242" s="475"/>
      <c r="YL242" s="475"/>
      <c r="YM242" s="475"/>
      <c r="YN242" s="475"/>
      <c r="YO242" s="475"/>
      <c r="YP242" s="475"/>
      <c r="YQ242" s="475"/>
      <c r="YR242" s="475"/>
      <c r="YS242" s="475"/>
      <c r="YT242" s="475"/>
      <c r="YU242" s="475"/>
      <c r="YV242" s="475"/>
      <c r="YW242" s="475"/>
      <c r="YX242" s="475"/>
      <c r="YY242" s="475"/>
      <c r="YZ242" s="475"/>
      <c r="ZA242" s="475"/>
      <c r="ZB242" s="475"/>
      <c r="ZC242" s="475"/>
      <c r="ZD242" s="475"/>
      <c r="ZE242" s="475"/>
      <c r="ZF242" s="475"/>
      <c r="ZG242" s="475"/>
      <c r="ZH242" s="475"/>
      <c r="ZI242" s="475"/>
      <c r="ZJ242" s="475"/>
      <c r="ZK242" s="475"/>
      <c r="ZL242" s="475"/>
      <c r="ZM242" s="475"/>
      <c r="ZN242" s="475"/>
      <c r="ZO242" s="475"/>
      <c r="ZP242" s="475"/>
      <c r="ZQ242" s="475"/>
      <c r="ZR242" s="475"/>
      <c r="ZS242" s="475"/>
      <c r="ZT242" s="475"/>
      <c r="ZU242" s="475"/>
      <c r="ZV242" s="475"/>
      <c r="ZW242" s="475"/>
      <c r="ZX242" s="475"/>
      <c r="ZY242" s="475"/>
      <c r="ZZ242" s="475"/>
      <c r="AAA242" s="475"/>
      <c r="AAB242" s="475"/>
      <c r="AAC242" s="475"/>
      <c r="AAD242" s="475"/>
      <c r="AAE242" s="475"/>
      <c r="AAF242" s="475"/>
      <c r="AAG242" s="475"/>
      <c r="AAH242" s="475"/>
      <c r="AAI242" s="475"/>
      <c r="AAJ242" s="475"/>
      <c r="AAK242" s="475"/>
      <c r="AAL242" s="475"/>
      <c r="AAM242" s="475"/>
      <c r="AAN242" s="475"/>
      <c r="AAO242" s="475"/>
      <c r="AAP242" s="475"/>
      <c r="AAQ242" s="475"/>
      <c r="AAR242" s="475"/>
      <c r="AAS242" s="475"/>
      <c r="AAT242" s="475"/>
      <c r="AAU242" s="475"/>
      <c r="AAV242" s="475"/>
      <c r="AAW242" s="475"/>
      <c r="AAX242" s="475"/>
      <c r="AAY242" s="475"/>
      <c r="AAZ242" s="475"/>
      <c r="ABA242" s="475"/>
      <c r="ABB242" s="475"/>
      <c r="ABC242" s="475"/>
      <c r="ABD242" s="475"/>
      <c r="ABE242" s="475"/>
      <c r="ABF242" s="475"/>
      <c r="ABG242" s="475"/>
      <c r="ABH242" s="475"/>
      <c r="ABI242" s="475"/>
      <c r="ABJ242" s="475"/>
      <c r="ABK242" s="475"/>
      <c r="ABL242" s="475"/>
      <c r="ABM242" s="475"/>
      <c r="ABN242" s="475"/>
      <c r="ABO242" s="475"/>
      <c r="ABP242" s="475"/>
      <c r="ABQ242" s="475"/>
      <c r="ABR242" s="475"/>
      <c r="ABS242" s="475"/>
      <c r="ABT242" s="475"/>
      <c r="ABU242" s="475"/>
      <c r="ABV242" s="475"/>
      <c r="ABW242" s="475"/>
      <c r="ABX242" s="475"/>
      <c r="ABY242" s="475"/>
      <c r="ABZ242" s="475"/>
      <c r="ACA242" s="475"/>
      <c r="ACB242" s="475"/>
      <c r="ACC242" s="475"/>
      <c r="ACD242" s="475"/>
      <c r="ACE242" s="475"/>
      <c r="ACF242" s="475"/>
      <c r="ACG242" s="475"/>
      <c r="ACH242" s="475"/>
      <c r="ACI242" s="475"/>
      <c r="ACJ242" s="475"/>
      <c r="ACK242" s="475"/>
      <c r="ACL242" s="475"/>
      <c r="ACM242" s="475"/>
      <c r="ACN242" s="475"/>
      <c r="ACO242" s="475"/>
      <c r="ACP242" s="475"/>
      <c r="ACQ242" s="475"/>
      <c r="ACR242" s="475"/>
      <c r="ACS242" s="475"/>
      <c r="ACT242" s="475"/>
      <c r="ACU242" s="475"/>
      <c r="ACV242" s="475"/>
      <c r="ACW242" s="475"/>
      <c r="ACX242" s="475"/>
      <c r="ACY242" s="475"/>
      <c r="ACZ242" s="475"/>
      <c r="ADA242" s="475"/>
      <c r="ADB242" s="475"/>
      <c r="ADC242" s="475"/>
      <c r="ADD242" s="475"/>
      <c r="ADE242" s="475"/>
      <c r="ADF242" s="475"/>
      <c r="ADG242" s="475"/>
      <c r="ADH242" s="475"/>
      <c r="ADI242" s="475"/>
      <c r="ADJ242" s="475"/>
      <c r="ADK242" s="475"/>
      <c r="ADL242" s="475"/>
      <c r="ADM242" s="475"/>
      <c r="ADN242" s="475"/>
      <c r="ADO242" s="475"/>
      <c r="ADP242" s="475"/>
      <c r="ADQ242" s="475"/>
      <c r="ADR242" s="475"/>
      <c r="ADS242" s="475"/>
      <c r="ADT242" s="475"/>
      <c r="ADU242" s="475"/>
      <c r="ADV242" s="475"/>
      <c r="ADW242" s="475"/>
      <c r="ADX242" s="475"/>
      <c r="ADY242" s="475"/>
      <c r="ADZ242" s="475"/>
      <c r="AEA242" s="475"/>
      <c r="AEB242" s="475"/>
      <c r="AEC242" s="475"/>
      <c r="AED242" s="475"/>
      <c r="AEE242" s="475"/>
      <c r="AEF242" s="475"/>
      <c r="AEG242" s="475"/>
      <c r="AEH242" s="475"/>
      <c r="AEI242" s="475"/>
      <c r="AEJ242" s="475"/>
      <c r="AEK242" s="475"/>
      <c r="AEL242" s="475"/>
      <c r="AEM242" s="475"/>
      <c r="AEN242" s="475"/>
      <c r="AEO242" s="475"/>
      <c r="AEP242" s="475"/>
      <c r="AEQ242" s="475"/>
      <c r="AER242" s="475"/>
      <c r="AES242" s="475"/>
      <c r="AET242" s="475"/>
      <c r="AEU242" s="475"/>
      <c r="AEV242" s="475"/>
      <c r="AEW242" s="475"/>
      <c r="AEX242" s="475"/>
      <c r="AEY242" s="475"/>
      <c r="AEZ242" s="475"/>
      <c r="AFA242" s="475"/>
      <c r="AFB242" s="475"/>
      <c r="AFC242" s="475"/>
      <c r="AFD242" s="475"/>
      <c r="AFE242" s="475"/>
      <c r="AFF242" s="475"/>
      <c r="AFG242" s="475"/>
      <c r="AFH242" s="475"/>
      <c r="AFI242" s="475"/>
      <c r="AFJ242" s="475"/>
      <c r="AFK242" s="475"/>
      <c r="AFL242" s="475"/>
      <c r="AFM242" s="475"/>
      <c r="AFN242" s="475"/>
      <c r="AFO242" s="475"/>
      <c r="AFP242" s="475"/>
      <c r="AFQ242" s="475"/>
      <c r="AFR242" s="475"/>
      <c r="AFS242" s="475"/>
      <c r="AFT242" s="475"/>
      <c r="AFU242" s="475"/>
      <c r="AFV242" s="475"/>
      <c r="AFW242" s="475"/>
      <c r="AFX242" s="475"/>
      <c r="AFY242" s="475"/>
      <c r="AFZ242" s="475"/>
      <c r="AGA242" s="475"/>
      <c r="AGB242" s="475"/>
      <c r="AGC242" s="475"/>
      <c r="AGD242" s="475"/>
      <c r="AGE242" s="475"/>
      <c r="AGF242" s="475"/>
      <c r="AGG242" s="475"/>
      <c r="AGH242" s="475"/>
      <c r="AGI242" s="475"/>
      <c r="AGJ242" s="475"/>
      <c r="AGK242" s="475"/>
      <c r="AGL242" s="475"/>
      <c r="AGM242" s="475"/>
      <c r="AGN242" s="475"/>
      <c r="AGO242" s="475"/>
      <c r="AGP242" s="475"/>
      <c r="AGQ242" s="475"/>
      <c r="AGR242" s="475"/>
      <c r="AGS242" s="475"/>
      <c r="AGT242" s="475"/>
      <c r="AGU242" s="475"/>
      <c r="AGV242" s="475"/>
      <c r="AGW242" s="475"/>
      <c r="AGX242" s="475"/>
      <c r="AGY242" s="475"/>
      <c r="AGZ242" s="475"/>
      <c r="AHA242" s="475"/>
      <c r="AHB242" s="475"/>
      <c r="AHC242" s="475"/>
      <c r="AHD242" s="475"/>
      <c r="AHE242" s="475"/>
      <c r="AHF242" s="475"/>
      <c r="AHG242" s="475"/>
      <c r="AHH242" s="475"/>
      <c r="AHI242" s="475"/>
      <c r="AHJ242" s="475"/>
      <c r="AHK242" s="475"/>
      <c r="AHL242" s="475"/>
      <c r="AHM242" s="475"/>
      <c r="AHN242" s="475"/>
      <c r="AHO242" s="475"/>
      <c r="AHP242" s="475"/>
      <c r="AHQ242" s="475"/>
      <c r="AHR242" s="475"/>
      <c r="AHS242" s="475"/>
      <c r="AHT242" s="475"/>
      <c r="AHU242" s="475"/>
      <c r="AHV242" s="475"/>
      <c r="AHW242" s="475"/>
      <c r="AHX242" s="475"/>
      <c r="AHY242" s="475"/>
      <c r="AHZ242" s="475"/>
      <c r="AIA242" s="475"/>
      <c r="AIB242" s="475"/>
      <c r="AIC242" s="475"/>
      <c r="AID242" s="475"/>
      <c r="AIE242" s="475"/>
      <c r="AIF242" s="475"/>
      <c r="AIG242" s="475"/>
      <c r="AIH242" s="475"/>
      <c r="AII242" s="475"/>
      <c r="AIJ242" s="475"/>
      <c r="AIK242" s="475"/>
      <c r="AIL242" s="475"/>
      <c r="AIM242" s="475"/>
      <c r="AIN242" s="475"/>
      <c r="AIO242" s="475"/>
      <c r="AIP242" s="475"/>
      <c r="AIQ242" s="475"/>
      <c r="AIR242" s="475"/>
      <c r="AIS242" s="475"/>
      <c r="AIT242" s="475"/>
      <c r="AIU242" s="475"/>
      <c r="AIV242" s="475"/>
      <c r="AIW242" s="475"/>
      <c r="AIX242" s="475"/>
      <c r="AIY242" s="475"/>
      <c r="AIZ242" s="475"/>
      <c r="AJA242" s="475"/>
      <c r="AJB242" s="475"/>
      <c r="AJC242" s="475"/>
      <c r="AJD242" s="475"/>
      <c r="AJE242" s="475"/>
      <c r="AJF242" s="475"/>
      <c r="AJG242" s="475"/>
      <c r="AJH242" s="475"/>
      <c r="AJI242" s="475"/>
      <c r="AJJ242" s="475"/>
      <c r="AJK242" s="475"/>
      <c r="AJL242" s="475"/>
      <c r="AJM242" s="475"/>
      <c r="AJN242" s="475"/>
      <c r="AJO242" s="475"/>
      <c r="AJP242" s="475"/>
      <c r="AJQ242" s="475"/>
      <c r="AJR242" s="475"/>
      <c r="AJS242" s="475"/>
      <c r="AJT242" s="475"/>
      <c r="AJU242" s="475"/>
      <c r="AJV242" s="475"/>
      <c r="AJW242" s="475"/>
      <c r="AJX242" s="475"/>
      <c r="AJY242" s="475"/>
      <c r="AJZ242" s="475"/>
      <c r="AKA242" s="475"/>
      <c r="AKB242" s="475"/>
      <c r="AKC242" s="475"/>
      <c r="AKD242" s="475"/>
      <c r="AKE242" s="475"/>
      <c r="AKF242" s="475"/>
      <c r="AKG242" s="475"/>
      <c r="AKH242" s="475"/>
      <c r="AKI242" s="475"/>
      <c r="AKJ242" s="475"/>
      <c r="AKK242" s="475"/>
      <c r="AKL242" s="475"/>
      <c r="AKM242" s="475"/>
      <c r="AKN242" s="475"/>
      <c r="AKO242" s="475"/>
      <c r="AKP242" s="475"/>
      <c r="AKQ242" s="475"/>
      <c r="AKR242" s="475"/>
      <c r="AKS242" s="475"/>
      <c r="AKT242" s="475"/>
      <c r="AKU242" s="475"/>
      <c r="AKV242" s="475"/>
      <c r="AKW242" s="475"/>
      <c r="AKX242" s="475"/>
      <c r="AKY242" s="475"/>
      <c r="AKZ242" s="475"/>
      <c r="ALA242" s="475"/>
      <c r="ALB242" s="475"/>
      <c r="ALC242" s="475"/>
      <c r="ALD242" s="475"/>
      <c r="ALE242" s="475"/>
      <c r="ALF242" s="475"/>
      <c r="ALG242" s="475"/>
      <c r="ALH242" s="475"/>
      <c r="ALI242" s="475"/>
      <c r="ALJ242" s="475"/>
      <c r="ALK242" s="475"/>
      <c r="ALL242" s="475"/>
      <c r="ALM242" s="475"/>
      <c r="ALN242" s="475"/>
      <c r="ALO242" s="475"/>
      <c r="ALP242" s="475"/>
      <c r="ALQ242" s="475"/>
      <c r="ALR242" s="475"/>
      <c r="ALS242" s="475"/>
      <c r="ALT242" s="475"/>
      <c r="ALU242" s="475"/>
      <c r="ALV242" s="475"/>
      <c r="ALW242" s="475"/>
      <c r="ALX242" s="475"/>
      <c r="ALY242" s="475"/>
      <c r="ALZ242" s="475"/>
      <c r="AMA242" s="475"/>
      <c r="AMB242" s="475"/>
      <c r="AMC242" s="475"/>
      <c r="AMD242" s="475"/>
      <c r="AME242" s="475"/>
      <c r="AMF242" s="475"/>
      <c r="AMG242" s="475"/>
      <c r="AMH242" s="475"/>
      <c r="AMI242" s="475"/>
      <c r="AMJ242" s="475"/>
      <c r="AMK242" s="475"/>
      <c r="AML242" s="475"/>
      <c r="AMM242" s="475"/>
      <c r="AMN242" s="475"/>
      <c r="AMO242" s="475"/>
      <c r="AMP242" s="475"/>
      <c r="AMQ242" s="475"/>
      <c r="AMR242" s="475"/>
      <c r="AMS242" s="475"/>
      <c r="AMT242" s="475"/>
      <c r="AMU242" s="475"/>
      <c r="AMV242" s="475"/>
      <c r="AMW242" s="475"/>
      <c r="AMX242" s="475"/>
      <c r="AMY242" s="475"/>
      <c r="AMZ242" s="475"/>
      <c r="ANA242" s="475"/>
      <c r="ANB242" s="475"/>
      <c r="ANC242" s="475"/>
      <c r="AND242" s="475"/>
      <c r="ANE242" s="475"/>
      <c r="ANF242" s="475"/>
      <c r="ANG242" s="475"/>
      <c r="ANH242" s="475"/>
      <c r="ANI242" s="475"/>
      <c r="ANJ242" s="475"/>
      <c r="ANK242" s="475"/>
      <c r="ANL242" s="475"/>
      <c r="ANM242" s="475"/>
      <c r="ANN242" s="475"/>
      <c r="ANO242" s="475"/>
      <c r="ANP242" s="475"/>
      <c r="ANQ242" s="475"/>
      <c r="ANR242" s="475"/>
      <c r="ANS242" s="475"/>
      <c r="ANT242" s="475"/>
      <c r="ANU242" s="475"/>
      <c r="ANV242" s="475"/>
      <c r="ANW242" s="475"/>
      <c r="ANX242" s="475"/>
      <c r="ANY242" s="475"/>
      <c r="ANZ242" s="475"/>
      <c r="AOA242" s="475"/>
      <c r="AOB242" s="475"/>
      <c r="AOC242" s="475"/>
      <c r="AOD242" s="475"/>
      <c r="AOE242" s="475"/>
      <c r="AOF242" s="475"/>
      <c r="AOG242" s="475"/>
      <c r="AOH242" s="475"/>
      <c r="AOI242" s="475"/>
      <c r="AOJ242" s="475"/>
      <c r="AOK242" s="475"/>
      <c r="AOL242" s="475"/>
      <c r="AOM242" s="475"/>
      <c r="AON242" s="475"/>
      <c r="AOO242" s="475"/>
      <c r="AOP242" s="475"/>
      <c r="AOQ242" s="475"/>
      <c r="AOR242" s="475"/>
      <c r="AOS242" s="475"/>
      <c r="AOT242" s="475"/>
      <c r="AOU242" s="475"/>
      <c r="AOV242" s="475"/>
      <c r="AOW242" s="475"/>
      <c r="AOX242" s="475"/>
      <c r="AOY242" s="475"/>
      <c r="AOZ242" s="475"/>
      <c r="APA242" s="475"/>
      <c r="APB242" s="475"/>
      <c r="APC242" s="475"/>
      <c r="APD242" s="475"/>
      <c r="APE242" s="475"/>
      <c r="APF242" s="475"/>
      <c r="APG242" s="475"/>
      <c r="APH242" s="475"/>
      <c r="API242" s="475"/>
      <c r="APJ242" s="475"/>
      <c r="APK242" s="475"/>
      <c r="APL242" s="475"/>
      <c r="APM242" s="475"/>
      <c r="APN242" s="475"/>
      <c r="APO242" s="475"/>
      <c r="APP242" s="475"/>
      <c r="APQ242" s="475"/>
      <c r="APR242" s="475"/>
      <c r="APS242" s="475"/>
      <c r="APT242" s="475"/>
      <c r="APU242" s="475"/>
      <c r="APV242" s="475"/>
      <c r="APW242" s="475"/>
      <c r="APX242" s="475"/>
      <c r="APY242" s="475"/>
      <c r="APZ242" s="475"/>
      <c r="AQA242" s="475"/>
      <c r="AQB242" s="475"/>
      <c r="AQC242" s="475"/>
      <c r="AQD242" s="475"/>
      <c r="AQE242" s="475"/>
      <c r="AQF242" s="475"/>
      <c r="AQG242" s="475"/>
      <c r="AQH242" s="475"/>
      <c r="AQI242" s="475"/>
      <c r="AQJ242" s="475"/>
      <c r="AQK242" s="475"/>
      <c r="AQL242" s="475"/>
      <c r="AQM242" s="475"/>
      <c r="AQN242" s="475"/>
      <c r="AQO242" s="475"/>
      <c r="AQP242" s="475"/>
      <c r="AQQ242" s="475"/>
      <c r="AQR242" s="475"/>
      <c r="AQS242" s="475"/>
      <c r="AQT242" s="475"/>
      <c r="AQU242" s="475"/>
      <c r="AQV242" s="475"/>
      <c r="AQW242" s="475"/>
      <c r="AQX242" s="475"/>
      <c r="AQY242" s="475"/>
      <c r="AQZ242" s="475"/>
      <c r="ARA242" s="475"/>
      <c r="ARB242" s="475"/>
      <c r="ARC242" s="475"/>
      <c r="ARD242" s="475"/>
      <c r="ARE242" s="475"/>
      <c r="ARF242" s="475"/>
      <c r="ARG242" s="475"/>
      <c r="ARH242" s="475"/>
      <c r="ARI242" s="475"/>
      <c r="ARJ242" s="475"/>
      <c r="ARK242" s="475"/>
      <c r="ARL242" s="475"/>
      <c r="ARM242" s="475"/>
      <c r="ARN242" s="475"/>
      <c r="ARO242" s="475"/>
      <c r="ARP242" s="475"/>
      <c r="ARQ242" s="475"/>
      <c r="ARR242" s="475"/>
      <c r="ARS242" s="475"/>
      <c r="ART242" s="475"/>
      <c r="ARU242" s="475"/>
      <c r="ARV242" s="475"/>
      <c r="ARW242" s="475"/>
      <c r="ARX242" s="475"/>
      <c r="ARY242" s="475"/>
      <c r="ARZ242" s="475"/>
      <c r="ASA242" s="475"/>
      <c r="ASB242" s="475"/>
      <c r="ASC242" s="475"/>
      <c r="ASD242" s="475"/>
      <c r="ASE242" s="475"/>
      <c r="ASF242" s="475"/>
      <c r="ASG242" s="475"/>
      <c r="ASH242" s="475"/>
      <c r="ASI242" s="475"/>
      <c r="ASJ242" s="475"/>
      <c r="ASK242" s="475"/>
      <c r="ASL242" s="475"/>
      <c r="ASM242" s="475"/>
      <c r="ASN242" s="475"/>
      <c r="ASO242" s="475"/>
      <c r="ASP242" s="475"/>
      <c r="ASQ242" s="475"/>
      <c r="ASR242" s="475"/>
      <c r="ASS242" s="475"/>
      <c r="AST242" s="475"/>
      <c r="ASU242" s="475"/>
      <c r="ASV242" s="475"/>
      <c r="ASW242" s="475"/>
      <c r="ASX242" s="475"/>
      <c r="ASY242" s="475"/>
      <c r="ASZ242" s="475"/>
      <c r="ATA242" s="475"/>
      <c r="ATB242" s="475"/>
      <c r="ATC242" s="475"/>
      <c r="ATD242" s="475"/>
      <c r="ATE242" s="475"/>
      <c r="ATF242" s="475"/>
      <c r="ATG242" s="475"/>
      <c r="ATH242" s="475"/>
      <c r="ATI242" s="475"/>
      <c r="ATJ242" s="475"/>
      <c r="ATK242" s="475"/>
      <c r="ATL242" s="475"/>
      <c r="ATM242" s="475"/>
      <c r="ATN242" s="475"/>
      <c r="ATO242" s="475"/>
      <c r="ATP242" s="475"/>
      <c r="ATQ242" s="475"/>
      <c r="ATR242" s="475"/>
      <c r="ATS242" s="475"/>
      <c r="ATT242" s="475"/>
      <c r="ATU242" s="475"/>
      <c r="ATV242" s="475"/>
      <c r="ATW242" s="475"/>
      <c r="ATX242" s="475"/>
      <c r="ATY242" s="475"/>
      <c r="ATZ242" s="475"/>
      <c r="AUA242" s="475"/>
      <c r="AUB242" s="475"/>
      <c r="AUC242" s="475"/>
      <c r="AUD242" s="475"/>
      <c r="AUE242" s="475"/>
      <c r="AUF242" s="475"/>
      <c r="AUG242" s="475"/>
      <c r="AUH242" s="475"/>
      <c r="AUI242" s="475"/>
      <c r="AUJ242" s="475"/>
      <c r="AUK242" s="475"/>
      <c r="AUL242" s="475"/>
      <c r="AUM242" s="475"/>
      <c r="AUN242" s="475"/>
      <c r="AUO242" s="475"/>
      <c r="AUP242" s="475"/>
      <c r="AUQ242" s="475"/>
      <c r="AUR242" s="475"/>
      <c r="AUS242" s="475"/>
      <c r="AUT242" s="475"/>
      <c r="AUU242" s="475"/>
      <c r="AUV242" s="475"/>
      <c r="AUW242" s="475"/>
      <c r="AUX242" s="475"/>
      <c r="AUY242" s="475"/>
      <c r="AUZ242" s="475"/>
      <c r="AVA242" s="475"/>
      <c r="AVB242" s="475"/>
      <c r="AVC242" s="475"/>
      <c r="AVD242" s="475"/>
      <c r="AVE242" s="475"/>
      <c r="AVF242" s="475"/>
      <c r="AVG242" s="475"/>
      <c r="AVH242" s="475"/>
      <c r="AVI242" s="475"/>
      <c r="AVJ242" s="475"/>
      <c r="AVK242" s="475"/>
      <c r="AVL242" s="475"/>
      <c r="AVM242" s="475"/>
      <c r="AVN242" s="475"/>
      <c r="AVO242" s="475"/>
      <c r="AVP242" s="475"/>
      <c r="AVQ242" s="475"/>
      <c r="AVR242" s="475"/>
      <c r="AVS242" s="475"/>
      <c r="AVT242" s="475"/>
      <c r="AVU242" s="475"/>
      <c r="AVV242" s="475"/>
      <c r="AVW242" s="475"/>
      <c r="AVX242" s="475"/>
      <c r="AVY242" s="475"/>
      <c r="AVZ242" s="475"/>
      <c r="AWA242" s="475"/>
      <c r="AWB242" s="475"/>
      <c r="AWC242" s="475"/>
      <c r="AWD242" s="475"/>
      <c r="AWE242" s="475"/>
      <c r="AWF242" s="475"/>
      <c r="AWG242" s="475"/>
      <c r="AWH242" s="475"/>
      <c r="AWI242" s="475"/>
      <c r="AWJ242" s="475"/>
      <c r="AWK242" s="475"/>
      <c r="AWL242" s="475"/>
      <c r="AWM242" s="475"/>
      <c r="AWN242" s="475"/>
      <c r="AWO242" s="475"/>
      <c r="AWP242" s="475"/>
      <c r="AWQ242" s="475"/>
      <c r="AWR242" s="475"/>
      <c r="AWS242" s="475"/>
      <c r="AWT242" s="475"/>
      <c r="AWU242" s="475"/>
      <c r="AWV242" s="475"/>
      <c r="AWW242" s="475"/>
      <c r="AWX242" s="475"/>
      <c r="AWY242" s="475"/>
      <c r="AWZ242" s="475"/>
      <c r="AXA242" s="475"/>
      <c r="AXB242" s="475"/>
      <c r="AXC242" s="475"/>
      <c r="AXD242" s="475"/>
      <c r="AXE242" s="475"/>
      <c r="AXF242" s="475"/>
      <c r="AXG242" s="475"/>
      <c r="AXH242" s="475"/>
      <c r="AXI242" s="475"/>
      <c r="AXJ242" s="475"/>
      <c r="AXK242" s="475"/>
      <c r="AXL242" s="475"/>
      <c r="AXM242" s="475"/>
      <c r="AXN242" s="475"/>
      <c r="AXO242" s="475"/>
      <c r="AXP242" s="475"/>
      <c r="AXQ242" s="475"/>
      <c r="AXR242" s="475"/>
      <c r="AXS242" s="475"/>
      <c r="AXT242" s="475"/>
      <c r="AXU242" s="475"/>
      <c r="AXV242" s="475"/>
      <c r="AXW242" s="475"/>
      <c r="AXX242" s="475"/>
      <c r="AXY242" s="475"/>
      <c r="AXZ242" s="475"/>
      <c r="AYA242" s="475"/>
      <c r="AYB242" s="475"/>
      <c r="AYC242" s="475"/>
      <c r="AYD242" s="475"/>
      <c r="AYE242" s="475"/>
      <c r="AYF242" s="475"/>
      <c r="AYG242" s="475"/>
      <c r="AYH242" s="475"/>
      <c r="AYI242" s="475"/>
      <c r="AYJ242" s="475"/>
      <c r="AYK242" s="475"/>
      <c r="AYL242" s="475"/>
      <c r="AYM242" s="475"/>
      <c r="AYN242" s="475"/>
      <c r="AYO242" s="475"/>
      <c r="AYP242" s="475"/>
      <c r="AYQ242" s="475"/>
      <c r="AYR242" s="475"/>
      <c r="AYS242" s="475"/>
      <c r="AYT242" s="475"/>
      <c r="AYU242" s="475"/>
      <c r="AYV242" s="475"/>
      <c r="AYW242" s="475"/>
      <c r="AYX242" s="475"/>
      <c r="AYY242" s="475"/>
      <c r="AYZ242" s="475"/>
      <c r="AZA242" s="475"/>
      <c r="AZB242" s="475"/>
      <c r="AZC242" s="475"/>
      <c r="AZD242" s="475"/>
      <c r="AZE242" s="475"/>
      <c r="AZF242" s="475"/>
      <c r="AZG242" s="475"/>
      <c r="AZH242" s="475"/>
      <c r="AZI242" s="475"/>
      <c r="AZJ242" s="475"/>
      <c r="AZK242" s="475"/>
      <c r="AZL242" s="475"/>
      <c r="AZM242" s="475"/>
      <c r="AZN242" s="475"/>
      <c r="AZO242" s="475"/>
      <c r="AZP242" s="475"/>
      <c r="AZQ242" s="475"/>
      <c r="AZR242" s="475"/>
      <c r="AZS242" s="475"/>
      <c r="AZT242" s="475"/>
      <c r="AZU242" s="475"/>
      <c r="AZV242" s="475"/>
      <c r="AZW242" s="475"/>
      <c r="AZX242" s="475"/>
      <c r="AZY242" s="475"/>
      <c r="AZZ242" s="475"/>
      <c r="BAA242" s="475"/>
      <c r="BAB242" s="475"/>
      <c r="BAC242" s="475"/>
      <c r="BAD242" s="475"/>
      <c r="BAE242" s="475"/>
      <c r="BAF242" s="475"/>
      <c r="BAG242" s="475"/>
      <c r="BAH242" s="475"/>
      <c r="BAI242" s="475"/>
      <c r="BAJ242" s="475"/>
      <c r="BAK242" s="475"/>
      <c r="BAL242" s="475"/>
      <c r="BAM242" s="475"/>
      <c r="BAN242" s="475"/>
      <c r="BAO242" s="475"/>
      <c r="BAP242" s="475"/>
      <c r="BAQ242" s="475"/>
      <c r="BAR242" s="475"/>
      <c r="BAS242" s="475"/>
      <c r="BAT242" s="475"/>
      <c r="BAU242" s="475"/>
      <c r="BAV242" s="475"/>
      <c r="BAW242" s="475"/>
      <c r="BAX242" s="475"/>
      <c r="BAY242" s="475"/>
      <c r="BAZ242" s="475"/>
      <c r="BBA242" s="475"/>
      <c r="BBB242" s="475"/>
      <c r="BBC242" s="475"/>
      <c r="BBD242" s="475"/>
      <c r="BBE242" s="475"/>
      <c r="BBF242" s="475"/>
      <c r="BBG242" s="475"/>
      <c r="BBH242" s="475"/>
      <c r="BBI242" s="475"/>
      <c r="BBJ242" s="475"/>
      <c r="BBK242" s="475"/>
      <c r="BBL242" s="475"/>
      <c r="BBM242" s="475"/>
      <c r="BBN242" s="475"/>
      <c r="BBO242" s="475"/>
      <c r="BBP242" s="475"/>
      <c r="BBQ242" s="475"/>
      <c r="BBR242" s="475"/>
      <c r="BBS242" s="475"/>
      <c r="BBT242" s="475"/>
      <c r="BBU242" s="475"/>
      <c r="BBV242" s="475"/>
      <c r="BBW242" s="475"/>
      <c r="BBX242" s="475"/>
      <c r="BBY242" s="475"/>
      <c r="BBZ242" s="475"/>
      <c r="BCA242" s="475"/>
      <c r="BCB242" s="475"/>
      <c r="BCC242" s="475"/>
      <c r="BCD242" s="475"/>
      <c r="BCE242" s="475"/>
      <c r="BCF242" s="475"/>
      <c r="BCG242" s="475"/>
      <c r="BCH242" s="475"/>
      <c r="BCI242" s="475"/>
      <c r="BCJ242" s="475"/>
      <c r="BCK242" s="475"/>
      <c r="BCL242" s="475"/>
      <c r="BCM242" s="475"/>
      <c r="BCN242" s="475"/>
      <c r="BCO242" s="475"/>
      <c r="BCP242" s="475"/>
      <c r="BCQ242" s="475"/>
      <c r="BCR242" s="475"/>
      <c r="BCS242" s="475"/>
      <c r="BCT242" s="475"/>
      <c r="BCU242" s="475"/>
      <c r="BCV242" s="475"/>
      <c r="BCW242" s="475"/>
      <c r="BCX242" s="475"/>
      <c r="BCY242" s="475"/>
      <c r="BCZ242" s="475"/>
      <c r="BDA242" s="475"/>
      <c r="BDB242" s="475"/>
      <c r="BDC242" s="475"/>
      <c r="BDD242" s="475"/>
      <c r="BDE242" s="475"/>
      <c r="BDF242" s="475"/>
      <c r="BDG242" s="475"/>
      <c r="BDH242" s="475"/>
      <c r="BDI242" s="475"/>
      <c r="BDJ242" s="475"/>
      <c r="BDK242" s="475"/>
      <c r="BDL242" s="475"/>
      <c r="BDM242" s="475"/>
      <c r="BDN242" s="475"/>
      <c r="BDO242" s="475"/>
      <c r="BDP242" s="475"/>
      <c r="BDQ242" s="475"/>
      <c r="BDR242" s="475"/>
      <c r="BDS242" s="475"/>
      <c r="BDT242" s="475"/>
      <c r="BDU242" s="475"/>
      <c r="BDV242" s="475"/>
      <c r="BDW242" s="475"/>
      <c r="BDX242" s="475"/>
      <c r="BDY242" s="475"/>
      <c r="BDZ242" s="475"/>
      <c r="BEA242" s="475"/>
      <c r="BEB242" s="475"/>
      <c r="BEC242" s="475"/>
      <c r="BED242" s="475"/>
      <c r="BEE242" s="475"/>
      <c r="BEF242" s="475"/>
      <c r="BEG242" s="475"/>
      <c r="BEH242" s="475"/>
      <c r="BEI242" s="475"/>
      <c r="BEJ242" s="475"/>
      <c r="BEK242" s="475"/>
      <c r="BEL242" s="475"/>
      <c r="BEM242" s="475"/>
      <c r="BEN242" s="475"/>
      <c r="BEO242" s="475"/>
      <c r="BEP242" s="475"/>
      <c r="BEQ242" s="475"/>
      <c r="BER242" s="475"/>
      <c r="BES242" s="475"/>
      <c r="BET242" s="475"/>
      <c r="BEU242" s="475"/>
      <c r="BEV242" s="475"/>
      <c r="BEW242" s="475"/>
      <c r="BEX242" s="475"/>
      <c r="BEY242" s="475"/>
      <c r="BEZ242" s="475"/>
      <c r="BFA242" s="475"/>
      <c r="BFB242" s="475"/>
      <c r="BFC242" s="475"/>
      <c r="BFD242" s="475"/>
      <c r="BFE242" s="475"/>
      <c r="BFF242" s="475"/>
      <c r="BFG242" s="475"/>
      <c r="BFH242" s="475"/>
      <c r="BFI242" s="475"/>
      <c r="BFJ242" s="475"/>
      <c r="BFK242" s="475"/>
      <c r="BFL242" s="475"/>
      <c r="BFM242" s="475"/>
      <c r="BFN242" s="475"/>
      <c r="BFO242" s="475"/>
      <c r="BFP242" s="475"/>
      <c r="BFQ242" s="475"/>
      <c r="BFR242" s="475"/>
      <c r="BFS242" s="475"/>
      <c r="BFT242" s="475"/>
      <c r="BFU242" s="475"/>
      <c r="BFV242" s="475"/>
      <c r="BFW242" s="475"/>
      <c r="BFX242" s="475"/>
      <c r="BFY242" s="475"/>
      <c r="BFZ242" s="475"/>
      <c r="BGA242" s="475"/>
      <c r="BGB242" s="475"/>
      <c r="BGC242" s="475"/>
      <c r="BGD242" s="475"/>
      <c r="BGE242" s="475"/>
      <c r="BGF242" s="475"/>
      <c r="BGG242" s="475"/>
      <c r="BGH242" s="475"/>
      <c r="BGI242" s="475"/>
      <c r="BGJ242" s="475"/>
      <c r="BGK242" s="475"/>
      <c r="BGL242" s="475"/>
      <c r="BGM242" s="475"/>
      <c r="BGN242" s="475"/>
      <c r="BGO242" s="475"/>
      <c r="BGP242" s="475"/>
      <c r="BGQ242" s="475"/>
      <c r="BGR242" s="475"/>
      <c r="BGS242" s="475"/>
      <c r="BGT242" s="475"/>
      <c r="BGU242" s="475"/>
      <c r="BGV242" s="475"/>
      <c r="BGW242" s="475"/>
      <c r="BGX242" s="475"/>
      <c r="BGY242" s="475"/>
      <c r="BGZ242" s="475"/>
      <c r="BHA242" s="475"/>
      <c r="BHB242" s="475"/>
      <c r="BHC242" s="475"/>
      <c r="BHD242" s="475"/>
      <c r="BHE242" s="475"/>
      <c r="BHF242" s="475"/>
      <c r="BHG242" s="475"/>
      <c r="BHH242" s="475"/>
      <c r="BHI242" s="475"/>
      <c r="BHJ242" s="475"/>
      <c r="BHK242" s="475"/>
      <c r="BHL242" s="475"/>
      <c r="BHM242" s="475"/>
      <c r="BHN242" s="475"/>
      <c r="BHO242" s="475"/>
      <c r="BHP242" s="475"/>
      <c r="BHQ242" s="475"/>
      <c r="BHR242" s="475"/>
      <c r="BHS242" s="475"/>
      <c r="BHT242" s="475"/>
      <c r="BHU242" s="475"/>
      <c r="BHV242" s="475"/>
      <c r="BHW242" s="475"/>
      <c r="BHX242" s="475"/>
      <c r="BHY242" s="475"/>
      <c r="BHZ242" s="475"/>
      <c r="BIA242" s="475"/>
      <c r="BIB242" s="475"/>
      <c r="BIC242" s="475"/>
      <c r="BID242" s="475"/>
      <c r="BIE242" s="475"/>
      <c r="BIF242" s="475"/>
      <c r="BIG242" s="475"/>
      <c r="BIH242" s="475"/>
      <c r="BII242" s="475"/>
      <c r="BIJ242" s="475"/>
      <c r="BIK242" s="475"/>
      <c r="BIL242" s="475"/>
      <c r="BIM242" s="475"/>
      <c r="BIN242" s="475"/>
      <c r="BIO242" s="475"/>
      <c r="BIP242" s="475"/>
      <c r="BIQ242" s="475"/>
      <c r="BIR242" s="475"/>
      <c r="BIS242" s="475"/>
      <c r="BIT242" s="475"/>
      <c r="BIU242" s="475"/>
      <c r="BIV242" s="475"/>
      <c r="BIW242" s="475"/>
      <c r="BIX242" s="475"/>
      <c r="BIY242" s="475"/>
      <c r="BIZ242" s="475"/>
      <c r="BJA242" s="475"/>
      <c r="BJB242" s="475"/>
      <c r="BJC242" s="475"/>
      <c r="BJD242" s="475"/>
      <c r="BJE242" s="475"/>
      <c r="BJF242" s="475"/>
      <c r="BJG242" s="475"/>
      <c r="BJH242" s="475"/>
      <c r="BJI242" s="475"/>
      <c r="BJJ242" s="475"/>
      <c r="BJK242" s="475"/>
      <c r="BJL242" s="475"/>
      <c r="BJM242" s="475"/>
      <c r="BJN242" s="475"/>
      <c r="BJO242" s="475"/>
      <c r="BJP242" s="475"/>
      <c r="BJQ242" s="475"/>
      <c r="BJR242" s="475"/>
      <c r="BJS242" s="475"/>
      <c r="BJT242" s="475"/>
      <c r="BJU242" s="475"/>
      <c r="BJV242" s="475"/>
      <c r="BJW242" s="475"/>
      <c r="BJX242" s="475"/>
      <c r="BJY242" s="475"/>
      <c r="BJZ242" s="475"/>
      <c r="BKA242" s="475"/>
      <c r="BKB242" s="475"/>
      <c r="BKC242" s="475"/>
      <c r="BKD242" s="475"/>
      <c r="BKE242" s="475"/>
      <c r="BKF242" s="475"/>
      <c r="BKG242" s="475"/>
      <c r="BKH242" s="475"/>
      <c r="BKI242" s="475"/>
      <c r="BKJ242" s="475"/>
      <c r="BKK242" s="475"/>
      <c r="BKL242" s="475"/>
      <c r="BKM242" s="475"/>
      <c r="BKN242" s="475"/>
      <c r="BKO242" s="475"/>
      <c r="BKP242" s="475"/>
      <c r="BKQ242" s="475"/>
      <c r="BKR242" s="475"/>
      <c r="BKS242" s="475"/>
      <c r="BKT242" s="475"/>
      <c r="BKU242" s="475"/>
      <c r="BKV242" s="475"/>
      <c r="BKW242" s="475"/>
      <c r="BKX242" s="475"/>
      <c r="BKY242" s="475"/>
      <c r="BKZ242" s="475"/>
      <c r="BLA242" s="475"/>
      <c r="BLB242" s="475"/>
      <c r="BLC242" s="475"/>
      <c r="BLD242" s="475"/>
      <c r="BLE242" s="475"/>
      <c r="BLF242" s="475"/>
      <c r="BLG242" s="475"/>
      <c r="BLH242" s="475"/>
      <c r="BLI242" s="475"/>
      <c r="BLJ242" s="475"/>
      <c r="BLK242" s="475"/>
      <c r="BLL242" s="475"/>
      <c r="BLM242" s="475"/>
      <c r="BLN242" s="475"/>
      <c r="BLO242" s="475"/>
      <c r="BLP242" s="475"/>
      <c r="BLQ242" s="475"/>
      <c r="BLR242" s="475"/>
      <c r="BLS242" s="475"/>
      <c r="BLT242" s="475"/>
      <c r="BLU242" s="475"/>
      <c r="BLV242" s="475"/>
      <c r="BLW242" s="475"/>
      <c r="BLX242" s="475"/>
      <c r="BLY242" s="475"/>
      <c r="BLZ242" s="475"/>
      <c r="BMA242" s="475"/>
      <c r="BMB242" s="475"/>
      <c r="BMC242" s="475"/>
      <c r="BMD242" s="475"/>
      <c r="BME242" s="475"/>
      <c r="BMF242" s="475"/>
      <c r="BMG242" s="475"/>
      <c r="BMH242" s="475"/>
      <c r="BMI242" s="475"/>
      <c r="BMJ242" s="475"/>
      <c r="BMK242" s="475"/>
      <c r="BML242" s="475"/>
      <c r="BMM242" s="475"/>
      <c r="BMN242" s="475"/>
      <c r="BMO242" s="475"/>
      <c r="BMP242" s="475"/>
      <c r="BMQ242" s="475"/>
      <c r="BMR242" s="475"/>
      <c r="BMS242" s="475"/>
      <c r="BMT242" s="475"/>
      <c r="BMU242" s="475"/>
      <c r="BMV242" s="475"/>
      <c r="BMW242" s="475"/>
      <c r="BMX242" s="475"/>
      <c r="BMY242" s="475"/>
      <c r="BMZ242" s="475"/>
      <c r="BNA242" s="475"/>
      <c r="BNB242" s="475"/>
      <c r="BNC242" s="475"/>
      <c r="BND242" s="475"/>
      <c r="BNE242" s="475"/>
      <c r="BNF242" s="475"/>
      <c r="BNG242" s="475"/>
      <c r="BNH242" s="475"/>
      <c r="BNI242" s="475"/>
      <c r="BNJ242" s="475"/>
      <c r="BNK242" s="475"/>
      <c r="BNL242" s="475"/>
      <c r="BNM242" s="475"/>
      <c r="BNN242" s="475"/>
      <c r="BNO242" s="475"/>
      <c r="BNP242" s="475"/>
      <c r="BNQ242" s="475"/>
      <c r="BNR242" s="475"/>
      <c r="BNS242" s="475"/>
      <c r="BNT242" s="475"/>
      <c r="BNU242" s="475"/>
      <c r="BNV242" s="475"/>
      <c r="BNW242" s="475"/>
      <c r="BNX242" s="475"/>
      <c r="BNY242" s="475"/>
      <c r="BNZ242" s="475"/>
      <c r="BOA242" s="475"/>
      <c r="BOB242" s="475"/>
      <c r="BOC242" s="475"/>
      <c r="BOD242" s="475"/>
      <c r="BOE242" s="475"/>
      <c r="BOF242" s="475"/>
      <c r="BOG242" s="475"/>
      <c r="BOH242" s="475"/>
      <c r="BOI242" s="475"/>
      <c r="BOJ242" s="475"/>
      <c r="BOK242" s="475"/>
      <c r="BOL242" s="475"/>
      <c r="BOM242" s="475"/>
      <c r="BON242" s="475"/>
      <c r="BOO242" s="475"/>
      <c r="BOP242" s="475"/>
      <c r="BOQ242" s="475"/>
      <c r="BOR242" s="475"/>
      <c r="BOS242" s="475"/>
      <c r="BOT242" s="475"/>
      <c r="BOU242" s="475"/>
      <c r="BOV242" s="475"/>
      <c r="BOW242" s="475"/>
      <c r="BOX242" s="475"/>
      <c r="BOY242" s="475"/>
      <c r="BOZ242" s="475"/>
      <c r="BPA242" s="475"/>
      <c r="BPB242" s="475"/>
      <c r="BPC242" s="475"/>
      <c r="BPD242" s="475"/>
      <c r="BPE242" s="475"/>
      <c r="BPF242" s="475"/>
      <c r="BPG242" s="475"/>
      <c r="BPH242" s="475"/>
      <c r="BPI242" s="475"/>
      <c r="BPJ242" s="475"/>
      <c r="BPK242" s="475"/>
      <c r="BPL242" s="475"/>
      <c r="BPM242" s="475"/>
      <c r="BPN242" s="475"/>
      <c r="BPO242" s="475"/>
      <c r="BPP242" s="475"/>
      <c r="BPQ242" s="475"/>
      <c r="BPR242" s="475"/>
      <c r="BPS242" s="475"/>
      <c r="BPT242" s="475"/>
      <c r="BPU242" s="475"/>
      <c r="BPV242" s="475"/>
      <c r="BPW242" s="475"/>
      <c r="BPX242" s="475"/>
      <c r="BPY242" s="475"/>
      <c r="BPZ242" s="475"/>
      <c r="BQA242" s="475"/>
      <c r="BQB242" s="475"/>
      <c r="BQC242" s="475"/>
      <c r="BQD242" s="475"/>
      <c r="BQE242" s="475"/>
      <c r="BQF242" s="475"/>
      <c r="BQG242" s="475"/>
      <c r="BQH242" s="475"/>
      <c r="BQI242" s="475"/>
      <c r="BQJ242" s="475"/>
      <c r="BQK242" s="475"/>
      <c r="BQL242" s="475"/>
      <c r="BQM242" s="475"/>
      <c r="BQN242" s="475"/>
      <c r="BQO242" s="475"/>
      <c r="BQP242" s="475"/>
      <c r="BQQ242" s="475"/>
      <c r="BQR242" s="475"/>
      <c r="BQS242" s="475"/>
      <c r="BQT242" s="475"/>
      <c r="BQU242" s="475"/>
      <c r="BQV242" s="475"/>
      <c r="BQW242" s="475"/>
      <c r="BQX242" s="475"/>
      <c r="BQY242" s="475"/>
      <c r="BQZ242" s="475"/>
      <c r="BRA242" s="475"/>
      <c r="BRB242" s="475"/>
      <c r="BRC242" s="475"/>
      <c r="BRD242" s="475"/>
      <c r="BRE242" s="475"/>
      <c r="BRF242" s="475"/>
      <c r="BRG242" s="475"/>
      <c r="BRH242" s="475"/>
      <c r="BRI242" s="475"/>
      <c r="BRJ242" s="475"/>
      <c r="BRK242" s="475"/>
      <c r="BRL242" s="475"/>
      <c r="BRM242" s="475"/>
      <c r="BRN242" s="475"/>
      <c r="BRO242" s="475"/>
      <c r="BRP242" s="475"/>
      <c r="BRQ242" s="475"/>
      <c r="BRR242" s="475"/>
      <c r="BRS242" s="475"/>
      <c r="BRT242" s="475"/>
      <c r="BRU242" s="475"/>
      <c r="BRV242" s="475"/>
      <c r="BRW242" s="475"/>
      <c r="BRX242" s="475"/>
      <c r="BRY242" s="475"/>
      <c r="BRZ242" s="475"/>
      <c r="BSA242" s="475"/>
      <c r="BSB242" s="475"/>
      <c r="BSC242" s="475"/>
      <c r="BSD242" s="475"/>
      <c r="BSE242" s="475"/>
      <c r="BSF242" s="475"/>
      <c r="BSG242" s="475"/>
      <c r="BSH242" s="475"/>
      <c r="BSI242" s="475"/>
      <c r="BSJ242" s="475"/>
      <c r="BSK242" s="475"/>
      <c r="BSL242" s="475"/>
      <c r="BSM242" s="475"/>
      <c r="BSN242" s="475"/>
      <c r="BSO242" s="475"/>
      <c r="BSP242" s="475"/>
      <c r="BSQ242" s="475"/>
      <c r="BSR242" s="475"/>
      <c r="BSS242" s="475"/>
      <c r="BST242" s="475"/>
      <c r="BSU242" s="475"/>
      <c r="BSV242" s="475"/>
      <c r="BSW242" s="475"/>
      <c r="BSX242" s="475"/>
      <c r="BSY242" s="475"/>
      <c r="BSZ242" s="475"/>
      <c r="BTA242" s="475"/>
      <c r="BTB242" s="475"/>
      <c r="BTC242" s="475"/>
      <c r="BTD242" s="475"/>
      <c r="BTE242" s="475"/>
      <c r="BTF242" s="475"/>
      <c r="BTG242" s="475"/>
      <c r="BTH242" s="475"/>
      <c r="BTI242" s="475"/>
    </row>
    <row r="243" spans="1:1881" s="474" customFormat="1" ht="75" customHeight="1" x14ac:dyDescent="0.25">
      <c r="A243" s="726">
        <v>954</v>
      </c>
      <c r="B243" s="733"/>
      <c r="C243" s="734"/>
      <c r="D243" s="731" t="s">
        <v>774</v>
      </c>
      <c r="E243" s="730" t="s">
        <v>771</v>
      </c>
      <c r="F243" s="859"/>
      <c r="G243" s="536" t="str">
        <f t="shared" si="3"/>
        <v>Please do not leave blank</v>
      </c>
      <c r="H243" s="476"/>
      <c r="I243"/>
      <c r="J243"/>
      <c r="K243"/>
      <c r="L243"/>
      <c r="M243"/>
      <c r="N243"/>
      <c r="O243"/>
      <c r="P243" s="475"/>
      <c r="Q243" s="475"/>
      <c r="R243"/>
      <c r="S243" s="471"/>
      <c r="T243" s="475"/>
      <c r="U243" s="475"/>
      <c r="V243" s="475"/>
      <c r="W243" s="475"/>
      <c r="X243" s="682"/>
      <c r="Y243" s="475"/>
      <c r="Z243" s="475"/>
      <c r="AA243" s="475"/>
      <c r="AB243" s="475"/>
      <c r="AC243" s="475"/>
      <c r="AD243" s="475"/>
      <c r="AE243" s="475"/>
      <c r="AF243" s="475"/>
      <c r="AG243" s="475"/>
      <c r="AH243" s="475"/>
      <c r="AI243" s="475"/>
      <c r="AJ243" s="475"/>
      <c r="AK243" s="475"/>
      <c r="AL243" s="475"/>
      <c r="AM243" s="475"/>
      <c r="AN243" s="475"/>
      <c r="AO243" s="475"/>
      <c r="AP243" s="475"/>
      <c r="AQ243" s="475"/>
      <c r="AR243" s="475"/>
      <c r="AS243" s="475"/>
      <c r="AT243" s="475"/>
      <c r="AU243" s="475"/>
      <c r="AV243" s="475"/>
      <c r="AW243" s="475"/>
      <c r="AX243" s="475"/>
      <c r="AY243" s="475"/>
      <c r="AZ243" s="475"/>
      <c r="BA243" s="475"/>
      <c r="BB243" s="475"/>
      <c r="BC243" s="475"/>
      <c r="BD243" s="475"/>
      <c r="BE243" s="475"/>
      <c r="BF243" s="475"/>
      <c r="BG243" s="475"/>
      <c r="BH243" s="475"/>
      <c r="BI243" s="475"/>
      <c r="BJ243" s="475"/>
      <c r="BK243" s="475"/>
      <c r="BL243" s="475"/>
      <c r="BM243" s="475"/>
      <c r="BN243" s="475"/>
      <c r="BO243" s="475"/>
      <c r="BP243" s="475"/>
      <c r="BQ243" s="475"/>
      <c r="BR243" s="475"/>
      <c r="BS243" s="475"/>
      <c r="BT243" s="475"/>
      <c r="BU243" s="475"/>
      <c r="BV243" s="475"/>
      <c r="BW243" s="475"/>
      <c r="BX243" s="475"/>
      <c r="BY243" s="475"/>
      <c r="BZ243" s="475"/>
      <c r="CA243" s="475"/>
      <c r="CB243" s="475"/>
      <c r="CC243" s="475"/>
      <c r="CD243" s="475"/>
      <c r="CE243" s="475"/>
      <c r="CF243" s="475"/>
      <c r="CG243" s="475"/>
      <c r="CH243" s="475"/>
      <c r="CI243" s="475"/>
      <c r="CJ243" s="475"/>
      <c r="CK243" s="475"/>
      <c r="CL243" s="475"/>
      <c r="CM243" s="475"/>
      <c r="CN243" s="475"/>
      <c r="CO243" s="475"/>
      <c r="CP243" s="475"/>
      <c r="CQ243" s="475"/>
      <c r="CR243" s="475"/>
      <c r="CS243" s="475"/>
      <c r="CT243" s="475"/>
      <c r="CU243" s="475"/>
      <c r="CV243" s="475"/>
      <c r="CW243" s="475"/>
      <c r="CX243" s="475"/>
      <c r="CY243" s="475"/>
      <c r="CZ243" s="475"/>
      <c r="DA243" s="475"/>
      <c r="DB243" s="475"/>
      <c r="DC243" s="475"/>
      <c r="DD243" s="475"/>
      <c r="DE243" s="475"/>
      <c r="DF243" s="475"/>
      <c r="DG243" s="475"/>
      <c r="DH243" s="475"/>
      <c r="DI243" s="475"/>
      <c r="DJ243" s="475"/>
      <c r="DK243" s="475"/>
      <c r="DL243" s="475"/>
      <c r="DM243" s="475"/>
      <c r="DN243" s="475"/>
      <c r="DO243" s="475"/>
      <c r="DP243" s="475"/>
      <c r="DQ243" s="475"/>
      <c r="DR243" s="475"/>
      <c r="DS243" s="475"/>
      <c r="DT243" s="475"/>
      <c r="DU243" s="475"/>
      <c r="DV243" s="475"/>
      <c r="DW243" s="475"/>
      <c r="DX243" s="475"/>
      <c r="DY243" s="475"/>
      <c r="DZ243" s="475"/>
      <c r="EA243" s="475"/>
      <c r="EB243" s="475"/>
      <c r="EC243" s="475"/>
      <c r="ED243" s="475"/>
      <c r="EE243" s="475"/>
      <c r="EF243" s="475"/>
      <c r="EG243" s="475"/>
      <c r="EH243" s="475"/>
      <c r="EI243" s="475"/>
      <c r="EJ243" s="475"/>
      <c r="EK243" s="475"/>
      <c r="EL243" s="475"/>
      <c r="EM243" s="475"/>
      <c r="EN243" s="475"/>
      <c r="EO243" s="475"/>
      <c r="EP243" s="475"/>
      <c r="EQ243" s="475"/>
      <c r="ER243" s="475"/>
      <c r="ES243" s="475"/>
      <c r="ET243" s="475"/>
      <c r="EU243" s="475"/>
      <c r="EV243" s="475"/>
      <c r="EW243" s="475"/>
      <c r="EX243" s="475"/>
      <c r="EY243" s="475"/>
      <c r="EZ243" s="475"/>
      <c r="FA243" s="475"/>
      <c r="FB243" s="475"/>
      <c r="FC243" s="475"/>
      <c r="FD243" s="475"/>
      <c r="FE243" s="475"/>
      <c r="FF243" s="475"/>
      <c r="FG243" s="475"/>
      <c r="FH243" s="475"/>
      <c r="FI243" s="475"/>
      <c r="FJ243" s="475"/>
      <c r="FK243" s="475"/>
      <c r="FL243" s="475"/>
      <c r="FM243" s="475"/>
      <c r="FN243" s="475"/>
      <c r="FO243" s="475"/>
      <c r="FP243" s="475"/>
      <c r="FQ243" s="475"/>
      <c r="FR243" s="475"/>
      <c r="FS243" s="475"/>
      <c r="FT243" s="475"/>
      <c r="FU243" s="475"/>
      <c r="FV243" s="475"/>
      <c r="FW243" s="475"/>
      <c r="FX243" s="475"/>
      <c r="FY243" s="475"/>
      <c r="FZ243" s="475"/>
      <c r="GA243" s="475"/>
      <c r="GB243" s="475"/>
      <c r="GC243" s="475"/>
      <c r="GD243" s="475"/>
      <c r="GE243" s="475"/>
      <c r="GF243" s="475"/>
      <c r="GG243" s="475"/>
      <c r="GH243" s="475"/>
      <c r="GI243" s="475"/>
      <c r="GJ243" s="475"/>
      <c r="GK243" s="475"/>
      <c r="GL243" s="475"/>
      <c r="GM243" s="475"/>
      <c r="GN243" s="475"/>
      <c r="GO243" s="475"/>
      <c r="GP243" s="475"/>
      <c r="GQ243" s="475"/>
      <c r="GR243" s="475"/>
      <c r="GS243" s="475"/>
      <c r="GT243" s="475"/>
      <c r="GU243" s="475"/>
      <c r="GV243" s="475"/>
      <c r="GW243" s="475"/>
      <c r="GX243" s="475"/>
      <c r="GY243" s="475"/>
      <c r="GZ243" s="475"/>
      <c r="HA243" s="475"/>
      <c r="HB243" s="475"/>
      <c r="HC243" s="475"/>
      <c r="HD243" s="475"/>
      <c r="HE243" s="475"/>
      <c r="HF243" s="475"/>
      <c r="HG243" s="475"/>
      <c r="HH243" s="475"/>
      <c r="HI243" s="475"/>
      <c r="HJ243" s="475"/>
      <c r="HK243" s="475"/>
      <c r="HL243" s="475"/>
      <c r="HM243" s="475"/>
      <c r="HN243" s="475"/>
      <c r="HO243" s="475"/>
      <c r="HP243" s="475"/>
      <c r="HQ243" s="475"/>
      <c r="HR243" s="475"/>
      <c r="HS243" s="475"/>
      <c r="HT243" s="475"/>
      <c r="HU243" s="475"/>
      <c r="HV243" s="475"/>
      <c r="HW243" s="475"/>
      <c r="HX243" s="475"/>
      <c r="HY243" s="475"/>
      <c r="HZ243" s="475"/>
      <c r="IA243" s="475"/>
      <c r="IB243" s="475"/>
      <c r="IC243" s="475"/>
      <c r="ID243" s="475"/>
      <c r="IE243" s="475"/>
      <c r="IF243" s="475"/>
      <c r="IG243" s="475"/>
      <c r="IH243" s="475"/>
      <c r="II243" s="475"/>
      <c r="IJ243" s="475"/>
      <c r="IK243" s="475"/>
      <c r="IL243" s="475"/>
      <c r="IM243" s="475"/>
      <c r="IN243" s="475"/>
      <c r="IO243" s="475"/>
      <c r="IP243" s="475"/>
      <c r="IQ243" s="475"/>
      <c r="IR243" s="475"/>
      <c r="IS243" s="475"/>
      <c r="IT243" s="475"/>
      <c r="IU243" s="475"/>
      <c r="IV243" s="475"/>
      <c r="IW243" s="475"/>
      <c r="IX243" s="475"/>
      <c r="IY243" s="475"/>
      <c r="IZ243" s="475"/>
      <c r="JA243" s="475"/>
      <c r="JB243" s="475"/>
      <c r="JC243" s="475"/>
      <c r="JD243" s="475"/>
      <c r="JE243" s="475"/>
      <c r="JF243" s="475"/>
      <c r="JG243" s="475"/>
      <c r="JH243" s="475"/>
      <c r="JI243" s="475"/>
      <c r="JJ243" s="475"/>
      <c r="JK243" s="475"/>
      <c r="JL243" s="475"/>
      <c r="JM243" s="475"/>
      <c r="JN243" s="475"/>
      <c r="JO243" s="475"/>
      <c r="JP243" s="475"/>
      <c r="JQ243" s="475"/>
      <c r="JR243" s="475"/>
      <c r="JS243" s="475"/>
      <c r="JT243" s="475"/>
      <c r="JU243" s="475"/>
      <c r="JV243" s="475"/>
      <c r="JW243" s="475"/>
      <c r="JX243" s="475"/>
      <c r="JY243" s="475"/>
      <c r="JZ243" s="475"/>
      <c r="KA243" s="475"/>
      <c r="KB243" s="475"/>
      <c r="KC243" s="475"/>
      <c r="KD243" s="475"/>
      <c r="KE243" s="475"/>
      <c r="KF243" s="475"/>
      <c r="KG243" s="475"/>
      <c r="KH243" s="475"/>
      <c r="KI243" s="475"/>
      <c r="KJ243" s="475"/>
      <c r="KK243" s="475"/>
      <c r="KL243" s="475"/>
      <c r="KM243" s="475"/>
      <c r="KN243" s="475"/>
      <c r="KO243" s="475"/>
      <c r="KP243" s="475"/>
      <c r="KQ243" s="475"/>
      <c r="KR243" s="475"/>
      <c r="KS243" s="475"/>
      <c r="KT243" s="475"/>
      <c r="KU243" s="475"/>
      <c r="KV243" s="475"/>
      <c r="KW243" s="475"/>
      <c r="KX243" s="475"/>
      <c r="KY243" s="475"/>
      <c r="KZ243" s="475"/>
      <c r="LA243" s="475"/>
      <c r="LB243" s="475"/>
      <c r="LC243" s="475"/>
      <c r="LD243" s="475"/>
      <c r="LE243" s="475"/>
      <c r="LF243" s="475"/>
      <c r="LG243" s="475"/>
      <c r="LH243" s="475"/>
      <c r="LI243" s="475"/>
      <c r="LJ243" s="475"/>
      <c r="LK243" s="475"/>
      <c r="LL243" s="475"/>
      <c r="LM243" s="475"/>
      <c r="LN243" s="475"/>
      <c r="LO243" s="475"/>
      <c r="LP243" s="475"/>
      <c r="LQ243" s="475"/>
      <c r="LR243" s="475"/>
      <c r="LS243" s="475"/>
      <c r="LT243" s="475"/>
      <c r="LU243" s="475"/>
      <c r="LV243" s="475"/>
      <c r="LW243" s="475"/>
      <c r="LX243" s="475"/>
      <c r="LY243" s="475"/>
      <c r="LZ243" s="475"/>
      <c r="MA243" s="475"/>
      <c r="MB243" s="475"/>
      <c r="MC243" s="475"/>
      <c r="MD243" s="475"/>
      <c r="ME243" s="475"/>
      <c r="MF243" s="475"/>
      <c r="MG243" s="475"/>
      <c r="MH243" s="475"/>
      <c r="MI243" s="475"/>
      <c r="MJ243" s="475"/>
      <c r="MK243" s="475"/>
      <c r="ML243" s="475"/>
      <c r="MM243" s="475"/>
      <c r="MN243" s="475"/>
      <c r="MO243" s="475"/>
      <c r="MP243" s="475"/>
      <c r="MQ243" s="475"/>
      <c r="MR243" s="475"/>
      <c r="MS243" s="475"/>
      <c r="MT243" s="475"/>
      <c r="MU243" s="475"/>
      <c r="MV243" s="475"/>
      <c r="MW243" s="475"/>
      <c r="MX243" s="475"/>
      <c r="MY243" s="475"/>
      <c r="MZ243" s="475"/>
      <c r="NA243" s="475"/>
      <c r="NB243" s="475"/>
      <c r="NC243" s="475"/>
      <c r="ND243" s="475"/>
      <c r="NE243" s="475"/>
      <c r="NF243" s="475"/>
      <c r="NG243" s="475"/>
      <c r="NH243" s="475"/>
      <c r="NI243" s="475"/>
      <c r="NJ243" s="475"/>
      <c r="NK243" s="475"/>
      <c r="NL243" s="475"/>
      <c r="NM243" s="475"/>
      <c r="NN243" s="475"/>
      <c r="NO243" s="475"/>
      <c r="NP243" s="475"/>
      <c r="NQ243" s="475"/>
      <c r="NR243" s="475"/>
      <c r="NS243" s="475"/>
      <c r="NT243" s="475"/>
      <c r="NU243" s="475"/>
      <c r="NV243" s="475"/>
      <c r="NW243" s="475"/>
      <c r="NX243" s="475"/>
      <c r="NY243" s="475"/>
      <c r="NZ243" s="475"/>
      <c r="OA243" s="475"/>
      <c r="OB243" s="475"/>
      <c r="OC243" s="475"/>
      <c r="OD243" s="475"/>
      <c r="OE243" s="475"/>
      <c r="OF243" s="475"/>
      <c r="OG243" s="475"/>
      <c r="OH243" s="475"/>
      <c r="OI243" s="475"/>
      <c r="OJ243" s="475"/>
      <c r="OK243" s="475"/>
      <c r="OL243" s="475"/>
      <c r="OM243" s="475"/>
      <c r="ON243" s="475"/>
      <c r="OO243" s="475"/>
      <c r="OP243" s="475"/>
      <c r="OQ243" s="475"/>
      <c r="OR243" s="475"/>
      <c r="OS243" s="475"/>
      <c r="OT243" s="475"/>
      <c r="OU243" s="475"/>
      <c r="OV243" s="475"/>
      <c r="OW243" s="475"/>
      <c r="OX243" s="475"/>
      <c r="OY243" s="475"/>
      <c r="OZ243" s="475"/>
      <c r="PA243" s="475"/>
      <c r="PB243" s="475"/>
      <c r="PC243" s="475"/>
      <c r="PD243" s="475"/>
      <c r="PE243" s="475"/>
      <c r="PF243" s="475"/>
      <c r="PG243" s="475"/>
      <c r="PH243" s="475"/>
      <c r="PI243" s="475"/>
      <c r="PJ243" s="475"/>
      <c r="PK243" s="475"/>
      <c r="PL243" s="475"/>
      <c r="PM243" s="475"/>
      <c r="PN243" s="475"/>
      <c r="PO243" s="475"/>
      <c r="PP243" s="475"/>
      <c r="PQ243" s="475"/>
      <c r="PR243" s="475"/>
      <c r="PS243" s="475"/>
      <c r="PT243" s="475"/>
      <c r="PU243" s="475"/>
      <c r="PV243" s="475"/>
      <c r="PW243" s="475"/>
      <c r="PX243" s="475"/>
      <c r="PY243" s="475"/>
      <c r="PZ243" s="475"/>
      <c r="QA243" s="475"/>
      <c r="QB243" s="475"/>
      <c r="QC243" s="475"/>
      <c r="QD243" s="475"/>
      <c r="QE243" s="475"/>
      <c r="QF243" s="475"/>
      <c r="QG243" s="475"/>
      <c r="QH243" s="475"/>
      <c r="QI243" s="475"/>
      <c r="QJ243" s="475"/>
      <c r="QK243" s="475"/>
      <c r="QL243" s="475"/>
      <c r="QM243" s="475"/>
      <c r="QN243" s="475"/>
      <c r="QO243" s="475"/>
      <c r="QP243" s="475"/>
      <c r="QQ243" s="475"/>
      <c r="QR243" s="475"/>
      <c r="QS243" s="475"/>
      <c r="QT243" s="475"/>
      <c r="QU243" s="475"/>
      <c r="QV243" s="475"/>
      <c r="QW243" s="475"/>
      <c r="QX243" s="475"/>
      <c r="QY243" s="475"/>
      <c r="QZ243" s="475"/>
      <c r="RA243" s="475"/>
      <c r="RB243" s="475"/>
      <c r="RC243" s="475"/>
      <c r="RD243" s="475"/>
      <c r="RE243" s="475"/>
      <c r="RF243" s="475"/>
      <c r="RG243" s="475"/>
      <c r="RH243" s="475"/>
      <c r="RI243" s="475"/>
      <c r="RJ243" s="475"/>
      <c r="RK243" s="475"/>
      <c r="RL243" s="475"/>
      <c r="RM243" s="475"/>
      <c r="RN243" s="475"/>
      <c r="RO243" s="475"/>
      <c r="RP243" s="475"/>
      <c r="RQ243" s="475"/>
      <c r="RR243" s="475"/>
      <c r="RS243" s="475"/>
      <c r="RT243" s="475"/>
      <c r="RU243" s="475"/>
      <c r="RV243" s="475"/>
      <c r="RW243" s="475"/>
      <c r="RX243" s="475"/>
      <c r="RY243" s="475"/>
      <c r="RZ243" s="475"/>
      <c r="SA243" s="475"/>
      <c r="SB243" s="475"/>
      <c r="SC243" s="475"/>
      <c r="SD243" s="475"/>
      <c r="SE243" s="475"/>
      <c r="SF243" s="475"/>
      <c r="SG243" s="475"/>
      <c r="SH243" s="475"/>
      <c r="SI243" s="475"/>
      <c r="SJ243" s="475"/>
      <c r="SK243" s="475"/>
      <c r="SL243" s="475"/>
      <c r="SM243" s="475"/>
      <c r="SN243" s="475"/>
      <c r="SO243" s="475"/>
      <c r="SP243" s="475"/>
      <c r="SQ243" s="475"/>
      <c r="SR243" s="475"/>
      <c r="SS243" s="475"/>
      <c r="ST243" s="475"/>
      <c r="SU243" s="475"/>
      <c r="SV243" s="475"/>
      <c r="SW243" s="475"/>
      <c r="SX243" s="475"/>
      <c r="SY243" s="475"/>
      <c r="SZ243" s="475"/>
      <c r="TA243" s="475"/>
      <c r="TB243" s="475"/>
      <c r="TC243" s="475"/>
      <c r="TD243" s="475"/>
      <c r="TE243" s="475"/>
      <c r="TF243" s="475"/>
      <c r="TG243" s="475"/>
      <c r="TH243" s="475"/>
      <c r="TI243" s="475"/>
      <c r="TJ243" s="475"/>
      <c r="TK243" s="475"/>
      <c r="TL243" s="475"/>
      <c r="TM243" s="475"/>
      <c r="TN243" s="475"/>
      <c r="TO243" s="475"/>
      <c r="TP243" s="475"/>
      <c r="TQ243" s="475"/>
      <c r="TR243" s="475"/>
      <c r="TS243" s="475"/>
      <c r="TT243" s="475"/>
      <c r="TU243" s="475"/>
      <c r="TV243" s="475"/>
      <c r="TW243" s="475"/>
      <c r="TX243" s="475"/>
      <c r="TY243" s="475"/>
      <c r="TZ243" s="475"/>
      <c r="UA243" s="475"/>
      <c r="UB243" s="475"/>
      <c r="UC243" s="475"/>
      <c r="UD243" s="475"/>
      <c r="UE243" s="475"/>
      <c r="UF243" s="475"/>
      <c r="UG243" s="475"/>
      <c r="UH243" s="475"/>
      <c r="UI243" s="475"/>
      <c r="UJ243" s="475"/>
      <c r="UK243" s="475"/>
      <c r="UL243" s="475"/>
      <c r="UM243" s="475"/>
      <c r="UN243" s="475"/>
      <c r="UO243" s="475"/>
      <c r="UP243" s="475"/>
      <c r="UQ243" s="475"/>
      <c r="UR243" s="475"/>
      <c r="US243" s="475"/>
      <c r="UT243" s="475"/>
      <c r="UU243" s="475"/>
      <c r="UV243" s="475"/>
      <c r="UW243" s="475"/>
      <c r="UX243" s="475"/>
      <c r="UY243" s="475"/>
      <c r="UZ243" s="475"/>
      <c r="VA243" s="475"/>
      <c r="VB243" s="475"/>
      <c r="VC243" s="475"/>
      <c r="VD243" s="475"/>
      <c r="VE243" s="475"/>
      <c r="VF243" s="475"/>
      <c r="VG243" s="475"/>
      <c r="VH243" s="475"/>
      <c r="VI243" s="475"/>
      <c r="VJ243" s="475"/>
      <c r="VK243" s="475"/>
      <c r="VL243" s="475"/>
      <c r="VM243" s="475"/>
      <c r="VN243" s="475"/>
      <c r="VO243" s="475"/>
      <c r="VP243" s="475"/>
      <c r="VQ243" s="475"/>
      <c r="VR243" s="475"/>
      <c r="VS243" s="475"/>
      <c r="VT243" s="475"/>
      <c r="VU243" s="475"/>
      <c r="VV243" s="475"/>
      <c r="VW243" s="475"/>
      <c r="VX243" s="475"/>
      <c r="VY243" s="475"/>
      <c r="VZ243" s="475"/>
      <c r="WA243" s="475"/>
      <c r="WB243" s="475"/>
      <c r="WC243" s="475"/>
      <c r="WD243" s="475"/>
      <c r="WE243" s="475"/>
      <c r="WF243" s="475"/>
      <c r="WG243" s="475"/>
      <c r="WH243" s="475"/>
      <c r="WI243" s="475"/>
      <c r="WJ243" s="475"/>
      <c r="WK243" s="475"/>
      <c r="WL243" s="475"/>
      <c r="WM243" s="475"/>
      <c r="WN243" s="475"/>
      <c r="WO243" s="475"/>
      <c r="WP243" s="475"/>
      <c r="WQ243" s="475"/>
      <c r="WR243" s="475"/>
      <c r="WS243" s="475"/>
      <c r="WT243" s="475"/>
      <c r="WU243" s="475"/>
      <c r="WV243" s="475"/>
      <c r="WW243" s="475"/>
      <c r="WX243" s="475"/>
      <c r="WY243" s="475"/>
      <c r="WZ243" s="475"/>
      <c r="XA243" s="475"/>
      <c r="XB243" s="475"/>
      <c r="XC243" s="475"/>
      <c r="XD243" s="475"/>
      <c r="XE243" s="475"/>
      <c r="XF243" s="475"/>
      <c r="XG243" s="475"/>
      <c r="XH243" s="475"/>
      <c r="XI243" s="475"/>
      <c r="XJ243" s="475"/>
      <c r="XK243" s="475"/>
      <c r="XL243" s="475"/>
      <c r="XM243" s="475"/>
      <c r="XN243" s="475"/>
      <c r="XO243" s="475"/>
      <c r="XP243" s="475"/>
      <c r="XQ243" s="475"/>
      <c r="XR243" s="475"/>
      <c r="XS243" s="475"/>
      <c r="XT243" s="475"/>
      <c r="XU243" s="475"/>
      <c r="XV243" s="475"/>
      <c r="XW243" s="475"/>
      <c r="XX243" s="475"/>
      <c r="XY243" s="475"/>
      <c r="XZ243" s="475"/>
      <c r="YA243" s="475"/>
      <c r="YB243" s="475"/>
      <c r="YC243" s="475"/>
      <c r="YD243" s="475"/>
      <c r="YE243" s="475"/>
      <c r="YF243" s="475"/>
      <c r="YG243" s="475"/>
      <c r="YH243" s="475"/>
      <c r="YI243" s="475"/>
      <c r="YJ243" s="475"/>
      <c r="YK243" s="475"/>
      <c r="YL243" s="475"/>
      <c r="YM243" s="475"/>
      <c r="YN243" s="475"/>
      <c r="YO243" s="475"/>
      <c r="YP243" s="475"/>
      <c r="YQ243" s="475"/>
      <c r="YR243" s="475"/>
      <c r="YS243" s="475"/>
      <c r="YT243" s="475"/>
      <c r="YU243" s="475"/>
      <c r="YV243" s="475"/>
      <c r="YW243" s="475"/>
      <c r="YX243" s="475"/>
      <c r="YY243" s="475"/>
      <c r="YZ243" s="475"/>
      <c r="ZA243" s="475"/>
      <c r="ZB243" s="475"/>
      <c r="ZC243" s="475"/>
      <c r="ZD243" s="475"/>
      <c r="ZE243" s="475"/>
      <c r="ZF243" s="475"/>
      <c r="ZG243" s="475"/>
      <c r="ZH243" s="475"/>
      <c r="ZI243" s="475"/>
      <c r="ZJ243" s="475"/>
      <c r="ZK243" s="475"/>
      <c r="ZL243" s="475"/>
      <c r="ZM243" s="475"/>
      <c r="ZN243" s="475"/>
      <c r="ZO243" s="475"/>
      <c r="ZP243" s="475"/>
      <c r="ZQ243" s="475"/>
      <c r="ZR243" s="475"/>
      <c r="ZS243" s="475"/>
      <c r="ZT243" s="475"/>
      <c r="ZU243" s="475"/>
      <c r="ZV243" s="475"/>
      <c r="ZW243" s="475"/>
      <c r="ZX243" s="475"/>
      <c r="ZY243" s="475"/>
      <c r="ZZ243" s="475"/>
      <c r="AAA243" s="475"/>
      <c r="AAB243" s="475"/>
      <c r="AAC243" s="475"/>
      <c r="AAD243" s="475"/>
      <c r="AAE243" s="475"/>
      <c r="AAF243" s="475"/>
      <c r="AAG243" s="475"/>
      <c r="AAH243" s="475"/>
      <c r="AAI243" s="475"/>
      <c r="AAJ243" s="475"/>
      <c r="AAK243" s="475"/>
      <c r="AAL243" s="475"/>
      <c r="AAM243" s="475"/>
      <c r="AAN243" s="475"/>
      <c r="AAO243" s="475"/>
      <c r="AAP243" s="475"/>
      <c r="AAQ243" s="475"/>
      <c r="AAR243" s="475"/>
      <c r="AAS243" s="475"/>
      <c r="AAT243" s="475"/>
      <c r="AAU243" s="475"/>
      <c r="AAV243" s="475"/>
      <c r="AAW243" s="475"/>
      <c r="AAX243" s="475"/>
      <c r="AAY243" s="475"/>
      <c r="AAZ243" s="475"/>
      <c r="ABA243" s="475"/>
      <c r="ABB243" s="475"/>
      <c r="ABC243" s="475"/>
      <c r="ABD243" s="475"/>
      <c r="ABE243" s="475"/>
      <c r="ABF243" s="475"/>
      <c r="ABG243" s="475"/>
      <c r="ABH243" s="475"/>
      <c r="ABI243" s="475"/>
      <c r="ABJ243" s="475"/>
      <c r="ABK243" s="475"/>
      <c r="ABL243" s="475"/>
      <c r="ABM243" s="475"/>
      <c r="ABN243" s="475"/>
      <c r="ABO243" s="475"/>
      <c r="ABP243" s="475"/>
      <c r="ABQ243" s="475"/>
      <c r="ABR243" s="475"/>
      <c r="ABS243" s="475"/>
      <c r="ABT243" s="475"/>
      <c r="ABU243" s="475"/>
      <c r="ABV243" s="475"/>
      <c r="ABW243" s="475"/>
      <c r="ABX243" s="475"/>
      <c r="ABY243" s="475"/>
      <c r="ABZ243" s="475"/>
      <c r="ACA243" s="475"/>
      <c r="ACB243" s="475"/>
      <c r="ACC243" s="475"/>
      <c r="ACD243" s="475"/>
      <c r="ACE243" s="475"/>
      <c r="ACF243" s="475"/>
      <c r="ACG243" s="475"/>
      <c r="ACH243" s="475"/>
      <c r="ACI243" s="475"/>
      <c r="ACJ243" s="475"/>
      <c r="ACK243" s="475"/>
      <c r="ACL243" s="475"/>
      <c r="ACM243" s="475"/>
      <c r="ACN243" s="475"/>
      <c r="ACO243" s="475"/>
      <c r="ACP243" s="475"/>
      <c r="ACQ243" s="475"/>
      <c r="ACR243" s="475"/>
      <c r="ACS243" s="475"/>
      <c r="ACT243" s="475"/>
      <c r="ACU243" s="475"/>
      <c r="ACV243" s="475"/>
      <c r="ACW243" s="475"/>
      <c r="ACX243" s="475"/>
      <c r="ACY243" s="475"/>
      <c r="ACZ243" s="475"/>
      <c r="ADA243" s="475"/>
      <c r="ADB243" s="475"/>
      <c r="ADC243" s="475"/>
      <c r="ADD243" s="475"/>
      <c r="ADE243" s="475"/>
      <c r="ADF243" s="475"/>
      <c r="ADG243" s="475"/>
      <c r="ADH243" s="475"/>
      <c r="ADI243" s="475"/>
      <c r="ADJ243" s="475"/>
      <c r="ADK243" s="475"/>
      <c r="ADL243" s="475"/>
      <c r="ADM243" s="475"/>
      <c r="ADN243" s="475"/>
      <c r="ADO243" s="475"/>
      <c r="ADP243" s="475"/>
      <c r="ADQ243" s="475"/>
      <c r="ADR243" s="475"/>
      <c r="ADS243" s="475"/>
      <c r="ADT243" s="475"/>
      <c r="ADU243" s="475"/>
      <c r="ADV243" s="475"/>
      <c r="ADW243" s="475"/>
      <c r="ADX243" s="475"/>
      <c r="ADY243" s="475"/>
      <c r="ADZ243" s="475"/>
      <c r="AEA243" s="475"/>
      <c r="AEB243" s="475"/>
      <c r="AEC243" s="475"/>
      <c r="AED243" s="475"/>
      <c r="AEE243" s="475"/>
      <c r="AEF243" s="475"/>
      <c r="AEG243" s="475"/>
      <c r="AEH243" s="475"/>
      <c r="AEI243" s="475"/>
      <c r="AEJ243" s="475"/>
      <c r="AEK243" s="475"/>
      <c r="AEL243" s="475"/>
      <c r="AEM243" s="475"/>
      <c r="AEN243" s="475"/>
      <c r="AEO243" s="475"/>
      <c r="AEP243" s="475"/>
      <c r="AEQ243" s="475"/>
      <c r="AER243" s="475"/>
      <c r="AES243" s="475"/>
      <c r="AET243" s="475"/>
      <c r="AEU243" s="475"/>
      <c r="AEV243" s="475"/>
      <c r="AEW243" s="475"/>
      <c r="AEX243" s="475"/>
      <c r="AEY243" s="475"/>
      <c r="AEZ243" s="475"/>
      <c r="AFA243" s="475"/>
      <c r="AFB243" s="475"/>
      <c r="AFC243" s="475"/>
      <c r="AFD243" s="475"/>
      <c r="AFE243" s="475"/>
      <c r="AFF243" s="475"/>
      <c r="AFG243" s="475"/>
      <c r="AFH243" s="475"/>
      <c r="AFI243" s="475"/>
      <c r="AFJ243" s="475"/>
      <c r="AFK243" s="475"/>
      <c r="AFL243" s="475"/>
      <c r="AFM243" s="475"/>
      <c r="AFN243" s="475"/>
      <c r="AFO243" s="475"/>
      <c r="AFP243" s="475"/>
      <c r="AFQ243" s="475"/>
      <c r="AFR243" s="475"/>
      <c r="AFS243" s="475"/>
      <c r="AFT243" s="475"/>
      <c r="AFU243" s="475"/>
      <c r="AFV243" s="475"/>
      <c r="AFW243" s="475"/>
      <c r="AFX243" s="475"/>
      <c r="AFY243" s="475"/>
      <c r="AFZ243" s="475"/>
      <c r="AGA243" s="475"/>
      <c r="AGB243" s="475"/>
      <c r="AGC243" s="475"/>
      <c r="AGD243" s="475"/>
      <c r="AGE243" s="475"/>
      <c r="AGF243" s="475"/>
      <c r="AGG243" s="475"/>
      <c r="AGH243" s="475"/>
      <c r="AGI243" s="475"/>
      <c r="AGJ243" s="475"/>
      <c r="AGK243" s="475"/>
      <c r="AGL243" s="475"/>
      <c r="AGM243" s="475"/>
      <c r="AGN243" s="475"/>
      <c r="AGO243" s="475"/>
      <c r="AGP243" s="475"/>
      <c r="AGQ243" s="475"/>
      <c r="AGR243" s="475"/>
      <c r="AGS243" s="475"/>
      <c r="AGT243" s="475"/>
      <c r="AGU243" s="475"/>
      <c r="AGV243" s="475"/>
      <c r="AGW243" s="475"/>
      <c r="AGX243" s="475"/>
      <c r="AGY243" s="475"/>
      <c r="AGZ243" s="475"/>
      <c r="AHA243" s="475"/>
      <c r="AHB243" s="475"/>
      <c r="AHC243" s="475"/>
      <c r="AHD243" s="475"/>
      <c r="AHE243" s="475"/>
      <c r="AHF243" s="475"/>
      <c r="AHG243" s="475"/>
      <c r="AHH243" s="475"/>
      <c r="AHI243" s="475"/>
      <c r="AHJ243" s="475"/>
      <c r="AHK243" s="475"/>
      <c r="AHL243" s="475"/>
      <c r="AHM243" s="475"/>
      <c r="AHN243" s="475"/>
      <c r="AHO243" s="475"/>
      <c r="AHP243" s="475"/>
      <c r="AHQ243" s="475"/>
      <c r="AHR243" s="475"/>
      <c r="AHS243" s="475"/>
      <c r="AHT243" s="475"/>
      <c r="AHU243" s="475"/>
      <c r="AHV243" s="475"/>
      <c r="AHW243" s="475"/>
      <c r="AHX243" s="475"/>
      <c r="AHY243" s="475"/>
      <c r="AHZ243" s="475"/>
      <c r="AIA243" s="475"/>
      <c r="AIB243" s="475"/>
      <c r="AIC243" s="475"/>
      <c r="AID243" s="475"/>
      <c r="AIE243" s="475"/>
      <c r="AIF243" s="475"/>
      <c r="AIG243" s="475"/>
      <c r="AIH243" s="475"/>
      <c r="AII243" s="475"/>
      <c r="AIJ243" s="475"/>
      <c r="AIK243" s="475"/>
      <c r="AIL243" s="475"/>
      <c r="AIM243" s="475"/>
      <c r="AIN243" s="475"/>
      <c r="AIO243" s="475"/>
      <c r="AIP243" s="475"/>
      <c r="AIQ243" s="475"/>
      <c r="AIR243" s="475"/>
      <c r="AIS243" s="475"/>
      <c r="AIT243" s="475"/>
      <c r="AIU243" s="475"/>
      <c r="AIV243" s="475"/>
      <c r="AIW243" s="475"/>
      <c r="AIX243" s="475"/>
      <c r="AIY243" s="475"/>
      <c r="AIZ243" s="475"/>
      <c r="AJA243" s="475"/>
      <c r="AJB243" s="475"/>
      <c r="AJC243" s="475"/>
      <c r="AJD243" s="475"/>
      <c r="AJE243" s="475"/>
      <c r="AJF243" s="475"/>
      <c r="AJG243" s="475"/>
      <c r="AJH243" s="475"/>
      <c r="AJI243" s="475"/>
      <c r="AJJ243" s="475"/>
      <c r="AJK243" s="475"/>
      <c r="AJL243" s="475"/>
      <c r="AJM243" s="475"/>
      <c r="AJN243" s="475"/>
      <c r="AJO243" s="475"/>
      <c r="AJP243" s="475"/>
      <c r="AJQ243" s="475"/>
      <c r="AJR243" s="475"/>
      <c r="AJS243" s="475"/>
      <c r="AJT243" s="475"/>
      <c r="AJU243" s="475"/>
      <c r="AJV243" s="475"/>
      <c r="AJW243" s="475"/>
      <c r="AJX243" s="475"/>
      <c r="AJY243" s="475"/>
      <c r="AJZ243" s="475"/>
      <c r="AKA243" s="475"/>
      <c r="AKB243" s="475"/>
      <c r="AKC243" s="475"/>
      <c r="AKD243" s="475"/>
      <c r="AKE243" s="475"/>
      <c r="AKF243" s="475"/>
      <c r="AKG243" s="475"/>
      <c r="AKH243" s="475"/>
      <c r="AKI243" s="475"/>
      <c r="AKJ243" s="475"/>
      <c r="AKK243" s="475"/>
      <c r="AKL243" s="475"/>
      <c r="AKM243" s="475"/>
      <c r="AKN243" s="475"/>
      <c r="AKO243" s="475"/>
      <c r="AKP243" s="475"/>
      <c r="AKQ243" s="475"/>
      <c r="AKR243" s="475"/>
      <c r="AKS243" s="475"/>
      <c r="AKT243" s="475"/>
      <c r="AKU243" s="475"/>
      <c r="AKV243" s="475"/>
      <c r="AKW243" s="475"/>
      <c r="AKX243" s="475"/>
      <c r="AKY243" s="475"/>
      <c r="AKZ243" s="475"/>
      <c r="ALA243" s="475"/>
      <c r="ALB243" s="475"/>
      <c r="ALC243" s="475"/>
      <c r="ALD243" s="475"/>
      <c r="ALE243" s="475"/>
      <c r="ALF243" s="475"/>
      <c r="ALG243" s="475"/>
      <c r="ALH243" s="475"/>
      <c r="ALI243" s="475"/>
      <c r="ALJ243" s="475"/>
      <c r="ALK243" s="475"/>
      <c r="ALL243" s="475"/>
      <c r="ALM243" s="475"/>
      <c r="ALN243" s="475"/>
      <c r="ALO243" s="475"/>
      <c r="ALP243" s="475"/>
      <c r="ALQ243" s="475"/>
      <c r="ALR243" s="475"/>
      <c r="ALS243" s="475"/>
      <c r="ALT243" s="475"/>
      <c r="ALU243" s="475"/>
      <c r="ALV243" s="475"/>
      <c r="ALW243" s="475"/>
      <c r="ALX243" s="475"/>
      <c r="ALY243" s="475"/>
      <c r="ALZ243" s="475"/>
      <c r="AMA243" s="475"/>
      <c r="AMB243" s="475"/>
      <c r="AMC243" s="475"/>
      <c r="AMD243" s="475"/>
      <c r="AME243" s="475"/>
      <c r="AMF243" s="475"/>
      <c r="AMG243" s="475"/>
      <c r="AMH243" s="475"/>
      <c r="AMI243" s="475"/>
      <c r="AMJ243" s="475"/>
      <c r="AMK243" s="475"/>
      <c r="AML243" s="475"/>
      <c r="AMM243" s="475"/>
      <c r="AMN243" s="475"/>
      <c r="AMO243" s="475"/>
      <c r="AMP243" s="475"/>
      <c r="AMQ243" s="475"/>
      <c r="AMR243" s="475"/>
      <c r="AMS243" s="475"/>
      <c r="AMT243" s="475"/>
      <c r="AMU243" s="475"/>
      <c r="AMV243" s="475"/>
      <c r="AMW243" s="475"/>
      <c r="AMX243" s="475"/>
      <c r="AMY243" s="475"/>
      <c r="AMZ243" s="475"/>
      <c r="ANA243" s="475"/>
      <c r="ANB243" s="475"/>
      <c r="ANC243" s="475"/>
      <c r="AND243" s="475"/>
      <c r="ANE243" s="475"/>
      <c r="ANF243" s="475"/>
      <c r="ANG243" s="475"/>
      <c r="ANH243" s="475"/>
      <c r="ANI243" s="475"/>
      <c r="ANJ243" s="475"/>
      <c r="ANK243" s="475"/>
      <c r="ANL243" s="475"/>
      <c r="ANM243" s="475"/>
      <c r="ANN243" s="475"/>
      <c r="ANO243" s="475"/>
      <c r="ANP243" s="475"/>
      <c r="ANQ243" s="475"/>
      <c r="ANR243" s="475"/>
      <c r="ANS243" s="475"/>
      <c r="ANT243" s="475"/>
      <c r="ANU243" s="475"/>
      <c r="ANV243" s="475"/>
      <c r="ANW243" s="475"/>
      <c r="ANX243" s="475"/>
      <c r="ANY243" s="475"/>
      <c r="ANZ243" s="475"/>
      <c r="AOA243" s="475"/>
      <c r="AOB243" s="475"/>
      <c r="AOC243" s="475"/>
      <c r="AOD243" s="475"/>
      <c r="AOE243" s="475"/>
      <c r="AOF243" s="475"/>
      <c r="AOG243" s="475"/>
      <c r="AOH243" s="475"/>
      <c r="AOI243" s="475"/>
      <c r="AOJ243" s="475"/>
      <c r="AOK243" s="475"/>
      <c r="AOL243" s="475"/>
      <c r="AOM243" s="475"/>
      <c r="AON243" s="475"/>
      <c r="AOO243" s="475"/>
      <c r="AOP243" s="475"/>
      <c r="AOQ243" s="475"/>
      <c r="AOR243" s="475"/>
      <c r="AOS243" s="475"/>
      <c r="AOT243" s="475"/>
      <c r="AOU243" s="475"/>
      <c r="AOV243" s="475"/>
      <c r="AOW243" s="475"/>
      <c r="AOX243" s="475"/>
      <c r="AOY243" s="475"/>
      <c r="AOZ243" s="475"/>
      <c r="APA243" s="475"/>
      <c r="APB243" s="475"/>
      <c r="APC243" s="475"/>
      <c r="APD243" s="475"/>
      <c r="APE243" s="475"/>
      <c r="APF243" s="475"/>
      <c r="APG243" s="475"/>
      <c r="APH243" s="475"/>
      <c r="API243" s="475"/>
      <c r="APJ243" s="475"/>
      <c r="APK243" s="475"/>
      <c r="APL243" s="475"/>
      <c r="APM243" s="475"/>
      <c r="APN243" s="475"/>
      <c r="APO243" s="475"/>
      <c r="APP243" s="475"/>
      <c r="APQ243" s="475"/>
      <c r="APR243" s="475"/>
      <c r="APS243" s="475"/>
      <c r="APT243" s="475"/>
      <c r="APU243" s="475"/>
      <c r="APV243" s="475"/>
      <c r="APW243" s="475"/>
      <c r="APX243" s="475"/>
      <c r="APY243" s="475"/>
      <c r="APZ243" s="475"/>
      <c r="AQA243" s="475"/>
      <c r="AQB243" s="475"/>
      <c r="AQC243" s="475"/>
      <c r="AQD243" s="475"/>
      <c r="AQE243" s="475"/>
      <c r="AQF243" s="475"/>
      <c r="AQG243" s="475"/>
      <c r="AQH243" s="475"/>
      <c r="AQI243" s="475"/>
      <c r="AQJ243" s="475"/>
      <c r="AQK243" s="475"/>
      <c r="AQL243" s="475"/>
      <c r="AQM243" s="475"/>
      <c r="AQN243" s="475"/>
      <c r="AQO243" s="475"/>
      <c r="AQP243" s="475"/>
      <c r="AQQ243" s="475"/>
      <c r="AQR243" s="475"/>
      <c r="AQS243" s="475"/>
      <c r="AQT243" s="475"/>
      <c r="AQU243" s="475"/>
      <c r="AQV243" s="475"/>
      <c r="AQW243" s="475"/>
      <c r="AQX243" s="475"/>
      <c r="AQY243" s="475"/>
      <c r="AQZ243" s="475"/>
      <c r="ARA243" s="475"/>
      <c r="ARB243" s="475"/>
      <c r="ARC243" s="475"/>
      <c r="ARD243" s="475"/>
      <c r="ARE243" s="475"/>
      <c r="ARF243" s="475"/>
      <c r="ARG243" s="475"/>
      <c r="ARH243" s="475"/>
      <c r="ARI243" s="475"/>
      <c r="ARJ243" s="475"/>
      <c r="ARK243" s="475"/>
      <c r="ARL243" s="475"/>
      <c r="ARM243" s="475"/>
      <c r="ARN243" s="475"/>
      <c r="ARO243" s="475"/>
      <c r="ARP243" s="475"/>
      <c r="ARQ243" s="475"/>
      <c r="ARR243" s="475"/>
      <c r="ARS243" s="475"/>
      <c r="ART243" s="475"/>
      <c r="ARU243" s="475"/>
      <c r="ARV243" s="475"/>
      <c r="ARW243" s="475"/>
      <c r="ARX243" s="475"/>
      <c r="ARY243" s="475"/>
      <c r="ARZ243" s="475"/>
      <c r="ASA243" s="475"/>
      <c r="ASB243" s="475"/>
      <c r="ASC243" s="475"/>
      <c r="ASD243" s="475"/>
      <c r="ASE243" s="475"/>
      <c r="ASF243" s="475"/>
      <c r="ASG243" s="475"/>
      <c r="ASH243" s="475"/>
      <c r="ASI243" s="475"/>
      <c r="ASJ243" s="475"/>
      <c r="ASK243" s="475"/>
      <c r="ASL243" s="475"/>
      <c r="ASM243" s="475"/>
      <c r="ASN243" s="475"/>
      <c r="ASO243" s="475"/>
      <c r="ASP243" s="475"/>
      <c r="ASQ243" s="475"/>
      <c r="ASR243" s="475"/>
      <c r="ASS243" s="475"/>
      <c r="AST243" s="475"/>
      <c r="ASU243" s="475"/>
      <c r="ASV243" s="475"/>
      <c r="ASW243" s="475"/>
      <c r="ASX243" s="475"/>
      <c r="ASY243" s="475"/>
      <c r="ASZ243" s="475"/>
      <c r="ATA243" s="475"/>
      <c r="ATB243" s="475"/>
      <c r="ATC243" s="475"/>
      <c r="ATD243" s="475"/>
      <c r="ATE243" s="475"/>
      <c r="ATF243" s="475"/>
      <c r="ATG243" s="475"/>
      <c r="ATH243" s="475"/>
      <c r="ATI243" s="475"/>
      <c r="ATJ243" s="475"/>
      <c r="ATK243" s="475"/>
      <c r="ATL243" s="475"/>
      <c r="ATM243" s="475"/>
      <c r="ATN243" s="475"/>
      <c r="ATO243" s="475"/>
      <c r="ATP243" s="475"/>
      <c r="ATQ243" s="475"/>
      <c r="ATR243" s="475"/>
      <c r="ATS243" s="475"/>
      <c r="ATT243" s="475"/>
      <c r="ATU243" s="475"/>
      <c r="ATV243" s="475"/>
      <c r="ATW243" s="475"/>
      <c r="ATX243" s="475"/>
      <c r="ATY243" s="475"/>
      <c r="ATZ243" s="475"/>
      <c r="AUA243" s="475"/>
      <c r="AUB243" s="475"/>
      <c r="AUC243" s="475"/>
      <c r="AUD243" s="475"/>
      <c r="AUE243" s="475"/>
      <c r="AUF243" s="475"/>
      <c r="AUG243" s="475"/>
      <c r="AUH243" s="475"/>
      <c r="AUI243" s="475"/>
      <c r="AUJ243" s="475"/>
      <c r="AUK243" s="475"/>
      <c r="AUL243" s="475"/>
      <c r="AUM243" s="475"/>
      <c r="AUN243" s="475"/>
      <c r="AUO243" s="475"/>
      <c r="AUP243" s="475"/>
      <c r="AUQ243" s="475"/>
      <c r="AUR243" s="475"/>
      <c r="AUS243" s="475"/>
      <c r="AUT243" s="475"/>
      <c r="AUU243" s="475"/>
      <c r="AUV243" s="475"/>
      <c r="AUW243" s="475"/>
      <c r="AUX243" s="475"/>
      <c r="AUY243" s="475"/>
      <c r="AUZ243" s="475"/>
      <c r="AVA243" s="475"/>
      <c r="AVB243" s="475"/>
      <c r="AVC243" s="475"/>
      <c r="AVD243" s="475"/>
      <c r="AVE243" s="475"/>
      <c r="AVF243" s="475"/>
      <c r="AVG243" s="475"/>
      <c r="AVH243" s="475"/>
      <c r="AVI243" s="475"/>
      <c r="AVJ243" s="475"/>
      <c r="AVK243" s="475"/>
      <c r="AVL243" s="475"/>
      <c r="AVM243" s="475"/>
      <c r="AVN243" s="475"/>
      <c r="AVO243" s="475"/>
      <c r="AVP243" s="475"/>
      <c r="AVQ243" s="475"/>
      <c r="AVR243" s="475"/>
      <c r="AVS243" s="475"/>
      <c r="AVT243" s="475"/>
      <c r="AVU243" s="475"/>
      <c r="AVV243" s="475"/>
      <c r="AVW243" s="475"/>
      <c r="AVX243" s="475"/>
      <c r="AVY243" s="475"/>
      <c r="AVZ243" s="475"/>
      <c r="AWA243" s="475"/>
      <c r="AWB243" s="475"/>
      <c r="AWC243" s="475"/>
      <c r="AWD243" s="475"/>
      <c r="AWE243" s="475"/>
      <c r="AWF243" s="475"/>
      <c r="AWG243" s="475"/>
      <c r="AWH243" s="475"/>
      <c r="AWI243" s="475"/>
      <c r="AWJ243" s="475"/>
      <c r="AWK243" s="475"/>
      <c r="AWL243" s="475"/>
      <c r="AWM243" s="475"/>
      <c r="AWN243" s="475"/>
      <c r="AWO243" s="475"/>
      <c r="AWP243" s="475"/>
      <c r="AWQ243" s="475"/>
      <c r="AWR243" s="475"/>
      <c r="AWS243" s="475"/>
      <c r="AWT243" s="475"/>
      <c r="AWU243" s="475"/>
      <c r="AWV243" s="475"/>
      <c r="AWW243" s="475"/>
      <c r="AWX243" s="475"/>
      <c r="AWY243" s="475"/>
      <c r="AWZ243" s="475"/>
      <c r="AXA243" s="475"/>
      <c r="AXB243" s="475"/>
      <c r="AXC243" s="475"/>
      <c r="AXD243" s="475"/>
      <c r="AXE243" s="475"/>
      <c r="AXF243" s="475"/>
      <c r="AXG243" s="475"/>
      <c r="AXH243" s="475"/>
      <c r="AXI243" s="475"/>
      <c r="AXJ243" s="475"/>
      <c r="AXK243" s="475"/>
      <c r="AXL243" s="475"/>
      <c r="AXM243" s="475"/>
      <c r="AXN243" s="475"/>
      <c r="AXO243" s="475"/>
      <c r="AXP243" s="475"/>
      <c r="AXQ243" s="475"/>
      <c r="AXR243" s="475"/>
      <c r="AXS243" s="475"/>
      <c r="AXT243" s="475"/>
      <c r="AXU243" s="475"/>
      <c r="AXV243" s="475"/>
      <c r="AXW243" s="475"/>
      <c r="AXX243" s="475"/>
      <c r="AXY243" s="475"/>
      <c r="AXZ243" s="475"/>
      <c r="AYA243" s="475"/>
      <c r="AYB243" s="475"/>
      <c r="AYC243" s="475"/>
      <c r="AYD243" s="475"/>
      <c r="AYE243" s="475"/>
      <c r="AYF243" s="475"/>
      <c r="AYG243" s="475"/>
      <c r="AYH243" s="475"/>
      <c r="AYI243" s="475"/>
      <c r="AYJ243" s="475"/>
      <c r="AYK243" s="475"/>
      <c r="AYL243" s="475"/>
      <c r="AYM243" s="475"/>
      <c r="AYN243" s="475"/>
      <c r="AYO243" s="475"/>
      <c r="AYP243" s="475"/>
      <c r="AYQ243" s="475"/>
      <c r="AYR243" s="475"/>
      <c r="AYS243" s="475"/>
      <c r="AYT243" s="475"/>
      <c r="AYU243" s="475"/>
      <c r="AYV243" s="475"/>
      <c r="AYW243" s="475"/>
      <c r="AYX243" s="475"/>
      <c r="AYY243" s="475"/>
      <c r="AYZ243" s="475"/>
      <c r="AZA243" s="475"/>
      <c r="AZB243" s="475"/>
      <c r="AZC243" s="475"/>
      <c r="AZD243" s="475"/>
      <c r="AZE243" s="475"/>
      <c r="AZF243" s="475"/>
      <c r="AZG243" s="475"/>
      <c r="AZH243" s="475"/>
      <c r="AZI243" s="475"/>
      <c r="AZJ243" s="475"/>
      <c r="AZK243" s="475"/>
      <c r="AZL243" s="475"/>
      <c r="AZM243" s="475"/>
      <c r="AZN243" s="475"/>
      <c r="AZO243" s="475"/>
      <c r="AZP243" s="475"/>
      <c r="AZQ243" s="475"/>
      <c r="AZR243" s="475"/>
      <c r="AZS243" s="475"/>
      <c r="AZT243" s="475"/>
      <c r="AZU243" s="475"/>
      <c r="AZV243" s="475"/>
      <c r="AZW243" s="475"/>
      <c r="AZX243" s="475"/>
      <c r="AZY243" s="475"/>
      <c r="AZZ243" s="475"/>
      <c r="BAA243" s="475"/>
      <c r="BAB243" s="475"/>
      <c r="BAC243" s="475"/>
      <c r="BAD243" s="475"/>
      <c r="BAE243" s="475"/>
      <c r="BAF243" s="475"/>
      <c r="BAG243" s="475"/>
      <c r="BAH243" s="475"/>
      <c r="BAI243" s="475"/>
      <c r="BAJ243" s="475"/>
      <c r="BAK243" s="475"/>
      <c r="BAL243" s="475"/>
      <c r="BAM243" s="475"/>
      <c r="BAN243" s="475"/>
      <c r="BAO243" s="475"/>
      <c r="BAP243" s="475"/>
      <c r="BAQ243" s="475"/>
      <c r="BAR243" s="475"/>
      <c r="BAS243" s="475"/>
      <c r="BAT243" s="475"/>
      <c r="BAU243" s="475"/>
      <c r="BAV243" s="475"/>
      <c r="BAW243" s="475"/>
      <c r="BAX243" s="475"/>
      <c r="BAY243" s="475"/>
      <c r="BAZ243" s="475"/>
      <c r="BBA243" s="475"/>
      <c r="BBB243" s="475"/>
      <c r="BBC243" s="475"/>
      <c r="BBD243" s="475"/>
      <c r="BBE243" s="475"/>
      <c r="BBF243" s="475"/>
      <c r="BBG243" s="475"/>
      <c r="BBH243" s="475"/>
      <c r="BBI243" s="475"/>
      <c r="BBJ243" s="475"/>
      <c r="BBK243" s="475"/>
      <c r="BBL243" s="475"/>
      <c r="BBM243" s="475"/>
      <c r="BBN243" s="475"/>
      <c r="BBO243" s="475"/>
      <c r="BBP243" s="475"/>
      <c r="BBQ243" s="475"/>
      <c r="BBR243" s="475"/>
      <c r="BBS243" s="475"/>
      <c r="BBT243" s="475"/>
      <c r="BBU243" s="475"/>
      <c r="BBV243" s="475"/>
      <c r="BBW243" s="475"/>
      <c r="BBX243" s="475"/>
      <c r="BBY243" s="475"/>
      <c r="BBZ243" s="475"/>
      <c r="BCA243" s="475"/>
      <c r="BCB243" s="475"/>
      <c r="BCC243" s="475"/>
      <c r="BCD243" s="475"/>
      <c r="BCE243" s="475"/>
      <c r="BCF243" s="475"/>
      <c r="BCG243" s="475"/>
      <c r="BCH243" s="475"/>
      <c r="BCI243" s="475"/>
      <c r="BCJ243" s="475"/>
      <c r="BCK243" s="475"/>
      <c r="BCL243" s="475"/>
      <c r="BCM243" s="475"/>
      <c r="BCN243" s="475"/>
      <c r="BCO243" s="475"/>
      <c r="BCP243" s="475"/>
      <c r="BCQ243" s="475"/>
      <c r="BCR243" s="475"/>
      <c r="BCS243" s="475"/>
      <c r="BCT243" s="475"/>
      <c r="BCU243" s="475"/>
      <c r="BCV243" s="475"/>
      <c r="BCW243" s="475"/>
      <c r="BCX243" s="475"/>
      <c r="BCY243" s="475"/>
      <c r="BCZ243" s="475"/>
      <c r="BDA243" s="475"/>
      <c r="BDB243" s="475"/>
      <c r="BDC243" s="475"/>
      <c r="BDD243" s="475"/>
      <c r="BDE243" s="475"/>
      <c r="BDF243" s="475"/>
      <c r="BDG243" s="475"/>
      <c r="BDH243" s="475"/>
      <c r="BDI243" s="475"/>
      <c r="BDJ243" s="475"/>
      <c r="BDK243" s="475"/>
      <c r="BDL243" s="475"/>
      <c r="BDM243" s="475"/>
      <c r="BDN243" s="475"/>
      <c r="BDO243" s="475"/>
      <c r="BDP243" s="475"/>
      <c r="BDQ243" s="475"/>
      <c r="BDR243" s="475"/>
      <c r="BDS243" s="475"/>
      <c r="BDT243" s="475"/>
      <c r="BDU243" s="475"/>
      <c r="BDV243" s="475"/>
      <c r="BDW243" s="475"/>
      <c r="BDX243" s="475"/>
      <c r="BDY243" s="475"/>
      <c r="BDZ243" s="475"/>
      <c r="BEA243" s="475"/>
      <c r="BEB243" s="475"/>
      <c r="BEC243" s="475"/>
      <c r="BED243" s="475"/>
      <c r="BEE243" s="475"/>
      <c r="BEF243" s="475"/>
      <c r="BEG243" s="475"/>
      <c r="BEH243" s="475"/>
      <c r="BEI243" s="475"/>
      <c r="BEJ243" s="475"/>
      <c r="BEK243" s="475"/>
      <c r="BEL243" s="475"/>
      <c r="BEM243" s="475"/>
      <c r="BEN243" s="475"/>
      <c r="BEO243" s="475"/>
      <c r="BEP243" s="475"/>
      <c r="BEQ243" s="475"/>
      <c r="BER243" s="475"/>
      <c r="BES243" s="475"/>
      <c r="BET243" s="475"/>
      <c r="BEU243" s="475"/>
      <c r="BEV243" s="475"/>
      <c r="BEW243" s="475"/>
      <c r="BEX243" s="475"/>
      <c r="BEY243" s="475"/>
      <c r="BEZ243" s="475"/>
      <c r="BFA243" s="475"/>
      <c r="BFB243" s="475"/>
      <c r="BFC243" s="475"/>
      <c r="BFD243" s="475"/>
      <c r="BFE243" s="475"/>
      <c r="BFF243" s="475"/>
      <c r="BFG243" s="475"/>
      <c r="BFH243" s="475"/>
      <c r="BFI243" s="475"/>
      <c r="BFJ243" s="475"/>
      <c r="BFK243" s="475"/>
      <c r="BFL243" s="475"/>
      <c r="BFM243" s="475"/>
      <c r="BFN243" s="475"/>
      <c r="BFO243" s="475"/>
      <c r="BFP243" s="475"/>
      <c r="BFQ243" s="475"/>
      <c r="BFR243" s="475"/>
      <c r="BFS243" s="475"/>
      <c r="BFT243" s="475"/>
      <c r="BFU243" s="475"/>
      <c r="BFV243" s="475"/>
      <c r="BFW243" s="475"/>
      <c r="BFX243" s="475"/>
      <c r="BFY243" s="475"/>
      <c r="BFZ243" s="475"/>
      <c r="BGA243" s="475"/>
      <c r="BGB243" s="475"/>
      <c r="BGC243" s="475"/>
      <c r="BGD243" s="475"/>
      <c r="BGE243" s="475"/>
      <c r="BGF243" s="475"/>
      <c r="BGG243" s="475"/>
      <c r="BGH243" s="475"/>
      <c r="BGI243" s="475"/>
      <c r="BGJ243" s="475"/>
      <c r="BGK243" s="475"/>
      <c r="BGL243" s="475"/>
      <c r="BGM243" s="475"/>
      <c r="BGN243" s="475"/>
      <c r="BGO243" s="475"/>
      <c r="BGP243" s="475"/>
      <c r="BGQ243" s="475"/>
      <c r="BGR243" s="475"/>
      <c r="BGS243" s="475"/>
      <c r="BGT243" s="475"/>
      <c r="BGU243" s="475"/>
      <c r="BGV243" s="475"/>
      <c r="BGW243" s="475"/>
      <c r="BGX243" s="475"/>
      <c r="BGY243" s="475"/>
      <c r="BGZ243" s="475"/>
      <c r="BHA243" s="475"/>
      <c r="BHB243" s="475"/>
      <c r="BHC243" s="475"/>
      <c r="BHD243" s="475"/>
      <c r="BHE243" s="475"/>
      <c r="BHF243" s="475"/>
      <c r="BHG243" s="475"/>
      <c r="BHH243" s="475"/>
      <c r="BHI243" s="475"/>
      <c r="BHJ243" s="475"/>
      <c r="BHK243" s="475"/>
      <c r="BHL243" s="475"/>
      <c r="BHM243" s="475"/>
      <c r="BHN243" s="475"/>
      <c r="BHO243" s="475"/>
      <c r="BHP243" s="475"/>
      <c r="BHQ243" s="475"/>
      <c r="BHR243" s="475"/>
      <c r="BHS243" s="475"/>
      <c r="BHT243" s="475"/>
      <c r="BHU243" s="475"/>
      <c r="BHV243" s="475"/>
      <c r="BHW243" s="475"/>
      <c r="BHX243" s="475"/>
      <c r="BHY243" s="475"/>
      <c r="BHZ243" s="475"/>
      <c r="BIA243" s="475"/>
      <c r="BIB243" s="475"/>
      <c r="BIC243" s="475"/>
      <c r="BID243" s="475"/>
      <c r="BIE243" s="475"/>
      <c r="BIF243" s="475"/>
      <c r="BIG243" s="475"/>
      <c r="BIH243" s="475"/>
      <c r="BII243" s="475"/>
      <c r="BIJ243" s="475"/>
      <c r="BIK243" s="475"/>
      <c r="BIL243" s="475"/>
      <c r="BIM243" s="475"/>
      <c r="BIN243" s="475"/>
      <c r="BIO243" s="475"/>
      <c r="BIP243" s="475"/>
      <c r="BIQ243" s="475"/>
      <c r="BIR243" s="475"/>
      <c r="BIS243" s="475"/>
      <c r="BIT243" s="475"/>
      <c r="BIU243" s="475"/>
      <c r="BIV243" s="475"/>
      <c r="BIW243" s="475"/>
      <c r="BIX243" s="475"/>
      <c r="BIY243" s="475"/>
      <c r="BIZ243" s="475"/>
      <c r="BJA243" s="475"/>
      <c r="BJB243" s="475"/>
      <c r="BJC243" s="475"/>
      <c r="BJD243" s="475"/>
      <c r="BJE243" s="475"/>
      <c r="BJF243" s="475"/>
      <c r="BJG243" s="475"/>
      <c r="BJH243" s="475"/>
      <c r="BJI243" s="475"/>
      <c r="BJJ243" s="475"/>
      <c r="BJK243" s="475"/>
      <c r="BJL243" s="475"/>
      <c r="BJM243" s="475"/>
      <c r="BJN243" s="475"/>
      <c r="BJO243" s="475"/>
      <c r="BJP243" s="475"/>
      <c r="BJQ243" s="475"/>
      <c r="BJR243" s="475"/>
      <c r="BJS243" s="475"/>
      <c r="BJT243" s="475"/>
      <c r="BJU243" s="475"/>
      <c r="BJV243" s="475"/>
      <c r="BJW243" s="475"/>
      <c r="BJX243" s="475"/>
      <c r="BJY243" s="475"/>
      <c r="BJZ243" s="475"/>
      <c r="BKA243" s="475"/>
      <c r="BKB243" s="475"/>
      <c r="BKC243" s="475"/>
      <c r="BKD243" s="475"/>
      <c r="BKE243" s="475"/>
      <c r="BKF243" s="475"/>
      <c r="BKG243" s="475"/>
      <c r="BKH243" s="475"/>
      <c r="BKI243" s="475"/>
      <c r="BKJ243" s="475"/>
      <c r="BKK243" s="475"/>
      <c r="BKL243" s="475"/>
      <c r="BKM243" s="475"/>
      <c r="BKN243" s="475"/>
      <c r="BKO243" s="475"/>
      <c r="BKP243" s="475"/>
      <c r="BKQ243" s="475"/>
      <c r="BKR243" s="475"/>
      <c r="BKS243" s="475"/>
      <c r="BKT243" s="475"/>
      <c r="BKU243" s="475"/>
      <c r="BKV243" s="475"/>
      <c r="BKW243" s="475"/>
      <c r="BKX243" s="475"/>
      <c r="BKY243" s="475"/>
      <c r="BKZ243" s="475"/>
      <c r="BLA243" s="475"/>
      <c r="BLB243" s="475"/>
      <c r="BLC243" s="475"/>
      <c r="BLD243" s="475"/>
      <c r="BLE243" s="475"/>
      <c r="BLF243" s="475"/>
      <c r="BLG243" s="475"/>
      <c r="BLH243" s="475"/>
      <c r="BLI243" s="475"/>
      <c r="BLJ243" s="475"/>
      <c r="BLK243" s="475"/>
      <c r="BLL243" s="475"/>
      <c r="BLM243" s="475"/>
      <c r="BLN243" s="475"/>
      <c r="BLO243" s="475"/>
      <c r="BLP243" s="475"/>
      <c r="BLQ243" s="475"/>
      <c r="BLR243" s="475"/>
      <c r="BLS243" s="475"/>
      <c r="BLT243" s="475"/>
      <c r="BLU243" s="475"/>
      <c r="BLV243" s="475"/>
      <c r="BLW243" s="475"/>
      <c r="BLX243" s="475"/>
      <c r="BLY243" s="475"/>
      <c r="BLZ243" s="475"/>
      <c r="BMA243" s="475"/>
      <c r="BMB243" s="475"/>
      <c r="BMC243" s="475"/>
      <c r="BMD243" s="475"/>
      <c r="BME243" s="475"/>
      <c r="BMF243" s="475"/>
      <c r="BMG243" s="475"/>
      <c r="BMH243" s="475"/>
      <c r="BMI243" s="475"/>
      <c r="BMJ243" s="475"/>
      <c r="BMK243" s="475"/>
      <c r="BML243" s="475"/>
      <c r="BMM243" s="475"/>
      <c r="BMN243" s="475"/>
      <c r="BMO243" s="475"/>
      <c r="BMP243" s="475"/>
      <c r="BMQ243" s="475"/>
      <c r="BMR243" s="475"/>
      <c r="BMS243" s="475"/>
      <c r="BMT243" s="475"/>
      <c r="BMU243" s="475"/>
      <c r="BMV243" s="475"/>
      <c r="BMW243" s="475"/>
      <c r="BMX243" s="475"/>
      <c r="BMY243" s="475"/>
      <c r="BMZ243" s="475"/>
      <c r="BNA243" s="475"/>
      <c r="BNB243" s="475"/>
      <c r="BNC243" s="475"/>
      <c r="BND243" s="475"/>
      <c r="BNE243" s="475"/>
      <c r="BNF243" s="475"/>
      <c r="BNG243" s="475"/>
      <c r="BNH243" s="475"/>
      <c r="BNI243" s="475"/>
      <c r="BNJ243" s="475"/>
      <c r="BNK243" s="475"/>
      <c r="BNL243" s="475"/>
      <c r="BNM243" s="475"/>
      <c r="BNN243" s="475"/>
      <c r="BNO243" s="475"/>
      <c r="BNP243" s="475"/>
      <c r="BNQ243" s="475"/>
      <c r="BNR243" s="475"/>
      <c r="BNS243" s="475"/>
      <c r="BNT243" s="475"/>
      <c r="BNU243" s="475"/>
      <c r="BNV243" s="475"/>
      <c r="BNW243" s="475"/>
      <c r="BNX243" s="475"/>
      <c r="BNY243" s="475"/>
      <c r="BNZ243" s="475"/>
      <c r="BOA243" s="475"/>
      <c r="BOB243" s="475"/>
      <c r="BOC243" s="475"/>
      <c r="BOD243" s="475"/>
      <c r="BOE243" s="475"/>
      <c r="BOF243" s="475"/>
      <c r="BOG243" s="475"/>
      <c r="BOH243" s="475"/>
      <c r="BOI243" s="475"/>
      <c r="BOJ243" s="475"/>
      <c r="BOK243" s="475"/>
      <c r="BOL243" s="475"/>
      <c r="BOM243" s="475"/>
      <c r="BON243" s="475"/>
      <c r="BOO243" s="475"/>
      <c r="BOP243" s="475"/>
      <c r="BOQ243" s="475"/>
      <c r="BOR243" s="475"/>
      <c r="BOS243" s="475"/>
      <c r="BOT243" s="475"/>
      <c r="BOU243" s="475"/>
      <c r="BOV243" s="475"/>
      <c r="BOW243" s="475"/>
      <c r="BOX243" s="475"/>
      <c r="BOY243" s="475"/>
      <c r="BOZ243" s="475"/>
      <c r="BPA243" s="475"/>
      <c r="BPB243" s="475"/>
      <c r="BPC243" s="475"/>
      <c r="BPD243" s="475"/>
      <c r="BPE243" s="475"/>
      <c r="BPF243" s="475"/>
      <c r="BPG243" s="475"/>
      <c r="BPH243" s="475"/>
      <c r="BPI243" s="475"/>
      <c r="BPJ243" s="475"/>
      <c r="BPK243" s="475"/>
      <c r="BPL243" s="475"/>
      <c r="BPM243" s="475"/>
      <c r="BPN243" s="475"/>
      <c r="BPO243" s="475"/>
      <c r="BPP243" s="475"/>
      <c r="BPQ243" s="475"/>
      <c r="BPR243" s="475"/>
      <c r="BPS243" s="475"/>
      <c r="BPT243" s="475"/>
      <c r="BPU243" s="475"/>
      <c r="BPV243" s="475"/>
      <c r="BPW243" s="475"/>
      <c r="BPX243" s="475"/>
      <c r="BPY243" s="475"/>
      <c r="BPZ243" s="475"/>
      <c r="BQA243" s="475"/>
      <c r="BQB243" s="475"/>
      <c r="BQC243" s="475"/>
      <c r="BQD243" s="475"/>
      <c r="BQE243" s="475"/>
      <c r="BQF243" s="475"/>
      <c r="BQG243" s="475"/>
      <c r="BQH243" s="475"/>
      <c r="BQI243" s="475"/>
      <c r="BQJ243" s="475"/>
      <c r="BQK243" s="475"/>
      <c r="BQL243" s="475"/>
      <c r="BQM243" s="475"/>
      <c r="BQN243" s="475"/>
      <c r="BQO243" s="475"/>
      <c r="BQP243" s="475"/>
      <c r="BQQ243" s="475"/>
      <c r="BQR243" s="475"/>
      <c r="BQS243" s="475"/>
      <c r="BQT243" s="475"/>
      <c r="BQU243" s="475"/>
      <c r="BQV243" s="475"/>
      <c r="BQW243" s="475"/>
      <c r="BQX243" s="475"/>
      <c r="BQY243" s="475"/>
      <c r="BQZ243" s="475"/>
      <c r="BRA243" s="475"/>
      <c r="BRB243" s="475"/>
      <c r="BRC243" s="475"/>
      <c r="BRD243" s="475"/>
      <c r="BRE243" s="475"/>
      <c r="BRF243" s="475"/>
      <c r="BRG243" s="475"/>
      <c r="BRH243" s="475"/>
      <c r="BRI243" s="475"/>
      <c r="BRJ243" s="475"/>
      <c r="BRK243" s="475"/>
      <c r="BRL243" s="475"/>
      <c r="BRM243" s="475"/>
      <c r="BRN243" s="475"/>
      <c r="BRO243" s="475"/>
      <c r="BRP243" s="475"/>
      <c r="BRQ243" s="475"/>
      <c r="BRR243" s="475"/>
      <c r="BRS243" s="475"/>
      <c r="BRT243" s="475"/>
      <c r="BRU243" s="475"/>
      <c r="BRV243" s="475"/>
      <c r="BRW243" s="475"/>
      <c r="BRX243" s="475"/>
      <c r="BRY243" s="475"/>
      <c r="BRZ243" s="475"/>
      <c r="BSA243" s="475"/>
      <c r="BSB243" s="475"/>
      <c r="BSC243" s="475"/>
      <c r="BSD243" s="475"/>
      <c r="BSE243" s="475"/>
      <c r="BSF243" s="475"/>
      <c r="BSG243" s="475"/>
      <c r="BSH243" s="475"/>
      <c r="BSI243" s="475"/>
      <c r="BSJ243" s="475"/>
      <c r="BSK243" s="475"/>
      <c r="BSL243" s="475"/>
      <c r="BSM243" s="475"/>
      <c r="BSN243" s="475"/>
      <c r="BSO243" s="475"/>
      <c r="BSP243" s="475"/>
      <c r="BSQ243" s="475"/>
      <c r="BSR243" s="475"/>
      <c r="BSS243" s="475"/>
      <c r="BST243" s="475"/>
      <c r="BSU243" s="475"/>
      <c r="BSV243" s="475"/>
      <c r="BSW243" s="475"/>
      <c r="BSX243" s="475"/>
      <c r="BSY243" s="475"/>
      <c r="BSZ243" s="475"/>
      <c r="BTA243" s="475"/>
      <c r="BTB243" s="475"/>
      <c r="BTC243" s="475"/>
      <c r="BTD243" s="475"/>
      <c r="BTE243" s="475"/>
      <c r="BTF243" s="475"/>
      <c r="BTG243" s="475"/>
      <c r="BTH243" s="475"/>
      <c r="BTI243" s="475"/>
    </row>
    <row r="244" spans="1:1881" s="474" customFormat="1" ht="90.75" customHeight="1" x14ac:dyDescent="0.25">
      <c r="A244" s="726">
        <v>956</v>
      </c>
      <c r="B244" s="733"/>
      <c r="C244" s="734"/>
      <c r="D244" s="731" t="s">
        <v>775</v>
      </c>
      <c r="E244" s="730" t="s">
        <v>771</v>
      </c>
      <c r="F244" s="859"/>
      <c r="G244" s="536" t="str">
        <f t="shared" si="3"/>
        <v>Please do not leave blank</v>
      </c>
      <c r="H244" s="476"/>
      <c r="I244"/>
      <c r="J244"/>
      <c r="K244"/>
      <c r="L244"/>
      <c r="M244"/>
      <c r="N244"/>
      <c r="O244"/>
      <c r="P244" s="475"/>
      <c r="Q244" s="475"/>
      <c r="R244"/>
      <c r="S244" s="471"/>
      <c r="T244" s="475"/>
      <c r="U244" s="475"/>
      <c r="V244" s="475"/>
      <c r="W244" s="475"/>
      <c r="X244" s="682"/>
      <c r="Y244" s="475"/>
      <c r="Z244" s="475"/>
      <c r="AA244" s="475"/>
      <c r="AB244" s="475"/>
      <c r="AC244" s="475"/>
      <c r="AD244" s="475"/>
      <c r="AE244" s="475"/>
      <c r="AF244" s="475"/>
      <c r="AG244" s="475"/>
      <c r="AH244" s="475"/>
      <c r="AI244" s="475"/>
      <c r="AJ244" s="475"/>
      <c r="AK244" s="475"/>
      <c r="AL244" s="475"/>
      <c r="AM244" s="475"/>
      <c r="AN244" s="475"/>
      <c r="AO244" s="475"/>
      <c r="AP244" s="475"/>
      <c r="AQ244" s="475"/>
      <c r="AR244" s="475"/>
      <c r="AS244" s="475"/>
      <c r="AT244" s="475"/>
      <c r="AU244" s="475"/>
      <c r="AV244" s="475"/>
      <c r="AW244" s="475"/>
      <c r="AX244" s="475"/>
      <c r="AY244" s="475"/>
      <c r="AZ244" s="475"/>
      <c r="BA244" s="475"/>
      <c r="BB244" s="475"/>
      <c r="BC244" s="475"/>
      <c r="BD244" s="475"/>
      <c r="BE244" s="475"/>
      <c r="BF244" s="475"/>
      <c r="BG244" s="475"/>
      <c r="BH244" s="475"/>
      <c r="BI244" s="475"/>
      <c r="BJ244" s="475"/>
      <c r="BK244" s="475"/>
      <c r="BL244" s="475"/>
      <c r="BM244" s="475"/>
      <c r="BN244" s="475"/>
      <c r="BO244" s="475"/>
      <c r="BP244" s="475"/>
      <c r="BQ244" s="475"/>
      <c r="BR244" s="475"/>
      <c r="BS244" s="475"/>
      <c r="BT244" s="475"/>
      <c r="BU244" s="475"/>
      <c r="BV244" s="475"/>
      <c r="BW244" s="475"/>
      <c r="BX244" s="475"/>
      <c r="BY244" s="475"/>
      <c r="BZ244" s="475"/>
      <c r="CA244" s="475"/>
      <c r="CB244" s="475"/>
      <c r="CC244" s="475"/>
      <c r="CD244" s="475"/>
      <c r="CE244" s="475"/>
      <c r="CF244" s="475"/>
      <c r="CG244" s="475"/>
      <c r="CH244" s="475"/>
      <c r="CI244" s="475"/>
      <c r="CJ244" s="475"/>
      <c r="CK244" s="475"/>
      <c r="CL244" s="475"/>
      <c r="CM244" s="475"/>
      <c r="CN244" s="475"/>
      <c r="CO244" s="475"/>
      <c r="CP244" s="475"/>
      <c r="CQ244" s="475"/>
      <c r="CR244" s="475"/>
      <c r="CS244" s="475"/>
      <c r="CT244" s="475"/>
      <c r="CU244" s="475"/>
      <c r="CV244" s="475"/>
      <c r="CW244" s="475"/>
      <c r="CX244" s="475"/>
      <c r="CY244" s="475"/>
      <c r="CZ244" s="475"/>
      <c r="DA244" s="475"/>
      <c r="DB244" s="475"/>
      <c r="DC244" s="475"/>
      <c r="DD244" s="475"/>
      <c r="DE244" s="475"/>
      <c r="DF244" s="475"/>
      <c r="DG244" s="475"/>
      <c r="DH244" s="475"/>
      <c r="DI244" s="475"/>
      <c r="DJ244" s="475"/>
      <c r="DK244" s="475"/>
      <c r="DL244" s="475"/>
      <c r="DM244" s="475"/>
      <c r="DN244" s="475"/>
      <c r="DO244" s="475"/>
      <c r="DP244" s="475"/>
      <c r="DQ244" s="475"/>
      <c r="DR244" s="475"/>
      <c r="DS244" s="475"/>
      <c r="DT244" s="475"/>
      <c r="DU244" s="475"/>
      <c r="DV244" s="475"/>
      <c r="DW244" s="475"/>
      <c r="DX244" s="475"/>
      <c r="DY244" s="475"/>
      <c r="DZ244" s="475"/>
      <c r="EA244" s="475"/>
      <c r="EB244" s="475"/>
      <c r="EC244" s="475"/>
      <c r="ED244" s="475"/>
      <c r="EE244" s="475"/>
      <c r="EF244" s="475"/>
      <c r="EG244" s="475"/>
      <c r="EH244" s="475"/>
      <c r="EI244" s="475"/>
      <c r="EJ244" s="475"/>
      <c r="EK244" s="475"/>
      <c r="EL244" s="475"/>
      <c r="EM244" s="475"/>
      <c r="EN244" s="475"/>
      <c r="EO244" s="475"/>
      <c r="EP244" s="475"/>
      <c r="EQ244" s="475"/>
      <c r="ER244" s="475"/>
      <c r="ES244" s="475"/>
      <c r="ET244" s="475"/>
      <c r="EU244" s="475"/>
      <c r="EV244" s="475"/>
      <c r="EW244" s="475"/>
      <c r="EX244" s="475"/>
      <c r="EY244" s="475"/>
      <c r="EZ244" s="475"/>
      <c r="FA244" s="475"/>
      <c r="FB244" s="475"/>
      <c r="FC244" s="475"/>
      <c r="FD244" s="475"/>
      <c r="FE244" s="475"/>
      <c r="FF244" s="475"/>
      <c r="FG244" s="475"/>
      <c r="FH244" s="475"/>
      <c r="FI244" s="475"/>
      <c r="FJ244" s="475"/>
      <c r="FK244" s="475"/>
      <c r="FL244" s="475"/>
      <c r="FM244" s="475"/>
      <c r="FN244" s="475"/>
      <c r="FO244" s="475"/>
      <c r="FP244" s="475"/>
      <c r="FQ244" s="475"/>
      <c r="FR244" s="475"/>
      <c r="FS244" s="475"/>
      <c r="FT244" s="475"/>
      <c r="FU244" s="475"/>
      <c r="FV244" s="475"/>
      <c r="FW244" s="475"/>
      <c r="FX244" s="475"/>
      <c r="FY244" s="475"/>
      <c r="FZ244" s="475"/>
      <c r="GA244" s="475"/>
      <c r="GB244" s="475"/>
      <c r="GC244" s="475"/>
      <c r="GD244" s="475"/>
      <c r="GE244" s="475"/>
      <c r="GF244" s="475"/>
      <c r="GG244" s="475"/>
      <c r="GH244" s="475"/>
      <c r="GI244" s="475"/>
      <c r="GJ244" s="475"/>
      <c r="GK244" s="475"/>
      <c r="GL244" s="475"/>
      <c r="GM244" s="475"/>
      <c r="GN244" s="475"/>
      <c r="GO244" s="475"/>
      <c r="GP244" s="475"/>
      <c r="GQ244" s="475"/>
      <c r="GR244" s="475"/>
      <c r="GS244" s="475"/>
      <c r="GT244" s="475"/>
      <c r="GU244" s="475"/>
      <c r="GV244" s="475"/>
      <c r="GW244" s="475"/>
      <c r="GX244" s="475"/>
      <c r="GY244" s="475"/>
      <c r="GZ244" s="475"/>
      <c r="HA244" s="475"/>
      <c r="HB244" s="475"/>
      <c r="HC244" s="475"/>
      <c r="HD244" s="475"/>
      <c r="HE244" s="475"/>
      <c r="HF244" s="475"/>
      <c r="HG244" s="475"/>
      <c r="HH244" s="475"/>
      <c r="HI244" s="475"/>
      <c r="HJ244" s="475"/>
      <c r="HK244" s="475"/>
      <c r="HL244" s="475"/>
      <c r="HM244" s="475"/>
      <c r="HN244" s="475"/>
      <c r="HO244" s="475"/>
      <c r="HP244" s="475"/>
      <c r="HQ244" s="475"/>
      <c r="HR244" s="475"/>
      <c r="HS244" s="475"/>
      <c r="HT244" s="475"/>
      <c r="HU244" s="475"/>
      <c r="HV244" s="475"/>
      <c r="HW244" s="475"/>
      <c r="HX244" s="475"/>
      <c r="HY244" s="475"/>
      <c r="HZ244" s="475"/>
      <c r="IA244" s="475"/>
      <c r="IB244" s="475"/>
      <c r="IC244" s="475"/>
      <c r="ID244" s="475"/>
      <c r="IE244" s="475"/>
      <c r="IF244" s="475"/>
      <c r="IG244" s="475"/>
      <c r="IH244" s="475"/>
      <c r="II244" s="475"/>
      <c r="IJ244" s="475"/>
      <c r="IK244" s="475"/>
      <c r="IL244" s="475"/>
      <c r="IM244" s="475"/>
      <c r="IN244" s="475"/>
      <c r="IO244" s="475"/>
      <c r="IP244" s="475"/>
      <c r="IQ244" s="475"/>
      <c r="IR244" s="475"/>
      <c r="IS244" s="475"/>
      <c r="IT244" s="475"/>
      <c r="IU244" s="475"/>
      <c r="IV244" s="475"/>
      <c r="IW244" s="475"/>
      <c r="IX244" s="475"/>
      <c r="IY244" s="475"/>
      <c r="IZ244" s="475"/>
      <c r="JA244" s="475"/>
      <c r="JB244" s="475"/>
      <c r="JC244" s="475"/>
      <c r="JD244" s="475"/>
      <c r="JE244" s="475"/>
      <c r="JF244" s="475"/>
      <c r="JG244" s="475"/>
      <c r="JH244" s="475"/>
      <c r="JI244" s="475"/>
      <c r="JJ244" s="475"/>
      <c r="JK244" s="475"/>
      <c r="JL244" s="475"/>
      <c r="JM244" s="475"/>
      <c r="JN244" s="475"/>
      <c r="JO244" s="475"/>
      <c r="JP244" s="475"/>
      <c r="JQ244" s="475"/>
      <c r="JR244" s="475"/>
      <c r="JS244" s="475"/>
      <c r="JT244" s="475"/>
      <c r="JU244" s="475"/>
      <c r="JV244" s="475"/>
      <c r="JW244" s="475"/>
      <c r="JX244" s="475"/>
      <c r="JY244" s="475"/>
      <c r="JZ244" s="475"/>
      <c r="KA244" s="475"/>
      <c r="KB244" s="475"/>
      <c r="KC244" s="475"/>
      <c r="KD244" s="475"/>
      <c r="KE244" s="475"/>
      <c r="KF244" s="475"/>
      <c r="KG244" s="475"/>
      <c r="KH244" s="475"/>
      <c r="KI244" s="475"/>
      <c r="KJ244" s="475"/>
      <c r="KK244" s="475"/>
      <c r="KL244" s="475"/>
      <c r="KM244" s="475"/>
      <c r="KN244" s="475"/>
      <c r="KO244" s="475"/>
      <c r="KP244" s="475"/>
      <c r="KQ244" s="475"/>
      <c r="KR244" s="475"/>
      <c r="KS244" s="475"/>
      <c r="KT244" s="475"/>
      <c r="KU244" s="475"/>
      <c r="KV244" s="475"/>
      <c r="KW244" s="475"/>
      <c r="KX244" s="475"/>
      <c r="KY244" s="475"/>
      <c r="KZ244" s="475"/>
      <c r="LA244" s="475"/>
      <c r="LB244" s="475"/>
      <c r="LC244" s="475"/>
      <c r="LD244" s="475"/>
      <c r="LE244" s="475"/>
      <c r="LF244" s="475"/>
      <c r="LG244" s="475"/>
      <c r="LH244" s="475"/>
      <c r="LI244" s="475"/>
      <c r="LJ244" s="475"/>
      <c r="LK244" s="475"/>
      <c r="LL244" s="475"/>
      <c r="LM244" s="475"/>
      <c r="LN244" s="475"/>
      <c r="LO244" s="475"/>
      <c r="LP244" s="475"/>
      <c r="LQ244" s="475"/>
      <c r="LR244" s="475"/>
      <c r="LS244" s="475"/>
      <c r="LT244" s="475"/>
      <c r="LU244" s="475"/>
      <c r="LV244" s="475"/>
      <c r="LW244" s="475"/>
      <c r="LX244" s="475"/>
      <c r="LY244" s="475"/>
      <c r="LZ244" s="475"/>
      <c r="MA244" s="475"/>
      <c r="MB244" s="475"/>
      <c r="MC244" s="475"/>
      <c r="MD244" s="475"/>
      <c r="ME244" s="475"/>
      <c r="MF244" s="475"/>
      <c r="MG244" s="475"/>
      <c r="MH244" s="475"/>
      <c r="MI244" s="475"/>
      <c r="MJ244" s="475"/>
      <c r="MK244" s="475"/>
      <c r="ML244" s="475"/>
      <c r="MM244" s="475"/>
      <c r="MN244" s="475"/>
      <c r="MO244" s="475"/>
      <c r="MP244" s="475"/>
      <c r="MQ244" s="475"/>
      <c r="MR244" s="475"/>
      <c r="MS244" s="475"/>
      <c r="MT244" s="475"/>
      <c r="MU244" s="475"/>
      <c r="MV244" s="475"/>
      <c r="MW244" s="475"/>
      <c r="MX244" s="475"/>
      <c r="MY244" s="475"/>
      <c r="MZ244" s="475"/>
      <c r="NA244" s="475"/>
      <c r="NB244" s="475"/>
      <c r="NC244" s="475"/>
      <c r="ND244" s="475"/>
      <c r="NE244" s="475"/>
      <c r="NF244" s="475"/>
      <c r="NG244" s="475"/>
      <c r="NH244" s="475"/>
      <c r="NI244" s="475"/>
      <c r="NJ244" s="475"/>
      <c r="NK244" s="475"/>
      <c r="NL244" s="475"/>
      <c r="NM244" s="475"/>
      <c r="NN244" s="475"/>
      <c r="NO244" s="475"/>
      <c r="NP244" s="475"/>
      <c r="NQ244" s="475"/>
      <c r="NR244" s="475"/>
      <c r="NS244" s="475"/>
      <c r="NT244" s="475"/>
      <c r="NU244" s="475"/>
      <c r="NV244" s="475"/>
      <c r="NW244" s="475"/>
      <c r="NX244" s="475"/>
      <c r="NY244" s="475"/>
      <c r="NZ244" s="475"/>
      <c r="OA244" s="475"/>
      <c r="OB244" s="475"/>
      <c r="OC244" s="475"/>
      <c r="OD244" s="475"/>
      <c r="OE244" s="475"/>
      <c r="OF244" s="475"/>
      <c r="OG244" s="475"/>
      <c r="OH244" s="475"/>
      <c r="OI244" s="475"/>
      <c r="OJ244" s="475"/>
      <c r="OK244" s="475"/>
      <c r="OL244" s="475"/>
      <c r="OM244" s="475"/>
      <c r="ON244" s="475"/>
      <c r="OO244" s="475"/>
      <c r="OP244" s="475"/>
      <c r="OQ244" s="475"/>
      <c r="OR244" s="475"/>
      <c r="OS244" s="475"/>
      <c r="OT244" s="475"/>
      <c r="OU244" s="475"/>
      <c r="OV244" s="475"/>
      <c r="OW244" s="475"/>
      <c r="OX244" s="475"/>
      <c r="OY244" s="475"/>
      <c r="OZ244" s="475"/>
      <c r="PA244" s="475"/>
      <c r="PB244" s="475"/>
      <c r="PC244" s="475"/>
      <c r="PD244" s="475"/>
      <c r="PE244" s="475"/>
      <c r="PF244" s="475"/>
      <c r="PG244" s="475"/>
      <c r="PH244" s="475"/>
      <c r="PI244" s="475"/>
      <c r="PJ244" s="475"/>
      <c r="PK244" s="475"/>
      <c r="PL244" s="475"/>
      <c r="PM244" s="475"/>
      <c r="PN244" s="475"/>
      <c r="PO244" s="475"/>
      <c r="PP244" s="475"/>
      <c r="PQ244" s="475"/>
      <c r="PR244" s="475"/>
      <c r="PS244" s="475"/>
      <c r="PT244" s="475"/>
      <c r="PU244" s="475"/>
      <c r="PV244" s="475"/>
      <c r="PW244" s="475"/>
      <c r="PX244" s="475"/>
      <c r="PY244" s="475"/>
      <c r="PZ244" s="475"/>
      <c r="QA244" s="475"/>
      <c r="QB244" s="475"/>
      <c r="QC244" s="475"/>
      <c r="QD244" s="475"/>
      <c r="QE244" s="475"/>
      <c r="QF244" s="475"/>
      <c r="QG244" s="475"/>
      <c r="QH244" s="475"/>
      <c r="QI244" s="475"/>
      <c r="QJ244" s="475"/>
      <c r="QK244" s="475"/>
      <c r="QL244" s="475"/>
      <c r="QM244" s="475"/>
      <c r="QN244" s="475"/>
      <c r="QO244" s="475"/>
      <c r="QP244" s="475"/>
      <c r="QQ244" s="475"/>
      <c r="QR244" s="475"/>
      <c r="QS244" s="475"/>
      <c r="QT244" s="475"/>
      <c r="QU244" s="475"/>
      <c r="QV244" s="475"/>
      <c r="QW244" s="475"/>
      <c r="QX244" s="475"/>
      <c r="QY244" s="475"/>
      <c r="QZ244" s="475"/>
      <c r="RA244" s="475"/>
      <c r="RB244" s="475"/>
      <c r="RC244" s="475"/>
      <c r="RD244" s="475"/>
      <c r="RE244" s="475"/>
      <c r="RF244" s="475"/>
      <c r="RG244" s="475"/>
      <c r="RH244" s="475"/>
      <c r="RI244" s="475"/>
      <c r="RJ244" s="475"/>
      <c r="RK244" s="475"/>
      <c r="RL244" s="475"/>
      <c r="RM244" s="475"/>
      <c r="RN244" s="475"/>
      <c r="RO244" s="475"/>
      <c r="RP244" s="475"/>
      <c r="RQ244" s="475"/>
      <c r="RR244" s="475"/>
      <c r="RS244" s="475"/>
      <c r="RT244" s="475"/>
      <c r="RU244" s="475"/>
      <c r="RV244" s="475"/>
      <c r="RW244" s="475"/>
      <c r="RX244" s="475"/>
      <c r="RY244" s="475"/>
      <c r="RZ244" s="475"/>
      <c r="SA244" s="475"/>
      <c r="SB244" s="475"/>
      <c r="SC244" s="475"/>
      <c r="SD244" s="475"/>
      <c r="SE244" s="475"/>
      <c r="SF244" s="475"/>
      <c r="SG244" s="475"/>
      <c r="SH244" s="475"/>
      <c r="SI244" s="475"/>
      <c r="SJ244" s="475"/>
      <c r="SK244" s="475"/>
      <c r="SL244" s="475"/>
      <c r="SM244" s="475"/>
      <c r="SN244" s="475"/>
      <c r="SO244" s="475"/>
      <c r="SP244" s="475"/>
      <c r="SQ244" s="475"/>
      <c r="SR244" s="475"/>
      <c r="SS244" s="475"/>
      <c r="ST244" s="475"/>
      <c r="SU244" s="475"/>
      <c r="SV244" s="475"/>
      <c r="SW244" s="475"/>
      <c r="SX244" s="475"/>
      <c r="SY244" s="475"/>
      <c r="SZ244" s="475"/>
      <c r="TA244" s="475"/>
      <c r="TB244" s="475"/>
      <c r="TC244" s="475"/>
      <c r="TD244" s="475"/>
      <c r="TE244" s="475"/>
      <c r="TF244" s="475"/>
      <c r="TG244" s="475"/>
      <c r="TH244" s="475"/>
      <c r="TI244" s="475"/>
      <c r="TJ244" s="475"/>
      <c r="TK244" s="475"/>
      <c r="TL244" s="475"/>
      <c r="TM244" s="475"/>
      <c r="TN244" s="475"/>
      <c r="TO244" s="475"/>
      <c r="TP244" s="475"/>
      <c r="TQ244" s="475"/>
      <c r="TR244" s="475"/>
      <c r="TS244" s="475"/>
      <c r="TT244" s="475"/>
      <c r="TU244" s="475"/>
      <c r="TV244" s="475"/>
      <c r="TW244" s="475"/>
      <c r="TX244" s="475"/>
      <c r="TY244" s="475"/>
      <c r="TZ244" s="475"/>
      <c r="UA244" s="475"/>
      <c r="UB244" s="475"/>
      <c r="UC244" s="475"/>
      <c r="UD244" s="475"/>
      <c r="UE244" s="475"/>
      <c r="UF244" s="475"/>
      <c r="UG244" s="475"/>
      <c r="UH244" s="475"/>
      <c r="UI244" s="475"/>
      <c r="UJ244" s="475"/>
      <c r="UK244" s="475"/>
      <c r="UL244" s="475"/>
      <c r="UM244" s="475"/>
      <c r="UN244" s="475"/>
      <c r="UO244" s="475"/>
      <c r="UP244" s="475"/>
      <c r="UQ244" s="475"/>
      <c r="UR244" s="475"/>
      <c r="US244" s="475"/>
      <c r="UT244" s="475"/>
      <c r="UU244" s="475"/>
      <c r="UV244" s="475"/>
      <c r="UW244" s="475"/>
      <c r="UX244" s="475"/>
      <c r="UY244" s="475"/>
      <c r="UZ244" s="475"/>
      <c r="VA244" s="475"/>
      <c r="VB244" s="475"/>
      <c r="VC244" s="475"/>
      <c r="VD244" s="475"/>
      <c r="VE244" s="475"/>
      <c r="VF244" s="475"/>
      <c r="VG244" s="475"/>
      <c r="VH244" s="475"/>
      <c r="VI244" s="475"/>
      <c r="VJ244" s="475"/>
      <c r="VK244" s="475"/>
      <c r="VL244" s="475"/>
      <c r="VM244" s="475"/>
      <c r="VN244" s="475"/>
      <c r="VO244" s="475"/>
      <c r="VP244" s="475"/>
      <c r="VQ244" s="475"/>
      <c r="VR244" s="475"/>
      <c r="VS244" s="475"/>
      <c r="VT244" s="475"/>
      <c r="VU244" s="475"/>
      <c r="VV244" s="475"/>
      <c r="VW244" s="475"/>
      <c r="VX244" s="475"/>
      <c r="VY244" s="475"/>
      <c r="VZ244" s="475"/>
      <c r="WA244" s="475"/>
      <c r="WB244" s="475"/>
      <c r="WC244" s="475"/>
      <c r="WD244" s="475"/>
      <c r="WE244" s="475"/>
      <c r="WF244" s="475"/>
      <c r="WG244" s="475"/>
      <c r="WH244" s="475"/>
      <c r="WI244" s="475"/>
      <c r="WJ244" s="475"/>
      <c r="WK244" s="475"/>
      <c r="WL244" s="475"/>
      <c r="WM244" s="475"/>
      <c r="WN244" s="475"/>
      <c r="WO244" s="475"/>
      <c r="WP244" s="475"/>
      <c r="WQ244" s="475"/>
      <c r="WR244" s="475"/>
      <c r="WS244" s="475"/>
      <c r="WT244" s="475"/>
      <c r="WU244" s="475"/>
      <c r="WV244" s="475"/>
      <c r="WW244" s="475"/>
      <c r="WX244" s="475"/>
      <c r="WY244" s="475"/>
      <c r="WZ244" s="475"/>
      <c r="XA244" s="475"/>
      <c r="XB244" s="475"/>
      <c r="XC244" s="475"/>
      <c r="XD244" s="475"/>
      <c r="XE244" s="475"/>
      <c r="XF244" s="475"/>
      <c r="XG244" s="475"/>
      <c r="XH244" s="475"/>
      <c r="XI244" s="475"/>
      <c r="XJ244" s="475"/>
      <c r="XK244" s="475"/>
      <c r="XL244" s="475"/>
      <c r="XM244" s="475"/>
      <c r="XN244" s="475"/>
      <c r="XO244" s="475"/>
      <c r="XP244" s="475"/>
      <c r="XQ244" s="475"/>
      <c r="XR244" s="475"/>
      <c r="XS244" s="475"/>
      <c r="XT244" s="475"/>
      <c r="XU244" s="475"/>
      <c r="XV244" s="475"/>
      <c r="XW244" s="475"/>
      <c r="XX244" s="475"/>
      <c r="XY244" s="475"/>
      <c r="XZ244" s="475"/>
      <c r="YA244" s="475"/>
      <c r="YB244" s="475"/>
      <c r="YC244" s="475"/>
      <c r="YD244" s="475"/>
      <c r="YE244" s="475"/>
      <c r="YF244" s="475"/>
      <c r="YG244" s="475"/>
      <c r="YH244" s="475"/>
      <c r="YI244" s="475"/>
      <c r="YJ244" s="475"/>
      <c r="YK244" s="475"/>
      <c r="YL244" s="475"/>
      <c r="YM244" s="475"/>
      <c r="YN244" s="475"/>
      <c r="YO244" s="475"/>
      <c r="YP244" s="475"/>
      <c r="YQ244" s="475"/>
      <c r="YR244" s="475"/>
      <c r="YS244" s="475"/>
      <c r="YT244" s="475"/>
      <c r="YU244" s="475"/>
      <c r="YV244" s="475"/>
      <c r="YW244" s="475"/>
      <c r="YX244" s="475"/>
      <c r="YY244" s="475"/>
      <c r="YZ244" s="475"/>
      <c r="ZA244" s="475"/>
      <c r="ZB244" s="475"/>
      <c r="ZC244" s="475"/>
      <c r="ZD244" s="475"/>
      <c r="ZE244" s="475"/>
      <c r="ZF244" s="475"/>
      <c r="ZG244" s="475"/>
      <c r="ZH244" s="475"/>
      <c r="ZI244" s="475"/>
      <c r="ZJ244" s="475"/>
      <c r="ZK244" s="475"/>
      <c r="ZL244" s="475"/>
      <c r="ZM244" s="475"/>
      <c r="ZN244" s="475"/>
      <c r="ZO244" s="475"/>
      <c r="ZP244" s="475"/>
      <c r="ZQ244" s="475"/>
      <c r="ZR244" s="475"/>
      <c r="ZS244" s="475"/>
      <c r="ZT244" s="475"/>
      <c r="ZU244" s="475"/>
      <c r="ZV244" s="475"/>
      <c r="ZW244" s="475"/>
      <c r="ZX244" s="475"/>
      <c r="ZY244" s="475"/>
      <c r="ZZ244" s="475"/>
      <c r="AAA244" s="475"/>
      <c r="AAB244" s="475"/>
      <c r="AAC244" s="475"/>
      <c r="AAD244" s="475"/>
      <c r="AAE244" s="475"/>
      <c r="AAF244" s="475"/>
      <c r="AAG244" s="475"/>
      <c r="AAH244" s="475"/>
      <c r="AAI244" s="475"/>
      <c r="AAJ244" s="475"/>
      <c r="AAK244" s="475"/>
      <c r="AAL244" s="475"/>
      <c r="AAM244" s="475"/>
      <c r="AAN244" s="475"/>
      <c r="AAO244" s="475"/>
      <c r="AAP244" s="475"/>
      <c r="AAQ244" s="475"/>
      <c r="AAR244" s="475"/>
      <c r="AAS244" s="475"/>
      <c r="AAT244" s="475"/>
      <c r="AAU244" s="475"/>
      <c r="AAV244" s="475"/>
      <c r="AAW244" s="475"/>
      <c r="AAX244" s="475"/>
      <c r="AAY244" s="475"/>
      <c r="AAZ244" s="475"/>
      <c r="ABA244" s="475"/>
      <c r="ABB244" s="475"/>
      <c r="ABC244" s="475"/>
      <c r="ABD244" s="475"/>
      <c r="ABE244" s="475"/>
      <c r="ABF244" s="475"/>
      <c r="ABG244" s="475"/>
      <c r="ABH244" s="475"/>
      <c r="ABI244" s="475"/>
      <c r="ABJ244" s="475"/>
      <c r="ABK244" s="475"/>
      <c r="ABL244" s="475"/>
      <c r="ABM244" s="475"/>
      <c r="ABN244" s="475"/>
      <c r="ABO244" s="475"/>
      <c r="ABP244" s="475"/>
      <c r="ABQ244" s="475"/>
      <c r="ABR244" s="475"/>
      <c r="ABS244" s="475"/>
      <c r="ABT244" s="475"/>
      <c r="ABU244" s="475"/>
      <c r="ABV244" s="475"/>
      <c r="ABW244" s="475"/>
      <c r="ABX244" s="475"/>
      <c r="ABY244" s="475"/>
      <c r="ABZ244" s="475"/>
      <c r="ACA244" s="475"/>
      <c r="ACB244" s="475"/>
      <c r="ACC244" s="475"/>
      <c r="ACD244" s="475"/>
      <c r="ACE244" s="475"/>
      <c r="ACF244" s="475"/>
      <c r="ACG244" s="475"/>
      <c r="ACH244" s="475"/>
      <c r="ACI244" s="475"/>
      <c r="ACJ244" s="475"/>
      <c r="ACK244" s="475"/>
      <c r="ACL244" s="475"/>
      <c r="ACM244" s="475"/>
      <c r="ACN244" s="475"/>
      <c r="ACO244" s="475"/>
      <c r="ACP244" s="475"/>
      <c r="ACQ244" s="475"/>
      <c r="ACR244" s="475"/>
      <c r="ACS244" s="475"/>
      <c r="ACT244" s="475"/>
      <c r="ACU244" s="475"/>
      <c r="ACV244" s="475"/>
      <c r="ACW244" s="475"/>
      <c r="ACX244" s="475"/>
      <c r="ACY244" s="475"/>
      <c r="ACZ244" s="475"/>
      <c r="ADA244" s="475"/>
      <c r="ADB244" s="475"/>
      <c r="ADC244" s="475"/>
      <c r="ADD244" s="475"/>
      <c r="ADE244" s="475"/>
      <c r="ADF244" s="475"/>
      <c r="ADG244" s="475"/>
      <c r="ADH244" s="475"/>
      <c r="ADI244" s="475"/>
      <c r="ADJ244" s="475"/>
      <c r="ADK244" s="475"/>
      <c r="ADL244" s="475"/>
      <c r="ADM244" s="475"/>
      <c r="ADN244" s="475"/>
      <c r="ADO244" s="475"/>
      <c r="ADP244" s="475"/>
      <c r="ADQ244" s="475"/>
      <c r="ADR244" s="475"/>
      <c r="ADS244" s="475"/>
      <c r="ADT244" s="475"/>
      <c r="ADU244" s="475"/>
      <c r="ADV244" s="475"/>
      <c r="ADW244" s="475"/>
      <c r="ADX244" s="475"/>
      <c r="ADY244" s="475"/>
      <c r="ADZ244" s="475"/>
      <c r="AEA244" s="475"/>
      <c r="AEB244" s="475"/>
      <c r="AEC244" s="475"/>
      <c r="AED244" s="475"/>
      <c r="AEE244" s="475"/>
      <c r="AEF244" s="475"/>
      <c r="AEG244" s="475"/>
      <c r="AEH244" s="475"/>
      <c r="AEI244" s="475"/>
      <c r="AEJ244" s="475"/>
      <c r="AEK244" s="475"/>
      <c r="AEL244" s="475"/>
      <c r="AEM244" s="475"/>
      <c r="AEN244" s="475"/>
      <c r="AEO244" s="475"/>
      <c r="AEP244" s="475"/>
      <c r="AEQ244" s="475"/>
      <c r="AER244" s="475"/>
      <c r="AES244" s="475"/>
      <c r="AET244" s="475"/>
      <c r="AEU244" s="475"/>
      <c r="AEV244" s="475"/>
      <c r="AEW244" s="475"/>
      <c r="AEX244" s="475"/>
      <c r="AEY244" s="475"/>
      <c r="AEZ244" s="475"/>
      <c r="AFA244" s="475"/>
      <c r="AFB244" s="475"/>
      <c r="AFC244" s="475"/>
      <c r="AFD244" s="475"/>
      <c r="AFE244" s="475"/>
      <c r="AFF244" s="475"/>
      <c r="AFG244" s="475"/>
      <c r="AFH244" s="475"/>
      <c r="AFI244" s="475"/>
      <c r="AFJ244" s="475"/>
      <c r="AFK244" s="475"/>
      <c r="AFL244" s="475"/>
      <c r="AFM244" s="475"/>
      <c r="AFN244" s="475"/>
      <c r="AFO244" s="475"/>
      <c r="AFP244" s="475"/>
      <c r="AFQ244" s="475"/>
      <c r="AFR244" s="475"/>
      <c r="AFS244" s="475"/>
      <c r="AFT244" s="475"/>
      <c r="AFU244" s="475"/>
      <c r="AFV244" s="475"/>
      <c r="AFW244" s="475"/>
      <c r="AFX244" s="475"/>
      <c r="AFY244" s="475"/>
      <c r="AFZ244" s="475"/>
      <c r="AGA244" s="475"/>
      <c r="AGB244" s="475"/>
      <c r="AGC244" s="475"/>
      <c r="AGD244" s="475"/>
      <c r="AGE244" s="475"/>
      <c r="AGF244" s="475"/>
      <c r="AGG244" s="475"/>
      <c r="AGH244" s="475"/>
      <c r="AGI244" s="475"/>
      <c r="AGJ244" s="475"/>
      <c r="AGK244" s="475"/>
      <c r="AGL244" s="475"/>
      <c r="AGM244" s="475"/>
      <c r="AGN244" s="475"/>
      <c r="AGO244" s="475"/>
      <c r="AGP244" s="475"/>
      <c r="AGQ244" s="475"/>
      <c r="AGR244" s="475"/>
      <c r="AGS244" s="475"/>
      <c r="AGT244" s="475"/>
      <c r="AGU244" s="475"/>
      <c r="AGV244" s="475"/>
      <c r="AGW244" s="475"/>
      <c r="AGX244" s="475"/>
      <c r="AGY244" s="475"/>
      <c r="AGZ244" s="475"/>
      <c r="AHA244" s="475"/>
      <c r="AHB244" s="475"/>
      <c r="AHC244" s="475"/>
      <c r="AHD244" s="475"/>
      <c r="AHE244" s="475"/>
      <c r="AHF244" s="475"/>
      <c r="AHG244" s="475"/>
      <c r="AHH244" s="475"/>
      <c r="AHI244" s="475"/>
      <c r="AHJ244" s="475"/>
      <c r="AHK244" s="475"/>
      <c r="AHL244" s="475"/>
      <c r="AHM244" s="475"/>
      <c r="AHN244" s="475"/>
      <c r="AHO244" s="475"/>
      <c r="AHP244" s="475"/>
      <c r="AHQ244" s="475"/>
      <c r="AHR244" s="475"/>
      <c r="AHS244" s="475"/>
      <c r="AHT244" s="475"/>
      <c r="AHU244" s="475"/>
      <c r="AHV244" s="475"/>
      <c r="AHW244" s="475"/>
      <c r="AHX244" s="475"/>
      <c r="AHY244" s="475"/>
      <c r="AHZ244" s="475"/>
      <c r="AIA244" s="475"/>
      <c r="AIB244" s="475"/>
      <c r="AIC244" s="475"/>
      <c r="AID244" s="475"/>
      <c r="AIE244" s="475"/>
      <c r="AIF244" s="475"/>
      <c r="AIG244" s="475"/>
      <c r="AIH244" s="475"/>
      <c r="AII244" s="475"/>
      <c r="AIJ244" s="475"/>
      <c r="AIK244" s="475"/>
      <c r="AIL244" s="475"/>
      <c r="AIM244" s="475"/>
      <c r="AIN244" s="475"/>
      <c r="AIO244" s="475"/>
      <c r="AIP244" s="475"/>
      <c r="AIQ244" s="475"/>
      <c r="AIR244" s="475"/>
      <c r="AIS244" s="475"/>
      <c r="AIT244" s="475"/>
      <c r="AIU244" s="475"/>
      <c r="AIV244" s="475"/>
      <c r="AIW244" s="475"/>
      <c r="AIX244" s="475"/>
      <c r="AIY244" s="475"/>
      <c r="AIZ244" s="475"/>
      <c r="AJA244" s="475"/>
      <c r="AJB244" s="475"/>
      <c r="AJC244" s="475"/>
      <c r="AJD244" s="475"/>
      <c r="AJE244" s="475"/>
      <c r="AJF244" s="475"/>
      <c r="AJG244" s="475"/>
      <c r="AJH244" s="475"/>
      <c r="AJI244" s="475"/>
      <c r="AJJ244" s="475"/>
      <c r="AJK244" s="475"/>
      <c r="AJL244" s="475"/>
      <c r="AJM244" s="475"/>
      <c r="AJN244" s="475"/>
      <c r="AJO244" s="475"/>
      <c r="AJP244" s="475"/>
      <c r="AJQ244" s="475"/>
      <c r="AJR244" s="475"/>
      <c r="AJS244" s="475"/>
      <c r="AJT244" s="475"/>
      <c r="AJU244" s="475"/>
      <c r="AJV244" s="475"/>
      <c r="AJW244" s="475"/>
      <c r="AJX244" s="475"/>
      <c r="AJY244" s="475"/>
      <c r="AJZ244" s="475"/>
      <c r="AKA244" s="475"/>
      <c r="AKB244" s="475"/>
      <c r="AKC244" s="475"/>
      <c r="AKD244" s="475"/>
      <c r="AKE244" s="475"/>
      <c r="AKF244" s="475"/>
      <c r="AKG244" s="475"/>
      <c r="AKH244" s="475"/>
      <c r="AKI244" s="475"/>
      <c r="AKJ244" s="475"/>
      <c r="AKK244" s="475"/>
      <c r="AKL244" s="475"/>
      <c r="AKM244" s="475"/>
      <c r="AKN244" s="475"/>
      <c r="AKO244" s="475"/>
      <c r="AKP244" s="475"/>
      <c r="AKQ244" s="475"/>
      <c r="AKR244" s="475"/>
      <c r="AKS244" s="475"/>
      <c r="AKT244" s="475"/>
      <c r="AKU244" s="475"/>
      <c r="AKV244" s="475"/>
      <c r="AKW244" s="475"/>
      <c r="AKX244" s="475"/>
      <c r="AKY244" s="475"/>
      <c r="AKZ244" s="475"/>
      <c r="ALA244" s="475"/>
      <c r="ALB244" s="475"/>
      <c r="ALC244" s="475"/>
      <c r="ALD244" s="475"/>
      <c r="ALE244" s="475"/>
      <c r="ALF244" s="475"/>
      <c r="ALG244" s="475"/>
      <c r="ALH244" s="475"/>
      <c r="ALI244" s="475"/>
      <c r="ALJ244" s="475"/>
      <c r="ALK244" s="475"/>
      <c r="ALL244" s="475"/>
      <c r="ALM244" s="475"/>
      <c r="ALN244" s="475"/>
      <c r="ALO244" s="475"/>
      <c r="ALP244" s="475"/>
      <c r="ALQ244" s="475"/>
      <c r="ALR244" s="475"/>
      <c r="ALS244" s="475"/>
      <c r="ALT244" s="475"/>
      <c r="ALU244" s="475"/>
      <c r="ALV244" s="475"/>
      <c r="ALW244" s="475"/>
      <c r="ALX244" s="475"/>
      <c r="ALY244" s="475"/>
      <c r="ALZ244" s="475"/>
      <c r="AMA244" s="475"/>
      <c r="AMB244" s="475"/>
      <c r="AMC244" s="475"/>
      <c r="AMD244" s="475"/>
      <c r="AME244" s="475"/>
      <c r="AMF244" s="475"/>
      <c r="AMG244" s="475"/>
      <c r="AMH244" s="475"/>
      <c r="AMI244" s="475"/>
      <c r="AMJ244" s="475"/>
      <c r="AMK244" s="475"/>
      <c r="AML244" s="475"/>
      <c r="AMM244" s="475"/>
      <c r="AMN244" s="475"/>
      <c r="AMO244" s="475"/>
      <c r="AMP244" s="475"/>
      <c r="AMQ244" s="475"/>
      <c r="AMR244" s="475"/>
      <c r="AMS244" s="475"/>
      <c r="AMT244" s="475"/>
      <c r="AMU244" s="475"/>
      <c r="AMV244" s="475"/>
      <c r="AMW244" s="475"/>
      <c r="AMX244" s="475"/>
      <c r="AMY244" s="475"/>
      <c r="AMZ244" s="475"/>
      <c r="ANA244" s="475"/>
      <c r="ANB244" s="475"/>
      <c r="ANC244" s="475"/>
      <c r="AND244" s="475"/>
      <c r="ANE244" s="475"/>
      <c r="ANF244" s="475"/>
      <c r="ANG244" s="475"/>
      <c r="ANH244" s="475"/>
      <c r="ANI244" s="475"/>
      <c r="ANJ244" s="475"/>
      <c r="ANK244" s="475"/>
      <c r="ANL244" s="475"/>
      <c r="ANM244" s="475"/>
      <c r="ANN244" s="475"/>
      <c r="ANO244" s="475"/>
      <c r="ANP244" s="475"/>
      <c r="ANQ244" s="475"/>
      <c r="ANR244" s="475"/>
      <c r="ANS244" s="475"/>
      <c r="ANT244" s="475"/>
      <c r="ANU244" s="475"/>
      <c r="ANV244" s="475"/>
      <c r="ANW244" s="475"/>
      <c r="ANX244" s="475"/>
      <c r="ANY244" s="475"/>
      <c r="ANZ244" s="475"/>
      <c r="AOA244" s="475"/>
      <c r="AOB244" s="475"/>
      <c r="AOC244" s="475"/>
      <c r="AOD244" s="475"/>
      <c r="AOE244" s="475"/>
      <c r="AOF244" s="475"/>
      <c r="AOG244" s="475"/>
      <c r="AOH244" s="475"/>
      <c r="AOI244" s="475"/>
      <c r="AOJ244" s="475"/>
      <c r="AOK244" s="475"/>
      <c r="AOL244" s="475"/>
      <c r="AOM244" s="475"/>
      <c r="AON244" s="475"/>
      <c r="AOO244" s="475"/>
      <c r="AOP244" s="475"/>
      <c r="AOQ244" s="475"/>
      <c r="AOR244" s="475"/>
      <c r="AOS244" s="475"/>
      <c r="AOT244" s="475"/>
      <c r="AOU244" s="475"/>
      <c r="AOV244" s="475"/>
      <c r="AOW244" s="475"/>
      <c r="AOX244" s="475"/>
      <c r="AOY244" s="475"/>
      <c r="AOZ244" s="475"/>
      <c r="APA244" s="475"/>
      <c r="APB244" s="475"/>
      <c r="APC244" s="475"/>
      <c r="APD244" s="475"/>
      <c r="APE244" s="475"/>
      <c r="APF244" s="475"/>
      <c r="APG244" s="475"/>
      <c r="APH244" s="475"/>
      <c r="API244" s="475"/>
      <c r="APJ244" s="475"/>
      <c r="APK244" s="475"/>
      <c r="APL244" s="475"/>
      <c r="APM244" s="475"/>
      <c r="APN244" s="475"/>
      <c r="APO244" s="475"/>
      <c r="APP244" s="475"/>
      <c r="APQ244" s="475"/>
      <c r="APR244" s="475"/>
      <c r="APS244" s="475"/>
      <c r="APT244" s="475"/>
      <c r="APU244" s="475"/>
      <c r="APV244" s="475"/>
      <c r="APW244" s="475"/>
      <c r="APX244" s="475"/>
      <c r="APY244" s="475"/>
      <c r="APZ244" s="475"/>
      <c r="AQA244" s="475"/>
      <c r="AQB244" s="475"/>
      <c r="AQC244" s="475"/>
      <c r="AQD244" s="475"/>
      <c r="AQE244" s="475"/>
      <c r="AQF244" s="475"/>
      <c r="AQG244" s="475"/>
      <c r="AQH244" s="475"/>
      <c r="AQI244" s="475"/>
      <c r="AQJ244" s="475"/>
      <c r="AQK244" s="475"/>
      <c r="AQL244" s="475"/>
      <c r="AQM244" s="475"/>
      <c r="AQN244" s="475"/>
      <c r="AQO244" s="475"/>
      <c r="AQP244" s="475"/>
      <c r="AQQ244" s="475"/>
      <c r="AQR244" s="475"/>
      <c r="AQS244" s="475"/>
      <c r="AQT244" s="475"/>
      <c r="AQU244" s="475"/>
      <c r="AQV244" s="475"/>
      <c r="AQW244" s="475"/>
      <c r="AQX244" s="475"/>
      <c r="AQY244" s="475"/>
      <c r="AQZ244" s="475"/>
      <c r="ARA244" s="475"/>
      <c r="ARB244" s="475"/>
      <c r="ARC244" s="475"/>
      <c r="ARD244" s="475"/>
      <c r="ARE244" s="475"/>
      <c r="ARF244" s="475"/>
      <c r="ARG244" s="475"/>
      <c r="ARH244" s="475"/>
      <c r="ARI244" s="475"/>
      <c r="ARJ244" s="475"/>
      <c r="ARK244" s="475"/>
      <c r="ARL244" s="475"/>
      <c r="ARM244" s="475"/>
      <c r="ARN244" s="475"/>
      <c r="ARO244" s="475"/>
      <c r="ARP244" s="475"/>
      <c r="ARQ244" s="475"/>
      <c r="ARR244" s="475"/>
      <c r="ARS244" s="475"/>
      <c r="ART244" s="475"/>
      <c r="ARU244" s="475"/>
      <c r="ARV244" s="475"/>
      <c r="ARW244" s="475"/>
      <c r="ARX244" s="475"/>
      <c r="ARY244" s="475"/>
      <c r="ARZ244" s="475"/>
      <c r="ASA244" s="475"/>
      <c r="ASB244" s="475"/>
      <c r="ASC244" s="475"/>
      <c r="ASD244" s="475"/>
      <c r="ASE244" s="475"/>
      <c r="ASF244" s="475"/>
      <c r="ASG244" s="475"/>
      <c r="ASH244" s="475"/>
      <c r="ASI244" s="475"/>
      <c r="ASJ244" s="475"/>
      <c r="ASK244" s="475"/>
      <c r="ASL244" s="475"/>
      <c r="ASM244" s="475"/>
      <c r="ASN244" s="475"/>
      <c r="ASO244" s="475"/>
      <c r="ASP244" s="475"/>
      <c r="ASQ244" s="475"/>
      <c r="ASR244" s="475"/>
      <c r="ASS244" s="475"/>
      <c r="AST244" s="475"/>
      <c r="ASU244" s="475"/>
      <c r="ASV244" s="475"/>
      <c r="ASW244" s="475"/>
      <c r="ASX244" s="475"/>
      <c r="ASY244" s="475"/>
      <c r="ASZ244" s="475"/>
      <c r="ATA244" s="475"/>
      <c r="ATB244" s="475"/>
      <c r="ATC244" s="475"/>
      <c r="ATD244" s="475"/>
      <c r="ATE244" s="475"/>
      <c r="ATF244" s="475"/>
      <c r="ATG244" s="475"/>
      <c r="ATH244" s="475"/>
      <c r="ATI244" s="475"/>
      <c r="ATJ244" s="475"/>
      <c r="ATK244" s="475"/>
      <c r="ATL244" s="475"/>
      <c r="ATM244" s="475"/>
      <c r="ATN244" s="475"/>
      <c r="ATO244" s="475"/>
      <c r="ATP244" s="475"/>
      <c r="ATQ244" s="475"/>
      <c r="ATR244" s="475"/>
      <c r="ATS244" s="475"/>
      <c r="ATT244" s="475"/>
      <c r="ATU244" s="475"/>
      <c r="ATV244" s="475"/>
      <c r="ATW244" s="475"/>
      <c r="ATX244" s="475"/>
      <c r="ATY244" s="475"/>
      <c r="ATZ244" s="475"/>
      <c r="AUA244" s="475"/>
      <c r="AUB244" s="475"/>
      <c r="AUC244" s="475"/>
      <c r="AUD244" s="475"/>
      <c r="AUE244" s="475"/>
      <c r="AUF244" s="475"/>
      <c r="AUG244" s="475"/>
      <c r="AUH244" s="475"/>
      <c r="AUI244" s="475"/>
      <c r="AUJ244" s="475"/>
      <c r="AUK244" s="475"/>
      <c r="AUL244" s="475"/>
      <c r="AUM244" s="475"/>
      <c r="AUN244" s="475"/>
      <c r="AUO244" s="475"/>
      <c r="AUP244" s="475"/>
      <c r="AUQ244" s="475"/>
      <c r="AUR244" s="475"/>
      <c r="AUS244" s="475"/>
      <c r="AUT244" s="475"/>
      <c r="AUU244" s="475"/>
      <c r="AUV244" s="475"/>
      <c r="AUW244" s="475"/>
      <c r="AUX244" s="475"/>
      <c r="AUY244" s="475"/>
      <c r="AUZ244" s="475"/>
      <c r="AVA244" s="475"/>
      <c r="AVB244" s="475"/>
      <c r="AVC244" s="475"/>
      <c r="AVD244" s="475"/>
      <c r="AVE244" s="475"/>
      <c r="AVF244" s="475"/>
      <c r="AVG244" s="475"/>
      <c r="AVH244" s="475"/>
      <c r="AVI244" s="475"/>
      <c r="AVJ244" s="475"/>
      <c r="AVK244" s="475"/>
      <c r="AVL244" s="475"/>
      <c r="AVM244" s="475"/>
      <c r="AVN244" s="475"/>
      <c r="AVO244" s="475"/>
      <c r="AVP244" s="475"/>
      <c r="AVQ244" s="475"/>
      <c r="AVR244" s="475"/>
      <c r="AVS244" s="475"/>
      <c r="AVT244" s="475"/>
      <c r="AVU244" s="475"/>
      <c r="AVV244" s="475"/>
      <c r="AVW244" s="475"/>
      <c r="AVX244" s="475"/>
      <c r="AVY244" s="475"/>
      <c r="AVZ244" s="475"/>
      <c r="AWA244" s="475"/>
      <c r="AWB244" s="475"/>
      <c r="AWC244" s="475"/>
      <c r="AWD244" s="475"/>
      <c r="AWE244" s="475"/>
      <c r="AWF244" s="475"/>
      <c r="AWG244" s="475"/>
      <c r="AWH244" s="475"/>
      <c r="AWI244" s="475"/>
      <c r="AWJ244" s="475"/>
      <c r="AWK244" s="475"/>
      <c r="AWL244" s="475"/>
      <c r="AWM244" s="475"/>
      <c r="AWN244" s="475"/>
      <c r="AWO244" s="475"/>
      <c r="AWP244" s="475"/>
      <c r="AWQ244" s="475"/>
      <c r="AWR244" s="475"/>
      <c r="AWS244" s="475"/>
      <c r="AWT244" s="475"/>
      <c r="AWU244" s="475"/>
      <c r="AWV244" s="475"/>
      <c r="AWW244" s="475"/>
      <c r="AWX244" s="475"/>
      <c r="AWY244" s="475"/>
      <c r="AWZ244" s="475"/>
      <c r="AXA244" s="475"/>
      <c r="AXB244" s="475"/>
      <c r="AXC244" s="475"/>
      <c r="AXD244" s="475"/>
      <c r="AXE244" s="475"/>
      <c r="AXF244" s="475"/>
      <c r="AXG244" s="475"/>
      <c r="AXH244" s="475"/>
      <c r="AXI244" s="475"/>
      <c r="AXJ244" s="475"/>
      <c r="AXK244" s="475"/>
      <c r="AXL244" s="475"/>
      <c r="AXM244" s="475"/>
      <c r="AXN244" s="475"/>
      <c r="AXO244" s="475"/>
      <c r="AXP244" s="475"/>
      <c r="AXQ244" s="475"/>
      <c r="AXR244" s="475"/>
      <c r="AXS244" s="475"/>
      <c r="AXT244" s="475"/>
      <c r="AXU244" s="475"/>
      <c r="AXV244" s="475"/>
      <c r="AXW244" s="475"/>
      <c r="AXX244" s="475"/>
      <c r="AXY244" s="475"/>
      <c r="AXZ244" s="475"/>
      <c r="AYA244" s="475"/>
      <c r="AYB244" s="475"/>
      <c r="AYC244" s="475"/>
      <c r="AYD244" s="475"/>
      <c r="AYE244" s="475"/>
      <c r="AYF244" s="475"/>
      <c r="AYG244" s="475"/>
      <c r="AYH244" s="475"/>
      <c r="AYI244" s="475"/>
      <c r="AYJ244" s="475"/>
      <c r="AYK244" s="475"/>
      <c r="AYL244" s="475"/>
      <c r="AYM244" s="475"/>
      <c r="AYN244" s="475"/>
      <c r="AYO244" s="475"/>
      <c r="AYP244" s="475"/>
      <c r="AYQ244" s="475"/>
      <c r="AYR244" s="475"/>
      <c r="AYS244" s="475"/>
      <c r="AYT244" s="475"/>
      <c r="AYU244" s="475"/>
      <c r="AYV244" s="475"/>
      <c r="AYW244" s="475"/>
      <c r="AYX244" s="475"/>
      <c r="AYY244" s="475"/>
      <c r="AYZ244" s="475"/>
      <c r="AZA244" s="475"/>
      <c r="AZB244" s="475"/>
      <c r="AZC244" s="475"/>
      <c r="AZD244" s="475"/>
      <c r="AZE244" s="475"/>
      <c r="AZF244" s="475"/>
      <c r="AZG244" s="475"/>
      <c r="AZH244" s="475"/>
      <c r="AZI244" s="475"/>
      <c r="AZJ244" s="475"/>
      <c r="AZK244" s="475"/>
      <c r="AZL244" s="475"/>
      <c r="AZM244" s="475"/>
      <c r="AZN244" s="475"/>
      <c r="AZO244" s="475"/>
      <c r="AZP244" s="475"/>
      <c r="AZQ244" s="475"/>
      <c r="AZR244" s="475"/>
      <c r="AZS244" s="475"/>
      <c r="AZT244" s="475"/>
      <c r="AZU244" s="475"/>
      <c r="AZV244" s="475"/>
      <c r="AZW244" s="475"/>
      <c r="AZX244" s="475"/>
      <c r="AZY244" s="475"/>
      <c r="AZZ244" s="475"/>
      <c r="BAA244" s="475"/>
      <c r="BAB244" s="475"/>
      <c r="BAC244" s="475"/>
      <c r="BAD244" s="475"/>
      <c r="BAE244" s="475"/>
      <c r="BAF244" s="475"/>
      <c r="BAG244" s="475"/>
      <c r="BAH244" s="475"/>
      <c r="BAI244" s="475"/>
      <c r="BAJ244" s="475"/>
      <c r="BAK244" s="475"/>
      <c r="BAL244" s="475"/>
      <c r="BAM244" s="475"/>
      <c r="BAN244" s="475"/>
      <c r="BAO244" s="475"/>
      <c r="BAP244" s="475"/>
      <c r="BAQ244" s="475"/>
      <c r="BAR244" s="475"/>
      <c r="BAS244" s="475"/>
      <c r="BAT244" s="475"/>
      <c r="BAU244" s="475"/>
      <c r="BAV244" s="475"/>
      <c r="BAW244" s="475"/>
      <c r="BAX244" s="475"/>
      <c r="BAY244" s="475"/>
      <c r="BAZ244" s="475"/>
      <c r="BBA244" s="475"/>
      <c r="BBB244" s="475"/>
      <c r="BBC244" s="475"/>
      <c r="BBD244" s="475"/>
      <c r="BBE244" s="475"/>
      <c r="BBF244" s="475"/>
      <c r="BBG244" s="475"/>
      <c r="BBH244" s="475"/>
      <c r="BBI244" s="475"/>
      <c r="BBJ244" s="475"/>
      <c r="BBK244" s="475"/>
      <c r="BBL244" s="475"/>
      <c r="BBM244" s="475"/>
      <c r="BBN244" s="475"/>
      <c r="BBO244" s="475"/>
      <c r="BBP244" s="475"/>
      <c r="BBQ244" s="475"/>
      <c r="BBR244" s="475"/>
      <c r="BBS244" s="475"/>
      <c r="BBT244" s="475"/>
      <c r="BBU244" s="475"/>
      <c r="BBV244" s="475"/>
      <c r="BBW244" s="475"/>
      <c r="BBX244" s="475"/>
      <c r="BBY244" s="475"/>
      <c r="BBZ244" s="475"/>
      <c r="BCA244" s="475"/>
      <c r="BCB244" s="475"/>
      <c r="BCC244" s="475"/>
      <c r="BCD244" s="475"/>
      <c r="BCE244" s="475"/>
      <c r="BCF244" s="475"/>
      <c r="BCG244" s="475"/>
      <c r="BCH244" s="475"/>
      <c r="BCI244" s="475"/>
      <c r="BCJ244" s="475"/>
      <c r="BCK244" s="475"/>
      <c r="BCL244" s="475"/>
      <c r="BCM244" s="475"/>
      <c r="BCN244" s="475"/>
      <c r="BCO244" s="475"/>
      <c r="BCP244" s="475"/>
      <c r="BCQ244" s="475"/>
      <c r="BCR244" s="475"/>
      <c r="BCS244" s="475"/>
      <c r="BCT244" s="475"/>
      <c r="BCU244" s="475"/>
      <c r="BCV244" s="475"/>
      <c r="BCW244" s="475"/>
      <c r="BCX244" s="475"/>
      <c r="BCY244" s="475"/>
      <c r="BCZ244" s="475"/>
      <c r="BDA244" s="475"/>
      <c r="BDB244" s="475"/>
      <c r="BDC244" s="475"/>
      <c r="BDD244" s="475"/>
      <c r="BDE244" s="475"/>
      <c r="BDF244" s="475"/>
      <c r="BDG244" s="475"/>
      <c r="BDH244" s="475"/>
      <c r="BDI244" s="475"/>
      <c r="BDJ244" s="475"/>
      <c r="BDK244" s="475"/>
      <c r="BDL244" s="475"/>
      <c r="BDM244" s="475"/>
      <c r="BDN244" s="475"/>
      <c r="BDO244" s="475"/>
      <c r="BDP244" s="475"/>
      <c r="BDQ244" s="475"/>
      <c r="BDR244" s="475"/>
      <c r="BDS244" s="475"/>
      <c r="BDT244" s="475"/>
      <c r="BDU244" s="475"/>
      <c r="BDV244" s="475"/>
      <c r="BDW244" s="475"/>
      <c r="BDX244" s="475"/>
      <c r="BDY244" s="475"/>
      <c r="BDZ244" s="475"/>
      <c r="BEA244" s="475"/>
      <c r="BEB244" s="475"/>
      <c r="BEC244" s="475"/>
      <c r="BED244" s="475"/>
      <c r="BEE244" s="475"/>
      <c r="BEF244" s="475"/>
      <c r="BEG244" s="475"/>
      <c r="BEH244" s="475"/>
      <c r="BEI244" s="475"/>
      <c r="BEJ244" s="475"/>
      <c r="BEK244" s="475"/>
      <c r="BEL244" s="475"/>
      <c r="BEM244" s="475"/>
      <c r="BEN244" s="475"/>
      <c r="BEO244" s="475"/>
      <c r="BEP244" s="475"/>
      <c r="BEQ244" s="475"/>
      <c r="BER244" s="475"/>
      <c r="BES244" s="475"/>
      <c r="BET244" s="475"/>
      <c r="BEU244" s="475"/>
      <c r="BEV244" s="475"/>
      <c r="BEW244" s="475"/>
      <c r="BEX244" s="475"/>
      <c r="BEY244" s="475"/>
      <c r="BEZ244" s="475"/>
      <c r="BFA244" s="475"/>
      <c r="BFB244" s="475"/>
      <c r="BFC244" s="475"/>
      <c r="BFD244" s="475"/>
      <c r="BFE244" s="475"/>
      <c r="BFF244" s="475"/>
      <c r="BFG244" s="475"/>
      <c r="BFH244" s="475"/>
      <c r="BFI244" s="475"/>
      <c r="BFJ244" s="475"/>
      <c r="BFK244" s="475"/>
      <c r="BFL244" s="475"/>
      <c r="BFM244" s="475"/>
      <c r="BFN244" s="475"/>
      <c r="BFO244" s="475"/>
      <c r="BFP244" s="475"/>
      <c r="BFQ244" s="475"/>
      <c r="BFR244" s="475"/>
      <c r="BFS244" s="475"/>
      <c r="BFT244" s="475"/>
      <c r="BFU244" s="475"/>
      <c r="BFV244" s="475"/>
      <c r="BFW244" s="475"/>
      <c r="BFX244" s="475"/>
      <c r="BFY244" s="475"/>
      <c r="BFZ244" s="475"/>
      <c r="BGA244" s="475"/>
      <c r="BGB244" s="475"/>
      <c r="BGC244" s="475"/>
      <c r="BGD244" s="475"/>
      <c r="BGE244" s="475"/>
      <c r="BGF244" s="475"/>
      <c r="BGG244" s="475"/>
      <c r="BGH244" s="475"/>
      <c r="BGI244" s="475"/>
      <c r="BGJ244" s="475"/>
      <c r="BGK244" s="475"/>
      <c r="BGL244" s="475"/>
      <c r="BGM244" s="475"/>
      <c r="BGN244" s="475"/>
      <c r="BGO244" s="475"/>
      <c r="BGP244" s="475"/>
      <c r="BGQ244" s="475"/>
      <c r="BGR244" s="475"/>
      <c r="BGS244" s="475"/>
      <c r="BGT244" s="475"/>
      <c r="BGU244" s="475"/>
      <c r="BGV244" s="475"/>
      <c r="BGW244" s="475"/>
      <c r="BGX244" s="475"/>
      <c r="BGY244" s="475"/>
      <c r="BGZ244" s="475"/>
      <c r="BHA244" s="475"/>
      <c r="BHB244" s="475"/>
      <c r="BHC244" s="475"/>
      <c r="BHD244" s="475"/>
      <c r="BHE244" s="475"/>
      <c r="BHF244" s="475"/>
      <c r="BHG244" s="475"/>
      <c r="BHH244" s="475"/>
      <c r="BHI244" s="475"/>
      <c r="BHJ244" s="475"/>
      <c r="BHK244" s="475"/>
      <c r="BHL244" s="475"/>
      <c r="BHM244" s="475"/>
      <c r="BHN244" s="475"/>
      <c r="BHO244" s="475"/>
      <c r="BHP244" s="475"/>
      <c r="BHQ244" s="475"/>
      <c r="BHR244" s="475"/>
      <c r="BHS244" s="475"/>
      <c r="BHT244" s="475"/>
      <c r="BHU244" s="475"/>
      <c r="BHV244" s="475"/>
      <c r="BHW244" s="475"/>
      <c r="BHX244" s="475"/>
      <c r="BHY244" s="475"/>
      <c r="BHZ244" s="475"/>
      <c r="BIA244" s="475"/>
      <c r="BIB244" s="475"/>
      <c r="BIC244" s="475"/>
      <c r="BID244" s="475"/>
      <c r="BIE244" s="475"/>
      <c r="BIF244" s="475"/>
      <c r="BIG244" s="475"/>
      <c r="BIH244" s="475"/>
      <c r="BII244" s="475"/>
      <c r="BIJ244" s="475"/>
      <c r="BIK244" s="475"/>
      <c r="BIL244" s="475"/>
      <c r="BIM244" s="475"/>
      <c r="BIN244" s="475"/>
      <c r="BIO244" s="475"/>
      <c r="BIP244" s="475"/>
      <c r="BIQ244" s="475"/>
      <c r="BIR244" s="475"/>
      <c r="BIS244" s="475"/>
      <c r="BIT244" s="475"/>
      <c r="BIU244" s="475"/>
      <c r="BIV244" s="475"/>
      <c r="BIW244" s="475"/>
      <c r="BIX244" s="475"/>
      <c r="BIY244" s="475"/>
      <c r="BIZ244" s="475"/>
      <c r="BJA244" s="475"/>
      <c r="BJB244" s="475"/>
      <c r="BJC244" s="475"/>
      <c r="BJD244" s="475"/>
      <c r="BJE244" s="475"/>
      <c r="BJF244" s="475"/>
      <c r="BJG244" s="475"/>
      <c r="BJH244" s="475"/>
      <c r="BJI244" s="475"/>
      <c r="BJJ244" s="475"/>
      <c r="BJK244" s="475"/>
      <c r="BJL244" s="475"/>
      <c r="BJM244" s="475"/>
      <c r="BJN244" s="475"/>
      <c r="BJO244" s="475"/>
      <c r="BJP244" s="475"/>
      <c r="BJQ244" s="475"/>
      <c r="BJR244" s="475"/>
      <c r="BJS244" s="475"/>
      <c r="BJT244" s="475"/>
      <c r="BJU244" s="475"/>
      <c r="BJV244" s="475"/>
      <c r="BJW244" s="475"/>
      <c r="BJX244" s="475"/>
      <c r="BJY244" s="475"/>
      <c r="BJZ244" s="475"/>
      <c r="BKA244" s="475"/>
      <c r="BKB244" s="475"/>
      <c r="BKC244" s="475"/>
      <c r="BKD244" s="475"/>
      <c r="BKE244" s="475"/>
      <c r="BKF244" s="475"/>
      <c r="BKG244" s="475"/>
      <c r="BKH244" s="475"/>
      <c r="BKI244" s="475"/>
      <c r="BKJ244" s="475"/>
      <c r="BKK244" s="475"/>
      <c r="BKL244" s="475"/>
      <c r="BKM244" s="475"/>
      <c r="BKN244" s="475"/>
      <c r="BKO244" s="475"/>
      <c r="BKP244" s="475"/>
      <c r="BKQ244" s="475"/>
      <c r="BKR244" s="475"/>
      <c r="BKS244" s="475"/>
      <c r="BKT244" s="475"/>
      <c r="BKU244" s="475"/>
      <c r="BKV244" s="475"/>
      <c r="BKW244" s="475"/>
      <c r="BKX244" s="475"/>
      <c r="BKY244" s="475"/>
      <c r="BKZ244" s="475"/>
      <c r="BLA244" s="475"/>
      <c r="BLB244" s="475"/>
      <c r="BLC244" s="475"/>
      <c r="BLD244" s="475"/>
      <c r="BLE244" s="475"/>
      <c r="BLF244" s="475"/>
      <c r="BLG244" s="475"/>
      <c r="BLH244" s="475"/>
      <c r="BLI244" s="475"/>
      <c r="BLJ244" s="475"/>
      <c r="BLK244" s="475"/>
      <c r="BLL244" s="475"/>
      <c r="BLM244" s="475"/>
      <c r="BLN244" s="475"/>
      <c r="BLO244" s="475"/>
      <c r="BLP244" s="475"/>
      <c r="BLQ244" s="475"/>
      <c r="BLR244" s="475"/>
      <c r="BLS244" s="475"/>
      <c r="BLT244" s="475"/>
      <c r="BLU244" s="475"/>
      <c r="BLV244" s="475"/>
      <c r="BLW244" s="475"/>
      <c r="BLX244" s="475"/>
      <c r="BLY244" s="475"/>
      <c r="BLZ244" s="475"/>
      <c r="BMA244" s="475"/>
      <c r="BMB244" s="475"/>
      <c r="BMC244" s="475"/>
      <c r="BMD244" s="475"/>
      <c r="BME244" s="475"/>
      <c r="BMF244" s="475"/>
      <c r="BMG244" s="475"/>
      <c r="BMH244" s="475"/>
      <c r="BMI244" s="475"/>
      <c r="BMJ244" s="475"/>
      <c r="BMK244" s="475"/>
      <c r="BML244" s="475"/>
      <c r="BMM244" s="475"/>
      <c r="BMN244" s="475"/>
      <c r="BMO244" s="475"/>
      <c r="BMP244" s="475"/>
      <c r="BMQ244" s="475"/>
      <c r="BMR244" s="475"/>
      <c r="BMS244" s="475"/>
      <c r="BMT244" s="475"/>
      <c r="BMU244" s="475"/>
      <c r="BMV244" s="475"/>
      <c r="BMW244" s="475"/>
      <c r="BMX244" s="475"/>
      <c r="BMY244" s="475"/>
      <c r="BMZ244" s="475"/>
      <c r="BNA244" s="475"/>
      <c r="BNB244" s="475"/>
      <c r="BNC244" s="475"/>
      <c r="BND244" s="475"/>
      <c r="BNE244" s="475"/>
      <c r="BNF244" s="475"/>
      <c r="BNG244" s="475"/>
      <c r="BNH244" s="475"/>
      <c r="BNI244" s="475"/>
      <c r="BNJ244" s="475"/>
      <c r="BNK244" s="475"/>
      <c r="BNL244" s="475"/>
      <c r="BNM244" s="475"/>
      <c r="BNN244" s="475"/>
      <c r="BNO244" s="475"/>
      <c r="BNP244" s="475"/>
      <c r="BNQ244" s="475"/>
      <c r="BNR244" s="475"/>
      <c r="BNS244" s="475"/>
      <c r="BNT244" s="475"/>
      <c r="BNU244" s="475"/>
      <c r="BNV244" s="475"/>
      <c r="BNW244" s="475"/>
      <c r="BNX244" s="475"/>
      <c r="BNY244" s="475"/>
      <c r="BNZ244" s="475"/>
      <c r="BOA244" s="475"/>
      <c r="BOB244" s="475"/>
      <c r="BOC244" s="475"/>
      <c r="BOD244" s="475"/>
      <c r="BOE244" s="475"/>
      <c r="BOF244" s="475"/>
      <c r="BOG244" s="475"/>
      <c r="BOH244" s="475"/>
      <c r="BOI244" s="475"/>
      <c r="BOJ244" s="475"/>
      <c r="BOK244" s="475"/>
      <c r="BOL244" s="475"/>
      <c r="BOM244" s="475"/>
      <c r="BON244" s="475"/>
      <c r="BOO244" s="475"/>
      <c r="BOP244" s="475"/>
      <c r="BOQ244" s="475"/>
      <c r="BOR244" s="475"/>
      <c r="BOS244" s="475"/>
      <c r="BOT244" s="475"/>
      <c r="BOU244" s="475"/>
      <c r="BOV244" s="475"/>
      <c r="BOW244" s="475"/>
      <c r="BOX244" s="475"/>
      <c r="BOY244" s="475"/>
      <c r="BOZ244" s="475"/>
      <c r="BPA244" s="475"/>
      <c r="BPB244" s="475"/>
      <c r="BPC244" s="475"/>
      <c r="BPD244" s="475"/>
      <c r="BPE244" s="475"/>
      <c r="BPF244" s="475"/>
      <c r="BPG244" s="475"/>
      <c r="BPH244" s="475"/>
      <c r="BPI244" s="475"/>
      <c r="BPJ244" s="475"/>
      <c r="BPK244" s="475"/>
      <c r="BPL244" s="475"/>
      <c r="BPM244" s="475"/>
      <c r="BPN244" s="475"/>
      <c r="BPO244" s="475"/>
      <c r="BPP244" s="475"/>
      <c r="BPQ244" s="475"/>
      <c r="BPR244" s="475"/>
      <c r="BPS244" s="475"/>
      <c r="BPT244" s="475"/>
      <c r="BPU244" s="475"/>
      <c r="BPV244" s="475"/>
      <c r="BPW244" s="475"/>
      <c r="BPX244" s="475"/>
      <c r="BPY244" s="475"/>
      <c r="BPZ244" s="475"/>
      <c r="BQA244" s="475"/>
      <c r="BQB244" s="475"/>
      <c r="BQC244" s="475"/>
      <c r="BQD244" s="475"/>
      <c r="BQE244" s="475"/>
      <c r="BQF244" s="475"/>
      <c r="BQG244" s="475"/>
      <c r="BQH244" s="475"/>
      <c r="BQI244" s="475"/>
      <c r="BQJ244" s="475"/>
      <c r="BQK244" s="475"/>
      <c r="BQL244" s="475"/>
      <c r="BQM244" s="475"/>
      <c r="BQN244" s="475"/>
      <c r="BQO244" s="475"/>
      <c r="BQP244" s="475"/>
      <c r="BQQ244" s="475"/>
      <c r="BQR244" s="475"/>
      <c r="BQS244" s="475"/>
      <c r="BQT244" s="475"/>
      <c r="BQU244" s="475"/>
      <c r="BQV244" s="475"/>
      <c r="BQW244" s="475"/>
      <c r="BQX244" s="475"/>
      <c r="BQY244" s="475"/>
      <c r="BQZ244" s="475"/>
      <c r="BRA244" s="475"/>
      <c r="BRB244" s="475"/>
      <c r="BRC244" s="475"/>
      <c r="BRD244" s="475"/>
      <c r="BRE244" s="475"/>
      <c r="BRF244" s="475"/>
      <c r="BRG244" s="475"/>
      <c r="BRH244" s="475"/>
      <c r="BRI244" s="475"/>
      <c r="BRJ244" s="475"/>
      <c r="BRK244" s="475"/>
      <c r="BRL244" s="475"/>
      <c r="BRM244" s="475"/>
      <c r="BRN244" s="475"/>
      <c r="BRO244" s="475"/>
      <c r="BRP244" s="475"/>
      <c r="BRQ244" s="475"/>
      <c r="BRR244" s="475"/>
      <c r="BRS244" s="475"/>
      <c r="BRT244" s="475"/>
      <c r="BRU244" s="475"/>
      <c r="BRV244" s="475"/>
      <c r="BRW244" s="475"/>
      <c r="BRX244" s="475"/>
      <c r="BRY244" s="475"/>
      <c r="BRZ244" s="475"/>
      <c r="BSA244" s="475"/>
      <c r="BSB244" s="475"/>
      <c r="BSC244" s="475"/>
      <c r="BSD244" s="475"/>
      <c r="BSE244" s="475"/>
      <c r="BSF244" s="475"/>
      <c r="BSG244" s="475"/>
      <c r="BSH244" s="475"/>
      <c r="BSI244" s="475"/>
      <c r="BSJ244" s="475"/>
      <c r="BSK244" s="475"/>
      <c r="BSL244" s="475"/>
      <c r="BSM244" s="475"/>
      <c r="BSN244" s="475"/>
      <c r="BSO244" s="475"/>
      <c r="BSP244" s="475"/>
      <c r="BSQ244" s="475"/>
      <c r="BSR244" s="475"/>
      <c r="BSS244" s="475"/>
      <c r="BST244" s="475"/>
      <c r="BSU244" s="475"/>
      <c r="BSV244" s="475"/>
      <c r="BSW244" s="475"/>
      <c r="BSX244" s="475"/>
      <c r="BSY244" s="475"/>
      <c r="BSZ244" s="475"/>
      <c r="BTA244" s="475"/>
      <c r="BTB244" s="475"/>
      <c r="BTC244" s="475"/>
      <c r="BTD244" s="475"/>
      <c r="BTE244" s="475"/>
      <c r="BTF244" s="475"/>
      <c r="BTG244" s="475"/>
      <c r="BTH244" s="475"/>
      <c r="BTI244" s="475"/>
    </row>
    <row r="245" spans="1:1881" s="474" customFormat="1" ht="201" customHeight="1" x14ac:dyDescent="0.25">
      <c r="A245" s="726">
        <v>958</v>
      </c>
      <c r="B245" s="733"/>
      <c r="C245" s="734"/>
      <c r="D245" s="731" t="s">
        <v>1052</v>
      </c>
      <c r="E245" s="730" t="s">
        <v>771</v>
      </c>
      <c r="F245" s="859"/>
      <c r="G245" s="536" t="str">
        <f t="shared" si="3"/>
        <v>Please do not leave blank</v>
      </c>
      <c r="H245" s="476"/>
      <c r="I245"/>
      <c r="J245"/>
      <c r="K245"/>
      <c r="L245"/>
      <c r="M245"/>
      <c r="N245"/>
      <c r="O245"/>
      <c r="P245" s="475"/>
      <c r="Q245" s="475"/>
      <c r="R245"/>
      <c r="S245" s="471"/>
      <c r="T245" s="475"/>
      <c r="U245" s="475"/>
      <c r="V245" s="475"/>
      <c r="W245" s="475"/>
      <c r="X245" s="682"/>
      <c r="Y245" s="475"/>
      <c r="Z245" s="475"/>
      <c r="AA245" s="475"/>
      <c r="AB245" s="475"/>
      <c r="AC245" s="475"/>
      <c r="AD245" s="475"/>
      <c r="AE245" s="475"/>
      <c r="AF245" s="475"/>
      <c r="AG245" s="475"/>
      <c r="AH245" s="475"/>
      <c r="AI245" s="475"/>
      <c r="AJ245" s="475"/>
      <c r="AK245" s="475"/>
      <c r="AL245" s="475"/>
      <c r="AM245" s="475"/>
      <c r="AN245" s="475"/>
      <c r="AO245" s="475"/>
      <c r="AP245" s="475"/>
      <c r="AQ245" s="475"/>
      <c r="AR245" s="475"/>
      <c r="AS245" s="475"/>
      <c r="AT245" s="475"/>
      <c r="AU245" s="475"/>
      <c r="AV245" s="475"/>
      <c r="AW245" s="475"/>
      <c r="AX245" s="475"/>
      <c r="AY245" s="475"/>
      <c r="AZ245" s="475"/>
      <c r="BA245" s="475"/>
      <c r="BB245" s="475"/>
      <c r="BC245" s="475"/>
      <c r="BD245" s="475"/>
      <c r="BE245" s="475"/>
      <c r="BF245" s="475"/>
      <c r="BG245" s="475"/>
      <c r="BH245" s="475"/>
      <c r="BI245" s="475"/>
      <c r="BJ245" s="475"/>
      <c r="BK245" s="475"/>
      <c r="BL245" s="475"/>
      <c r="BM245" s="475"/>
      <c r="BN245" s="475"/>
      <c r="BO245" s="475"/>
      <c r="BP245" s="475"/>
      <c r="BQ245" s="475"/>
      <c r="BR245" s="475"/>
      <c r="BS245" s="475"/>
      <c r="BT245" s="475"/>
      <c r="BU245" s="475"/>
      <c r="BV245" s="475"/>
      <c r="BW245" s="475"/>
      <c r="BX245" s="475"/>
      <c r="BY245" s="475"/>
      <c r="BZ245" s="475"/>
      <c r="CA245" s="475"/>
      <c r="CB245" s="475"/>
      <c r="CC245" s="475"/>
      <c r="CD245" s="475"/>
      <c r="CE245" s="475"/>
      <c r="CF245" s="475"/>
      <c r="CG245" s="475"/>
      <c r="CH245" s="475"/>
      <c r="CI245" s="475"/>
      <c r="CJ245" s="475"/>
      <c r="CK245" s="475"/>
      <c r="CL245" s="475"/>
      <c r="CM245" s="475"/>
      <c r="CN245" s="475"/>
      <c r="CO245" s="475"/>
      <c r="CP245" s="475"/>
      <c r="CQ245" s="475"/>
      <c r="CR245" s="475"/>
      <c r="CS245" s="475"/>
      <c r="CT245" s="475"/>
      <c r="CU245" s="475"/>
      <c r="CV245" s="475"/>
      <c r="CW245" s="475"/>
      <c r="CX245" s="475"/>
      <c r="CY245" s="475"/>
      <c r="CZ245" s="475"/>
      <c r="DA245" s="475"/>
      <c r="DB245" s="475"/>
      <c r="DC245" s="475"/>
      <c r="DD245" s="475"/>
      <c r="DE245" s="475"/>
      <c r="DF245" s="475"/>
      <c r="DG245" s="475"/>
      <c r="DH245" s="475"/>
      <c r="DI245" s="475"/>
      <c r="DJ245" s="475"/>
      <c r="DK245" s="475"/>
      <c r="DL245" s="475"/>
      <c r="DM245" s="475"/>
      <c r="DN245" s="475"/>
      <c r="DO245" s="475"/>
      <c r="DP245" s="475"/>
      <c r="DQ245" s="475"/>
      <c r="DR245" s="475"/>
      <c r="DS245" s="475"/>
      <c r="DT245" s="475"/>
      <c r="DU245" s="475"/>
      <c r="DV245" s="475"/>
      <c r="DW245" s="475"/>
      <c r="DX245" s="475"/>
      <c r="DY245" s="475"/>
      <c r="DZ245" s="475"/>
      <c r="EA245" s="475"/>
      <c r="EB245" s="475"/>
      <c r="EC245" s="475"/>
      <c r="ED245" s="475"/>
      <c r="EE245" s="475"/>
      <c r="EF245" s="475"/>
      <c r="EG245" s="475"/>
      <c r="EH245" s="475"/>
      <c r="EI245" s="475"/>
      <c r="EJ245" s="475"/>
      <c r="EK245" s="475"/>
      <c r="EL245" s="475"/>
      <c r="EM245" s="475"/>
      <c r="EN245" s="475"/>
      <c r="EO245" s="475"/>
      <c r="EP245" s="475"/>
      <c r="EQ245" s="475"/>
      <c r="ER245" s="475"/>
      <c r="ES245" s="475"/>
      <c r="ET245" s="475"/>
      <c r="EU245" s="475"/>
      <c r="EV245" s="475"/>
      <c r="EW245" s="475"/>
      <c r="EX245" s="475"/>
      <c r="EY245" s="475"/>
      <c r="EZ245" s="475"/>
      <c r="FA245" s="475"/>
      <c r="FB245" s="475"/>
      <c r="FC245" s="475"/>
      <c r="FD245" s="475"/>
      <c r="FE245" s="475"/>
      <c r="FF245" s="475"/>
      <c r="FG245" s="475"/>
      <c r="FH245" s="475"/>
      <c r="FI245" s="475"/>
      <c r="FJ245" s="475"/>
      <c r="FK245" s="475"/>
      <c r="FL245" s="475"/>
      <c r="FM245" s="475"/>
      <c r="FN245" s="475"/>
      <c r="FO245" s="475"/>
      <c r="FP245" s="475"/>
      <c r="FQ245" s="475"/>
      <c r="FR245" s="475"/>
      <c r="FS245" s="475"/>
      <c r="FT245" s="475"/>
      <c r="FU245" s="475"/>
      <c r="FV245" s="475"/>
      <c r="FW245" s="475"/>
      <c r="FX245" s="475"/>
      <c r="FY245" s="475"/>
      <c r="FZ245" s="475"/>
      <c r="GA245" s="475"/>
      <c r="GB245" s="475"/>
      <c r="GC245" s="475"/>
      <c r="GD245" s="475"/>
      <c r="GE245" s="475"/>
      <c r="GF245" s="475"/>
      <c r="GG245" s="475"/>
      <c r="GH245" s="475"/>
      <c r="GI245" s="475"/>
      <c r="GJ245" s="475"/>
      <c r="GK245" s="475"/>
      <c r="GL245" s="475"/>
      <c r="GM245" s="475"/>
      <c r="GN245" s="475"/>
      <c r="GO245" s="475"/>
      <c r="GP245" s="475"/>
      <c r="GQ245" s="475"/>
      <c r="GR245" s="475"/>
      <c r="GS245" s="475"/>
      <c r="GT245" s="475"/>
      <c r="GU245" s="475"/>
      <c r="GV245" s="475"/>
      <c r="GW245" s="475"/>
      <c r="GX245" s="475"/>
      <c r="GY245" s="475"/>
      <c r="GZ245" s="475"/>
      <c r="HA245" s="475"/>
      <c r="HB245" s="475"/>
      <c r="HC245" s="475"/>
      <c r="HD245" s="475"/>
      <c r="HE245" s="475"/>
      <c r="HF245" s="475"/>
      <c r="HG245" s="475"/>
      <c r="HH245" s="475"/>
      <c r="HI245" s="475"/>
      <c r="HJ245" s="475"/>
      <c r="HK245" s="475"/>
      <c r="HL245" s="475"/>
      <c r="HM245" s="475"/>
      <c r="HN245" s="475"/>
      <c r="HO245" s="475"/>
      <c r="HP245" s="475"/>
      <c r="HQ245" s="475"/>
      <c r="HR245" s="475"/>
      <c r="HS245" s="475"/>
      <c r="HT245" s="475"/>
      <c r="HU245" s="475"/>
      <c r="HV245" s="475"/>
      <c r="HW245" s="475"/>
      <c r="HX245" s="475"/>
      <c r="HY245" s="475"/>
      <c r="HZ245" s="475"/>
      <c r="IA245" s="475"/>
      <c r="IB245" s="475"/>
      <c r="IC245" s="475"/>
      <c r="ID245" s="475"/>
      <c r="IE245" s="475"/>
      <c r="IF245" s="475"/>
      <c r="IG245" s="475"/>
      <c r="IH245" s="475"/>
      <c r="II245" s="475"/>
      <c r="IJ245" s="475"/>
      <c r="IK245" s="475"/>
      <c r="IL245" s="475"/>
      <c r="IM245" s="475"/>
      <c r="IN245" s="475"/>
      <c r="IO245" s="475"/>
      <c r="IP245" s="475"/>
      <c r="IQ245" s="475"/>
      <c r="IR245" s="475"/>
      <c r="IS245" s="475"/>
      <c r="IT245" s="475"/>
      <c r="IU245" s="475"/>
      <c r="IV245" s="475"/>
      <c r="IW245" s="475"/>
      <c r="IX245" s="475"/>
      <c r="IY245" s="475"/>
      <c r="IZ245" s="475"/>
      <c r="JA245" s="475"/>
      <c r="JB245" s="475"/>
      <c r="JC245" s="475"/>
      <c r="JD245" s="475"/>
      <c r="JE245" s="475"/>
      <c r="JF245" s="475"/>
      <c r="JG245" s="475"/>
      <c r="JH245" s="475"/>
      <c r="JI245" s="475"/>
      <c r="JJ245" s="475"/>
      <c r="JK245" s="475"/>
      <c r="JL245" s="475"/>
      <c r="JM245" s="475"/>
      <c r="JN245" s="475"/>
      <c r="JO245" s="475"/>
      <c r="JP245" s="475"/>
      <c r="JQ245" s="475"/>
      <c r="JR245" s="475"/>
      <c r="JS245" s="475"/>
      <c r="JT245" s="475"/>
      <c r="JU245" s="475"/>
      <c r="JV245" s="475"/>
      <c r="JW245" s="475"/>
      <c r="JX245" s="475"/>
      <c r="JY245" s="475"/>
      <c r="JZ245" s="475"/>
      <c r="KA245" s="475"/>
      <c r="KB245" s="475"/>
      <c r="KC245" s="475"/>
      <c r="KD245" s="475"/>
      <c r="KE245" s="475"/>
      <c r="KF245" s="475"/>
      <c r="KG245" s="475"/>
      <c r="KH245" s="475"/>
      <c r="KI245" s="475"/>
      <c r="KJ245" s="475"/>
      <c r="KK245" s="475"/>
      <c r="KL245" s="475"/>
      <c r="KM245" s="475"/>
      <c r="KN245" s="475"/>
      <c r="KO245" s="475"/>
      <c r="KP245" s="475"/>
      <c r="KQ245" s="475"/>
      <c r="KR245" s="475"/>
      <c r="KS245" s="475"/>
      <c r="KT245" s="475"/>
      <c r="KU245" s="475"/>
      <c r="KV245" s="475"/>
      <c r="KW245" s="475"/>
      <c r="KX245" s="475"/>
      <c r="KY245" s="475"/>
      <c r="KZ245" s="475"/>
      <c r="LA245" s="475"/>
      <c r="LB245" s="475"/>
      <c r="LC245" s="475"/>
      <c r="LD245" s="475"/>
      <c r="LE245" s="475"/>
      <c r="LF245" s="475"/>
      <c r="LG245" s="475"/>
      <c r="LH245" s="475"/>
      <c r="LI245" s="475"/>
      <c r="LJ245" s="475"/>
      <c r="LK245" s="475"/>
      <c r="LL245" s="475"/>
      <c r="LM245" s="475"/>
      <c r="LN245" s="475"/>
      <c r="LO245" s="475"/>
      <c r="LP245" s="475"/>
      <c r="LQ245" s="475"/>
      <c r="LR245" s="475"/>
      <c r="LS245" s="475"/>
      <c r="LT245" s="475"/>
      <c r="LU245" s="475"/>
      <c r="LV245" s="475"/>
      <c r="LW245" s="475"/>
      <c r="LX245" s="475"/>
      <c r="LY245" s="475"/>
      <c r="LZ245" s="475"/>
      <c r="MA245" s="475"/>
      <c r="MB245" s="475"/>
      <c r="MC245" s="475"/>
      <c r="MD245" s="475"/>
      <c r="ME245" s="475"/>
      <c r="MF245" s="475"/>
      <c r="MG245" s="475"/>
      <c r="MH245" s="475"/>
      <c r="MI245" s="475"/>
      <c r="MJ245" s="475"/>
      <c r="MK245" s="475"/>
      <c r="ML245" s="475"/>
      <c r="MM245" s="475"/>
      <c r="MN245" s="475"/>
      <c r="MO245" s="475"/>
      <c r="MP245" s="475"/>
      <c r="MQ245" s="475"/>
      <c r="MR245" s="475"/>
      <c r="MS245" s="475"/>
      <c r="MT245" s="475"/>
      <c r="MU245" s="475"/>
      <c r="MV245" s="475"/>
      <c r="MW245" s="475"/>
      <c r="MX245" s="475"/>
      <c r="MY245" s="475"/>
      <c r="MZ245" s="475"/>
      <c r="NA245" s="475"/>
      <c r="NB245" s="475"/>
      <c r="NC245" s="475"/>
      <c r="ND245" s="475"/>
      <c r="NE245" s="475"/>
      <c r="NF245" s="475"/>
      <c r="NG245" s="475"/>
      <c r="NH245" s="475"/>
      <c r="NI245" s="475"/>
      <c r="NJ245" s="475"/>
      <c r="NK245" s="475"/>
      <c r="NL245" s="475"/>
      <c r="NM245" s="475"/>
      <c r="NN245" s="475"/>
      <c r="NO245" s="475"/>
      <c r="NP245" s="475"/>
      <c r="NQ245" s="475"/>
      <c r="NR245" s="475"/>
      <c r="NS245" s="475"/>
      <c r="NT245" s="475"/>
      <c r="NU245" s="475"/>
      <c r="NV245" s="475"/>
      <c r="NW245" s="475"/>
      <c r="NX245" s="475"/>
      <c r="NY245" s="475"/>
      <c r="NZ245" s="475"/>
      <c r="OA245" s="475"/>
      <c r="OB245" s="475"/>
      <c r="OC245" s="475"/>
      <c r="OD245" s="475"/>
      <c r="OE245" s="475"/>
      <c r="OF245" s="475"/>
      <c r="OG245" s="475"/>
      <c r="OH245" s="475"/>
      <c r="OI245" s="475"/>
      <c r="OJ245" s="475"/>
      <c r="OK245" s="475"/>
      <c r="OL245" s="475"/>
      <c r="OM245" s="475"/>
      <c r="ON245" s="475"/>
      <c r="OO245" s="475"/>
      <c r="OP245" s="475"/>
      <c r="OQ245" s="475"/>
      <c r="OR245" s="475"/>
      <c r="OS245" s="475"/>
      <c r="OT245" s="475"/>
      <c r="OU245" s="475"/>
      <c r="OV245" s="475"/>
      <c r="OW245" s="475"/>
      <c r="OX245" s="475"/>
      <c r="OY245" s="475"/>
      <c r="OZ245" s="475"/>
      <c r="PA245" s="475"/>
      <c r="PB245" s="475"/>
      <c r="PC245" s="475"/>
      <c r="PD245" s="475"/>
      <c r="PE245" s="475"/>
      <c r="PF245" s="475"/>
      <c r="PG245" s="475"/>
      <c r="PH245" s="475"/>
      <c r="PI245" s="475"/>
      <c r="PJ245" s="475"/>
      <c r="PK245" s="475"/>
      <c r="PL245" s="475"/>
      <c r="PM245" s="475"/>
      <c r="PN245" s="475"/>
      <c r="PO245" s="475"/>
      <c r="PP245" s="475"/>
      <c r="PQ245" s="475"/>
      <c r="PR245" s="475"/>
      <c r="PS245" s="475"/>
      <c r="PT245" s="475"/>
      <c r="PU245" s="475"/>
      <c r="PV245" s="475"/>
      <c r="PW245" s="475"/>
      <c r="PX245" s="475"/>
      <c r="PY245" s="475"/>
      <c r="PZ245" s="475"/>
      <c r="QA245" s="475"/>
      <c r="QB245" s="475"/>
      <c r="QC245" s="475"/>
      <c r="QD245" s="475"/>
      <c r="QE245" s="475"/>
      <c r="QF245" s="475"/>
      <c r="QG245" s="475"/>
      <c r="QH245" s="475"/>
      <c r="QI245" s="475"/>
      <c r="QJ245" s="475"/>
      <c r="QK245" s="475"/>
      <c r="QL245" s="475"/>
      <c r="QM245" s="475"/>
      <c r="QN245" s="475"/>
      <c r="QO245" s="475"/>
      <c r="QP245" s="475"/>
      <c r="QQ245" s="475"/>
      <c r="QR245" s="475"/>
      <c r="QS245" s="475"/>
      <c r="QT245" s="475"/>
      <c r="QU245" s="475"/>
      <c r="QV245" s="475"/>
      <c r="QW245" s="475"/>
      <c r="QX245" s="475"/>
      <c r="QY245" s="475"/>
      <c r="QZ245" s="475"/>
      <c r="RA245" s="475"/>
      <c r="RB245" s="475"/>
      <c r="RC245" s="475"/>
      <c r="RD245" s="475"/>
      <c r="RE245" s="475"/>
      <c r="RF245" s="475"/>
      <c r="RG245" s="475"/>
      <c r="RH245" s="475"/>
      <c r="RI245" s="475"/>
      <c r="RJ245" s="475"/>
      <c r="RK245" s="475"/>
      <c r="RL245" s="475"/>
      <c r="RM245" s="475"/>
      <c r="RN245" s="475"/>
      <c r="RO245" s="475"/>
      <c r="RP245" s="475"/>
      <c r="RQ245" s="475"/>
      <c r="RR245" s="475"/>
      <c r="RS245" s="475"/>
      <c r="RT245" s="475"/>
      <c r="RU245" s="475"/>
      <c r="RV245" s="475"/>
      <c r="RW245" s="475"/>
      <c r="RX245" s="475"/>
      <c r="RY245" s="475"/>
      <c r="RZ245" s="475"/>
      <c r="SA245" s="475"/>
      <c r="SB245" s="475"/>
      <c r="SC245" s="475"/>
      <c r="SD245" s="475"/>
      <c r="SE245" s="475"/>
      <c r="SF245" s="475"/>
      <c r="SG245" s="475"/>
      <c r="SH245" s="475"/>
      <c r="SI245" s="475"/>
      <c r="SJ245" s="475"/>
      <c r="SK245" s="475"/>
      <c r="SL245" s="475"/>
      <c r="SM245" s="475"/>
      <c r="SN245" s="475"/>
      <c r="SO245" s="475"/>
      <c r="SP245" s="475"/>
      <c r="SQ245" s="475"/>
      <c r="SR245" s="475"/>
      <c r="SS245" s="475"/>
      <c r="ST245" s="475"/>
      <c r="SU245" s="475"/>
      <c r="SV245" s="475"/>
      <c r="SW245" s="475"/>
      <c r="SX245" s="475"/>
      <c r="SY245" s="475"/>
      <c r="SZ245" s="475"/>
      <c r="TA245" s="475"/>
      <c r="TB245" s="475"/>
      <c r="TC245" s="475"/>
      <c r="TD245" s="475"/>
      <c r="TE245" s="475"/>
      <c r="TF245" s="475"/>
      <c r="TG245" s="475"/>
      <c r="TH245" s="475"/>
      <c r="TI245" s="475"/>
      <c r="TJ245" s="475"/>
      <c r="TK245" s="475"/>
      <c r="TL245" s="475"/>
      <c r="TM245" s="475"/>
      <c r="TN245" s="475"/>
      <c r="TO245" s="475"/>
      <c r="TP245" s="475"/>
      <c r="TQ245" s="475"/>
      <c r="TR245" s="475"/>
      <c r="TS245" s="475"/>
      <c r="TT245" s="475"/>
      <c r="TU245" s="475"/>
      <c r="TV245" s="475"/>
      <c r="TW245" s="475"/>
      <c r="TX245" s="475"/>
      <c r="TY245" s="475"/>
      <c r="TZ245" s="475"/>
      <c r="UA245" s="475"/>
      <c r="UB245" s="475"/>
      <c r="UC245" s="475"/>
      <c r="UD245" s="475"/>
      <c r="UE245" s="475"/>
      <c r="UF245" s="475"/>
      <c r="UG245" s="475"/>
      <c r="UH245" s="475"/>
      <c r="UI245" s="475"/>
      <c r="UJ245" s="475"/>
      <c r="UK245" s="475"/>
      <c r="UL245" s="475"/>
      <c r="UM245" s="475"/>
      <c r="UN245" s="475"/>
      <c r="UO245" s="475"/>
      <c r="UP245" s="475"/>
      <c r="UQ245" s="475"/>
      <c r="UR245" s="475"/>
      <c r="US245" s="475"/>
      <c r="UT245" s="475"/>
      <c r="UU245" s="475"/>
      <c r="UV245" s="475"/>
      <c r="UW245" s="475"/>
      <c r="UX245" s="475"/>
      <c r="UY245" s="475"/>
      <c r="UZ245" s="475"/>
      <c r="VA245" s="475"/>
      <c r="VB245" s="475"/>
      <c r="VC245" s="475"/>
      <c r="VD245" s="475"/>
      <c r="VE245" s="475"/>
      <c r="VF245" s="475"/>
      <c r="VG245" s="475"/>
      <c r="VH245" s="475"/>
      <c r="VI245" s="475"/>
      <c r="VJ245" s="475"/>
      <c r="VK245" s="475"/>
      <c r="VL245" s="475"/>
      <c r="VM245" s="475"/>
      <c r="VN245" s="475"/>
      <c r="VO245" s="475"/>
      <c r="VP245" s="475"/>
      <c r="VQ245" s="475"/>
      <c r="VR245" s="475"/>
      <c r="VS245" s="475"/>
      <c r="VT245" s="475"/>
      <c r="VU245" s="475"/>
      <c r="VV245" s="475"/>
      <c r="VW245" s="475"/>
      <c r="VX245" s="475"/>
      <c r="VY245" s="475"/>
      <c r="VZ245" s="475"/>
      <c r="WA245" s="475"/>
      <c r="WB245" s="475"/>
      <c r="WC245" s="475"/>
      <c r="WD245" s="475"/>
      <c r="WE245" s="475"/>
      <c r="WF245" s="475"/>
      <c r="WG245" s="475"/>
      <c r="WH245" s="475"/>
      <c r="WI245" s="475"/>
      <c r="WJ245" s="475"/>
      <c r="WK245" s="475"/>
      <c r="WL245" s="475"/>
      <c r="WM245" s="475"/>
      <c r="WN245" s="475"/>
      <c r="WO245" s="475"/>
      <c r="WP245" s="475"/>
      <c r="WQ245" s="475"/>
      <c r="WR245" s="475"/>
      <c r="WS245" s="475"/>
      <c r="WT245" s="475"/>
      <c r="WU245" s="475"/>
      <c r="WV245" s="475"/>
      <c r="WW245" s="475"/>
      <c r="WX245" s="475"/>
      <c r="WY245" s="475"/>
      <c r="WZ245" s="475"/>
      <c r="XA245" s="475"/>
      <c r="XB245" s="475"/>
      <c r="XC245" s="475"/>
      <c r="XD245" s="475"/>
      <c r="XE245" s="475"/>
      <c r="XF245" s="475"/>
      <c r="XG245" s="475"/>
      <c r="XH245" s="475"/>
      <c r="XI245" s="475"/>
      <c r="XJ245" s="475"/>
      <c r="XK245" s="475"/>
      <c r="XL245" s="475"/>
      <c r="XM245" s="475"/>
      <c r="XN245" s="475"/>
      <c r="XO245" s="475"/>
      <c r="XP245" s="475"/>
      <c r="XQ245" s="475"/>
      <c r="XR245" s="475"/>
      <c r="XS245" s="475"/>
      <c r="XT245" s="475"/>
      <c r="XU245" s="475"/>
      <c r="XV245" s="475"/>
      <c r="XW245" s="475"/>
      <c r="XX245" s="475"/>
      <c r="XY245" s="475"/>
      <c r="XZ245" s="475"/>
      <c r="YA245" s="475"/>
      <c r="YB245" s="475"/>
      <c r="YC245" s="475"/>
      <c r="YD245" s="475"/>
      <c r="YE245" s="475"/>
      <c r="YF245" s="475"/>
      <c r="YG245" s="475"/>
      <c r="YH245" s="475"/>
      <c r="YI245" s="475"/>
      <c r="YJ245" s="475"/>
      <c r="YK245" s="475"/>
      <c r="YL245" s="475"/>
      <c r="YM245" s="475"/>
      <c r="YN245" s="475"/>
      <c r="YO245" s="475"/>
      <c r="YP245" s="475"/>
      <c r="YQ245" s="475"/>
      <c r="YR245" s="475"/>
      <c r="YS245" s="475"/>
      <c r="YT245" s="475"/>
      <c r="YU245" s="475"/>
      <c r="YV245" s="475"/>
      <c r="YW245" s="475"/>
      <c r="YX245" s="475"/>
      <c r="YY245" s="475"/>
      <c r="YZ245" s="475"/>
      <c r="ZA245" s="475"/>
      <c r="ZB245" s="475"/>
      <c r="ZC245" s="475"/>
      <c r="ZD245" s="475"/>
      <c r="ZE245" s="475"/>
      <c r="ZF245" s="475"/>
      <c r="ZG245" s="475"/>
      <c r="ZH245" s="475"/>
      <c r="ZI245" s="475"/>
      <c r="ZJ245" s="475"/>
      <c r="ZK245" s="475"/>
      <c r="ZL245" s="475"/>
      <c r="ZM245" s="475"/>
      <c r="ZN245" s="475"/>
      <c r="ZO245" s="475"/>
      <c r="ZP245" s="475"/>
      <c r="ZQ245" s="475"/>
      <c r="ZR245" s="475"/>
      <c r="ZS245" s="475"/>
      <c r="ZT245" s="475"/>
      <c r="ZU245" s="475"/>
      <c r="ZV245" s="475"/>
      <c r="ZW245" s="475"/>
      <c r="ZX245" s="475"/>
      <c r="ZY245" s="475"/>
      <c r="ZZ245" s="475"/>
      <c r="AAA245" s="475"/>
      <c r="AAB245" s="475"/>
      <c r="AAC245" s="475"/>
      <c r="AAD245" s="475"/>
      <c r="AAE245" s="475"/>
      <c r="AAF245" s="475"/>
      <c r="AAG245" s="475"/>
      <c r="AAH245" s="475"/>
      <c r="AAI245" s="475"/>
      <c r="AAJ245" s="475"/>
      <c r="AAK245" s="475"/>
      <c r="AAL245" s="475"/>
      <c r="AAM245" s="475"/>
      <c r="AAN245" s="475"/>
      <c r="AAO245" s="475"/>
      <c r="AAP245" s="475"/>
      <c r="AAQ245" s="475"/>
      <c r="AAR245" s="475"/>
      <c r="AAS245" s="475"/>
      <c r="AAT245" s="475"/>
      <c r="AAU245" s="475"/>
      <c r="AAV245" s="475"/>
      <c r="AAW245" s="475"/>
      <c r="AAX245" s="475"/>
      <c r="AAY245" s="475"/>
      <c r="AAZ245" s="475"/>
      <c r="ABA245" s="475"/>
      <c r="ABB245" s="475"/>
      <c r="ABC245" s="475"/>
      <c r="ABD245" s="475"/>
      <c r="ABE245" s="475"/>
      <c r="ABF245" s="475"/>
      <c r="ABG245" s="475"/>
      <c r="ABH245" s="475"/>
      <c r="ABI245" s="475"/>
      <c r="ABJ245" s="475"/>
      <c r="ABK245" s="475"/>
      <c r="ABL245" s="475"/>
      <c r="ABM245" s="475"/>
      <c r="ABN245" s="475"/>
      <c r="ABO245" s="475"/>
      <c r="ABP245" s="475"/>
      <c r="ABQ245" s="475"/>
      <c r="ABR245" s="475"/>
      <c r="ABS245" s="475"/>
      <c r="ABT245" s="475"/>
      <c r="ABU245" s="475"/>
      <c r="ABV245" s="475"/>
      <c r="ABW245" s="475"/>
      <c r="ABX245" s="475"/>
      <c r="ABY245" s="475"/>
      <c r="ABZ245" s="475"/>
      <c r="ACA245" s="475"/>
      <c r="ACB245" s="475"/>
      <c r="ACC245" s="475"/>
      <c r="ACD245" s="475"/>
      <c r="ACE245" s="475"/>
      <c r="ACF245" s="475"/>
      <c r="ACG245" s="475"/>
      <c r="ACH245" s="475"/>
      <c r="ACI245" s="475"/>
      <c r="ACJ245" s="475"/>
      <c r="ACK245" s="475"/>
      <c r="ACL245" s="475"/>
      <c r="ACM245" s="475"/>
      <c r="ACN245" s="475"/>
      <c r="ACO245" s="475"/>
      <c r="ACP245" s="475"/>
      <c r="ACQ245" s="475"/>
      <c r="ACR245" s="475"/>
      <c r="ACS245" s="475"/>
      <c r="ACT245" s="475"/>
      <c r="ACU245" s="475"/>
      <c r="ACV245" s="475"/>
      <c r="ACW245" s="475"/>
      <c r="ACX245" s="475"/>
      <c r="ACY245" s="475"/>
      <c r="ACZ245" s="475"/>
      <c r="ADA245" s="475"/>
      <c r="ADB245" s="475"/>
      <c r="ADC245" s="475"/>
      <c r="ADD245" s="475"/>
      <c r="ADE245" s="475"/>
      <c r="ADF245" s="475"/>
      <c r="ADG245" s="475"/>
      <c r="ADH245" s="475"/>
      <c r="ADI245" s="475"/>
      <c r="ADJ245" s="475"/>
      <c r="ADK245" s="475"/>
      <c r="ADL245" s="475"/>
      <c r="ADM245" s="475"/>
      <c r="ADN245" s="475"/>
      <c r="ADO245" s="475"/>
      <c r="ADP245" s="475"/>
      <c r="ADQ245" s="475"/>
      <c r="ADR245" s="475"/>
      <c r="ADS245" s="475"/>
      <c r="ADT245" s="475"/>
      <c r="ADU245" s="475"/>
      <c r="ADV245" s="475"/>
      <c r="ADW245" s="475"/>
      <c r="ADX245" s="475"/>
      <c r="ADY245" s="475"/>
      <c r="ADZ245" s="475"/>
      <c r="AEA245" s="475"/>
      <c r="AEB245" s="475"/>
      <c r="AEC245" s="475"/>
      <c r="AED245" s="475"/>
      <c r="AEE245" s="475"/>
      <c r="AEF245" s="475"/>
      <c r="AEG245" s="475"/>
      <c r="AEH245" s="475"/>
      <c r="AEI245" s="475"/>
      <c r="AEJ245" s="475"/>
      <c r="AEK245" s="475"/>
      <c r="AEL245" s="475"/>
      <c r="AEM245" s="475"/>
      <c r="AEN245" s="475"/>
      <c r="AEO245" s="475"/>
      <c r="AEP245" s="475"/>
      <c r="AEQ245" s="475"/>
      <c r="AER245" s="475"/>
      <c r="AES245" s="475"/>
      <c r="AET245" s="475"/>
      <c r="AEU245" s="475"/>
      <c r="AEV245" s="475"/>
      <c r="AEW245" s="475"/>
      <c r="AEX245" s="475"/>
      <c r="AEY245" s="475"/>
      <c r="AEZ245" s="475"/>
      <c r="AFA245" s="475"/>
      <c r="AFB245" s="475"/>
      <c r="AFC245" s="475"/>
      <c r="AFD245" s="475"/>
      <c r="AFE245" s="475"/>
      <c r="AFF245" s="475"/>
      <c r="AFG245" s="475"/>
      <c r="AFH245" s="475"/>
      <c r="AFI245" s="475"/>
      <c r="AFJ245" s="475"/>
      <c r="AFK245" s="475"/>
      <c r="AFL245" s="475"/>
      <c r="AFM245" s="475"/>
      <c r="AFN245" s="475"/>
      <c r="AFO245" s="475"/>
      <c r="AFP245" s="475"/>
      <c r="AFQ245" s="475"/>
      <c r="AFR245" s="475"/>
      <c r="AFS245" s="475"/>
      <c r="AFT245" s="475"/>
      <c r="AFU245" s="475"/>
      <c r="AFV245" s="475"/>
      <c r="AFW245" s="475"/>
      <c r="AFX245" s="475"/>
      <c r="AFY245" s="475"/>
      <c r="AFZ245" s="475"/>
      <c r="AGA245" s="475"/>
      <c r="AGB245" s="475"/>
      <c r="AGC245" s="475"/>
      <c r="AGD245" s="475"/>
      <c r="AGE245" s="475"/>
      <c r="AGF245" s="475"/>
      <c r="AGG245" s="475"/>
      <c r="AGH245" s="475"/>
      <c r="AGI245" s="475"/>
      <c r="AGJ245" s="475"/>
      <c r="AGK245" s="475"/>
      <c r="AGL245" s="475"/>
      <c r="AGM245" s="475"/>
      <c r="AGN245" s="475"/>
      <c r="AGO245" s="475"/>
      <c r="AGP245" s="475"/>
      <c r="AGQ245" s="475"/>
      <c r="AGR245" s="475"/>
      <c r="AGS245" s="475"/>
      <c r="AGT245" s="475"/>
      <c r="AGU245" s="475"/>
      <c r="AGV245" s="475"/>
      <c r="AGW245" s="475"/>
      <c r="AGX245" s="475"/>
      <c r="AGY245" s="475"/>
      <c r="AGZ245" s="475"/>
      <c r="AHA245" s="475"/>
      <c r="AHB245" s="475"/>
      <c r="AHC245" s="475"/>
      <c r="AHD245" s="475"/>
      <c r="AHE245" s="475"/>
      <c r="AHF245" s="475"/>
      <c r="AHG245" s="475"/>
      <c r="AHH245" s="475"/>
      <c r="AHI245" s="475"/>
      <c r="AHJ245" s="475"/>
      <c r="AHK245" s="475"/>
      <c r="AHL245" s="475"/>
      <c r="AHM245" s="475"/>
      <c r="AHN245" s="475"/>
      <c r="AHO245" s="475"/>
      <c r="AHP245" s="475"/>
      <c r="AHQ245" s="475"/>
      <c r="AHR245" s="475"/>
      <c r="AHS245" s="475"/>
      <c r="AHT245" s="475"/>
      <c r="AHU245" s="475"/>
      <c r="AHV245" s="475"/>
      <c r="AHW245" s="475"/>
      <c r="AHX245" s="475"/>
      <c r="AHY245" s="475"/>
      <c r="AHZ245" s="475"/>
      <c r="AIA245" s="475"/>
      <c r="AIB245" s="475"/>
      <c r="AIC245" s="475"/>
      <c r="AID245" s="475"/>
      <c r="AIE245" s="475"/>
      <c r="AIF245" s="475"/>
      <c r="AIG245" s="475"/>
      <c r="AIH245" s="475"/>
      <c r="AII245" s="475"/>
      <c r="AIJ245" s="475"/>
      <c r="AIK245" s="475"/>
      <c r="AIL245" s="475"/>
      <c r="AIM245" s="475"/>
      <c r="AIN245" s="475"/>
      <c r="AIO245" s="475"/>
      <c r="AIP245" s="475"/>
      <c r="AIQ245" s="475"/>
      <c r="AIR245" s="475"/>
      <c r="AIS245" s="475"/>
      <c r="AIT245" s="475"/>
      <c r="AIU245" s="475"/>
      <c r="AIV245" s="475"/>
      <c r="AIW245" s="475"/>
      <c r="AIX245" s="475"/>
      <c r="AIY245" s="475"/>
      <c r="AIZ245" s="475"/>
      <c r="AJA245" s="475"/>
      <c r="AJB245" s="475"/>
      <c r="AJC245" s="475"/>
      <c r="AJD245" s="475"/>
      <c r="AJE245" s="475"/>
      <c r="AJF245" s="475"/>
      <c r="AJG245" s="475"/>
      <c r="AJH245" s="475"/>
      <c r="AJI245" s="475"/>
      <c r="AJJ245" s="475"/>
      <c r="AJK245" s="475"/>
      <c r="AJL245" s="475"/>
      <c r="AJM245" s="475"/>
      <c r="AJN245" s="475"/>
      <c r="AJO245" s="475"/>
      <c r="AJP245" s="475"/>
      <c r="AJQ245" s="475"/>
      <c r="AJR245" s="475"/>
      <c r="AJS245" s="475"/>
      <c r="AJT245" s="475"/>
      <c r="AJU245" s="475"/>
      <c r="AJV245" s="475"/>
      <c r="AJW245" s="475"/>
      <c r="AJX245" s="475"/>
      <c r="AJY245" s="475"/>
      <c r="AJZ245" s="475"/>
      <c r="AKA245" s="475"/>
      <c r="AKB245" s="475"/>
      <c r="AKC245" s="475"/>
      <c r="AKD245" s="475"/>
      <c r="AKE245" s="475"/>
      <c r="AKF245" s="475"/>
      <c r="AKG245" s="475"/>
      <c r="AKH245" s="475"/>
      <c r="AKI245" s="475"/>
      <c r="AKJ245" s="475"/>
      <c r="AKK245" s="475"/>
      <c r="AKL245" s="475"/>
      <c r="AKM245" s="475"/>
      <c r="AKN245" s="475"/>
      <c r="AKO245" s="475"/>
      <c r="AKP245" s="475"/>
      <c r="AKQ245" s="475"/>
      <c r="AKR245" s="475"/>
      <c r="AKS245" s="475"/>
      <c r="AKT245" s="475"/>
      <c r="AKU245" s="475"/>
      <c r="AKV245" s="475"/>
      <c r="AKW245" s="475"/>
      <c r="AKX245" s="475"/>
      <c r="AKY245" s="475"/>
      <c r="AKZ245" s="475"/>
      <c r="ALA245" s="475"/>
      <c r="ALB245" s="475"/>
      <c r="ALC245" s="475"/>
      <c r="ALD245" s="475"/>
      <c r="ALE245" s="475"/>
      <c r="ALF245" s="475"/>
      <c r="ALG245" s="475"/>
      <c r="ALH245" s="475"/>
      <c r="ALI245" s="475"/>
      <c r="ALJ245" s="475"/>
      <c r="ALK245" s="475"/>
      <c r="ALL245" s="475"/>
      <c r="ALM245" s="475"/>
      <c r="ALN245" s="475"/>
      <c r="ALO245" s="475"/>
      <c r="ALP245" s="475"/>
      <c r="ALQ245" s="475"/>
      <c r="ALR245" s="475"/>
      <c r="ALS245" s="475"/>
      <c r="ALT245" s="475"/>
      <c r="ALU245" s="475"/>
      <c r="ALV245" s="475"/>
      <c r="ALW245" s="475"/>
      <c r="ALX245" s="475"/>
      <c r="ALY245" s="475"/>
      <c r="ALZ245" s="475"/>
      <c r="AMA245" s="475"/>
      <c r="AMB245" s="475"/>
      <c r="AMC245" s="475"/>
      <c r="AMD245" s="475"/>
      <c r="AME245" s="475"/>
      <c r="AMF245" s="475"/>
      <c r="AMG245" s="475"/>
      <c r="AMH245" s="475"/>
      <c r="AMI245" s="475"/>
      <c r="AMJ245" s="475"/>
      <c r="AMK245" s="475"/>
      <c r="AML245" s="475"/>
      <c r="AMM245" s="475"/>
      <c r="AMN245" s="475"/>
      <c r="AMO245" s="475"/>
      <c r="AMP245" s="475"/>
      <c r="AMQ245" s="475"/>
      <c r="AMR245" s="475"/>
      <c r="AMS245" s="475"/>
      <c r="AMT245" s="475"/>
      <c r="AMU245" s="475"/>
      <c r="AMV245" s="475"/>
      <c r="AMW245" s="475"/>
      <c r="AMX245" s="475"/>
      <c r="AMY245" s="475"/>
      <c r="AMZ245" s="475"/>
      <c r="ANA245" s="475"/>
      <c r="ANB245" s="475"/>
      <c r="ANC245" s="475"/>
      <c r="AND245" s="475"/>
      <c r="ANE245" s="475"/>
      <c r="ANF245" s="475"/>
      <c r="ANG245" s="475"/>
      <c r="ANH245" s="475"/>
      <c r="ANI245" s="475"/>
      <c r="ANJ245" s="475"/>
      <c r="ANK245" s="475"/>
      <c r="ANL245" s="475"/>
      <c r="ANM245" s="475"/>
      <c r="ANN245" s="475"/>
      <c r="ANO245" s="475"/>
      <c r="ANP245" s="475"/>
      <c r="ANQ245" s="475"/>
      <c r="ANR245" s="475"/>
      <c r="ANS245" s="475"/>
      <c r="ANT245" s="475"/>
      <c r="ANU245" s="475"/>
      <c r="ANV245" s="475"/>
      <c r="ANW245" s="475"/>
      <c r="ANX245" s="475"/>
      <c r="ANY245" s="475"/>
      <c r="ANZ245" s="475"/>
      <c r="AOA245" s="475"/>
      <c r="AOB245" s="475"/>
      <c r="AOC245" s="475"/>
      <c r="AOD245" s="475"/>
      <c r="AOE245" s="475"/>
      <c r="AOF245" s="475"/>
      <c r="AOG245" s="475"/>
      <c r="AOH245" s="475"/>
      <c r="AOI245" s="475"/>
      <c r="AOJ245" s="475"/>
      <c r="AOK245" s="475"/>
      <c r="AOL245" s="475"/>
      <c r="AOM245" s="475"/>
      <c r="AON245" s="475"/>
      <c r="AOO245" s="475"/>
      <c r="AOP245" s="475"/>
      <c r="AOQ245" s="475"/>
      <c r="AOR245" s="475"/>
      <c r="AOS245" s="475"/>
      <c r="AOT245" s="475"/>
      <c r="AOU245" s="475"/>
      <c r="AOV245" s="475"/>
      <c r="AOW245" s="475"/>
      <c r="AOX245" s="475"/>
      <c r="AOY245" s="475"/>
      <c r="AOZ245" s="475"/>
      <c r="APA245" s="475"/>
      <c r="APB245" s="475"/>
      <c r="APC245" s="475"/>
      <c r="APD245" s="475"/>
      <c r="APE245" s="475"/>
      <c r="APF245" s="475"/>
      <c r="APG245" s="475"/>
      <c r="APH245" s="475"/>
      <c r="API245" s="475"/>
      <c r="APJ245" s="475"/>
      <c r="APK245" s="475"/>
      <c r="APL245" s="475"/>
      <c r="APM245" s="475"/>
      <c r="APN245" s="475"/>
      <c r="APO245" s="475"/>
      <c r="APP245" s="475"/>
      <c r="APQ245" s="475"/>
      <c r="APR245" s="475"/>
      <c r="APS245" s="475"/>
      <c r="APT245" s="475"/>
      <c r="APU245" s="475"/>
      <c r="APV245" s="475"/>
      <c r="APW245" s="475"/>
      <c r="APX245" s="475"/>
      <c r="APY245" s="475"/>
      <c r="APZ245" s="475"/>
      <c r="AQA245" s="475"/>
      <c r="AQB245" s="475"/>
      <c r="AQC245" s="475"/>
      <c r="AQD245" s="475"/>
      <c r="AQE245" s="475"/>
      <c r="AQF245" s="475"/>
      <c r="AQG245" s="475"/>
      <c r="AQH245" s="475"/>
      <c r="AQI245" s="475"/>
      <c r="AQJ245" s="475"/>
      <c r="AQK245" s="475"/>
      <c r="AQL245" s="475"/>
      <c r="AQM245" s="475"/>
      <c r="AQN245" s="475"/>
      <c r="AQO245" s="475"/>
      <c r="AQP245" s="475"/>
      <c r="AQQ245" s="475"/>
      <c r="AQR245" s="475"/>
      <c r="AQS245" s="475"/>
      <c r="AQT245" s="475"/>
      <c r="AQU245" s="475"/>
      <c r="AQV245" s="475"/>
      <c r="AQW245" s="475"/>
      <c r="AQX245" s="475"/>
      <c r="AQY245" s="475"/>
      <c r="AQZ245" s="475"/>
      <c r="ARA245" s="475"/>
      <c r="ARB245" s="475"/>
      <c r="ARC245" s="475"/>
      <c r="ARD245" s="475"/>
      <c r="ARE245" s="475"/>
      <c r="ARF245" s="475"/>
      <c r="ARG245" s="475"/>
      <c r="ARH245" s="475"/>
      <c r="ARI245" s="475"/>
      <c r="ARJ245" s="475"/>
      <c r="ARK245" s="475"/>
      <c r="ARL245" s="475"/>
      <c r="ARM245" s="475"/>
      <c r="ARN245" s="475"/>
      <c r="ARO245" s="475"/>
      <c r="ARP245" s="475"/>
      <c r="ARQ245" s="475"/>
      <c r="ARR245" s="475"/>
      <c r="ARS245" s="475"/>
      <c r="ART245" s="475"/>
      <c r="ARU245" s="475"/>
      <c r="ARV245" s="475"/>
      <c r="ARW245" s="475"/>
      <c r="ARX245" s="475"/>
      <c r="ARY245" s="475"/>
      <c r="ARZ245" s="475"/>
      <c r="ASA245" s="475"/>
      <c r="ASB245" s="475"/>
      <c r="ASC245" s="475"/>
      <c r="ASD245" s="475"/>
      <c r="ASE245" s="475"/>
      <c r="ASF245" s="475"/>
      <c r="ASG245" s="475"/>
      <c r="ASH245" s="475"/>
      <c r="ASI245" s="475"/>
      <c r="ASJ245" s="475"/>
      <c r="ASK245" s="475"/>
      <c r="ASL245" s="475"/>
      <c r="ASM245" s="475"/>
      <c r="ASN245" s="475"/>
      <c r="ASO245" s="475"/>
      <c r="ASP245" s="475"/>
      <c r="ASQ245" s="475"/>
      <c r="ASR245" s="475"/>
      <c r="ASS245" s="475"/>
      <c r="AST245" s="475"/>
      <c r="ASU245" s="475"/>
      <c r="ASV245" s="475"/>
      <c r="ASW245" s="475"/>
      <c r="ASX245" s="475"/>
      <c r="ASY245" s="475"/>
      <c r="ASZ245" s="475"/>
      <c r="ATA245" s="475"/>
      <c r="ATB245" s="475"/>
      <c r="ATC245" s="475"/>
      <c r="ATD245" s="475"/>
      <c r="ATE245" s="475"/>
      <c r="ATF245" s="475"/>
      <c r="ATG245" s="475"/>
      <c r="ATH245" s="475"/>
      <c r="ATI245" s="475"/>
      <c r="ATJ245" s="475"/>
      <c r="ATK245" s="475"/>
      <c r="ATL245" s="475"/>
      <c r="ATM245" s="475"/>
      <c r="ATN245" s="475"/>
      <c r="ATO245" s="475"/>
      <c r="ATP245" s="475"/>
      <c r="ATQ245" s="475"/>
      <c r="ATR245" s="475"/>
      <c r="ATS245" s="475"/>
      <c r="ATT245" s="475"/>
      <c r="ATU245" s="475"/>
      <c r="ATV245" s="475"/>
      <c r="ATW245" s="475"/>
      <c r="ATX245" s="475"/>
      <c r="ATY245" s="475"/>
      <c r="ATZ245" s="475"/>
      <c r="AUA245" s="475"/>
      <c r="AUB245" s="475"/>
      <c r="AUC245" s="475"/>
      <c r="AUD245" s="475"/>
      <c r="AUE245" s="475"/>
      <c r="AUF245" s="475"/>
      <c r="AUG245" s="475"/>
      <c r="AUH245" s="475"/>
      <c r="AUI245" s="475"/>
      <c r="AUJ245" s="475"/>
      <c r="AUK245" s="475"/>
      <c r="AUL245" s="475"/>
      <c r="AUM245" s="475"/>
      <c r="AUN245" s="475"/>
      <c r="AUO245" s="475"/>
      <c r="AUP245" s="475"/>
      <c r="AUQ245" s="475"/>
      <c r="AUR245" s="475"/>
      <c r="AUS245" s="475"/>
      <c r="AUT245" s="475"/>
      <c r="AUU245" s="475"/>
      <c r="AUV245" s="475"/>
      <c r="AUW245" s="475"/>
      <c r="AUX245" s="475"/>
      <c r="AUY245" s="475"/>
      <c r="AUZ245" s="475"/>
      <c r="AVA245" s="475"/>
      <c r="AVB245" s="475"/>
      <c r="AVC245" s="475"/>
      <c r="AVD245" s="475"/>
      <c r="AVE245" s="475"/>
      <c r="AVF245" s="475"/>
      <c r="AVG245" s="475"/>
      <c r="AVH245" s="475"/>
      <c r="AVI245" s="475"/>
      <c r="AVJ245" s="475"/>
      <c r="AVK245" s="475"/>
      <c r="AVL245" s="475"/>
      <c r="AVM245" s="475"/>
      <c r="AVN245" s="475"/>
      <c r="AVO245" s="475"/>
      <c r="AVP245" s="475"/>
      <c r="AVQ245" s="475"/>
      <c r="AVR245" s="475"/>
      <c r="AVS245" s="475"/>
      <c r="AVT245" s="475"/>
      <c r="AVU245" s="475"/>
      <c r="AVV245" s="475"/>
      <c r="AVW245" s="475"/>
      <c r="AVX245" s="475"/>
      <c r="AVY245" s="475"/>
      <c r="AVZ245" s="475"/>
      <c r="AWA245" s="475"/>
      <c r="AWB245" s="475"/>
      <c r="AWC245" s="475"/>
      <c r="AWD245" s="475"/>
      <c r="AWE245" s="475"/>
      <c r="AWF245" s="475"/>
      <c r="AWG245" s="475"/>
      <c r="AWH245" s="475"/>
      <c r="AWI245" s="475"/>
      <c r="AWJ245" s="475"/>
      <c r="AWK245" s="475"/>
      <c r="AWL245" s="475"/>
      <c r="AWM245" s="475"/>
      <c r="AWN245" s="475"/>
      <c r="AWO245" s="475"/>
      <c r="AWP245" s="475"/>
      <c r="AWQ245" s="475"/>
      <c r="AWR245" s="475"/>
      <c r="AWS245" s="475"/>
      <c r="AWT245" s="475"/>
      <c r="AWU245" s="475"/>
      <c r="AWV245" s="475"/>
      <c r="AWW245" s="475"/>
      <c r="AWX245" s="475"/>
      <c r="AWY245" s="475"/>
      <c r="AWZ245" s="475"/>
      <c r="AXA245" s="475"/>
      <c r="AXB245" s="475"/>
      <c r="AXC245" s="475"/>
      <c r="AXD245" s="475"/>
      <c r="AXE245" s="475"/>
      <c r="AXF245" s="475"/>
      <c r="AXG245" s="475"/>
      <c r="AXH245" s="475"/>
      <c r="AXI245" s="475"/>
      <c r="AXJ245" s="475"/>
      <c r="AXK245" s="475"/>
      <c r="AXL245" s="475"/>
      <c r="AXM245" s="475"/>
      <c r="AXN245" s="475"/>
      <c r="AXO245" s="475"/>
      <c r="AXP245" s="475"/>
      <c r="AXQ245" s="475"/>
      <c r="AXR245" s="475"/>
      <c r="AXS245" s="475"/>
      <c r="AXT245" s="475"/>
      <c r="AXU245" s="475"/>
      <c r="AXV245" s="475"/>
      <c r="AXW245" s="475"/>
      <c r="AXX245" s="475"/>
      <c r="AXY245" s="475"/>
      <c r="AXZ245" s="475"/>
      <c r="AYA245" s="475"/>
      <c r="AYB245" s="475"/>
      <c r="AYC245" s="475"/>
      <c r="AYD245" s="475"/>
      <c r="AYE245" s="475"/>
      <c r="AYF245" s="475"/>
      <c r="AYG245" s="475"/>
      <c r="AYH245" s="475"/>
      <c r="AYI245" s="475"/>
      <c r="AYJ245" s="475"/>
      <c r="AYK245" s="475"/>
      <c r="AYL245" s="475"/>
      <c r="AYM245" s="475"/>
      <c r="AYN245" s="475"/>
      <c r="AYO245" s="475"/>
      <c r="AYP245" s="475"/>
      <c r="AYQ245" s="475"/>
      <c r="AYR245" s="475"/>
      <c r="AYS245" s="475"/>
      <c r="AYT245" s="475"/>
      <c r="AYU245" s="475"/>
      <c r="AYV245" s="475"/>
      <c r="AYW245" s="475"/>
      <c r="AYX245" s="475"/>
      <c r="AYY245" s="475"/>
      <c r="AYZ245" s="475"/>
      <c r="AZA245" s="475"/>
      <c r="AZB245" s="475"/>
      <c r="AZC245" s="475"/>
      <c r="AZD245" s="475"/>
      <c r="AZE245" s="475"/>
      <c r="AZF245" s="475"/>
      <c r="AZG245" s="475"/>
      <c r="AZH245" s="475"/>
      <c r="AZI245" s="475"/>
      <c r="AZJ245" s="475"/>
      <c r="AZK245" s="475"/>
      <c r="AZL245" s="475"/>
      <c r="AZM245" s="475"/>
      <c r="AZN245" s="475"/>
      <c r="AZO245" s="475"/>
      <c r="AZP245" s="475"/>
      <c r="AZQ245" s="475"/>
      <c r="AZR245" s="475"/>
      <c r="AZS245" s="475"/>
      <c r="AZT245" s="475"/>
      <c r="AZU245" s="475"/>
      <c r="AZV245" s="475"/>
      <c r="AZW245" s="475"/>
      <c r="AZX245" s="475"/>
      <c r="AZY245" s="475"/>
      <c r="AZZ245" s="475"/>
      <c r="BAA245" s="475"/>
      <c r="BAB245" s="475"/>
      <c r="BAC245" s="475"/>
      <c r="BAD245" s="475"/>
      <c r="BAE245" s="475"/>
      <c r="BAF245" s="475"/>
      <c r="BAG245" s="475"/>
      <c r="BAH245" s="475"/>
      <c r="BAI245" s="475"/>
      <c r="BAJ245" s="475"/>
      <c r="BAK245" s="475"/>
      <c r="BAL245" s="475"/>
      <c r="BAM245" s="475"/>
      <c r="BAN245" s="475"/>
      <c r="BAO245" s="475"/>
      <c r="BAP245" s="475"/>
      <c r="BAQ245" s="475"/>
      <c r="BAR245" s="475"/>
      <c r="BAS245" s="475"/>
      <c r="BAT245" s="475"/>
      <c r="BAU245" s="475"/>
      <c r="BAV245" s="475"/>
      <c r="BAW245" s="475"/>
      <c r="BAX245" s="475"/>
      <c r="BAY245" s="475"/>
      <c r="BAZ245" s="475"/>
      <c r="BBA245" s="475"/>
      <c r="BBB245" s="475"/>
      <c r="BBC245" s="475"/>
      <c r="BBD245" s="475"/>
      <c r="BBE245" s="475"/>
      <c r="BBF245" s="475"/>
      <c r="BBG245" s="475"/>
      <c r="BBH245" s="475"/>
      <c r="BBI245" s="475"/>
      <c r="BBJ245" s="475"/>
      <c r="BBK245" s="475"/>
      <c r="BBL245" s="475"/>
      <c r="BBM245" s="475"/>
      <c r="BBN245" s="475"/>
      <c r="BBO245" s="475"/>
      <c r="BBP245" s="475"/>
      <c r="BBQ245" s="475"/>
      <c r="BBR245" s="475"/>
      <c r="BBS245" s="475"/>
      <c r="BBT245" s="475"/>
      <c r="BBU245" s="475"/>
      <c r="BBV245" s="475"/>
      <c r="BBW245" s="475"/>
      <c r="BBX245" s="475"/>
      <c r="BBY245" s="475"/>
      <c r="BBZ245" s="475"/>
      <c r="BCA245" s="475"/>
      <c r="BCB245" s="475"/>
      <c r="BCC245" s="475"/>
      <c r="BCD245" s="475"/>
      <c r="BCE245" s="475"/>
      <c r="BCF245" s="475"/>
      <c r="BCG245" s="475"/>
      <c r="BCH245" s="475"/>
      <c r="BCI245" s="475"/>
      <c r="BCJ245" s="475"/>
      <c r="BCK245" s="475"/>
      <c r="BCL245" s="475"/>
      <c r="BCM245" s="475"/>
      <c r="BCN245" s="475"/>
      <c r="BCO245" s="475"/>
      <c r="BCP245" s="475"/>
      <c r="BCQ245" s="475"/>
      <c r="BCR245" s="475"/>
      <c r="BCS245" s="475"/>
      <c r="BCT245" s="475"/>
      <c r="BCU245" s="475"/>
      <c r="BCV245" s="475"/>
      <c r="BCW245" s="475"/>
      <c r="BCX245" s="475"/>
      <c r="BCY245" s="475"/>
      <c r="BCZ245" s="475"/>
      <c r="BDA245" s="475"/>
      <c r="BDB245" s="475"/>
      <c r="BDC245" s="475"/>
      <c r="BDD245" s="475"/>
      <c r="BDE245" s="475"/>
      <c r="BDF245" s="475"/>
      <c r="BDG245" s="475"/>
      <c r="BDH245" s="475"/>
      <c r="BDI245" s="475"/>
      <c r="BDJ245" s="475"/>
      <c r="BDK245" s="475"/>
      <c r="BDL245" s="475"/>
      <c r="BDM245" s="475"/>
      <c r="BDN245" s="475"/>
      <c r="BDO245" s="475"/>
      <c r="BDP245" s="475"/>
      <c r="BDQ245" s="475"/>
      <c r="BDR245" s="475"/>
      <c r="BDS245" s="475"/>
      <c r="BDT245" s="475"/>
      <c r="BDU245" s="475"/>
      <c r="BDV245" s="475"/>
      <c r="BDW245" s="475"/>
      <c r="BDX245" s="475"/>
      <c r="BDY245" s="475"/>
      <c r="BDZ245" s="475"/>
      <c r="BEA245" s="475"/>
      <c r="BEB245" s="475"/>
      <c r="BEC245" s="475"/>
      <c r="BED245" s="475"/>
      <c r="BEE245" s="475"/>
      <c r="BEF245" s="475"/>
      <c r="BEG245" s="475"/>
      <c r="BEH245" s="475"/>
      <c r="BEI245" s="475"/>
      <c r="BEJ245" s="475"/>
      <c r="BEK245" s="475"/>
      <c r="BEL245" s="475"/>
      <c r="BEM245" s="475"/>
      <c r="BEN245" s="475"/>
      <c r="BEO245" s="475"/>
      <c r="BEP245" s="475"/>
      <c r="BEQ245" s="475"/>
      <c r="BER245" s="475"/>
      <c r="BES245" s="475"/>
      <c r="BET245" s="475"/>
      <c r="BEU245" s="475"/>
      <c r="BEV245" s="475"/>
      <c r="BEW245" s="475"/>
      <c r="BEX245" s="475"/>
      <c r="BEY245" s="475"/>
      <c r="BEZ245" s="475"/>
      <c r="BFA245" s="475"/>
      <c r="BFB245" s="475"/>
      <c r="BFC245" s="475"/>
      <c r="BFD245" s="475"/>
      <c r="BFE245" s="475"/>
      <c r="BFF245" s="475"/>
      <c r="BFG245" s="475"/>
      <c r="BFH245" s="475"/>
      <c r="BFI245" s="475"/>
      <c r="BFJ245" s="475"/>
      <c r="BFK245" s="475"/>
      <c r="BFL245" s="475"/>
      <c r="BFM245" s="475"/>
      <c r="BFN245" s="475"/>
      <c r="BFO245" s="475"/>
      <c r="BFP245" s="475"/>
      <c r="BFQ245" s="475"/>
      <c r="BFR245" s="475"/>
      <c r="BFS245" s="475"/>
      <c r="BFT245" s="475"/>
      <c r="BFU245" s="475"/>
      <c r="BFV245" s="475"/>
      <c r="BFW245" s="475"/>
      <c r="BFX245" s="475"/>
      <c r="BFY245" s="475"/>
      <c r="BFZ245" s="475"/>
      <c r="BGA245" s="475"/>
      <c r="BGB245" s="475"/>
      <c r="BGC245" s="475"/>
      <c r="BGD245" s="475"/>
      <c r="BGE245" s="475"/>
      <c r="BGF245" s="475"/>
      <c r="BGG245" s="475"/>
      <c r="BGH245" s="475"/>
      <c r="BGI245" s="475"/>
      <c r="BGJ245" s="475"/>
      <c r="BGK245" s="475"/>
      <c r="BGL245" s="475"/>
      <c r="BGM245" s="475"/>
      <c r="BGN245" s="475"/>
      <c r="BGO245" s="475"/>
      <c r="BGP245" s="475"/>
      <c r="BGQ245" s="475"/>
      <c r="BGR245" s="475"/>
      <c r="BGS245" s="475"/>
      <c r="BGT245" s="475"/>
      <c r="BGU245" s="475"/>
      <c r="BGV245" s="475"/>
      <c r="BGW245" s="475"/>
      <c r="BGX245" s="475"/>
      <c r="BGY245" s="475"/>
      <c r="BGZ245" s="475"/>
      <c r="BHA245" s="475"/>
      <c r="BHB245" s="475"/>
      <c r="BHC245" s="475"/>
      <c r="BHD245" s="475"/>
      <c r="BHE245" s="475"/>
      <c r="BHF245" s="475"/>
      <c r="BHG245" s="475"/>
      <c r="BHH245" s="475"/>
      <c r="BHI245" s="475"/>
      <c r="BHJ245" s="475"/>
      <c r="BHK245" s="475"/>
      <c r="BHL245" s="475"/>
      <c r="BHM245" s="475"/>
      <c r="BHN245" s="475"/>
      <c r="BHO245" s="475"/>
      <c r="BHP245" s="475"/>
      <c r="BHQ245" s="475"/>
      <c r="BHR245" s="475"/>
      <c r="BHS245" s="475"/>
      <c r="BHT245" s="475"/>
      <c r="BHU245" s="475"/>
      <c r="BHV245" s="475"/>
      <c r="BHW245" s="475"/>
      <c r="BHX245" s="475"/>
      <c r="BHY245" s="475"/>
      <c r="BHZ245" s="475"/>
      <c r="BIA245" s="475"/>
      <c r="BIB245" s="475"/>
      <c r="BIC245" s="475"/>
      <c r="BID245" s="475"/>
      <c r="BIE245" s="475"/>
      <c r="BIF245" s="475"/>
      <c r="BIG245" s="475"/>
      <c r="BIH245" s="475"/>
      <c r="BII245" s="475"/>
      <c r="BIJ245" s="475"/>
      <c r="BIK245" s="475"/>
      <c r="BIL245" s="475"/>
      <c r="BIM245" s="475"/>
      <c r="BIN245" s="475"/>
      <c r="BIO245" s="475"/>
      <c r="BIP245" s="475"/>
      <c r="BIQ245" s="475"/>
      <c r="BIR245" s="475"/>
      <c r="BIS245" s="475"/>
      <c r="BIT245" s="475"/>
      <c r="BIU245" s="475"/>
      <c r="BIV245" s="475"/>
      <c r="BIW245" s="475"/>
      <c r="BIX245" s="475"/>
      <c r="BIY245" s="475"/>
      <c r="BIZ245" s="475"/>
      <c r="BJA245" s="475"/>
      <c r="BJB245" s="475"/>
      <c r="BJC245" s="475"/>
      <c r="BJD245" s="475"/>
      <c r="BJE245" s="475"/>
      <c r="BJF245" s="475"/>
      <c r="BJG245" s="475"/>
      <c r="BJH245" s="475"/>
      <c r="BJI245" s="475"/>
      <c r="BJJ245" s="475"/>
      <c r="BJK245" s="475"/>
      <c r="BJL245" s="475"/>
      <c r="BJM245" s="475"/>
      <c r="BJN245" s="475"/>
      <c r="BJO245" s="475"/>
      <c r="BJP245" s="475"/>
      <c r="BJQ245" s="475"/>
      <c r="BJR245" s="475"/>
      <c r="BJS245" s="475"/>
      <c r="BJT245" s="475"/>
      <c r="BJU245" s="475"/>
      <c r="BJV245" s="475"/>
      <c r="BJW245" s="475"/>
      <c r="BJX245" s="475"/>
      <c r="BJY245" s="475"/>
      <c r="BJZ245" s="475"/>
      <c r="BKA245" s="475"/>
      <c r="BKB245" s="475"/>
      <c r="BKC245" s="475"/>
      <c r="BKD245" s="475"/>
      <c r="BKE245" s="475"/>
      <c r="BKF245" s="475"/>
      <c r="BKG245" s="475"/>
      <c r="BKH245" s="475"/>
      <c r="BKI245" s="475"/>
      <c r="BKJ245" s="475"/>
      <c r="BKK245" s="475"/>
      <c r="BKL245" s="475"/>
      <c r="BKM245" s="475"/>
      <c r="BKN245" s="475"/>
      <c r="BKO245" s="475"/>
      <c r="BKP245" s="475"/>
      <c r="BKQ245" s="475"/>
      <c r="BKR245" s="475"/>
      <c r="BKS245" s="475"/>
      <c r="BKT245" s="475"/>
      <c r="BKU245" s="475"/>
      <c r="BKV245" s="475"/>
      <c r="BKW245" s="475"/>
      <c r="BKX245" s="475"/>
      <c r="BKY245" s="475"/>
      <c r="BKZ245" s="475"/>
      <c r="BLA245" s="475"/>
      <c r="BLB245" s="475"/>
      <c r="BLC245" s="475"/>
      <c r="BLD245" s="475"/>
      <c r="BLE245" s="475"/>
      <c r="BLF245" s="475"/>
      <c r="BLG245" s="475"/>
      <c r="BLH245" s="475"/>
      <c r="BLI245" s="475"/>
      <c r="BLJ245" s="475"/>
      <c r="BLK245" s="475"/>
      <c r="BLL245" s="475"/>
      <c r="BLM245" s="475"/>
      <c r="BLN245" s="475"/>
      <c r="BLO245" s="475"/>
      <c r="BLP245" s="475"/>
      <c r="BLQ245" s="475"/>
      <c r="BLR245" s="475"/>
      <c r="BLS245" s="475"/>
      <c r="BLT245" s="475"/>
      <c r="BLU245" s="475"/>
      <c r="BLV245" s="475"/>
      <c r="BLW245" s="475"/>
      <c r="BLX245" s="475"/>
      <c r="BLY245" s="475"/>
      <c r="BLZ245" s="475"/>
      <c r="BMA245" s="475"/>
      <c r="BMB245" s="475"/>
      <c r="BMC245" s="475"/>
      <c r="BMD245" s="475"/>
      <c r="BME245" s="475"/>
      <c r="BMF245" s="475"/>
      <c r="BMG245" s="475"/>
      <c r="BMH245" s="475"/>
      <c r="BMI245" s="475"/>
      <c r="BMJ245" s="475"/>
      <c r="BMK245" s="475"/>
      <c r="BML245" s="475"/>
      <c r="BMM245" s="475"/>
      <c r="BMN245" s="475"/>
      <c r="BMO245" s="475"/>
      <c r="BMP245" s="475"/>
      <c r="BMQ245" s="475"/>
      <c r="BMR245" s="475"/>
      <c r="BMS245" s="475"/>
      <c r="BMT245" s="475"/>
      <c r="BMU245" s="475"/>
      <c r="BMV245" s="475"/>
      <c r="BMW245" s="475"/>
      <c r="BMX245" s="475"/>
      <c r="BMY245" s="475"/>
      <c r="BMZ245" s="475"/>
      <c r="BNA245" s="475"/>
      <c r="BNB245" s="475"/>
      <c r="BNC245" s="475"/>
      <c r="BND245" s="475"/>
      <c r="BNE245" s="475"/>
      <c r="BNF245" s="475"/>
      <c r="BNG245" s="475"/>
      <c r="BNH245" s="475"/>
      <c r="BNI245" s="475"/>
      <c r="BNJ245" s="475"/>
      <c r="BNK245" s="475"/>
      <c r="BNL245" s="475"/>
      <c r="BNM245" s="475"/>
      <c r="BNN245" s="475"/>
      <c r="BNO245" s="475"/>
      <c r="BNP245" s="475"/>
      <c r="BNQ245" s="475"/>
      <c r="BNR245" s="475"/>
      <c r="BNS245" s="475"/>
      <c r="BNT245" s="475"/>
      <c r="BNU245" s="475"/>
      <c r="BNV245" s="475"/>
      <c r="BNW245" s="475"/>
      <c r="BNX245" s="475"/>
      <c r="BNY245" s="475"/>
      <c r="BNZ245" s="475"/>
      <c r="BOA245" s="475"/>
      <c r="BOB245" s="475"/>
      <c r="BOC245" s="475"/>
      <c r="BOD245" s="475"/>
      <c r="BOE245" s="475"/>
      <c r="BOF245" s="475"/>
      <c r="BOG245" s="475"/>
      <c r="BOH245" s="475"/>
      <c r="BOI245" s="475"/>
      <c r="BOJ245" s="475"/>
      <c r="BOK245" s="475"/>
      <c r="BOL245" s="475"/>
      <c r="BOM245" s="475"/>
      <c r="BON245" s="475"/>
      <c r="BOO245" s="475"/>
      <c r="BOP245" s="475"/>
      <c r="BOQ245" s="475"/>
      <c r="BOR245" s="475"/>
      <c r="BOS245" s="475"/>
      <c r="BOT245" s="475"/>
      <c r="BOU245" s="475"/>
      <c r="BOV245" s="475"/>
      <c r="BOW245" s="475"/>
      <c r="BOX245" s="475"/>
      <c r="BOY245" s="475"/>
      <c r="BOZ245" s="475"/>
      <c r="BPA245" s="475"/>
      <c r="BPB245" s="475"/>
      <c r="BPC245" s="475"/>
      <c r="BPD245" s="475"/>
      <c r="BPE245" s="475"/>
      <c r="BPF245" s="475"/>
      <c r="BPG245" s="475"/>
      <c r="BPH245" s="475"/>
      <c r="BPI245" s="475"/>
      <c r="BPJ245" s="475"/>
      <c r="BPK245" s="475"/>
      <c r="BPL245" s="475"/>
      <c r="BPM245" s="475"/>
      <c r="BPN245" s="475"/>
      <c r="BPO245" s="475"/>
      <c r="BPP245" s="475"/>
      <c r="BPQ245" s="475"/>
      <c r="BPR245" s="475"/>
      <c r="BPS245" s="475"/>
      <c r="BPT245" s="475"/>
      <c r="BPU245" s="475"/>
      <c r="BPV245" s="475"/>
      <c r="BPW245" s="475"/>
      <c r="BPX245" s="475"/>
      <c r="BPY245" s="475"/>
      <c r="BPZ245" s="475"/>
      <c r="BQA245" s="475"/>
      <c r="BQB245" s="475"/>
      <c r="BQC245" s="475"/>
      <c r="BQD245" s="475"/>
      <c r="BQE245" s="475"/>
      <c r="BQF245" s="475"/>
      <c r="BQG245" s="475"/>
      <c r="BQH245" s="475"/>
      <c r="BQI245" s="475"/>
      <c r="BQJ245" s="475"/>
      <c r="BQK245" s="475"/>
      <c r="BQL245" s="475"/>
      <c r="BQM245" s="475"/>
      <c r="BQN245" s="475"/>
      <c r="BQO245" s="475"/>
      <c r="BQP245" s="475"/>
      <c r="BQQ245" s="475"/>
      <c r="BQR245" s="475"/>
      <c r="BQS245" s="475"/>
      <c r="BQT245" s="475"/>
      <c r="BQU245" s="475"/>
      <c r="BQV245" s="475"/>
      <c r="BQW245" s="475"/>
      <c r="BQX245" s="475"/>
      <c r="BQY245" s="475"/>
      <c r="BQZ245" s="475"/>
      <c r="BRA245" s="475"/>
      <c r="BRB245" s="475"/>
      <c r="BRC245" s="475"/>
      <c r="BRD245" s="475"/>
      <c r="BRE245" s="475"/>
      <c r="BRF245" s="475"/>
      <c r="BRG245" s="475"/>
      <c r="BRH245" s="475"/>
      <c r="BRI245" s="475"/>
      <c r="BRJ245" s="475"/>
      <c r="BRK245" s="475"/>
      <c r="BRL245" s="475"/>
      <c r="BRM245" s="475"/>
      <c r="BRN245" s="475"/>
      <c r="BRO245" s="475"/>
      <c r="BRP245" s="475"/>
      <c r="BRQ245" s="475"/>
      <c r="BRR245" s="475"/>
      <c r="BRS245" s="475"/>
      <c r="BRT245" s="475"/>
      <c r="BRU245" s="475"/>
      <c r="BRV245" s="475"/>
      <c r="BRW245" s="475"/>
      <c r="BRX245" s="475"/>
      <c r="BRY245" s="475"/>
      <c r="BRZ245" s="475"/>
      <c r="BSA245" s="475"/>
      <c r="BSB245" s="475"/>
      <c r="BSC245" s="475"/>
      <c r="BSD245" s="475"/>
      <c r="BSE245" s="475"/>
      <c r="BSF245" s="475"/>
      <c r="BSG245" s="475"/>
      <c r="BSH245" s="475"/>
      <c r="BSI245" s="475"/>
      <c r="BSJ245" s="475"/>
      <c r="BSK245" s="475"/>
      <c r="BSL245" s="475"/>
      <c r="BSM245" s="475"/>
      <c r="BSN245" s="475"/>
      <c r="BSO245" s="475"/>
      <c r="BSP245" s="475"/>
      <c r="BSQ245" s="475"/>
      <c r="BSR245" s="475"/>
      <c r="BSS245" s="475"/>
      <c r="BST245" s="475"/>
      <c r="BSU245" s="475"/>
      <c r="BSV245" s="475"/>
      <c r="BSW245" s="475"/>
      <c r="BSX245" s="475"/>
      <c r="BSY245" s="475"/>
      <c r="BSZ245" s="475"/>
      <c r="BTA245" s="475"/>
      <c r="BTB245" s="475"/>
      <c r="BTC245" s="475"/>
      <c r="BTD245" s="475"/>
      <c r="BTE245" s="475"/>
      <c r="BTF245" s="475"/>
      <c r="BTG245" s="475"/>
      <c r="BTH245" s="475"/>
      <c r="BTI245" s="475"/>
    </row>
    <row r="246" spans="1:1881" s="474" customFormat="1" ht="21" thickBot="1" x14ac:dyDescent="0.3">
      <c r="A246" s="543"/>
      <c r="B246" s="546"/>
      <c r="C246" s="540"/>
      <c r="D246" s="545" t="s">
        <v>777</v>
      </c>
      <c r="E246" s="541"/>
      <c r="F246" s="542"/>
      <c r="G246" s="542"/>
      <c r="H246" s="544"/>
      <c r="I246"/>
      <c r="J246"/>
      <c r="K246"/>
      <c r="L246"/>
      <c r="M246"/>
      <c r="N246"/>
      <c r="O246"/>
      <c r="P246" s="475"/>
      <c r="Q246" s="475"/>
      <c r="R246"/>
      <c r="S246" s="471"/>
      <c r="T246" s="475"/>
      <c r="U246" s="475"/>
      <c r="V246" s="475"/>
      <c r="W246" s="475"/>
      <c r="X246" s="682"/>
      <c r="Y246" s="475"/>
      <c r="Z246" s="475"/>
      <c r="AA246" s="475"/>
      <c r="AB246" s="475"/>
      <c r="AC246" s="475"/>
      <c r="AD246" s="475"/>
      <c r="AE246" s="475"/>
      <c r="AF246" s="475"/>
      <c r="AG246" s="475"/>
      <c r="AH246" s="475"/>
      <c r="AI246" s="475"/>
      <c r="AJ246" s="475"/>
      <c r="AK246" s="475"/>
      <c r="AL246" s="475"/>
      <c r="AM246" s="475"/>
      <c r="AN246" s="475"/>
      <c r="AO246" s="475"/>
      <c r="AP246" s="475"/>
      <c r="AQ246" s="475"/>
      <c r="AR246" s="475"/>
      <c r="AS246" s="475"/>
      <c r="AT246" s="475"/>
      <c r="AU246" s="475"/>
      <c r="AV246" s="475"/>
      <c r="AW246" s="475"/>
      <c r="AX246" s="475"/>
      <c r="AY246" s="475"/>
      <c r="AZ246" s="475"/>
      <c r="BA246" s="475"/>
      <c r="BB246" s="475"/>
      <c r="BC246" s="475"/>
      <c r="BD246" s="475"/>
      <c r="BE246" s="475"/>
      <c r="BF246" s="475"/>
      <c r="BG246" s="475"/>
      <c r="BH246" s="475"/>
      <c r="BI246" s="475"/>
      <c r="BJ246" s="475"/>
      <c r="BK246" s="475"/>
      <c r="BL246" s="475"/>
      <c r="BM246" s="475"/>
      <c r="BN246" s="475"/>
      <c r="BO246" s="475"/>
      <c r="BP246" s="475"/>
      <c r="BQ246" s="475"/>
      <c r="BR246" s="475"/>
      <c r="BS246" s="475"/>
      <c r="BT246" s="475"/>
      <c r="BU246" s="475"/>
      <c r="BV246" s="475"/>
      <c r="BW246" s="475"/>
      <c r="BX246" s="475"/>
      <c r="BY246" s="475"/>
      <c r="BZ246" s="475"/>
      <c r="CA246" s="475"/>
      <c r="CB246" s="475"/>
      <c r="CC246" s="475"/>
      <c r="CD246" s="475"/>
      <c r="CE246" s="475"/>
      <c r="CF246" s="475"/>
      <c r="CG246" s="475"/>
      <c r="CH246" s="475"/>
      <c r="CI246" s="475"/>
      <c r="CJ246" s="475"/>
      <c r="CK246" s="475"/>
      <c r="CL246" s="475"/>
      <c r="CM246" s="475"/>
      <c r="CN246" s="475"/>
      <c r="CO246" s="475"/>
      <c r="CP246" s="475"/>
      <c r="CQ246" s="475"/>
      <c r="CR246" s="475"/>
      <c r="CS246" s="475"/>
      <c r="CT246" s="475"/>
      <c r="CU246" s="475"/>
      <c r="CV246" s="475"/>
      <c r="CW246" s="475"/>
      <c r="CX246" s="475"/>
      <c r="CY246" s="475"/>
      <c r="CZ246" s="475"/>
      <c r="DA246" s="475"/>
      <c r="DB246" s="475"/>
      <c r="DC246" s="475"/>
      <c r="DD246" s="475"/>
      <c r="DE246" s="475"/>
      <c r="DF246" s="475"/>
      <c r="DG246" s="475"/>
      <c r="DH246" s="475"/>
      <c r="DI246" s="475"/>
      <c r="DJ246" s="475"/>
      <c r="DK246" s="475"/>
      <c r="DL246" s="475"/>
      <c r="DM246" s="475"/>
      <c r="DN246" s="475"/>
      <c r="DO246" s="475"/>
      <c r="DP246" s="475"/>
      <c r="DQ246" s="475"/>
      <c r="DR246" s="475"/>
      <c r="DS246" s="475"/>
      <c r="DT246" s="475"/>
      <c r="DU246" s="475"/>
      <c r="DV246" s="475"/>
      <c r="DW246" s="475"/>
      <c r="DX246" s="475"/>
      <c r="DY246" s="475"/>
      <c r="DZ246" s="475"/>
      <c r="EA246" s="475"/>
      <c r="EB246" s="475"/>
      <c r="EC246" s="475"/>
      <c r="ED246" s="475"/>
      <c r="EE246" s="475"/>
      <c r="EF246" s="475"/>
      <c r="EG246" s="475"/>
      <c r="EH246" s="475"/>
      <c r="EI246" s="475"/>
      <c r="EJ246" s="475"/>
      <c r="EK246" s="475"/>
      <c r="EL246" s="475"/>
      <c r="EM246" s="475"/>
      <c r="EN246" s="475"/>
      <c r="EO246" s="475"/>
      <c r="EP246" s="475"/>
      <c r="EQ246" s="475"/>
      <c r="ER246" s="475"/>
      <c r="ES246" s="475"/>
      <c r="ET246" s="475"/>
      <c r="EU246" s="475"/>
      <c r="EV246" s="475"/>
      <c r="EW246" s="475"/>
      <c r="EX246" s="475"/>
      <c r="EY246" s="475"/>
      <c r="EZ246" s="475"/>
      <c r="FA246" s="475"/>
      <c r="FB246" s="475"/>
      <c r="FC246" s="475"/>
      <c r="FD246" s="475"/>
      <c r="FE246" s="475"/>
      <c r="FF246" s="475"/>
      <c r="FG246" s="475"/>
      <c r="FH246" s="475"/>
      <c r="FI246" s="475"/>
      <c r="FJ246" s="475"/>
      <c r="FK246" s="475"/>
      <c r="FL246" s="475"/>
      <c r="FM246" s="475"/>
      <c r="FN246" s="475"/>
      <c r="FO246" s="475"/>
      <c r="FP246" s="475"/>
      <c r="FQ246" s="475"/>
      <c r="FR246" s="475"/>
      <c r="FS246" s="475"/>
      <c r="FT246" s="475"/>
      <c r="FU246" s="475"/>
      <c r="FV246" s="475"/>
      <c r="FW246" s="475"/>
      <c r="FX246" s="475"/>
      <c r="FY246" s="475"/>
      <c r="FZ246" s="475"/>
      <c r="GA246" s="475"/>
      <c r="GB246" s="475"/>
      <c r="GC246" s="475"/>
      <c r="GD246" s="475"/>
      <c r="GE246" s="475"/>
      <c r="GF246" s="475"/>
      <c r="GG246" s="475"/>
      <c r="GH246" s="475"/>
      <c r="GI246" s="475"/>
      <c r="GJ246" s="475"/>
      <c r="GK246" s="475"/>
      <c r="GL246" s="475"/>
      <c r="GM246" s="475"/>
      <c r="GN246" s="475"/>
      <c r="GO246" s="475"/>
      <c r="GP246" s="475"/>
      <c r="GQ246" s="475"/>
      <c r="GR246" s="475"/>
      <c r="GS246" s="475"/>
      <c r="GT246" s="475"/>
      <c r="GU246" s="475"/>
      <c r="GV246" s="475"/>
      <c r="GW246" s="475"/>
      <c r="GX246" s="475"/>
      <c r="GY246" s="475"/>
      <c r="GZ246" s="475"/>
      <c r="HA246" s="475"/>
      <c r="HB246" s="475"/>
      <c r="HC246" s="475"/>
      <c r="HD246" s="475"/>
      <c r="HE246" s="475"/>
      <c r="HF246" s="475"/>
      <c r="HG246" s="475"/>
      <c r="HH246" s="475"/>
      <c r="HI246" s="475"/>
      <c r="HJ246" s="475"/>
      <c r="HK246" s="475"/>
      <c r="HL246" s="475"/>
      <c r="HM246" s="475"/>
      <c r="HN246" s="475"/>
      <c r="HO246" s="475"/>
      <c r="HP246" s="475"/>
      <c r="HQ246" s="475"/>
      <c r="HR246" s="475"/>
      <c r="HS246" s="475"/>
      <c r="HT246" s="475"/>
      <c r="HU246" s="475"/>
      <c r="HV246" s="475"/>
      <c r="HW246" s="475"/>
      <c r="HX246" s="475"/>
      <c r="HY246" s="475"/>
      <c r="HZ246" s="475"/>
      <c r="IA246" s="475"/>
      <c r="IB246" s="475"/>
      <c r="IC246" s="475"/>
      <c r="ID246" s="475"/>
      <c r="IE246" s="475"/>
      <c r="IF246" s="475"/>
      <c r="IG246" s="475"/>
      <c r="IH246" s="475"/>
      <c r="II246" s="475"/>
      <c r="IJ246" s="475"/>
      <c r="IK246" s="475"/>
      <c r="IL246" s="475"/>
      <c r="IM246" s="475"/>
      <c r="IN246" s="475"/>
      <c r="IO246" s="475"/>
      <c r="IP246" s="475"/>
      <c r="IQ246" s="475"/>
      <c r="IR246" s="475"/>
      <c r="IS246" s="475"/>
      <c r="IT246" s="475"/>
      <c r="IU246" s="475"/>
      <c r="IV246" s="475"/>
      <c r="IW246" s="475"/>
      <c r="IX246" s="475"/>
      <c r="IY246" s="475"/>
      <c r="IZ246" s="475"/>
      <c r="JA246" s="475"/>
      <c r="JB246" s="475"/>
      <c r="JC246" s="475"/>
      <c r="JD246" s="475"/>
      <c r="JE246" s="475"/>
      <c r="JF246" s="475"/>
      <c r="JG246" s="475"/>
      <c r="JH246" s="475"/>
      <c r="JI246" s="475"/>
      <c r="JJ246" s="475"/>
      <c r="JK246" s="475"/>
      <c r="JL246" s="475"/>
      <c r="JM246" s="475"/>
      <c r="JN246" s="475"/>
      <c r="JO246" s="475"/>
      <c r="JP246" s="475"/>
      <c r="JQ246" s="475"/>
      <c r="JR246" s="475"/>
      <c r="JS246" s="475"/>
      <c r="JT246" s="475"/>
      <c r="JU246" s="475"/>
      <c r="JV246" s="475"/>
      <c r="JW246" s="475"/>
      <c r="JX246" s="475"/>
      <c r="JY246" s="475"/>
      <c r="JZ246" s="475"/>
      <c r="KA246" s="475"/>
      <c r="KB246" s="475"/>
      <c r="KC246" s="475"/>
      <c r="KD246" s="475"/>
      <c r="KE246" s="475"/>
      <c r="KF246" s="475"/>
      <c r="KG246" s="475"/>
      <c r="KH246" s="475"/>
      <c r="KI246" s="475"/>
      <c r="KJ246" s="475"/>
      <c r="KK246" s="475"/>
      <c r="KL246" s="475"/>
      <c r="KM246" s="475"/>
      <c r="KN246" s="475"/>
      <c r="KO246" s="475"/>
      <c r="KP246" s="475"/>
      <c r="KQ246" s="475"/>
      <c r="KR246" s="475"/>
      <c r="KS246" s="475"/>
      <c r="KT246" s="475"/>
      <c r="KU246" s="475"/>
      <c r="KV246" s="475"/>
      <c r="KW246" s="475"/>
      <c r="KX246" s="475"/>
      <c r="KY246" s="475"/>
      <c r="KZ246" s="475"/>
      <c r="LA246" s="475"/>
      <c r="LB246" s="475"/>
      <c r="LC246" s="475"/>
      <c r="LD246" s="475"/>
      <c r="LE246" s="475"/>
      <c r="LF246" s="475"/>
      <c r="LG246" s="475"/>
      <c r="LH246" s="475"/>
      <c r="LI246" s="475"/>
      <c r="LJ246" s="475"/>
      <c r="LK246" s="475"/>
      <c r="LL246" s="475"/>
      <c r="LM246" s="475"/>
      <c r="LN246" s="475"/>
      <c r="LO246" s="475"/>
      <c r="LP246" s="475"/>
      <c r="LQ246" s="475"/>
      <c r="LR246" s="475"/>
      <c r="LS246" s="475"/>
      <c r="LT246" s="475"/>
      <c r="LU246" s="475"/>
      <c r="LV246" s="475"/>
      <c r="LW246" s="475"/>
      <c r="LX246" s="475"/>
      <c r="LY246" s="475"/>
      <c r="LZ246" s="475"/>
      <c r="MA246" s="475"/>
      <c r="MB246" s="475"/>
      <c r="MC246" s="475"/>
      <c r="MD246" s="475"/>
      <c r="ME246" s="475"/>
      <c r="MF246" s="475"/>
      <c r="MG246" s="475"/>
      <c r="MH246" s="475"/>
      <c r="MI246" s="475"/>
      <c r="MJ246" s="475"/>
      <c r="MK246" s="475"/>
      <c r="ML246" s="475"/>
      <c r="MM246" s="475"/>
      <c r="MN246" s="475"/>
      <c r="MO246" s="475"/>
      <c r="MP246" s="475"/>
      <c r="MQ246" s="475"/>
      <c r="MR246" s="475"/>
      <c r="MS246" s="475"/>
      <c r="MT246" s="475"/>
      <c r="MU246" s="475"/>
      <c r="MV246" s="475"/>
      <c r="MW246" s="475"/>
      <c r="MX246" s="475"/>
      <c r="MY246" s="475"/>
      <c r="MZ246" s="475"/>
      <c r="NA246" s="475"/>
      <c r="NB246" s="475"/>
      <c r="NC246" s="475"/>
      <c r="ND246" s="475"/>
      <c r="NE246" s="475"/>
      <c r="NF246" s="475"/>
      <c r="NG246" s="475"/>
      <c r="NH246" s="475"/>
      <c r="NI246" s="475"/>
      <c r="NJ246" s="475"/>
      <c r="NK246" s="475"/>
      <c r="NL246" s="475"/>
      <c r="NM246" s="475"/>
      <c r="NN246" s="475"/>
      <c r="NO246" s="475"/>
      <c r="NP246" s="475"/>
      <c r="NQ246" s="475"/>
      <c r="NR246" s="475"/>
      <c r="NS246" s="475"/>
      <c r="NT246" s="475"/>
      <c r="NU246" s="475"/>
      <c r="NV246" s="475"/>
      <c r="NW246" s="475"/>
      <c r="NX246" s="475"/>
      <c r="NY246" s="475"/>
      <c r="NZ246" s="475"/>
      <c r="OA246" s="475"/>
      <c r="OB246" s="475"/>
      <c r="OC246" s="475"/>
      <c r="OD246" s="475"/>
      <c r="OE246" s="475"/>
      <c r="OF246" s="475"/>
      <c r="OG246" s="475"/>
      <c r="OH246" s="475"/>
      <c r="OI246" s="475"/>
      <c r="OJ246" s="475"/>
      <c r="OK246" s="475"/>
      <c r="OL246" s="475"/>
      <c r="OM246" s="475"/>
      <c r="ON246" s="475"/>
      <c r="OO246" s="475"/>
      <c r="OP246" s="475"/>
      <c r="OQ246" s="475"/>
      <c r="OR246" s="475"/>
      <c r="OS246" s="475"/>
      <c r="OT246" s="475"/>
      <c r="OU246" s="475"/>
      <c r="OV246" s="475"/>
      <c r="OW246" s="475"/>
      <c r="OX246" s="475"/>
      <c r="OY246" s="475"/>
      <c r="OZ246" s="475"/>
      <c r="PA246" s="475"/>
      <c r="PB246" s="475"/>
      <c r="PC246" s="475"/>
      <c r="PD246" s="475"/>
      <c r="PE246" s="475"/>
      <c r="PF246" s="475"/>
      <c r="PG246" s="475"/>
      <c r="PH246" s="475"/>
      <c r="PI246" s="475"/>
      <c r="PJ246" s="475"/>
      <c r="PK246" s="475"/>
      <c r="PL246" s="475"/>
      <c r="PM246" s="475"/>
      <c r="PN246" s="475"/>
      <c r="PO246" s="475"/>
      <c r="PP246" s="475"/>
      <c r="PQ246" s="475"/>
      <c r="PR246" s="475"/>
      <c r="PS246" s="475"/>
      <c r="PT246" s="475"/>
      <c r="PU246" s="475"/>
      <c r="PV246" s="475"/>
      <c r="PW246" s="475"/>
      <c r="PX246" s="475"/>
      <c r="PY246" s="475"/>
      <c r="PZ246" s="475"/>
      <c r="QA246" s="475"/>
      <c r="QB246" s="475"/>
      <c r="QC246" s="475"/>
      <c r="QD246" s="475"/>
      <c r="QE246" s="475"/>
      <c r="QF246" s="475"/>
      <c r="QG246" s="475"/>
      <c r="QH246" s="475"/>
      <c r="QI246" s="475"/>
      <c r="QJ246" s="475"/>
      <c r="QK246" s="475"/>
      <c r="QL246" s="475"/>
      <c r="QM246" s="475"/>
      <c r="QN246" s="475"/>
      <c r="QO246" s="475"/>
      <c r="QP246" s="475"/>
      <c r="QQ246" s="475"/>
      <c r="QR246" s="475"/>
      <c r="QS246" s="475"/>
      <c r="QT246" s="475"/>
      <c r="QU246" s="475"/>
      <c r="QV246" s="475"/>
      <c r="QW246" s="475"/>
      <c r="QX246" s="475"/>
      <c r="QY246" s="475"/>
      <c r="QZ246" s="475"/>
      <c r="RA246" s="475"/>
      <c r="RB246" s="475"/>
      <c r="RC246" s="475"/>
      <c r="RD246" s="475"/>
      <c r="RE246" s="475"/>
      <c r="RF246" s="475"/>
      <c r="RG246" s="475"/>
      <c r="RH246" s="475"/>
      <c r="RI246" s="475"/>
      <c r="RJ246" s="475"/>
      <c r="RK246" s="475"/>
      <c r="RL246" s="475"/>
      <c r="RM246" s="475"/>
      <c r="RN246" s="475"/>
      <c r="RO246" s="475"/>
      <c r="RP246" s="475"/>
      <c r="RQ246" s="475"/>
      <c r="RR246" s="475"/>
      <c r="RS246" s="475"/>
      <c r="RT246" s="475"/>
      <c r="RU246" s="475"/>
      <c r="RV246" s="475"/>
      <c r="RW246" s="475"/>
      <c r="RX246" s="475"/>
      <c r="RY246" s="475"/>
      <c r="RZ246" s="475"/>
      <c r="SA246" s="475"/>
      <c r="SB246" s="475"/>
      <c r="SC246" s="475"/>
      <c r="SD246" s="475"/>
      <c r="SE246" s="475"/>
      <c r="SF246" s="475"/>
      <c r="SG246" s="475"/>
      <c r="SH246" s="475"/>
      <c r="SI246" s="475"/>
      <c r="SJ246" s="475"/>
      <c r="SK246" s="475"/>
      <c r="SL246" s="475"/>
      <c r="SM246" s="475"/>
      <c r="SN246" s="475"/>
      <c r="SO246" s="475"/>
      <c r="SP246" s="475"/>
      <c r="SQ246" s="475"/>
      <c r="SR246" s="475"/>
      <c r="SS246" s="475"/>
      <c r="ST246" s="475"/>
      <c r="SU246" s="475"/>
      <c r="SV246" s="475"/>
      <c r="SW246" s="475"/>
      <c r="SX246" s="475"/>
      <c r="SY246" s="475"/>
      <c r="SZ246" s="475"/>
      <c r="TA246" s="475"/>
      <c r="TB246" s="475"/>
      <c r="TC246" s="475"/>
      <c r="TD246" s="475"/>
      <c r="TE246" s="475"/>
      <c r="TF246" s="475"/>
      <c r="TG246" s="475"/>
      <c r="TH246" s="475"/>
      <c r="TI246" s="475"/>
      <c r="TJ246" s="475"/>
      <c r="TK246" s="475"/>
      <c r="TL246" s="475"/>
      <c r="TM246" s="475"/>
      <c r="TN246" s="475"/>
      <c r="TO246" s="475"/>
      <c r="TP246" s="475"/>
      <c r="TQ246" s="475"/>
      <c r="TR246" s="475"/>
      <c r="TS246" s="475"/>
      <c r="TT246" s="475"/>
      <c r="TU246" s="475"/>
      <c r="TV246" s="475"/>
      <c r="TW246" s="475"/>
      <c r="TX246" s="475"/>
      <c r="TY246" s="475"/>
      <c r="TZ246" s="475"/>
      <c r="UA246" s="475"/>
      <c r="UB246" s="475"/>
      <c r="UC246" s="475"/>
      <c r="UD246" s="475"/>
      <c r="UE246" s="475"/>
      <c r="UF246" s="475"/>
      <c r="UG246" s="475"/>
      <c r="UH246" s="475"/>
      <c r="UI246" s="475"/>
      <c r="UJ246" s="475"/>
      <c r="UK246" s="475"/>
      <c r="UL246" s="475"/>
      <c r="UM246" s="475"/>
      <c r="UN246" s="475"/>
      <c r="UO246" s="475"/>
      <c r="UP246" s="475"/>
      <c r="UQ246" s="475"/>
      <c r="UR246" s="475"/>
      <c r="US246" s="475"/>
      <c r="UT246" s="475"/>
      <c r="UU246" s="475"/>
      <c r="UV246" s="475"/>
      <c r="UW246" s="475"/>
      <c r="UX246" s="475"/>
      <c r="UY246" s="475"/>
      <c r="UZ246" s="475"/>
      <c r="VA246" s="475"/>
      <c r="VB246" s="475"/>
      <c r="VC246" s="475"/>
      <c r="VD246" s="475"/>
      <c r="VE246" s="475"/>
      <c r="VF246" s="475"/>
      <c r="VG246" s="475"/>
      <c r="VH246" s="475"/>
      <c r="VI246" s="475"/>
      <c r="VJ246" s="475"/>
      <c r="VK246" s="475"/>
      <c r="VL246" s="475"/>
      <c r="VM246" s="475"/>
      <c r="VN246" s="475"/>
      <c r="VO246" s="475"/>
      <c r="VP246" s="475"/>
      <c r="VQ246" s="475"/>
      <c r="VR246" s="475"/>
      <c r="VS246" s="475"/>
      <c r="VT246" s="475"/>
      <c r="VU246" s="475"/>
      <c r="VV246" s="475"/>
      <c r="VW246" s="475"/>
      <c r="VX246" s="475"/>
      <c r="VY246" s="475"/>
      <c r="VZ246" s="475"/>
      <c r="WA246" s="475"/>
      <c r="WB246" s="475"/>
      <c r="WC246" s="475"/>
      <c r="WD246" s="475"/>
      <c r="WE246" s="475"/>
      <c r="WF246" s="475"/>
      <c r="WG246" s="475"/>
      <c r="WH246" s="475"/>
      <c r="WI246" s="475"/>
      <c r="WJ246" s="475"/>
      <c r="WK246" s="475"/>
      <c r="WL246" s="475"/>
      <c r="WM246" s="475"/>
      <c r="WN246" s="475"/>
      <c r="WO246" s="475"/>
      <c r="WP246" s="475"/>
      <c r="WQ246" s="475"/>
      <c r="WR246" s="475"/>
      <c r="WS246" s="475"/>
      <c r="WT246" s="475"/>
      <c r="WU246" s="475"/>
      <c r="WV246" s="475"/>
      <c r="WW246" s="475"/>
      <c r="WX246" s="475"/>
      <c r="WY246" s="475"/>
      <c r="WZ246" s="475"/>
      <c r="XA246" s="475"/>
      <c r="XB246" s="475"/>
      <c r="XC246" s="475"/>
      <c r="XD246" s="475"/>
      <c r="XE246" s="475"/>
      <c r="XF246" s="475"/>
      <c r="XG246" s="475"/>
      <c r="XH246" s="475"/>
      <c r="XI246" s="475"/>
      <c r="XJ246" s="475"/>
      <c r="XK246" s="475"/>
      <c r="XL246" s="475"/>
      <c r="XM246" s="475"/>
      <c r="XN246" s="475"/>
      <c r="XO246" s="475"/>
      <c r="XP246" s="475"/>
      <c r="XQ246" s="475"/>
      <c r="XR246" s="475"/>
      <c r="XS246" s="475"/>
      <c r="XT246" s="475"/>
      <c r="XU246" s="475"/>
      <c r="XV246" s="475"/>
      <c r="XW246" s="475"/>
      <c r="XX246" s="475"/>
      <c r="XY246" s="475"/>
      <c r="XZ246" s="475"/>
      <c r="YA246" s="475"/>
      <c r="YB246" s="475"/>
      <c r="YC246" s="475"/>
      <c r="YD246" s="475"/>
      <c r="YE246" s="475"/>
      <c r="YF246" s="475"/>
      <c r="YG246" s="475"/>
      <c r="YH246" s="475"/>
      <c r="YI246" s="475"/>
      <c r="YJ246" s="475"/>
      <c r="YK246" s="475"/>
      <c r="YL246" s="475"/>
      <c r="YM246" s="475"/>
      <c r="YN246" s="475"/>
      <c r="YO246" s="475"/>
      <c r="YP246" s="475"/>
      <c r="YQ246" s="475"/>
      <c r="YR246" s="475"/>
      <c r="YS246" s="475"/>
      <c r="YT246" s="475"/>
      <c r="YU246" s="475"/>
      <c r="YV246" s="475"/>
      <c r="YW246" s="475"/>
      <c r="YX246" s="475"/>
      <c r="YY246" s="475"/>
      <c r="YZ246" s="475"/>
      <c r="ZA246" s="475"/>
      <c r="ZB246" s="475"/>
      <c r="ZC246" s="475"/>
      <c r="ZD246" s="475"/>
      <c r="ZE246" s="475"/>
      <c r="ZF246" s="475"/>
      <c r="ZG246" s="475"/>
      <c r="ZH246" s="475"/>
      <c r="ZI246" s="475"/>
      <c r="ZJ246" s="475"/>
      <c r="ZK246" s="475"/>
      <c r="ZL246" s="475"/>
      <c r="ZM246" s="475"/>
      <c r="ZN246" s="475"/>
      <c r="ZO246" s="475"/>
      <c r="ZP246" s="475"/>
      <c r="ZQ246" s="475"/>
      <c r="ZR246" s="475"/>
      <c r="ZS246" s="475"/>
      <c r="ZT246" s="475"/>
      <c r="ZU246" s="475"/>
      <c r="ZV246" s="475"/>
      <c r="ZW246" s="475"/>
      <c r="ZX246" s="475"/>
      <c r="ZY246" s="475"/>
      <c r="ZZ246" s="475"/>
      <c r="AAA246" s="475"/>
      <c r="AAB246" s="475"/>
      <c r="AAC246" s="475"/>
      <c r="AAD246" s="475"/>
      <c r="AAE246" s="475"/>
      <c r="AAF246" s="475"/>
      <c r="AAG246" s="475"/>
      <c r="AAH246" s="475"/>
      <c r="AAI246" s="475"/>
      <c r="AAJ246" s="475"/>
      <c r="AAK246" s="475"/>
      <c r="AAL246" s="475"/>
      <c r="AAM246" s="475"/>
      <c r="AAN246" s="475"/>
      <c r="AAO246" s="475"/>
      <c r="AAP246" s="475"/>
      <c r="AAQ246" s="475"/>
      <c r="AAR246" s="475"/>
      <c r="AAS246" s="475"/>
      <c r="AAT246" s="475"/>
      <c r="AAU246" s="475"/>
      <c r="AAV246" s="475"/>
      <c r="AAW246" s="475"/>
      <c r="AAX246" s="475"/>
      <c r="AAY246" s="475"/>
      <c r="AAZ246" s="475"/>
      <c r="ABA246" s="475"/>
      <c r="ABB246" s="475"/>
      <c r="ABC246" s="475"/>
      <c r="ABD246" s="475"/>
      <c r="ABE246" s="475"/>
      <c r="ABF246" s="475"/>
      <c r="ABG246" s="475"/>
      <c r="ABH246" s="475"/>
      <c r="ABI246" s="475"/>
      <c r="ABJ246" s="475"/>
      <c r="ABK246" s="475"/>
      <c r="ABL246" s="475"/>
      <c r="ABM246" s="475"/>
      <c r="ABN246" s="475"/>
      <c r="ABO246" s="475"/>
      <c r="ABP246" s="475"/>
      <c r="ABQ246" s="475"/>
      <c r="ABR246" s="475"/>
      <c r="ABS246" s="475"/>
      <c r="ABT246" s="475"/>
      <c r="ABU246" s="475"/>
      <c r="ABV246" s="475"/>
      <c r="ABW246" s="475"/>
      <c r="ABX246" s="475"/>
      <c r="ABY246" s="475"/>
      <c r="ABZ246" s="475"/>
      <c r="ACA246" s="475"/>
      <c r="ACB246" s="475"/>
      <c r="ACC246" s="475"/>
      <c r="ACD246" s="475"/>
      <c r="ACE246" s="475"/>
      <c r="ACF246" s="475"/>
      <c r="ACG246" s="475"/>
      <c r="ACH246" s="475"/>
      <c r="ACI246" s="475"/>
      <c r="ACJ246" s="475"/>
      <c r="ACK246" s="475"/>
      <c r="ACL246" s="475"/>
      <c r="ACM246" s="475"/>
      <c r="ACN246" s="475"/>
      <c r="ACO246" s="475"/>
      <c r="ACP246" s="475"/>
      <c r="ACQ246" s="475"/>
      <c r="ACR246" s="475"/>
      <c r="ACS246" s="475"/>
      <c r="ACT246" s="475"/>
      <c r="ACU246" s="475"/>
      <c r="ACV246" s="475"/>
      <c r="ACW246" s="475"/>
      <c r="ACX246" s="475"/>
      <c r="ACY246" s="475"/>
      <c r="ACZ246" s="475"/>
      <c r="ADA246" s="475"/>
      <c r="ADB246" s="475"/>
      <c r="ADC246" s="475"/>
      <c r="ADD246" s="475"/>
      <c r="ADE246" s="475"/>
      <c r="ADF246" s="475"/>
      <c r="ADG246" s="475"/>
      <c r="ADH246" s="475"/>
      <c r="ADI246" s="475"/>
      <c r="ADJ246" s="475"/>
      <c r="ADK246" s="475"/>
      <c r="ADL246" s="475"/>
      <c r="ADM246" s="475"/>
      <c r="ADN246" s="475"/>
      <c r="ADO246" s="475"/>
      <c r="ADP246" s="475"/>
      <c r="ADQ246" s="475"/>
      <c r="ADR246" s="475"/>
      <c r="ADS246" s="475"/>
      <c r="ADT246" s="475"/>
      <c r="ADU246" s="475"/>
      <c r="ADV246" s="475"/>
      <c r="ADW246" s="475"/>
      <c r="ADX246" s="475"/>
      <c r="ADY246" s="475"/>
      <c r="ADZ246" s="475"/>
      <c r="AEA246" s="475"/>
      <c r="AEB246" s="475"/>
      <c r="AEC246" s="475"/>
      <c r="AED246" s="475"/>
      <c r="AEE246" s="475"/>
      <c r="AEF246" s="475"/>
      <c r="AEG246" s="475"/>
      <c r="AEH246" s="475"/>
      <c r="AEI246" s="475"/>
      <c r="AEJ246" s="475"/>
      <c r="AEK246" s="475"/>
      <c r="AEL246" s="475"/>
      <c r="AEM246" s="475"/>
      <c r="AEN246" s="475"/>
      <c r="AEO246" s="475"/>
      <c r="AEP246" s="475"/>
      <c r="AEQ246" s="475"/>
      <c r="AER246" s="475"/>
      <c r="AES246" s="475"/>
      <c r="AET246" s="475"/>
      <c r="AEU246" s="475"/>
      <c r="AEV246" s="475"/>
      <c r="AEW246" s="475"/>
      <c r="AEX246" s="475"/>
      <c r="AEY246" s="475"/>
      <c r="AEZ246" s="475"/>
      <c r="AFA246" s="475"/>
      <c r="AFB246" s="475"/>
      <c r="AFC246" s="475"/>
      <c r="AFD246" s="475"/>
      <c r="AFE246" s="475"/>
      <c r="AFF246" s="475"/>
      <c r="AFG246" s="475"/>
      <c r="AFH246" s="475"/>
      <c r="AFI246" s="475"/>
      <c r="AFJ246" s="475"/>
      <c r="AFK246" s="475"/>
      <c r="AFL246" s="475"/>
      <c r="AFM246" s="475"/>
      <c r="AFN246" s="475"/>
      <c r="AFO246" s="475"/>
      <c r="AFP246" s="475"/>
      <c r="AFQ246" s="475"/>
      <c r="AFR246" s="475"/>
      <c r="AFS246" s="475"/>
      <c r="AFT246" s="475"/>
      <c r="AFU246" s="475"/>
      <c r="AFV246" s="475"/>
      <c r="AFW246" s="475"/>
      <c r="AFX246" s="475"/>
      <c r="AFY246" s="475"/>
      <c r="AFZ246" s="475"/>
      <c r="AGA246" s="475"/>
      <c r="AGB246" s="475"/>
      <c r="AGC246" s="475"/>
      <c r="AGD246" s="475"/>
      <c r="AGE246" s="475"/>
      <c r="AGF246" s="475"/>
      <c r="AGG246" s="475"/>
      <c r="AGH246" s="475"/>
      <c r="AGI246" s="475"/>
      <c r="AGJ246" s="475"/>
      <c r="AGK246" s="475"/>
      <c r="AGL246" s="475"/>
      <c r="AGM246" s="475"/>
      <c r="AGN246" s="475"/>
      <c r="AGO246" s="475"/>
      <c r="AGP246" s="475"/>
      <c r="AGQ246" s="475"/>
      <c r="AGR246" s="475"/>
      <c r="AGS246" s="475"/>
      <c r="AGT246" s="475"/>
      <c r="AGU246" s="475"/>
      <c r="AGV246" s="475"/>
      <c r="AGW246" s="475"/>
      <c r="AGX246" s="475"/>
      <c r="AGY246" s="475"/>
      <c r="AGZ246" s="475"/>
      <c r="AHA246" s="475"/>
      <c r="AHB246" s="475"/>
      <c r="AHC246" s="475"/>
      <c r="AHD246" s="475"/>
      <c r="AHE246" s="475"/>
      <c r="AHF246" s="475"/>
      <c r="AHG246" s="475"/>
      <c r="AHH246" s="475"/>
      <c r="AHI246" s="475"/>
      <c r="AHJ246" s="475"/>
      <c r="AHK246" s="475"/>
      <c r="AHL246" s="475"/>
      <c r="AHM246" s="475"/>
      <c r="AHN246" s="475"/>
      <c r="AHO246" s="475"/>
      <c r="AHP246" s="475"/>
      <c r="AHQ246" s="475"/>
      <c r="AHR246" s="475"/>
      <c r="AHS246" s="475"/>
      <c r="AHT246" s="475"/>
      <c r="AHU246" s="475"/>
      <c r="AHV246" s="475"/>
      <c r="AHW246" s="475"/>
      <c r="AHX246" s="475"/>
      <c r="AHY246" s="475"/>
      <c r="AHZ246" s="475"/>
      <c r="AIA246" s="475"/>
      <c r="AIB246" s="475"/>
      <c r="AIC246" s="475"/>
      <c r="AID246" s="475"/>
      <c r="AIE246" s="475"/>
      <c r="AIF246" s="475"/>
      <c r="AIG246" s="475"/>
      <c r="AIH246" s="475"/>
      <c r="AII246" s="475"/>
      <c r="AIJ246" s="475"/>
      <c r="AIK246" s="475"/>
      <c r="AIL246" s="475"/>
      <c r="AIM246" s="475"/>
      <c r="AIN246" s="475"/>
      <c r="AIO246" s="475"/>
      <c r="AIP246" s="475"/>
      <c r="AIQ246" s="475"/>
      <c r="AIR246" s="475"/>
      <c r="AIS246" s="475"/>
      <c r="AIT246" s="475"/>
      <c r="AIU246" s="475"/>
      <c r="AIV246" s="475"/>
      <c r="AIW246" s="475"/>
      <c r="AIX246" s="475"/>
      <c r="AIY246" s="475"/>
      <c r="AIZ246" s="475"/>
      <c r="AJA246" s="475"/>
      <c r="AJB246" s="475"/>
      <c r="AJC246" s="475"/>
      <c r="AJD246" s="475"/>
      <c r="AJE246" s="475"/>
      <c r="AJF246" s="475"/>
      <c r="AJG246" s="475"/>
      <c r="AJH246" s="475"/>
      <c r="AJI246" s="475"/>
      <c r="AJJ246" s="475"/>
      <c r="AJK246" s="475"/>
      <c r="AJL246" s="475"/>
      <c r="AJM246" s="475"/>
      <c r="AJN246" s="475"/>
      <c r="AJO246" s="475"/>
      <c r="AJP246" s="475"/>
      <c r="AJQ246" s="475"/>
      <c r="AJR246" s="475"/>
      <c r="AJS246" s="475"/>
      <c r="AJT246" s="475"/>
      <c r="AJU246" s="475"/>
      <c r="AJV246" s="475"/>
      <c r="AJW246" s="475"/>
      <c r="AJX246" s="475"/>
      <c r="AJY246" s="475"/>
      <c r="AJZ246" s="475"/>
      <c r="AKA246" s="475"/>
      <c r="AKB246" s="475"/>
      <c r="AKC246" s="475"/>
      <c r="AKD246" s="475"/>
      <c r="AKE246" s="475"/>
      <c r="AKF246" s="475"/>
      <c r="AKG246" s="475"/>
      <c r="AKH246" s="475"/>
      <c r="AKI246" s="475"/>
      <c r="AKJ246" s="475"/>
      <c r="AKK246" s="475"/>
      <c r="AKL246" s="475"/>
      <c r="AKM246" s="475"/>
      <c r="AKN246" s="475"/>
      <c r="AKO246" s="475"/>
      <c r="AKP246" s="475"/>
      <c r="AKQ246" s="475"/>
      <c r="AKR246" s="475"/>
      <c r="AKS246" s="475"/>
      <c r="AKT246" s="475"/>
      <c r="AKU246" s="475"/>
      <c r="AKV246" s="475"/>
      <c r="AKW246" s="475"/>
      <c r="AKX246" s="475"/>
      <c r="AKY246" s="475"/>
      <c r="AKZ246" s="475"/>
      <c r="ALA246" s="475"/>
      <c r="ALB246" s="475"/>
      <c r="ALC246" s="475"/>
      <c r="ALD246" s="475"/>
      <c r="ALE246" s="475"/>
      <c r="ALF246" s="475"/>
      <c r="ALG246" s="475"/>
      <c r="ALH246" s="475"/>
      <c r="ALI246" s="475"/>
      <c r="ALJ246" s="475"/>
      <c r="ALK246" s="475"/>
      <c r="ALL246" s="475"/>
      <c r="ALM246" s="475"/>
      <c r="ALN246" s="475"/>
      <c r="ALO246" s="475"/>
      <c r="ALP246" s="475"/>
      <c r="ALQ246" s="475"/>
      <c r="ALR246" s="475"/>
      <c r="ALS246" s="475"/>
      <c r="ALT246" s="475"/>
      <c r="ALU246" s="475"/>
      <c r="ALV246" s="475"/>
      <c r="ALW246" s="475"/>
      <c r="ALX246" s="475"/>
      <c r="ALY246" s="475"/>
      <c r="ALZ246" s="475"/>
      <c r="AMA246" s="475"/>
      <c r="AMB246" s="475"/>
      <c r="AMC246" s="475"/>
      <c r="AMD246" s="475"/>
      <c r="AME246" s="475"/>
      <c r="AMF246" s="475"/>
      <c r="AMG246" s="475"/>
      <c r="AMH246" s="475"/>
      <c r="AMI246" s="475"/>
      <c r="AMJ246" s="475"/>
      <c r="AMK246" s="475"/>
      <c r="AML246" s="475"/>
      <c r="AMM246" s="475"/>
      <c r="AMN246" s="475"/>
      <c r="AMO246" s="475"/>
      <c r="AMP246" s="475"/>
      <c r="AMQ246" s="475"/>
      <c r="AMR246" s="475"/>
      <c r="AMS246" s="475"/>
      <c r="AMT246" s="475"/>
      <c r="AMU246" s="475"/>
      <c r="AMV246" s="475"/>
      <c r="AMW246" s="475"/>
      <c r="AMX246" s="475"/>
      <c r="AMY246" s="475"/>
      <c r="AMZ246" s="475"/>
      <c r="ANA246" s="475"/>
      <c r="ANB246" s="475"/>
      <c r="ANC246" s="475"/>
      <c r="AND246" s="475"/>
      <c r="ANE246" s="475"/>
      <c r="ANF246" s="475"/>
      <c r="ANG246" s="475"/>
      <c r="ANH246" s="475"/>
      <c r="ANI246" s="475"/>
      <c r="ANJ246" s="475"/>
      <c r="ANK246" s="475"/>
      <c r="ANL246" s="475"/>
      <c r="ANM246" s="475"/>
      <c r="ANN246" s="475"/>
      <c r="ANO246" s="475"/>
      <c r="ANP246" s="475"/>
      <c r="ANQ246" s="475"/>
      <c r="ANR246" s="475"/>
      <c r="ANS246" s="475"/>
      <c r="ANT246" s="475"/>
      <c r="ANU246" s="475"/>
      <c r="ANV246" s="475"/>
      <c r="ANW246" s="475"/>
      <c r="ANX246" s="475"/>
      <c r="ANY246" s="475"/>
      <c r="ANZ246" s="475"/>
      <c r="AOA246" s="475"/>
      <c r="AOB246" s="475"/>
      <c r="AOC246" s="475"/>
      <c r="AOD246" s="475"/>
      <c r="AOE246" s="475"/>
      <c r="AOF246" s="475"/>
      <c r="AOG246" s="475"/>
      <c r="AOH246" s="475"/>
      <c r="AOI246" s="475"/>
      <c r="AOJ246" s="475"/>
      <c r="AOK246" s="475"/>
      <c r="AOL246" s="475"/>
      <c r="AOM246" s="475"/>
      <c r="AON246" s="475"/>
      <c r="AOO246" s="475"/>
      <c r="AOP246" s="475"/>
      <c r="AOQ246" s="475"/>
      <c r="AOR246" s="475"/>
      <c r="AOS246" s="475"/>
      <c r="AOT246" s="475"/>
      <c r="AOU246" s="475"/>
      <c r="AOV246" s="475"/>
      <c r="AOW246" s="475"/>
      <c r="AOX246" s="475"/>
      <c r="AOY246" s="475"/>
      <c r="AOZ246" s="475"/>
      <c r="APA246" s="475"/>
      <c r="APB246" s="475"/>
      <c r="APC246" s="475"/>
      <c r="APD246" s="475"/>
      <c r="APE246" s="475"/>
      <c r="APF246" s="475"/>
      <c r="APG246" s="475"/>
      <c r="APH246" s="475"/>
      <c r="API246" s="475"/>
      <c r="APJ246" s="475"/>
      <c r="APK246" s="475"/>
      <c r="APL246" s="475"/>
      <c r="APM246" s="475"/>
      <c r="APN246" s="475"/>
      <c r="APO246" s="475"/>
      <c r="APP246" s="475"/>
      <c r="APQ246" s="475"/>
      <c r="APR246" s="475"/>
      <c r="APS246" s="475"/>
      <c r="APT246" s="475"/>
      <c r="APU246" s="475"/>
      <c r="APV246" s="475"/>
      <c r="APW246" s="475"/>
      <c r="APX246" s="475"/>
      <c r="APY246" s="475"/>
      <c r="APZ246" s="475"/>
      <c r="AQA246" s="475"/>
      <c r="AQB246" s="475"/>
      <c r="AQC246" s="475"/>
      <c r="AQD246" s="475"/>
      <c r="AQE246" s="475"/>
      <c r="AQF246" s="475"/>
      <c r="AQG246" s="475"/>
      <c r="AQH246" s="475"/>
      <c r="AQI246" s="475"/>
      <c r="AQJ246" s="475"/>
      <c r="AQK246" s="475"/>
      <c r="AQL246" s="475"/>
      <c r="AQM246" s="475"/>
      <c r="AQN246" s="475"/>
      <c r="AQO246" s="475"/>
      <c r="AQP246" s="475"/>
      <c r="AQQ246" s="475"/>
      <c r="AQR246" s="475"/>
      <c r="AQS246" s="475"/>
      <c r="AQT246" s="475"/>
      <c r="AQU246" s="475"/>
      <c r="AQV246" s="475"/>
      <c r="AQW246" s="475"/>
      <c r="AQX246" s="475"/>
      <c r="AQY246" s="475"/>
      <c r="AQZ246" s="475"/>
      <c r="ARA246" s="475"/>
      <c r="ARB246" s="475"/>
      <c r="ARC246" s="475"/>
      <c r="ARD246" s="475"/>
      <c r="ARE246" s="475"/>
      <c r="ARF246" s="475"/>
      <c r="ARG246" s="475"/>
      <c r="ARH246" s="475"/>
      <c r="ARI246" s="475"/>
      <c r="ARJ246" s="475"/>
      <c r="ARK246" s="475"/>
      <c r="ARL246" s="475"/>
      <c r="ARM246" s="475"/>
      <c r="ARN246" s="475"/>
      <c r="ARO246" s="475"/>
      <c r="ARP246" s="475"/>
      <c r="ARQ246" s="475"/>
      <c r="ARR246" s="475"/>
      <c r="ARS246" s="475"/>
      <c r="ART246" s="475"/>
      <c r="ARU246" s="475"/>
      <c r="ARV246" s="475"/>
      <c r="ARW246" s="475"/>
      <c r="ARX246" s="475"/>
      <c r="ARY246" s="475"/>
      <c r="ARZ246" s="475"/>
      <c r="ASA246" s="475"/>
      <c r="ASB246" s="475"/>
      <c r="ASC246" s="475"/>
      <c r="ASD246" s="475"/>
      <c r="ASE246" s="475"/>
      <c r="ASF246" s="475"/>
      <c r="ASG246" s="475"/>
      <c r="ASH246" s="475"/>
      <c r="ASI246" s="475"/>
      <c r="ASJ246" s="475"/>
      <c r="ASK246" s="475"/>
      <c r="ASL246" s="475"/>
      <c r="ASM246" s="475"/>
      <c r="ASN246" s="475"/>
      <c r="ASO246" s="475"/>
      <c r="ASP246" s="475"/>
      <c r="ASQ246" s="475"/>
      <c r="ASR246" s="475"/>
      <c r="ASS246" s="475"/>
      <c r="AST246" s="475"/>
      <c r="ASU246" s="475"/>
      <c r="ASV246" s="475"/>
      <c r="ASW246" s="475"/>
      <c r="ASX246" s="475"/>
      <c r="ASY246" s="475"/>
      <c r="ASZ246" s="475"/>
      <c r="ATA246" s="475"/>
      <c r="ATB246" s="475"/>
      <c r="ATC246" s="475"/>
      <c r="ATD246" s="475"/>
      <c r="ATE246" s="475"/>
      <c r="ATF246" s="475"/>
      <c r="ATG246" s="475"/>
      <c r="ATH246" s="475"/>
      <c r="ATI246" s="475"/>
      <c r="ATJ246" s="475"/>
      <c r="ATK246" s="475"/>
      <c r="ATL246" s="475"/>
      <c r="ATM246" s="475"/>
      <c r="ATN246" s="475"/>
      <c r="ATO246" s="475"/>
      <c r="ATP246" s="475"/>
      <c r="ATQ246" s="475"/>
      <c r="ATR246" s="475"/>
      <c r="ATS246" s="475"/>
      <c r="ATT246" s="475"/>
      <c r="ATU246" s="475"/>
      <c r="ATV246" s="475"/>
      <c r="ATW246" s="475"/>
      <c r="ATX246" s="475"/>
      <c r="ATY246" s="475"/>
      <c r="ATZ246" s="475"/>
      <c r="AUA246" s="475"/>
      <c r="AUB246" s="475"/>
      <c r="AUC246" s="475"/>
      <c r="AUD246" s="475"/>
      <c r="AUE246" s="475"/>
      <c r="AUF246" s="475"/>
      <c r="AUG246" s="475"/>
      <c r="AUH246" s="475"/>
      <c r="AUI246" s="475"/>
      <c r="AUJ246" s="475"/>
      <c r="AUK246" s="475"/>
      <c r="AUL246" s="475"/>
      <c r="AUM246" s="475"/>
      <c r="AUN246" s="475"/>
      <c r="AUO246" s="475"/>
      <c r="AUP246" s="475"/>
      <c r="AUQ246" s="475"/>
      <c r="AUR246" s="475"/>
      <c r="AUS246" s="475"/>
      <c r="AUT246" s="475"/>
      <c r="AUU246" s="475"/>
      <c r="AUV246" s="475"/>
      <c r="AUW246" s="475"/>
      <c r="AUX246" s="475"/>
      <c r="AUY246" s="475"/>
      <c r="AUZ246" s="475"/>
      <c r="AVA246" s="475"/>
      <c r="AVB246" s="475"/>
      <c r="AVC246" s="475"/>
      <c r="AVD246" s="475"/>
      <c r="AVE246" s="475"/>
      <c r="AVF246" s="475"/>
      <c r="AVG246" s="475"/>
      <c r="AVH246" s="475"/>
      <c r="AVI246" s="475"/>
      <c r="AVJ246" s="475"/>
      <c r="AVK246" s="475"/>
      <c r="AVL246" s="475"/>
      <c r="AVM246" s="475"/>
      <c r="AVN246" s="475"/>
      <c r="AVO246" s="475"/>
      <c r="AVP246" s="475"/>
      <c r="AVQ246" s="475"/>
      <c r="AVR246" s="475"/>
      <c r="AVS246" s="475"/>
      <c r="AVT246" s="475"/>
      <c r="AVU246" s="475"/>
      <c r="AVV246" s="475"/>
      <c r="AVW246" s="475"/>
      <c r="AVX246" s="475"/>
      <c r="AVY246" s="475"/>
      <c r="AVZ246" s="475"/>
      <c r="AWA246" s="475"/>
      <c r="AWB246" s="475"/>
      <c r="AWC246" s="475"/>
      <c r="AWD246" s="475"/>
      <c r="AWE246" s="475"/>
      <c r="AWF246" s="475"/>
      <c r="AWG246" s="475"/>
      <c r="AWH246" s="475"/>
      <c r="AWI246" s="475"/>
      <c r="AWJ246" s="475"/>
      <c r="AWK246" s="475"/>
      <c r="AWL246" s="475"/>
      <c r="AWM246" s="475"/>
      <c r="AWN246" s="475"/>
      <c r="AWO246" s="475"/>
      <c r="AWP246" s="475"/>
      <c r="AWQ246" s="475"/>
      <c r="AWR246" s="475"/>
      <c r="AWS246" s="475"/>
      <c r="AWT246" s="475"/>
      <c r="AWU246" s="475"/>
      <c r="AWV246" s="475"/>
      <c r="AWW246" s="475"/>
      <c r="AWX246" s="475"/>
      <c r="AWY246" s="475"/>
      <c r="AWZ246" s="475"/>
      <c r="AXA246" s="475"/>
      <c r="AXB246" s="475"/>
      <c r="AXC246" s="475"/>
      <c r="AXD246" s="475"/>
      <c r="AXE246" s="475"/>
      <c r="AXF246" s="475"/>
      <c r="AXG246" s="475"/>
      <c r="AXH246" s="475"/>
      <c r="AXI246" s="475"/>
      <c r="AXJ246" s="475"/>
      <c r="AXK246" s="475"/>
      <c r="AXL246" s="475"/>
      <c r="AXM246" s="475"/>
      <c r="AXN246" s="475"/>
      <c r="AXO246" s="475"/>
      <c r="AXP246" s="475"/>
      <c r="AXQ246" s="475"/>
      <c r="AXR246" s="475"/>
      <c r="AXS246" s="475"/>
      <c r="AXT246" s="475"/>
      <c r="AXU246" s="475"/>
      <c r="AXV246" s="475"/>
      <c r="AXW246" s="475"/>
      <c r="AXX246" s="475"/>
      <c r="AXY246" s="475"/>
      <c r="AXZ246" s="475"/>
      <c r="AYA246" s="475"/>
      <c r="AYB246" s="475"/>
      <c r="AYC246" s="475"/>
      <c r="AYD246" s="475"/>
      <c r="AYE246" s="475"/>
      <c r="AYF246" s="475"/>
      <c r="AYG246" s="475"/>
      <c r="AYH246" s="475"/>
      <c r="AYI246" s="475"/>
      <c r="AYJ246" s="475"/>
      <c r="AYK246" s="475"/>
      <c r="AYL246" s="475"/>
      <c r="AYM246" s="475"/>
      <c r="AYN246" s="475"/>
      <c r="AYO246" s="475"/>
      <c r="AYP246" s="475"/>
      <c r="AYQ246" s="475"/>
      <c r="AYR246" s="475"/>
      <c r="AYS246" s="475"/>
      <c r="AYT246" s="475"/>
      <c r="AYU246" s="475"/>
      <c r="AYV246" s="475"/>
      <c r="AYW246" s="475"/>
      <c r="AYX246" s="475"/>
      <c r="AYY246" s="475"/>
      <c r="AYZ246" s="475"/>
      <c r="AZA246" s="475"/>
      <c r="AZB246" s="475"/>
      <c r="AZC246" s="475"/>
      <c r="AZD246" s="475"/>
      <c r="AZE246" s="475"/>
      <c r="AZF246" s="475"/>
      <c r="AZG246" s="475"/>
      <c r="AZH246" s="475"/>
      <c r="AZI246" s="475"/>
      <c r="AZJ246" s="475"/>
      <c r="AZK246" s="475"/>
      <c r="AZL246" s="475"/>
      <c r="AZM246" s="475"/>
      <c r="AZN246" s="475"/>
      <c r="AZO246" s="475"/>
      <c r="AZP246" s="475"/>
      <c r="AZQ246" s="475"/>
      <c r="AZR246" s="475"/>
      <c r="AZS246" s="475"/>
      <c r="AZT246" s="475"/>
      <c r="AZU246" s="475"/>
      <c r="AZV246" s="475"/>
      <c r="AZW246" s="475"/>
      <c r="AZX246" s="475"/>
      <c r="AZY246" s="475"/>
      <c r="AZZ246" s="475"/>
      <c r="BAA246" s="475"/>
      <c r="BAB246" s="475"/>
      <c r="BAC246" s="475"/>
      <c r="BAD246" s="475"/>
      <c r="BAE246" s="475"/>
      <c r="BAF246" s="475"/>
      <c r="BAG246" s="475"/>
      <c r="BAH246" s="475"/>
      <c r="BAI246" s="475"/>
      <c r="BAJ246" s="475"/>
      <c r="BAK246" s="475"/>
      <c r="BAL246" s="475"/>
      <c r="BAM246" s="475"/>
      <c r="BAN246" s="475"/>
      <c r="BAO246" s="475"/>
      <c r="BAP246" s="475"/>
      <c r="BAQ246" s="475"/>
      <c r="BAR246" s="475"/>
      <c r="BAS246" s="475"/>
      <c r="BAT246" s="475"/>
      <c r="BAU246" s="475"/>
      <c r="BAV246" s="475"/>
      <c r="BAW246" s="475"/>
      <c r="BAX246" s="475"/>
      <c r="BAY246" s="475"/>
      <c r="BAZ246" s="475"/>
      <c r="BBA246" s="475"/>
      <c r="BBB246" s="475"/>
      <c r="BBC246" s="475"/>
      <c r="BBD246" s="475"/>
      <c r="BBE246" s="475"/>
      <c r="BBF246" s="475"/>
      <c r="BBG246" s="475"/>
      <c r="BBH246" s="475"/>
      <c r="BBI246" s="475"/>
      <c r="BBJ246" s="475"/>
      <c r="BBK246" s="475"/>
      <c r="BBL246" s="475"/>
      <c r="BBM246" s="475"/>
      <c r="BBN246" s="475"/>
      <c r="BBO246" s="475"/>
      <c r="BBP246" s="475"/>
      <c r="BBQ246" s="475"/>
      <c r="BBR246" s="475"/>
      <c r="BBS246" s="475"/>
      <c r="BBT246" s="475"/>
      <c r="BBU246" s="475"/>
      <c r="BBV246" s="475"/>
      <c r="BBW246" s="475"/>
      <c r="BBX246" s="475"/>
      <c r="BBY246" s="475"/>
      <c r="BBZ246" s="475"/>
      <c r="BCA246" s="475"/>
      <c r="BCB246" s="475"/>
      <c r="BCC246" s="475"/>
      <c r="BCD246" s="475"/>
      <c r="BCE246" s="475"/>
      <c r="BCF246" s="475"/>
      <c r="BCG246" s="475"/>
      <c r="BCH246" s="475"/>
      <c r="BCI246" s="475"/>
      <c r="BCJ246" s="475"/>
      <c r="BCK246" s="475"/>
      <c r="BCL246" s="475"/>
      <c r="BCM246" s="475"/>
      <c r="BCN246" s="475"/>
      <c r="BCO246" s="475"/>
      <c r="BCP246" s="475"/>
      <c r="BCQ246" s="475"/>
      <c r="BCR246" s="475"/>
      <c r="BCS246" s="475"/>
      <c r="BCT246" s="475"/>
      <c r="BCU246" s="475"/>
      <c r="BCV246" s="475"/>
      <c r="BCW246" s="475"/>
      <c r="BCX246" s="475"/>
      <c r="BCY246" s="475"/>
      <c r="BCZ246" s="475"/>
      <c r="BDA246" s="475"/>
      <c r="BDB246" s="475"/>
      <c r="BDC246" s="475"/>
      <c r="BDD246" s="475"/>
      <c r="BDE246" s="475"/>
      <c r="BDF246" s="475"/>
      <c r="BDG246" s="475"/>
      <c r="BDH246" s="475"/>
      <c r="BDI246" s="475"/>
      <c r="BDJ246" s="475"/>
      <c r="BDK246" s="475"/>
      <c r="BDL246" s="475"/>
      <c r="BDM246" s="475"/>
      <c r="BDN246" s="475"/>
      <c r="BDO246" s="475"/>
      <c r="BDP246" s="475"/>
      <c r="BDQ246" s="475"/>
      <c r="BDR246" s="475"/>
      <c r="BDS246" s="475"/>
      <c r="BDT246" s="475"/>
      <c r="BDU246" s="475"/>
      <c r="BDV246" s="475"/>
      <c r="BDW246" s="475"/>
      <c r="BDX246" s="475"/>
      <c r="BDY246" s="475"/>
      <c r="BDZ246" s="475"/>
      <c r="BEA246" s="475"/>
      <c r="BEB246" s="475"/>
      <c r="BEC246" s="475"/>
      <c r="BED246" s="475"/>
      <c r="BEE246" s="475"/>
      <c r="BEF246" s="475"/>
      <c r="BEG246" s="475"/>
      <c r="BEH246" s="475"/>
      <c r="BEI246" s="475"/>
      <c r="BEJ246" s="475"/>
      <c r="BEK246" s="475"/>
      <c r="BEL246" s="475"/>
      <c r="BEM246" s="475"/>
      <c r="BEN246" s="475"/>
      <c r="BEO246" s="475"/>
      <c r="BEP246" s="475"/>
      <c r="BEQ246" s="475"/>
      <c r="BER246" s="475"/>
      <c r="BES246" s="475"/>
      <c r="BET246" s="475"/>
      <c r="BEU246" s="475"/>
      <c r="BEV246" s="475"/>
      <c r="BEW246" s="475"/>
      <c r="BEX246" s="475"/>
      <c r="BEY246" s="475"/>
      <c r="BEZ246" s="475"/>
      <c r="BFA246" s="475"/>
      <c r="BFB246" s="475"/>
      <c r="BFC246" s="475"/>
      <c r="BFD246" s="475"/>
      <c r="BFE246" s="475"/>
      <c r="BFF246" s="475"/>
      <c r="BFG246" s="475"/>
      <c r="BFH246" s="475"/>
      <c r="BFI246" s="475"/>
      <c r="BFJ246" s="475"/>
      <c r="BFK246" s="475"/>
      <c r="BFL246" s="475"/>
      <c r="BFM246" s="475"/>
      <c r="BFN246" s="475"/>
      <c r="BFO246" s="475"/>
      <c r="BFP246" s="475"/>
      <c r="BFQ246" s="475"/>
      <c r="BFR246" s="475"/>
      <c r="BFS246" s="475"/>
      <c r="BFT246" s="475"/>
      <c r="BFU246" s="475"/>
      <c r="BFV246" s="475"/>
      <c r="BFW246" s="475"/>
      <c r="BFX246" s="475"/>
      <c r="BFY246" s="475"/>
      <c r="BFZ246" s="475"/>
      <c r="BGA246" s="475"/>
      <c r="BGB246" s="475"/>
      <c r="BGC246" s="475"/>
      <c r="BGD246" s="475"/>
      <c r="BGE246" s="475"/>
      <c r="BGF246" s="475"/>
      <c r="BGG246" s="475"/>
      <c r="BGH246" s="475"/>
      <c r="BGI246" s="475"/>
      <c r="BGJ246" s="475"/>
      <c r="BGK246" s="475"/>
      <c r="BGL246" s="475"/>
      <c r="BGM246" s="475"/>
      <c r="BGN246" s="475"/>
      <c r="BGO246" s="475"/>
      <c r="BGP246" s="475"/>
      <c r="BGQ246" s="475"/>
      <c r="BGR246" s="475"/>
      <c r="BGS246" s="475"/>
      <c r="BGT246" s="475"/>
      <c r="BGU246" s="475"/>
      <c r="BGV246" s="475"/>
      <c r="BGW246" s="475"/>
      <c r="BGX246" s="475"/>
      <c r="BGY246" s="475"/>
      <c r="BGZ246" s="475"/>
      <c r="BHA246" s="475"/>
      <c r="BHB246" s="475"/>
      <c r="BHC246" s="475"/>
      <c r="BHD246" s="475"/>
      <c r="BHE246" s="475"/>
      <c r="BHF246" s="475"/>
      <c r="BHG246" s="475"/>
      <c r="BHH246" s="475"/>
      <c r="BHI246" s="475"/>
      <c r="BHJ246" s="475"/>
      <c r="BHK246" s="475"/>
      <c r="BHL246" s="475"/>
      <c r="BHM246" s="475"/>
      <c r="BHN246" s="475"/>
      <c r="BHO246" s="475"/>
      <c r="BHP246" s="475"/>
      <c r="BHQ246" s="475"/>
      <c r="BHR246" s="475"/>
      <c r="BHS246" s="475"/>
      <c r="BHT246" s="475"/>
      <c r="BHU246" s="475"/>
      <c r="BHV246" s="475"/>
      <c r="BHW246" s="475"/>
      <c r="BHX246" s="475"/>
      <c r="BHY246" s="475"/>
      <c r="BHZ246" s="475"/>
      <c r="BIA246" s="475"/>
      <c r="BIB246" s="475"/>
      <c r="BIC246" s="475"/>
      <c r="BID246" s="475"/>
      <c r="BIE246" s="475"/>
      <c r="BIF246" s="475"/>
      <c r="BIG246" s="475"/>
      <c r="BIH246" s="475"/>
      <c r="BII246" s="475"/>
      <c r="BIJ246" s="475"/>
      <c r="BIK246" s="475"/>
      <c r="BIL246" s="475"/>
      <c r="BIM246" s="475"/>
      <c r="BIN246" s="475"/>
      <c r="BIO246" s="475"/>
      <c r="BIP246" s="475"/>
      <c r="BIQ246" s="475"/>
      <c r="BIR246" s="475"/>
      <c r="BIS246" s="475"/>
      <c r="BIT246" s="475"/>
      <c r="BIU246" s="475"/>
      <c r="BIV246" s="475"/>
      <c r="BIW246" s="475"/>
      <c r="BIX246" s="475"/>
      <c r="BIY246" s="475"/>
      <c r="BIZ246" s="475"/>
      <c r="BJA246" s="475"/>
      <c r="BJB246" s="475"/>
      <c r="BJC246" s="475"/>
      <c r="BJD246" s="475"/>
      <c r="BJE246" s="475"/>
      <c r="BJF246" s="475"/>
      <c r="BJG246" s="475"/>
      <c r="BJH246" s="475"/>
      <c r="BJI246" s="475"/>
      <c r="BJJ246" s="475"/>
      <c r="BJK246" s="475"/>
      <c r="BJL246" s="475"/>
      <c r="BJM246" s="475"/>
      <c r="BJN246" s="475"/>
      <c r="BJO246" s="475"/>
      <c r="BJP246" s="475"/>
      <c r="BJQ246" s="475"/>
      <c r="BJR246" s="475"/>
      <c r="BJS246" s="475"/>
      <c r="BJT246" s="475"/>
      <c r="BJU246" s="475"/>
      <c r="BJV246" s="475"/>
      <c r="BJW246" s="475"/>
      <c r="BJX246" s="475"/>
      <c r="BJY246" s="475"/>
      <c r="BJZ246" s="475"/>
      <c r="BKA246" s="475"/>
      <c r="BKB246" s="475"/>
      <c r="BKC246" s="475"/>
      <c r="BKD246" s="475"/>
      <c r="BKE246" s="475"/>
      <c r="BKF246" s="475"/>
      <c r="BKG246" s="475"/>
      <c r="BKH246" s="475"/>
      <c r="BKI246" s="475"/>
      <c r="BKJ246" s="475"/>
      <c r="BKK246" s="475"/>
      <c r="BKL246" s="475"/>
      <c r="BKM246" s="475"/>
      <c r="BKN246" s="475"/>
      <c r="BKO246" s="475"/>
      <c r="BKP246" s="475"/>
      <c r="BKQ246" s="475"/>
      <c r="BKR246" s="475"/>
      <c r="BKS246" s="475"/>
      <c r="BKT246" s="475"/>
      <c r="BKU246" s="475"/>
      <c r="BKV246" s="475"/>
      <c r="BKW246" s="475"/>
      <c r="BKX246" s="475"/>
      <c r="BKY246" s="475"/>
      <c r="BKZ246" s="475"/>
      <c r="BLA246" s="475"/>
      <c r="BLB246" s="475"/>
      <c r="BLC246" s="475"/>
      <c r="BLD246" s="475"/>
      <c r="BLE246" s="475"/>
      <c r="BLF246" s="475"/>
      <c r="BLG246" s="475"/>
      <c r="BLH246" s="475"/>
      <c r="BLI246" s="475"/>
      <c r="BLJ246" s="475"/>
      <c r="BLK246" s="475"/>
      <c r="BLL246" s="475"/>
      <c r="BLM246" s="475"/>
      <c r="BLN246" s="475"/>
      <c r="BLO246" s="475"/>
      <c r="BLP246" s="475"/>
      <c r="BLQ246" s="475"/>
      <c r="BLR246" s="475"/>
      <c r="BLS246" s="475"/>
      <c r="BLT246" s="475"/>
      <c r="BLU246" s="475"/>
      <c r="BLV246" s="475"/>
      <c r="BLW246" s="475"/>
      <c r="BLX246" s="475"/>
      <c r="BLY246" s="475"/>
      <c r="BLZ246" s="475"/>
      <c r="BMA246" s="475"/>
      <c r="BMB246" s="475"/>
      <c r="BMC246" s="475"/>
      <c r="BMD246" s="475"/>
      <c r="BME246" s="475"/>
      <c r="BMF246" s="475"/>
      <c r="BMG246" s="475"/>
      <c r="BMH246" s="475"/>
      <c r="BMI246" s="475"/>
      <c r="BMJ246" s="475"/>
      <c r="BMK246" s="475"/>
      <c r="BML246" s="475"/>
      <c r="BMM246" s="475"/>
      <c r="BMN246" s="475"/>
      <c r="BMO246" s="475"/>
      <c r="BMP246" s="475"/>
      <c r="BMQ246" s="475"/>
      <c r="BMR246" s="475"/>
      <c r="BMS246" s="475"/>
      <c r="BMT246" s="475"/>
      <c r="BMU246" s="475"/>
      <c r="BMV246" s="475"/>
      <c r="BMW246" s="475"/>
      <c r="BMX246" s="475"/>
      <c r="BMY246" s="475"/>
      <c r="BMZ246" s="475"/>
      <c r="BNA246" s="475"/>
      <c r="BNB246" s="475"/>
      <c r="BNC246" s="475"/>
      <c r="BND246" s="475"/>
      <c r="BNE246" s="475"/>
      <c r="BNF246" s="475"/>
      <c r="BNG246" s="475"/>
      <c r="BNH246" s="475"/>
      <c r="BNI246" s="475"/>
      <c r="BNJ246" s="475"/>
      <c r="BNK246" s="475"/>
      <c r="BNL246" s="475"/>
      <c r="BNM246" s="475"/>
      <c r="BNN246" s="475"/>
      <c r="BNO246" s="475"/>
      <c r="BNP246" s="475"/>
      <c r="BNQ246" s="475"/>
      <c r="BNR246" s="475"/>
      <c r="BNS246" s="475"/>
      <c r="BNT246" s="475"/>
      <c r="BNU246" s="475"/>
      <c r="BNV246" s="475"/>
      <c r="BNW246" s="475"/>
      <c r="BNX246" s="475"/>
      <c r="BNY246" s="475"/>
      <c r="BNZ246" s="475"/>
      <c r="BOA246" s="475"/>
      <c r="BOB246" s="475"/>
      <c r="BOC246" s="475"/>
      <c r="BOD246" s="475"/>
      <c r="BOE246" s="475"/>
      <c r="BOF246" s="475"/>
      <c r="BOG246" s="475"/>
      <c r="BOH246" s="475"/>
      <c r="BOI246" s="475"/>
      <c r="BOJ246" s="475"/>
      <c r="BOK246" s="475"/>
      <c r="BOL246" s="475"/>
      <c r="BOM246" s="475"/>
      <c r="BON246" s="475"/>
      <c r="BOO246" s="475"/>
      <c r="BOP246" s="475"/>
      <c r="BOQ246" s="475"/>
      <c r="BOR246" s="475"/>
      <c r="BOS246" s="475"/>
      <c r="BOT246" s="475"/>
      <c r="BOU246" s="475"/>
      <c r="BOV246" s="475"/>
      <c r="BOW246" s="475"/>
      <c r="BOX246" s="475"/>
      <c r="BOY246" s="475"/>
      <c r="BOZ246" s="475"/>
      <c r="BPA246" s="475"/>
      <c r="BPB246" s="475"/>
      <c r="BPC246" s="475"/>
      <c r="BPD246" s="475"/>
      <c r="BPE246" s="475"/>
      <c r="BPF246" s="475"/>
      <c r="BPG246" s="475"/>
      <c r="BPH246" s="475"/>
      <c r="BPI246" s="475"/>
      <c r="BPJ246" s="475"/>
      <c r="BPK246" s="475"/>
      <c r="BPL246" s="475"/>
      <c r="BPM246" s="475"/>
      <c r="BPN246" s="475"/>
      <c r="BPO246" s="475"/>
      <c r="BPP246" s="475"/>
      <c r="BPQ246" s="475"/>
      <c r="BPR246" s="475"/>
      <c r="BPS246" s="475"/>
      <c r="BPT246" s="475"/>
      <c r="BPU246" s="475"/>
      <c r="BPV246" s="475"/>
      <c r="BPW246" s="475"/>
      <c r="BPX246" s="475"/>
      <c r="BPY246" s="475"/>
      <c r="BPZ246" s="475"/>
      <c r="BQA246" s="475"/>
      <c r="BQB246" s="475"/>
      <c r="BQC246" s="475"/>
      <c r="BQD246" s="475"/>
      <c r="BQE246" s="475"/>
      <c r="BQF246" s="475"/>
      <c r="BQG246" s="475"/>
      <c r="BQH246" s="475"/>
      <c r="BQI246" s="475"/>
      <c r="BQJ246" s="475"/>
      <c r="BQK246" s="475"/>
      <c r="BQL246" s="475"/>
      <c r="BQM246" s="475"/>
      <c r="BQN246" s="475"/>
      <c r="BQO246" s="475"/>
      <c r="BQP246" s="475"/>
      <c r="BQQ246" s="475"/>
      <c r="BQR246" s="475"/>
      <c r="BQS246" s="475"/>
      <c r="BQT246" s="475"/>
      <c r="BQU246" s="475"/>
      <c r="BQV246" s="475"/>
      <c r="BQW246" s="475"/>
      <c r="BQX246" s="475"/>
      <c r="BQY246" s="475"/>
      <c r="BQZ246" s="475"/>
      <c r="BRA246" s="475"/>
      <c r="BRB246" s="475"/>
      <c r="BRC246" s="475"/>
      <c r="BRD246" s="475"/>
      <c r="BRE246" s="475"/>
      <c r="BRF246" s="475"/>
      <c r="BRG246" s="475"/>
      <c r="BRH246" s="475"/>
      <c r="BRI246" s="475"/>
      <c r="BRJ246" s="475"/>
      <c r="BRK246" s="475"/>
      <c r="BRL246" s="475"/>
      <c r="BRM246" s="475"/>
      <c r="BRN246" s="475"/>
      <c r="BRO246" s="475"/>
      <c r="BRP246" s="475"/>
      <c r="BRQ246" s="475"/>
      <c r="BRR246" s="475"/>
      <c r="BRS246" s="475"/>
      <c r="BRT246" s="475"/>
      <c r="BRU246" s="475"/>
      <c r="BRV246" s="475"/>
      <c r="BRW246" s="475"/>
      <c r="BRX246" s="475"/>
      <c r="BRY246" s="475"/>
      <c r="BRZ246" s="475"/>
      <c r="BSA246" s="475"/>
      <c r="BSB246" s="475"/>
      <c r="BSC246" s="475"/>
      <c r="BSD246" s="475"/>
      <c r="BSE246" s="475"/>
      <c r="BSF246" s="475"/>
      <c r="BSG246" s="475"/>
      <c r="BSH246" s="475"/>
      <c r="BSI246" s="475"/>
      <c r="BSJ246" s="475"/>
      <c r="BSK246" s="475"/>
      <c r="BSL246" s="475"/>
      <c r="BSM246" s="475"/>
      <c r="BSN246" s="475"/>
      <c r="BSO246" s="475"/>
      <c r="BSP246" s="475"/>
      <c r="BSQ246" s="475"/>
      <c r="BSR246" s="475"/>
      <c r="BSS246" s="475"/>
      <c r="BST246" s="475"/>
      <c r="BSU246" s="475"/>
      <c r="BSV246" s="475"/>
      <c r="BSW246" s="475"/>
      <c r="BSX246" s="475"/>
      <c r="BSY246" s="475"/>
      <c r="BSZ246" s="475"/>
      <c r="BTA246" s="475"/>
      <c r="BTB246" s="475"/>
      <c r="BTC246" s="475"/>
      <c r="BTD246" s="475"/>
      <c r="BTE246" s="475"/>
      <c r="BTF246" s="475"/>
      <c r="BTG246" s="475"/>
      <c r="BTH246" s="475"/>
      <c r="BTI246" s="475"/>
    </row>
    <row r="247" spans="1:1881" s="470" customFormat="1" ht="21.75" thickBot="1" x14ac:dyDescent="0.4">
      <c r="B247" s="879" t="s">
        <v>1055</v>
      </c>
      <c r="C247" s="880"/>
      <c r="D247" s="880"/>
      <c r="E247" s="881"/>
      <c r="G247" s="536"/>
      <c r="H247" s="472"/>
      <c r="I247" s="398"/>
      <c r="J247" s="471"/>
      <c r="K247" s="471"/>
      <c r="L247" s="471"/>
      <c r="M247" s="471"/>
      <c r="N247"/>
      <c r="O247" s="471"/>
      <c r="P247" s="471"/>
      <c r="Q247" s="471"/>
      <c r="R247"/>
      <c r="S247" s="471"/>
      <c r="T247" s="471"/>
      <c r="U247" s="471"/>
      <c r="V247" s="471"/>
      <c r="W247" s="471"/>
      <c r="X247" s="682"/>
      <c r="Y247" s="471"/>
      <c r="Z247" s="471"/>
      <c r="AA247" s="471"/>
      <c r="AB247" s="471"/>
      <c r="AC247" s="471"/>
      <c r="AD247" s="471"/>
      <c r="AE247" s="471"/>
      <c r="AF247" s="471"/>
      <c r="AG247" s="471"/>
      <c r="AH247" s="471"/>
      <c r="AI247" s="471"/>
      <c r="AJ247" s="471"/>
      <c r="AK247" s="471"/>
      <c r="AL247" s="471"/>
      <c r="AM247" s="471"/>
      <c r="AN247" s="471"/>
      <c r="AO247" s="471"/>
      <c r="AP247" s="471"/>
      <c r="AQ247" s="471"/>
      <c r="AR247" s="471"/>
      <c r="AS247" s="471"/>
      <c r="AT247" s="471"/>
      <c r="AU247" s="471"/>
      <c r="AV247" s="471"/>
      <c r="AW247" s="471"/>
      <c r="AX247" s="471"/>
      <c r="AY247" s="471"/>
      <c r="AZ247" s="471"/>
      <c r="BA247" s="471"/>
      <c r="BB247" s="471"/>
      <c r="BC247" s="471"/>
      <c r="BD247" s="471"/>
      <c r="BE247" s="471"/>
      <c r="BF247" s="471"/>
      <c r="BG247" s="471"/>
      <c r="BH247" s="471"/>
      <c r="BI247" s="471"/>
      <c r="BJ247" s="471"/>
      <c r="BK247" s="471"/>
      <c r="BL247" s="471"/>
      <c r="BM247" s="471"/>
      <c r="BN247" s="471"/>
      <c r="BO247" s="471"/>
      <c r="BP247" s="471"/>
      <c r="BQ247" s="471"/>
      <c r="BR247" s="471"/>
      <c r="BS247" s="471"/>
      <c r="BT247" s="471"/>
      <c r="BU247" s="471"/>
      <c r="BV247" s="471"/>
      <c r="BW247" s="471"/>
      <c r="BX247" s="471"/>
      <c r="BY247" s="471"/>
      <c r="BZ247" s="471"/>
      <c r="CA247" s="471"/>
      <c r="CB247" s="471"/>
      <c r="CC247" s="471"/>
      <c r="CD247" s="471"/>
      <c r="CE247" s="471"/>
      <c r="CF247" s="471"/>
      <c r="CG247" s="471"/>
      <c r="CH247" s="471"/>
      <c r="CI247" s="471"/>
      <c r="CJ247" s="471"/>
      <c r="CK247" s="471"/>
      <c r="CL247" s="471"/>
      <c r="CM247" s="471"/>
      <c r="CN247" s="471"/>
      <c r="CO247" s="471"/>
      <c r="CP247" s="471"/>
      <c r="CQ247" s="471"/>
      <c r="CR247" s="471"/>
      <c r="CS247" s="471"/>
      <c r="CT247" s="471"/>
      <c r="CU247" s="471"/>
      <c r="CV247" s="471"/>
      <c r="CW247" s="471"/>
      <c r="CX247" s="471"/>
      <c r="CY247" s="471"/>
      <c r="CZ247" s="471"/>
      <c r="DA247" s="471"/>
      <c r="DB247" s="471"/>
      <c r="DC247" s="471"/>
      <c r="DD247" s="471"/>
      <c r="DE247" s="471"/>
      <c r="DF247" s="471"/>
      <c r="DG247" s="471"/>
      <c r="DH247" s="471"/>
      <c r="DI247" s="471"/>
      <c r="DJ247" s="471"/>
      <c r="DK247" s="471"/>
      <c r="DL247" s="471"/>
      <c r="DM247" s="471"/>
      <c r="DN247" s="471"/>
      <c r="DO247" s="471"/>
      <c r="DP247" s="471"/>
      <c r="DQ247" s="471"/>
      <c r="DR247" s="471"/>
      <c r="DS247" s="471"/>
      <c r="DT247" s="471"/>
      <c r="DU247" s="471"/>
      <c r="DV247" s="471"/>
      <c r="DW247" s="471"/>
      <c r="DX247" s="471"/>
      <c r="DY247" s="471"/>
      <c r="DZ247" s="471"/>
      <c r="EA247" s="471"/>
      <c r="EB247" s="471"/>
      <c r="EC247" s="471"/>
      <c r="ED247" s="471"/>
      <c r="EE247" s="471"/>
      <c r="EF247" s="471"/>
      <c r="EG247" s="471"/>
      <c r="EH247" s="471"/>
      <c r="EI247" s="471"/>
      <c r="EJ247" s="471"/>
      <c r="EK247" s="471"/>
      <c r="EL247" s="471"/>
      <c r="EM247" s="471"/>
      <c r="EN247" s="471"/>
      <c r="EO247" s="471"/>
      <c r="EP247" s="471"/>
      <c r="EQ247" s="471"/>
      <c r="ER247" s="471"/>
      <c r="ES247" s="471"/>
      <c r="ET247" s="471"/>
      <c r="EU247" s="471"/>
      <c r="EV247" s="471"/>
      <c r="EW247" s="471"/>
      <c r="EX247" s="471"/>
      <c r="EY247" s="471"/>
      <c r="EZ247" s="471"/>
      <c r="FA247" s="471"/>
      <c r="FB247" s="471"/>
      <c r="FC247" s="471"/>
      <c r="FD247" s="471"/>
      <c r="FE247" s="471"/>
      <c r="FF247" s="471"/>
      <c r="FG247" s="471"/>
      <c r="FH247" s="471"/>
      <c r="FI247" s="471"/>
      <c r="FJ247" s="471"/>
      <c r="FK247" s="471"/>
      <c r="FL247" s="471"/>
      <c r="FM247" s="471"/>
      <c r="FN247" s="471"/>
      <c r="FO247" s="471"/>
      <c r="FP247" s="471"/>
      <c r="FQ247" s="471"/>
      <c r="FR247" s="471"/>
      <c r="FS247" s="471"/>
      <c r="FT247" s="471"/>
      <c r="FU247" s="471"/>
      <c r="FV247" s="471"/>
      <c r="FW247" s="471"/>
      <c r="FX247" s="471"/>
      <c r="FY247" s="471"/>
      <c r="FZ247" s="471"/>
      <c r="GA247" s="471"/>
      <c r="GB247" s="471"/>
      <c r="GC247" s="471"/>
      <c r="GD247" s="471"/>
      <c r="GE247" s="471"/>
      <c r="GF247" s="471"/>
      <c r="GG247" s="471"/>
      <c r="GH247" s="471"/>
      <c r="GI247" s="471"/>
      <c r="GJ247" s="471"/>
      <c r="GK247" s="471"/>
      <c r="GL247" s="471"/>
      <c r="GM247" s="471"/>
      <c r="GN247" s="471"/>
      <c r="GO247" s="471"/>
      <c r="GP247" s="471"/>
      <c r="GQ247" s="471"/>
      <c r="GR247" s="471"/>
      <c r="GS247" s="471"/>
      <c r="GT247" s="471"/>
      <c r="GU247" s="471"/>
      <c r="GV247" s="471"/>
      <c r="GW247" s="471"/>
      <c r="GX247" s="471"/>
      <c r="GY247" s="471"/>
      <c r="GZ247" s="471"/>
      <c r="HA247" s="471"/>
      <c r="HB247" s="471"/>
      <c r="HC247" s="471"/>
      <c r="HD247" s="471"/>
      <c r="HE247" s="471"/>
      <c r="HF247" s="471"/>
      <c r="HG247" s="471"/>
      <c r="HH247" s="471"/>
      <c r="HI247" s="471"/>
      <c r="HJ247" s="471"/>
      <c r="HK247" s="471"/>
      <c r="HL247" s="471"/>
      <c r="HM247" s="471"/>
      <c r="HN247" s="471"/>
      <c r="HO247" s="471"/>
      <c r="HP247" s="471"/>
      <c r="HQ247" s="471"/>
      <c r="HR247" s="471"/>
      <c r="HS247" s="471"/>
      <c r="HT247" s="471"/>
      <c r="HU247" s="471"/>
      <c r="HV247" s="471"/>
      <c r="HW247" s="471"/>
      <c r="HX247" s="471"/>
      <c r="HY247" s="471"/>
      <c r="HZ247" s="471"/>
      <c r="IA247" s="471"/>
      <c r="IB247" s="471"/>
      <c r="IC247" s="471"/>
      <c r="ID247" s="471"/>
      <c r="IE247" s="471"/>
      <c r="IF247" s="471"/>
      <c r="IG247" s="471"/>
      <c r="IH247" s="471"/>
      <c r="II247" s="471"/>
      <c r="IJ247" s="471"/>
      <c r="IK247" s="471"/>
      <c r="IL247" s="471"/>
      <c r="IM247" s="471"/>
      <c r="IN247" s="471"/>
      <c r="IO247" s="471"/>
      <c r="IP247" s="471"/>
      <c r="IQ247" s="471"/>
      <c r="IR247" s="471"/>
      <c r="IS247" s="471"/>
      <c r="IT247" s="471"/>
      <c r="IU247" s="471"/>
      <c r="IV247" s="471"/>
      <c r="IW247" s="471"/>
      <c r="IX247" s="471"/>
      <c r="IY247" s="471"/>
      <c r="IZ247" s="471"/>
      <c r="JA247" s="471"/>
      <c r="JB247" s="471"/>
      <c r="JC247" s="471"/>
      <c r="JD247" s="471"/>
      <c r="JE247" s="471"/>
      <c r="JF247" s="471"/>
      <c r="JG247" s="471"/>
      <c r="JH247" s="471"/>
      <c r="JI247" s="471"/>
      <c r="JJ247" s="471"/>
      <c r="JK247" s="471"/>
      <c r="JL247" s="471"/>
      <c r="JM247" s="471"/>
      <c r="JN247" s="471"/>
      <c r="JO247" s="471"/>
      <c r="JP247" s="471"/>
      <c r="JQ247" s="471"/>
      <c r="JR247" s="471"/>
      <c r="JS247" s="471"/>
      <c r="JT247" s="471"/>
      <c r="JU247" s="471"/>
      <c r="JV247" s="471"/>
      <c r="JW247" s="471"/>
      <c r="JX247" s="471"/>
      <c r="JY247" s="471"/>
      <c r="JZ247" s="471"/>
      <c r="KA247" s="471"/>
      <c r="KB247" s="471"/>
      <c r="KC247" s="471"/>
      <c r="KD247" s="471"/>
      <c r="KE247" s="471"/>
      <c r="KF247" s="471"/>
      <c r="KG247" s="471"/>
      <c r="KH247" s="471"/>
      <c r="KI247" s="471"/>
      <c r="KJ247" s="471"/>
      <c r="KK247" s="471"/>
      <c r="KL247" s="471"/>
      <c r="KM247" s="471"/>
      <c r="KN247" s="471"/>
      <c r="KO247" s="471"/>
      <c r="KP247" s="471"/>
      <c r="KQ247" s="471"/>
      <c r="KR247" s="471"/>
      <c r="KS247" s="471"/>
      <c r="KT247" s="471"/>
      <c r="KU247" s="471"/>
      <c r="KV247" s="471"/>
      <c r="KW247" s="471"/>
      <c r="KX247" s="471"/>
      <c r="KY247" s="471"/>
      <c r="KZ247" s="471"/>
      <c r="LA247" s="471"/>
      <c r="LB247" s="471"/>
      <c r="LC247" s="471"/>
      <c r="LD247" s="471"/>
      <c r="LE247" s="471"/>
      <c r="LF247" s="471"/>
      <c r="LG247" s="471"/>
      <c r="LH247" s="471"/>
      <c r="LI247" s="471"/>
      <c r="LJ247" s="471"/>
      <c r="LK247" s="471"/>
      <c r="LL247" s="471"/>
      <c r="LM247" s="471"/>
      <c r="LN247" s="471"/>
      <c r="LO247" s="471"/>
      <c r="LP247" s="471"/>
      <c r="LQ247" s="471"/>
      <c r="LR247" s="471"/>
      <c r="LS247" s="471"/>
      <c r="LT247" s="471"/>
      <c r="LU247" s="471"/>
      <c r="LV247" s="471"/>
      <c r="LW247" s="471"/>
      <c r="LX247" s="471"/>
      <c r="LY247" s="471"/>
      <c r="LZ247" s="471"/>
      <c r="MA247" s="471"/>
      <c r="MB247" s="471"/>
      <c r="MC247" s="471"/>
      <c r="MD247" s="471"/>
      <c r="ME247" s="471"/>
      <c r="MF247" s="471"/>
      <c r="MG247" s="471"/>
      <c r="MH247" s="471"/>
      <c r="MI247" s="471"/>
      <c r="MJ247" s="471"/>
      <c r="MK247" s="471"/>
      <c r="ML247" s="471"/>
      <c r="MM247" s="471"/>
      <c r="MN247" s="471"/>
      <c r="MO247" s="471"/>
      <c r="MP247" s="471"/>
      <c r="MQ247" s="471"/>
      <c r="MR247" s="471"/>
      <c r="MS247" s="471"/>
      <c r="MT247" s="471"/>
      <c r="MU247" s="471"/>
      <c r="MV247" s="471"/>
      <c r="MW247" s="471"/>
      <c r="MX247" s="471"/>
      <c r="MY247" s="471"/>
      <c r="MZ247" s="471"/>
      <c r="NA247" s="471"/>
      <c r="NB247" s="471"/>
      <c r="NC247" s="471"/>
      <c r="ND247" s="471"/>
      <c r="NE247" s="471"/>
      <c r="NF247" s="471"/>
      <c r="NG247" s="471"/>
      <c r="NH247" s="471"/>
      <c r="NI247" s="471"/>
      <c r="NJ247" s="471"/>
      <c r="NK247" s="471"/>
      <c r="NL247" s="471"/>
      <c r="NM247" s="471"/>
      <c r="NN247" s="471"/>
      <c r="NO247" s="471"/>
      <c r="NP247" s="471"/>
      <c r="NQ247" s="471"/>
      <c r="NR247" s="471"/>
      <c r="NS247" s="471"/>
      <c r="NT247" s="471"/>
      <c r="NU247" s="471"/>
      <c r="NV247" s="471"/>
      <c r="NW247" s="471"/>
      <c r="NX247" s="471"/>
      <c r="NY247" s="471"/>
      <c r="NZ247" s="471"/>
      <c r="OA247" s="471"/>
      <c r="OB247" s="471"/>
      <c r="OC247" s="471"/>
      <c r="OD247" s="471"/>
      <c r="OE247" s="471"/>
      <c r="OF247" s="471"/>
      <c r="OG247" s="471"/>
      <c r="OH247" s="471"/>
      <c r="OI247" s="471"/>
      <c r="OJ247" s="471"/>
      <c r="OK247" s="471"/>
      <c r="OL247" s="471"/>
      <c r="OM247" s="471"/>
      <c r="ON247" s="471"/>
      <c r="OO247" s="471"/>
      <c r="OP247" s="471"/>
      <c r="OQ247" s="471"/>
      <c r="OR247" s="471"/>
      <c r="OS247" s="471"/>
      <c r="OT247" s="471"/>
      <c r="OU247" s="471"/>
      <c r="OV247" s="471"/>
      <c r="OW247" s="471"/>
      <c r="OX247" s="471"/>
      <c r="OY247" s="471"/>
      <c r="OZ247" s="471"/>
      <c r="PA247" s="471"/>
      <c r="PB247" s="471"/>
      <c r="PC247" s="471"/>
      <c r="PD247" s="471"/>
      <c r="PE247" s="471"/>
      <c r="PF247" s="471"/>
      <c r="PG247" s="471"/>
      <c r="PH247" s="471"/>
      <c r="PI247" s="471"/>
      <c r="PJ247" s="471"/>
      <c r="PK247" s="471"/>
      <c r="PL247" s="471"/>
      <c r="PM247" s="471"/>
      <c r="PN247" s="471"/>
      <c r="PO247" s="471"/>
      <c r="PP247" s="471"/>
      <c r="PQ247" s="471"/>
      <c r="PR247" s="471"/>
      <c r="PS247" s="471"/>
      <c r="PT247" s="471"/>
      <c r="PU247" s="471"/>
      <c r="PV247" s="471"/>
      <c r="PW247" s="471"/>
      <c r="PX247" s="471"/>
      <c r="PY247" s="471"/>
      <c r="PZ247" s="471"/>
      <c r="QA247" s="471"/>
      <c r="QB247" s="471"/>
      <c r="QC247" s="471"/>
      <c r="QD247" s="471"/>
      <c r="QE247" s="471"/>
      <c r="QF247" s="471"/>
      <c r="QG247" s="471"/>
      <c r="QH247" s="471"/>
      <c r="QI247" s="471"/>
      <c r="QJ247" s="471"/>
      <c r="QK247" s="471"/>
      <c r="QL247" s="471"/>
      <c r="QM247" s="471"/>
      <c r="QN247" s="471"/>
      <c r="QO247" s="471"/>
      <c r="QP247" s="471"/>
      <c r="QQ247" s="471"/>
      <c r="QR247" s="471"/>
      <c r="QS247" s="471"/>
      <c r="QT247" s="471"/>
      <c r="QU247" s="471"/>
      <c r="QV247" s="471"/>
      <c r="QW247" s="471"/>
      <c r="QX247" s="471"/>
      <c r="QY247" s="471"/>
      <c r="QZ247" s="471"/>
      <c r="RA247" s="471"/>
      <c r="RB247" s="471"/>
      <c r="RC247" s="471"/>
      <c r="RD247" s="471"/>
      <c r="RE247" s="471"/>
      <c r="RF247" s="471"/>
      <c r="RG247" s="471"/>
      <c r="RH247" s="471"/>
      <c r="RI247" s="471"/>
      <c r="RJ247" s="471"/>
      <c r="RK247" s="471"/>
      <c r="RL247" s="471"/>
      <c r="RM247" s="471"/>
      <c r="RN247" s="471"/>
      <c r="RO247" s="471"/>
      <c r="RP247" s="471"/>
      <c r="RQ247" s="471"/>
      <c r="RR247" s="471"/>
      <c r="RS247" s="471"/>
      <c r="RT247" s="471"/>
      <c r="RU247" s="471"/>
      <c r="RV247" s="471"/>
      <c r="RW247" s="471"/>
      <c r="RX247" s="471"/>
      <c r="RY247" s="471"/>
      <c r="RZ247" s="471"/>
      <c r="SA247" s="471"/>
      <c r="SB247" s="471"/>
      <c r="SC247" s="471"/>
      <c r="SD247" s="471"/>
      <c r="SE247" s="471"/>
      <c r="SF247" s="471"/>
      <c r="SG247" s="471"/>
      <c r="SH247" s="471"/>
      <c r="SI247" s="471"/>
      <c r="SJ247" s="471"/>
      <c r="SK247" s="471"/>
      <c r="SL247" s="471"/>
      <c r="SM247" s="471"/>
      <c r="SN247" s="471"/>
      <c r="SO247" s="471"/>
      <c r="SP247" s="471"/>
      <c r="SQ247" s="471"/>
      <c r="SR247" s="471"/>
      <c r="SS247" s="471"/>
      <c r="ST247" s="471"/>
      <c r="SU247" s="471"/>
      <c r="SV247" s="471"/>
      <c r="SW247" s="471"/>
      <c r="SX247" s="471"/>
      <c r="SY247" s="471"/>
      <c r="SZ247" s="471"/>
      <c r="TA247" s="471"/>
      <c r="TB247" s="471"/>
      <c r="TC247" s="471"/>
      <c r="TD247" s="471"/>
      <c r="TE247" s="471"/>
      <c r="TF247" s="471"/>
      <c r="TG247" s="471"/>
      <c r="TH247" s="471"/>
      <c r="TI247" s="471"/>
      <c r="TJ247" s="471"/>
      <c r="TK247" s="471"/>
      <c r="TL247" s="471"/>
      <c r="TM247" s="471"/>
      <c r="TN247" s="471"/>
      <c r="TO247" s="471"/>
      <c r="TP247" s="471"/>
      <c r="TQ247" s="471"/>
      <c r="TR247" s="471"/>
      <c r="TS247" s="471"/>
      <c r="TT247" s="471"/>
      <c r="TU247" s="471"/>
      <c r="TV247" s="471"/>
      <c r="TW247" s="471"/>
      <c r="TX247" s="471"/>
      <c r="TY247" s="471"/>
      <c r="TZ247" s="471"/>
      <c r="UA247" s="471"/>
      <c r="UB247" s="471"/>
      <c r="UC247" s="471"/>
      <c r="UD247" s="471"/>
      <c r="UE247" s="471"/>
      <c r="UF247" s="471"/>
      <c r="UG247" s="471"/>
      <c r="UH247" s="471"/>
      <c r="UI247" s="471"/>
      <c r="UJ247" s="471"/>
      <c r="UK247" s="471"/>
      <c r="UL247" s="471"/>
      <c r="UM247" s="471"/>
      <c r="UN247" s="471"/>
      <c r="UO247" s="471"/>
      <c r="UP247" s="471"/>
      <c r="UQ247" s="471"/>
      <c r="UR247" s="471"/>
      <c r="US247" s="471"/>
      <c r="UT247" s="471"/>
      <c r="UU247" s="471"/>
      <c r="UV247" s="471"/>
      <c r="UW247" s="471"/>
      <c r="UX247" s="471"/>
      <c r="UY247" s="471"/>
      <c r="UZ247" s="471"/>
      <c r="VA247" s="471"/>
      <c r="VB247" s="471"/>
      <c r="VC247" s="471"/>
      <c r="VD247" s="471"/>
      <c r="VE247" s="471"/>
      <c r="VF247" s="471"/>
      <c r="VG247" s="471"/>
      <c r="VH247" s="471"/>
      <c r="VI247" s="471"/>
      <c r="VJ247" s="471"/>
      <c r="VK247" s="471"/>
      <c r="VL247" s="471"/>
      <c r="VM247" s="471"/>
      <c r="VN247" s="471"/>
      <c r="VO247" s="471"/>
      <c r="VP247" s="471"/>
      <c r="VQ247" s="471"/>
      <c r="VR247" s="471"/>
      <c r="VS247" s="471"/>
      <c r="VT247" s="471"/>
      <c r="VU247" s="471"/>
      <c r="VV247" s="471"/>
      <c r="VW247" s="471"/>
      <c r="VX247" s="471"/>
      <c r="VY247" s="471"/>
      <c r="VZ247" s="471"/>
      <c r="WA247" s="471"/>
      <c r="WB247" s="471"/>
      <c r="WC247" s="471"/>
      <c r="WD247" s="471"/>
      <c r="WE247" s="471"/>
      <c r="WF247" s="471"/>
      <c r="WG247" s="471"/>
      <c r="WH247" s="471"/>
      <c r="WI247" s="471"/>
      <c r="WJ247" s="471"/>
      <c r="WK247" s="471"/>
      <c r="WL247" s="471"/>
      <c r="WM247" s="471"/>
      <c r="WN247" s="471"/>
      <c r="WO247" s="471"/>
      <c r="WP247" s="471"/>
      <c r="WQ247" s="471"/>
      <c r="WR247" s="471"/>
      <c r="WS247" s="471"/>
      <c r="WT247" s="471"/>
      <c r="WU247" s="471"/>
      <c r="WV247" s="471"/>
      <c r="WW247" s="471"/>
      <c r="WX247" s="471"/>
      <c r="WY247" s="471"/>
      <c r="WZ247" s="471"/>
      <c r="XA247" s="471"/>
      <c r="XB247" s="471"/>
      <c r="XC247" s="471"/>
      <c r="XD247" s="471"/>
      <c r="XE247" s="471"/>
      <c r="XF247" s="471"/>
      <c r="XG247" s="471"/>
      <c r="XH247" s="471"/>
      <c r="XI247" s="471"/>
      <c r="XJ247" s="471"/>
      <c r="XK247" s="471"/>
      <c r="XL247" s="471"/>
      <c r="XM247" s="471"/>
      <c r="XN247" s="471"/>
      <c r="XO247" s="471"/>
      <c r="XP247" s="471"/>
      <c r="XQ247" s="471"/>
      <c r="XR247" s="471"/>
      <c r="XS247" s="471"/>
      <c r="XT247" s="471"/>
      <c r="XU247" s="471"/>
      <c r="XV247" s="471"/>
      <c r="XW247" s="471"/>
      <c r="XX247" s="471"/>
      <c r="XY247" s="471"/>
      <c r="XZ247" s="471"/>
      <c r="YA247" s="471"/>
      <c r="YB247" s="471"/>
      <c r="YC247" s="471"/>
      <c r="YD247" s="471"/>
      <c r="YE247" s="471"/>
      <c r="YF247" s="471"/>
      <c r="YG247" s="471"/>
      <c r="YH247" s="471"/>
      <c r="YI247" s="471"/>
      <c r="YJ247" s="471"/>
      <c r="YK247" s="471"/>
      <c r="YL247" s="471"/>
      <c r="YM247" s="471"/>
      <c r="YN247" s="471"/>
      <c r="YO247" s="471"/>
      <c r="YP247" s="471"/>
      <c r="YQ247" s="471"/>
      <c r="YR247" s="471"/>
      <c r="YS247" s="471"/>
      <c r="YT247" s="471"/>
      <c r="YU247" s="471"/>
      <c r="YV247" s="471"/>
      <c r="YW247" s="471"/>
      <c r="YX247" s="471"/>
      <c r="YY247" s="471"/>
      <c r="YZ247" s="471"/>
      <c r="ZA247" s="471"/>
      <c r="ZB247" s="471"/>
      <c r="ZC247" s="471"/>
      <c r="ZD247" s="471"/>
      <c r="ZE247" s="471"/>
      <c r="ZF247" s="471"/>
      <c r="ZG247" s="471"/>
      <c r="ZH247" s="471"/>
      <c r="ZI247" s="471"/>
      <c r="ZJ247" s="471"/>
      <c r="ZK247" s="471"/>
      <c r="ZL247" s="471"/>
      <c r="ZM247" s="471"/>
      <c r="ZN247" s="471"/>
      <c r="ZO247" s="471"/>
      <c r="ZP247" s="471"/>
      <c r="ZQ247" s="471"/>
      <c r="ZR247" s="471"/>
      <c r="ZS247" s="471"/>
      <c r="ZT247" s="471"/>
      <c r="ZU247" s="471"/>
      <c r="ZV247" s="471"/>
      <c r="ZW247" s="471"/>
      <c r="ZX247" s="471"/>
      <c r="ZY247" s="471"/>
      <c r="ZZ247" s="471"/>
      <c r="AAA247" s="471"/>
      <c r="AAB247" s="471"/>
      <c r="AAC247" s="471"/>
      <c r="AAD247" s="471"/>
      <c r="AAE247" s="471"/>
      <c r="AAF247" s="471"/>
      <c r="AAG247" s="471"/>
      <c r="AAH247" s="471"/>
      <c r="AAI247" s="471"/>
      <c r="AAJ247" s="471"/>
      <c r="AAK247" s="471"/>
      <c r="AAL247" s="471"/>
      <c r="AAM247" s="471"/>
      <c r="AAN247" s="471"/>
      <c r="AAO247" s="471"/>
      <c r="AAP247" s="471"/>
      <c r="AAQ247" s="471"/>
      <c r="AAR247" s="471"/>
      <c r="AAS247" s="471"/>
      <c r="AAT247" s="471"/>
      <c r="AAU247" s="471"/>
      <c r="AAV247" s="471"/>
      <c r="AAW247" s="471"/>
      <c r="AAX247" s="471"/>
      <c r="AAY247" s="471"/>
      <c r="AAZ247" s="471"/>
      <c r="ABA247" s="471"/>
      <c r="ABB247" s="471"/>
      <c r="ABC247" s="471"/>
      <c r="ABD247" s="471"/>
      <c r="ABE247" s="471"/>
      <c r="ABF247" s="471"/>
      <c r="ABG247" s="471"/>
      <c r="ABH247" s="471"/>
      <c r="ABI247" s="471"/>
      <c r="ABJ247" s="471"/>
      <c r="ABK247" s="471"/>
      <c r="ABL247" s="471"/>
      <c r="ABM247" s="471"/>
      <c r="ABN247" s="471"/>
      <c r="ABO247" s="471"/>
      <c r="ABP247" s="471"/>
      <c r="ABQ247" s="471"/>
      <c r="ABR247" s="471"/>
      <c r="ABS247" s="471"/>
      <c r="ABT247" s="471"/>
      <c r="ABU247" s="471"/>
      <c r="ABV247" s="471"/>
      <c r="ABW247" s="471"/>
      <c r="ABX247" s="471"/>
      <c r="ABY247" s="471"/>
      <c r="ABZ247" s="471"/>
      <c r="ACA247" s="471"/>
      <c r="ACB247" s="471"/>
      <c r="ACC247" s="471"/>
      <c r="ACD247" s="471"/>
      <c r="ACE247" s="471"/>
      <c r="ACF247" s="471"/>
      <c r="ACG247" s="471"/>
      <c r="ACH247" s="471"/>
      <c r="ACI247" s="471"/>
      <c r="ACJ247" s="471"/>
      <c r="ACK247" s="471"/>
      <c r="ACL247" s="471"/>
      <c r="ACM247" s="471"/>
      <c r="ACN247" s="471"/>
      <c r="ACO247" s="471"/>
      <c r="ACP247" s="471"/>
      <c r="ACQ247" s="471"/>
      <c r="ACR247" s="471"/>
      <c r="ACS247" s="471"/>
      <c r="ACT247" s="471"/>
      <c r="ACU247" s="471"/>
      <c r="ACV247" s="471"/>
      <c r="ACW247" s="471"/>
      <c r="ACX247" s="471"/>
      <c r="ACY247" s="471"/>
      <c r="ACZ247" s="471"/>
      <c r="ADA247" s="471"/>
      <c r="ADB247" s="471"/>
      <c r="ADC247" s="471"/>
      <c r="ADD247" s="471"/>
      <c r="ADE247" s="471"/>
      <c r="ADF247" s="471"/>
      <c r="ADG247" s="471"/>
      <c r="ADH247" s="471"/>
      <c r="ADI247" s="471"/>
      <c r="ADJ247" s="471"/>
      <c r="ADK247" s="471"/>
      <c r="ADL247" s="471"/>
      <c r="ADM247" s="471"/>
      <c r="ADN247" s="471"/>
      <c r="ADO247" s="471"/>
      <c r="ADP247" s="471"/>
      <c r="ADQ247" s="471"/>
      <c r="ADR247" s="471"/>
      <c r="ADS247" s="471"/>
      <c r="ADT247" s="471"/>
      <c r="ADU247" s="471"/>
      <c r="ADV247" s="471"/>
      <c r="ADW247" s="471"/>
      <c r="ADX247" s="471"/>
      <c r="ADY247" s="471"/>
      <c r="ADZ247" s="471"/>
      <c r="AEA247" s="471"/>
      <c r="AEB247" s="471"/>
      <c r="AEC247" s="471"/>
      <c r="AED247" s="471"/>
      <c r="AEE247" s="471"/>
      <c r="AEF247" s="471"/>
      <c r="AEG247" s="471"/>
      <c r="AEH247" s="471"/>
      <c r="AEI247" s="471"/>
      <c r="AEJ247" s="471"/>
      <c r="AEK247" s="471"/>
      <c r="AEL247" s="471"/>
      <c r="AEM247" s="471"/>
      <c r="AEN247" s="471"/>
      <c r="AEO247" s="471"/>
      <c r="AEP247" s="471"/>
      <c r="AEQ247" s="471"/>
      <c r="AER247" s="471"/>
      <c r="AES247" s="471"/>
      <c r="AET247" s="471"/>
      <c r="AEU247" s="471"/>
      <c r="AEV247" s="471"/>
      <c r="AEW247" s="471"/>
      <c r="AEX247" s="471"/>
      <c r="AEY247" s="471"/>
      <c r="AEZ247" s="471"/>
      <c r="AFA247" s="471"/>
      <c r="AFB247" s="471"/>
      <c r="AFC247" s="471"/>
      <c r="AFD247" s="471"/>
      <c r="AFE247" s="471"/>
      <c r="AFF247" s="471"/>
      <c r="AFG247" s="471"/>
      <c r="AFH247" s="471"/>
      <c r="AFI247" s="471"/>
      <c r="AFJ247" s="471"/>
      <c r="AFK247" s="471"/>
      <c r="AFL247" s="471"/>
      <c r="AFM247" s="471"/>
      <c r="AFN247" s="471"/>
      <c r="AFO247" s="471"/>
      <c r="AFP247" s="471"/>
      <c r="AFQ247" s="471"/>
      <c r="AFR247" s="471"/>
      <c r="AFS247" s="471"/>
      <c r="AFT247" s="471"/>
      <c r="AFU247" s="471"/>
      <c r="AFV247" s="471"/>
      <c r="AFW247" s="471"/>
      <c r="AFX247" s="471"/>
      <c r="AFY247" s="471"/>
      <c r="AFZ247" s="471"/>
      <c r="AGA247" s="471"/>
      <c r="AGB247" s="471"/>
      <c r="AGC247" s="471"/>
      <c r="AGD247" s="471"/>
      <c r="AGE247" s="471"/>
      <c r="AGF247" s="471"/>
      <c r="AGG247" s="471"/>
      <c r="AGH247" s="471"/>
      <c r="AGI247" s="471"/>
      <c r="AGJ247" s="471"/>
      <c r="AGK247" s="471"/>
      <c r="AGL247" s="471"/>
      <c r="AGM247" s="471"/>
      <c r="AGN247" s="471"/>
      <c r="AGO247" s="471"/>
      <c r="AGP247" s="471"/>
      <c r="AGQ247" s="471"/>
      <c r="AGR247" s="471"/>
      <c r="AGS247" s="471"/>
      <c r="AGT247" s="471"/>
      <c r="AGU247" s="471"/>
      <c r="AGV247" s="471"/>
      <c r="AGW247" s="471"/>
      <c r="AGX247" s="471"/>
      <c r="AGY247" s="471"/>
      <c r="AGZ247" s="471"/>
      <c r="AHA247" s="471"/>
      <c r="AHB247" s="471"/>
      <c r="AHC247" s="471"/>
      <c r="AHD247" s="471"/>
      <c r="AHE247" s="471"/>
      <c r="AHF247" s="471"/>
      <c r="AHG247" s="471"/>
      <c r="AHH247" s="471"/>
      <c r="AHI247" s="471"/>
      <c r="AHJ247" s="471"/>
      <c r="AHK247" s="471"/>
      <c r="AHL247" s="471"/>
      <c r="AHM247" s="471"/>
      <c r="AHN247" s="471"/>
      <c r="AHO247" s="471"/>
      <c r="AHP247" s="471"/>
      <c r="AHQ247" s="471"/>
      <c r="AHR247" s="471"/>
      <c r="AHS247" s="471"/>
      <c r="AHT247" s="471"/>
      <c r="AHU247" s="471"/>
      <c r="AHV247" s="471"/>
      <c r="AHW247" s="471"/>
      <c r="AHX247" s="471"/>
      <c r="AHY247" s="471"/>
      <c r="AHZ247" s="471"/>
      <c r="AIA247" s="471"/>
      <c r="AIB247" s="471"/>
      <c r="AIC247" s="471"/>
      <c r="AID247" s="471"/>
      <c r="AIE247" s="471"/>
      <c r="AIF247" s="471"/>
      <c r="AIG247" s="471"/>
      <c r="AIH247" s="471"/>
      <c r="AII247" s="471"/>
      <c r="AIJ247" s="471"/>
      <c r="AIK247" s="471"/>
      <c r="AIL247" s="471"/>
      <c r="AIM247" s="471"/>
      <c r="AIN247" s="471"/>
      <c r="AIO247" s="471"/>
      <c r="AIP247" s="471"/>
      <c r="AIQ247" s="471"/>
      <c r="AIR247" s="471"/>
      <c r="AIS247" s="471"/>
      <c r="AIT247" s="471"/>
      <c r="AIU247" s="471"/>
      <c r="AIV247" s="471"/>
      <c r="AIW247" s="471"/>
      <c r="AIX247" s="471"/>
      <c r="AIY247" s="471"/>
      <c r="AIZ247" s="471"/>
      <c r="AJA247" s="471"/>
      <c r="AJB247" s="471"/>
      <c r="AJC247" s="471"/>
      <c r="AJD247" s="471"/>
      <c r="AJE247" s="471"/>
      <c r="AJF247" s="471"/>
      <c r="AJG247" s="471"/>
      <c r="AJH247" s="471"/>
      <c r="AJI247" s="471"/>
      <c r="AJJ247" s="471"/>
      <c r="AJK247" s="471"/>
      <c r="AJL247" s="471"/>
      <c r="AJM247" s="471"/>
      <c r="AJN247" s="471"/>
      <c r="AJO247" s="471"/>
      <c r="AJP247" s="471"/>
      <c r="AJQ247" s="471"/>
      <c r="AJR247" s="471"/>
      <c r="AJS247" s="471"/>
      <c r="AJT247" s="471"/>
      <c r="AJU247" s="471"/>
      <c r="AJV247" s="471"/>
      <c r="AJW247" s="471"/>
      <c r="AJX247" s="471"/>
      <c r="AJY247" s="471"/>
      <c r="AJZ247" s="471"/>
      <c r="AKA247" s="471"/>
      <c r="AKB247" s="471"/>
      <c r="AKC247" s="471"/>
      <c r="AKD247" s="471"/>
      <c r="AKE247" s="471"/>
      <c r="AKF247" s="471"/>
      <c r="AKG247" s="471"/>
      <c r="AKH247" s="471"/>
      <c r="AKI247" s="471"/>
      <c r="AKJ247" s="471"/>
      <c r="AKK247" s="471"/>
      <c r="AKL247" s="471"/>
      <c r="AKM247" s="471"/>
      <c r="AKN247" s="471"/>
      <c r="AKO247" s="471"/>
      <c r="AKP247" s="471"/>
      <c r="AKQ247" s="471"/>
      <c r="AKR247" s="471"/>
      <c r="AKS247" s="471"/>
      <c r="AKT247" s="471"/>
      <c r="AKU247" s="471"/>
      <c r="AKV247" s="471"/>
      <c r="AKW247" s="471"/>
      <c r="AKX247" s="471"/>
      <c r="AKY247" s="471"/>
      <c r="AKZ247" s="471"/>
      <c r="ALA247" s="471"/>
      <c r="ALB247" s="471"/>
      <c r="ALC247" s="471"/>
      <c r="ALD247" s="471"/>
      <c r="ALE247" s="471"/>
      <c r="ALF247" s="471"/>
      <c r="ALG247" s="471"/>
      <c r="ALH247" s="471"/>
      <c r="ALI247" s="471"/>
      <c r="ALJ247" s="471"/>
      <c r="ALK247" s="471"/>
      <c r="ALL247" s="471"/>
      <c r="ALM247" s="471"/>
      <c r="ALN247" s="471"/>
      <c r="ALO247" s="471"/>
      <c r="ALP247" s="471"/>
      <c r="ALQ247" s="471"/>
      <c r="ALR247" s="471"/>
      <c r="ALS247" s="471"/>
      <c r="ALT247" s="471"/>
      <c r="ALU247" s="471"/>
      <c r="ALV247" s="471"/>
      <c r="ALW247" s="471"/>
      <c r="ALX247" s="471"/>
      <c r="ALY247" s="471"/>
      <c r="ALZ247" s="471"/>
      <c r="AMA247" s="471"/>
      <c r="AMB247" s="471"/>
      <c r="AMC247" s="471"/>
      <c r="AMD247" s="471"/>
      <c r="AME247" s="471"/>
      <c r="AMF247" s="471"/>
      <c r="AMG247" s="471"/>
      <c r="AMH247" s="471"/>
      <c r="AMI247" s="471"/>
      <c r="AMJ247" s="471"/>
      <c r="AMK247" s="471"/>
      <c r="AML247" s="471"/>
      <c r="AMM247" s="471"/>
      <c r="AMN247" s="471"/>
      <c r="AMO247" s="471"/>
      <c r="AMP247" s="471"/>
      <c r="AMQ247" s="471"/>
      <c r="AMR247" s="471"/>
      <c r="AMS247" s="471"/>
      <c r="AMT247" s="471"/>
      <c r="AMU247" s="471"/>
      <c r="AMV247" s="471"/>
      <c r="AMW247" s="471"/>
      <c r="AMX247" s="471"/>
      <c r="AMY247" s="471"/>
      <c r="AMZ247" s="471"/>
      <c r="ANA247" s="471"/>
      <c r="ANB247" s="471"/>
      <c r="ANC247" s="471"/>
      <c r="AND247" s="471"/>
      <c r="ANE247" s="471"/>
      <c r="ANF247" s="471"/>
      <c r="ANG247" s="471"/>
      <c r="ANH247" s="471"/>
      <c r="ANI247" s="471"/>
      <c r="ANJ247" s="471"/>
      <c r="ANK247" s="471"/>
      <c r="ANL247" s="471"/>
      <c r="ANM247" s="471"/>
      <c r="ANN247" s="471"/>
      <c r="ANO247" s="471"/>
      <c r="ANP247" s="471"/>
      <c r="ANQ247" s="471"/>
      <c r="ANR247" s="471"/>
      <c r="ANS247" s="471"/>
      <c r="ANT247" s="471"/>
      <c r="ANU247" s="471"/>
      <c r="ANV247" s="471"/>
      <c r="ANW247" s="471"/>
      <c r="ANX247" s="471"/>
      <c r="ANY247" s="471"/>
      <c r="ANZ247" s="471"/>
      <c r="AOA247" s="471"/>
      <c r="AOB247" s="471"/>
      <c r="AOC247" s="471"/>
      <c r="AOD247" s="471"/>
      <c r="AOE247" s="471"/>
      <c r="AOF247" s="471"/>
      <c r="AOG247" s="471"/>
      <c r="AOH247" s="471"/>
      <c r="AOI247" s="471"/>
      <c r="AOJ247" s="471"/>
      <c r="AOK247" s="471"/>
      <c r="AOL247" s="471"/>
      <c r="AOM247" s="471"/>
      <c r="AON247" s="471"/>
      <c r="AOO247" s="471"/>
      <c r="AOP247" s="471"/>
      <c r="AOQ247" s="471"/>
      <c r="AOR247" s="471"/>
      <c r="AOS247" s="471"/>
      <c r="AOT247" s="471"/>
      <c r="AOU247" s="471"/>
      <c r="AOV247" s="471"/>
      <c r="AOW247" s="471"/>
      <c r="AOX247" s="471"/>
      <c r="AOY247" s="471"/>
      <c r="AOZ247" s="471"/>
      <c r="APA247" s="471"/>
      <c r="APB247" s="471"/>
      <c r="APC247" s="471"/>
      <c r="APD247" s="471"/>
      <c r="APE247" s="471"/>
      <c r="APF247" s="471"/>
      <c r="APG247" s="471"/>
      <c r="APH247" s="471"/>
      <c r="API247" s="471"/>
      <c r="APJ247" s="471"/>
      <c r="APK247" s="471"/>
      <c r="APL247" s="471"/>
      <c r="APM247" s="471"/>
      <c r="APN247" s="471"/>
      <c r="APO247" s="471"/>
      <c r="APP247" s="471"/>
      <c r="APQ247" s="471"/>
      <c r="APR247" s="471"/>
      <c r="APS247" s="471"/>
      <c r="APT247" s="471"/>
      <c r="APU247" s="471"/>
      <c r="APV247" s="471"/>
      <c r="APW247" s="471"/>
      <c r="APX247" s="471"/>
      <c r="APY247" s="471"/>
      <c r="APZ247" s="471"/>
      <c r="AQA247" s="471"/>
      <c r="AQB247" s="471"/>
      <c r="AQC247" s="471"/>
      <c r="AQD247" s="471"/>
      <c r="AQE247" s="471"/>
      <c r="AQF247" s="471"/>
      <c r="AQG247" s="471"/>
      <c r="AQH247" s="471"/>
      <c r="AQI247" s="471"/>
      <c r="AQJ247" s="471"/>
      <c r="AQK247" s="471"/>
      <c r="AQL247" s="471"/>
      <c r="AQM247" s="471"/>
      <c r="AQN247" s="471"/>
      <c r="AQO247" s="471"/>
      <c r="AQP247" s="471"/>
      <c r="AQQ247" s="471"/>
      <c r="AQR247" s="471"/>
      <c r="AQS247" s="471"/>
      <c r="AQT247" s="471"/>
      <c r="AQU247" s="471"/>
      <c r="AQV247" s="471"/>
      <c r="AQW247" s="471"/>
      <c r="AQX247" s="471"/>
      <c r="AQY247" s="471"/>
      <c r="AQZ247" s="471"/>
      <c r="ARA247" s="471"/>
      <c r="ARB247" s="471"/>
      <c r="ARC247" s="471"/>
      <c r="ARD247" s="471"/>
      <c r="ARE247" s="471"/>
      <c r="ARF247" s="471"/>
      <c r="ARG247" s="471"/>
      <c r="ARH247" s="471"/>
      <c r="ARI247" s="471"/>
      <c r="ARJ247" s="471"/>
      <c r="ARK247" s="471"/>
      <c r="ARL247" s="471"/>
      <c r="ARM247" s="471"/>
      <c r="ARN247" s="471"/>
      <c r="ARO247" s="471"/>
      <c r="ARP247" s="471"/>
      <c r="ARQ247" s="471"/>
      <c r="ARR247" s="471"/>
      <c r="ARS247" s="471"/>
      <c r="ART247" s="471"/>
      <c r="ARU247" s="471"/>
      <c r="ARV247" s="471"/>
      <c r="ARW247" s="471"/>
      <c r="ARX247" s="471"/>
      <c r="ARY247" s="471"/>
      <c r="ARZ247" s="471"/>
      <c r="ASA247" s="471"/>
      <c r="ASB247" s="471"/>
      <c r="ASC247" s="471"/>
      <c r="ASD247" s="471"/>
      <c r="ASE247" s="471"/>
      <c r="ASF247" s="471"/>
      <c r="ASG247" s="471"/>
      <c r="ASH247" s="471"/>
      <c r="ASI247" s="471"/>
      <c r="ASJ247" s="471"/>
      <c r="ASK247" s="471"/>
      <c r="ASL247" s="471"/>
      <c r="ASM247" s="471"/>
      <c r="ASN247" s="471"/>
      <c r="ASO247" s="471"/>
      <c r="ASP247" s="471"/>
      <c r="ASQ247" s="471"/>
      <c r="ASR247" s="471"/>
      <c r="ASS247" s="471"/>
      <c r="AST247" s="471"/>
      <c r="ASU247" s="471"/>
      <c r="ASV247" s="471"/>
      <c r="ASW247" s="471"/>
      <c r="ASX247" s="471"/>
      <c r="ASY247" s="471"/>
      <c r="ASZ247" s="471"/>
      <c r="ATA247" s="471"/>
      <c r="ATB247" s="471"/>
      <c r="ATC247" s="471"/>
      <c r="ATD247" s="471"/>
      <c r="ATE247" s="471"/>
      <c r="ATF247" s="471"/>
      <c r="ATG247" s="471"/>
      <c r="ATH247" s="471"/>
      <c r="ATI247" s="471"/>
      <c r="ATJ247" s="471"/>
      <c r="ATK247" s="471"/>
      <c r="ATL247" s="471"/>
      <c r="ATM247" s="471"/>
      <c r="ATN247" s="471"/>
      <c r="ATO247" s="471"/>
      <c r="ATP247" s="471"/>
      <c r="ATQ247" s="471"/>
      <c r="ATR247" s="471"/>
      <c r="ATS247" s="471"/>
      <c r="ATT247" s="471"/>
      <c r="ATU247" s="471"/>
      <c r="ATV247" s="471"/>
      <c r="ATW247" s="471"/>
      <c r="ATX247" s="471"/>
      <c r="ATY247" s="471"/>
      <c r="ATZ247" s="471"/>
      <c r="AUA247" s="471"/>
      <c r="AUB247" s="471"/>
      <c r="AUC247" s="471"/>
      <c r="AUD247" s="471"/>
      <c r="AUE247" s="471"/>
      <c r="AUF247" s="471"/>
      <c r="AUG247" s="471"/>
      <c r="AUH247" s="471"/>
      <c r="AUI247" s="471"/>
      <c r="AUJ247" s="471"/>
      <c r="AUK247" s="471"/>
      <c r="AUL247" s="471"/>
      <c r="AUM247" s="471"/>
      <c r="AUN247" s="471"/>
      <c r="AUO247" s="471"/>
      <c r="AUP247" s="471"/>
      <c r="AUQ247" s="471"/>
      <c r="AUR247" s="471"/>
      <c r="AUS247" s="471"/>
      <c r="AUT247" s="471"/>
      <c r="AUU247" s="471"/>
      <c r="AUV247" s="471"/>
      <c r="AUW247" s="471"/>
      <c r="AUX247" s="471"/>
      <c r="AUY247" s="471"/>
      <c r="AUZ247" s="471"/>
      <c r="AVA247" s="471"/>
      <c r="AVB247" s="471"/>
      <c r="AVC247" s="471"/>
      <c r="AVD247" s="471"/>
      <c r="AVE247" s="471"/>
      <c r="AVF247" s="471"/>
      <c r="AVG247" s="471"/>
      <c r="AVH247" s="471"/>
      <c r="AVI247" s="471"/>
      <c r="AVJ247" s="471"/>
      <c r="AVK247" s="471"/>
      <c r="AVL247" s="471"/>
      <c r="AVM247" s="471"/>
      <c r="AVN247" s="471"/>
      <c r="AVO247" s="471"/>
      <c r="AVP247" s="471"/>
      <c r="AVQ247" s="471"/>
      <c r="AVR247" s="471"/>
      <c r="AVS247" s="471"/>
      <c r="AVT247" s="471"/>
      <c r="AVU247" s="471"/>
      <c r="AVV247" s="471"/>
      <c r="AVW247" s="471"/>
      <c r="AVX247" s="471"/>
      <c r="AVY247" s="471"/>
      <c r="AVZ247" s="471"/>
      <c r="AWA247" s="471"/>
      <c r="AWB247" s="471"/>
      <c r="AWC247" s="471"/>
      <c r="AWD247" s="471"/>
      <c r="AWE247" s="471"/>
      <c r="AWF247" s="471"/>
      <c r="AWG247" s="471"/>
      <c r="AWH247" s="471"/>
      <c r="AWI247" s="471"/>
      <c r="AWJ247" s="471"/>
      <c r="AWK247" s="471"/>
      <c r="AWL247" s="471"/>
      <c r="AWM247" s="471"/>
      <c r="AWN247" s="471"/>
      <c r="AWO247" s="471"/>
      <c r="AWP247" s="471"/>
      <c r="AWQ247" s="471"/>
      <c r="AWR247" s="471"/>
      <c r="AWS247" s="471"/>
      <c r="AWT247" s="471"/>
      <c r="AWU247" s="471"/>
      <c r="AWV247" s="471"/>
      <c r="AWW247" s="471"/>
      <c r="AWX247" s="471"/>
      <c r="AWY247" s="471"/>
      <c r="AWZ247" s="471"/>
      <c r="AXA247" s="471"/>
      <c r="AXB247" s="471"/>
      <c r="AXC247" s="471"/>
      <c r="AXD247" s="471"/>
      <c r="AXE247" s="471"/>
      <c r="AXF247" s="471"/>
      <c r="AXG247" s="471"/>
      <c r="AXH247" s="471"/>
      <c r="AXI247" s="471"/>
      <c r="AXJ247" s="471"/>
      <c r="AXK247" s="471"/>
      <c r="AXL247" s="471"/>
      <c r="AXM247" s="471"/>
      <c r="AXN247" s="471"/>
      <c r="AXO247" s="471"/>
      <c r="AXP247" s="471"/>
      <c r="AXQ247" s="471"/>
      <c r="AXR247" s="471"/>
      <c r="AXS247" s="471"/>
      <c r="AXT247" s="471"/>
      <c r="AXU247" s="471"/>
      <c r="AXV247" s="471"/>
      <c r="AXW247" s="471"/>
      <c r="AXX247" s="471"/>
      <c r="AXY247" s="471"/>
      <c r="AXZ247" s="471"/>
      <c r="AYA247" s="471"/>
      <c r="AYB247" s="471"/>
      <c r="AYC247" s="471"/>
      <c r="AYD247" s="471"/>
      <c r="AYE247" s="471"/>
      <c r="AYF247" s="471"/>
      <c r="AYG247" s="471"/>
      <c r="AYH247" s="471"/>
      <c r="AYI247" s="471"/>
      <c r="AYJ247" s="471"/>
      <c r="AYK247" s="471"/>
      <c r="AYL247" s="471"/>
      <c r="AYM247" s="471"/>
      <c r="AYN247" s="471"/>
      <c r="AYO247" s="471"/>
      <c r="AYP247" s="471"/>
      <c r="AYQ247" s="471"/>
      <c r="AYR247" s="471"/>
      <c r="AYS247" s="471"/>
      <c r="AYT247" s="471"/>
      <c r="AYU247" s="471"/>
      <c r="AYV247" s="471"/>
      <c r="AYW247" s="471"/>
      <c r="AYX247" s="471"/>
      <c r="AYY247" s="471"/>
      <c r="AYZ247" s="471"/>
      <c r="AZA247" s="471"/>
      <c r="AZB247" s="471"/>
      <c r="AZC247" s="471"/>
      <c r="AZD247" s="471"/>
      <c r="AZE247" s="471"/>
      <c r="AZF247" s="471"/>
      <c r="AZG247" s="471"/>
      <c r="AZH247" s="471"/>
      <c r="AZI247" s="471"/>
      <c r="AZJ247" s="471"/>
      <c r="AZK247" s="471"/>
      <c r="AZL247" s="471"/>
      <c r="AZM247" s="471"/>
      <c r="AZN247" s="471"/>
      <c r="AZO247" s="471"/>
      <c r="AZP247" s="471"/>
      <c r="AZQ247" s="471"/>
      <c r="AZR247" s="471"/>
      <c r="AZS247" s="471"/>
      <c r="AZT247" s="471"/>
      <c r="AZU247" s="471"/>
      <c r="AZV247" s="471"/>
      <c r="AZW247" s="471"/>
      <c r="AZX247" s="471"/>
      <c r="AZY247" s="471"/>
      <c r="AZZ247" s="471"/>
      <c r="BAA247" s="471"/>
      <c r="BAB247" s="471"/>
      <c r="BAC247" s="471"/>
      <c r="BAD247" s="471"/>
      <c r="BAE247" s="471"/>
      <c r="BAF247" s="471"/>
      <c r="BAG247" s="471"/>
      <c r="BAH247" s="471"/>
      <c r="BAI247" s="471"/>
      <c r="BAJ247" s="471"/>
      <c r="BAK247" s="471"/>
      <c r="BAL247" s="471"/>
      <c r="BAM247" s="471"/>
      <c r="BAN247" s="471"/>
      <c r="BAO247" s="471"/>
      <c r="BAP247" s="471"/>
      <c r="BAQ247" s="471"/>
      <c r="BAR247" s="471"/>
      <c r="BAS247" s="471"/>
      <c r="BAT247" s="471"/>
      <c r="BAU247" s="471"/>
      <c r="BAV247" s="471"/>
      <c r="BAW247" s="471"/>
      <c r="BAX247" s="471"/>
      <c r="BAY247" s="471"/>
      <c r="BAZ247" s="471"/>
      <c r="BBA247" s="471"/>
      <c r="BBB247" s="471"/>
      <c r="BBC247" s="471"/>
      <c r="BBD247" s="471"/>
      <c r="BBE247" s="471"/>
      <c r="BBF247" s="471"/>
      <c r="BBG247" s="471"/>
      <c r="BBH247" s="471"/>
      <c r="BBI247" s="471"/>
      <c r="BBJ247" s="471"/>
      <c r="BBK247" s="471"/>
      <c r="BBL247" s="471"/>
      <c r="BBM247" s="471"/>
      <c r="BBN247" s="471"/>
      <c r="BBO247" s="471"/>
      <c r="BBP247" s="471"/>
      <c r="BBQ247" s="471"/>
      <c r="BBR247" s="471"/>
      <c r="BBS247" s="471"/>
      <c r="BBT247" s="471"/>
      <c r="BBU247" s="471"/>
      <c r="BBV247" s="471"/>
      <c r="BBW247" s="471"/>
      <c r="BBX247" s="471"/>
      <c r="BBY247" s="471"/>
      <c r="BBZ247" s="471"/>
      <c r="BCA247" s="471"/>
      <c r="BCB247" s="471"/>
      <c r="BCC247" s="471"/>
      <c r="BCD247" s="471"/>
      <c r="BCE247" s="471"/>
      <c r="BCF247" s="471"/>
      <c r="BCG247" s="471"/>
      <c r="BCH247" s="471"/>
      <c r="BCI247" s="471"/>
      <c r="BCJ247" s="471"/>
      <c r="BCK247" s="471"/>
      <c r="BCL247" s="471"/>
      <c r="BCM247" s="471"/>
      <c r="BCN247" s="471"/>
      <c r="BCO247" s="471"/>
      <c r="BCP247" s="471"/>
      <c r="BCQ247" s="471"/>
      <c r="BCR247" s="471"/>
      <c r="BCS247" s="471"/>
      <c r="BCT247" s="471"/>
      <c r="BCU247" s="471"/>
      <c r="BCV247" s="471"/>
      <c r="BCW247" s="471"/>
      <c r="BCX247" s="471"/>
      <c r="BCY247" s="471"/>
      <c r="BCZ247" s="471"/>
      <c r="BDA247" s="471"/>
      <c r="BDB247" s="471"/>
      <c r="BDC247" s="471"/>
      <c r="BDD247" s="471"/>
      <c r="BDE247" s="471"/>
      <c r="BDF247" s="471"/>
      <c r="BDG247" s="471"/>
      <c r="BDH247" s="471"/>
      <c r="BDI247" s="471"/>
      <c r="BDJ247" s="471"/>
      <c r="BDK247" s="471"/>
      <c r="BDL247" s="471"/>
      <c r="BDM247" s="471"/>
      <c r="BDN247" s="471"/>
      <c r="BDO247" s="471"/>
      <c r="BDP247" s="471"/>
      <c r="BDQ247" s="471"/>
      <c r="BDR247" s="471"/>
      <c r="BDS247" s="471"/>
      <c r="BDT247" s="471"/>
      <c r="BDU247" s="471"/>
      <c r="BDV247" s="471"/>
      <c r="BDW247" s="471"/>
      <c r="BDX247" s="471"/>
      <c r="BDY247" s="471"/>
      <c r="BDZ247" s="471"/>
      <c r="BEA247" s="471"/>
      <c r="BEB247" s="471"/>
      <c r="BEC247" s="471"/>
      <c r="BED247" s="471"/>
      <c r="BEE247" s="471"/>
      <c r="BEF247" s="471"/>
      <c r="BEG247" s="471"/>
      <c r="BEH247" s="471"/>
      <c r="BEI247" s="471"/>
      <c r="BEJ247" s="471"/>
      <c r="BEK247" s="471"/>
      <c r="BEL247" s="471"/>
      <c r="BEM247" s="471"/>
      <c r="BEN247" s="471"/>
      <c r="BEO247" s="471"/>
      <c r="BEP247" s="471"/>
      <c r="BEQ247" s="471"/>
      <c r="BER247" s="471"/>
      <c r="BES247" s="471"/>
      <c r="BET247" s="471"/>
      <c r="BEU247" s="471"/>
      <c r="BEV247" s="471"/>
      <c r="BEW247" s="471"/>
      <c r="BEX247" s="471"/>
      <c r="BEY247" s="471"/>
      <c r="BEZ247" s="471"/>
      <c r="BFA247" s="471"/>
      <c r="BFB247" s="471"/>
      <c r="BFC247" s="471"/>
      <c r="BFD247" s="471"/>
      <c r="BFE247" s="471"/>
      <c r="BFF247" s="471"/>
      <c r="BFG247" s="471"/>
      <c r="BFH247" s="471"/>
      <c r="BFI247" s="471"/>
      <c r="BFJ247" s="471"/>
      <c r="BFK247" s="471"/>
      <c r="BFL247" s="471"/>
      <c r="BFM247" s="471"/>
      <c r="BFN247" s="471"/>
      <c r="BFO247" s="471"/>
      <c r="BFP247" s="471"/>
      <c r="BFQ247" s="471"/>
      <c r="BFR247" s="471"/>
      <c r="BFS247" s="471"/>
      <c r="BFT247" s="471"/>
      <c r="BFU247" s="471"/>
      <c r="BFV247" s="471"/>
      <c r="BFW247" s="471"/>
      <c r="BFX247" s="471"/>
      <c r="BFY247" s="471"/>
      <c r="BFZ247" s="471"/>
      <c r="BGA247" s="471"/>
      <c r="BGB247" s="471"/>
      <c r="BGC247" s="471"/>
      <c r="BGD247" s="471"/>
      <c r="BGE247" s="471"/>
      <c r="BGF247" s="471"/>
      <c r="BGG247" s="471"/>
      <c r="BGH247" s="471"/>
      <c r="BGI247" s="471"/>
      <c r="BGJ247" s="471"/>
      <c r="BGK247" s="471"/>
      <c r="BGL247" s="471"/>
      <c r="BGM247" s="471"/>
      <c r="BGN247" s="471"/>
      <c r="BGO247" s="471"/>
      <c r="BGP247" s="471"/>
      <c r="BGQ247" s="471"/>
      <c r="BGR247" s="471"/>
      <c r="BGS247" s="471"/>
      <c r="BGT247" s="471"/>
      <c r="BGU247" s="471"/>
      <c r="BGV247" s="471"/>
      <c r="BGW247" s="471"/>
      <c r="BGX247" s="471"/>
      <c r="BGY247" s="471"/>
      <c r="BGZ247" s="471"/>
      <c r="BHA247" s="471"/>
      <c r="BHB247" s="471"/>
      <c r="BHC247" s="471"/>
      <c r="BHD247" s="471"/>
      <c r="BHE247" s="471"/>
      <c r="BHF247" s="471"/>
      <c r="BHG247" s="471"/>
      <c r="BHH247" s="471"/>
      <c r="BHI247" s="471"/>
      <c r="BHJ247" s="471"/>
      <c r="BHK247" s="471"/>
      <c r="BHL247" s="471"/>
      <c r="BHM247" s="471"/>
      <c r="BHN247" s="471"/>
      <c r="BHO247" s="471"/>
      <c r="BHP247" s="471"/>
      <c r="BHQ247" s="471"/>
      <c r="BHR247" s="471"/>
      <c r="BHS247" s="471"/>
      <c r="BHT247" s="471"/>
      <c r="BHU247" s="471"/>
      <c r="BHV247" s="471"/>
      <c r="BHW247" s="471"/>
      <c r="BHX247" s="471"/>
      <c r="BHY247" s="471"/>
      <c r="BHZ247" s="471"/>
      <c r="BIA247" s="471"/>
      <c r="BIB247" s="471"/>
      <c r="BIC247" s="471"/>
      <c r="BID247" s="471"/>
      <c r="BIE247" s="471"/>
      <c r="BIF247" s="471"/>
      <c r="BIG247" s="471"/>
      <c r="BIH247" s="471"/>
      <c r="BII247" s="471"/>
      <c r="BIJ247" s="471"/>
      <c r="BIK247" s="471"/>
      <c r="BIL247" s="471"/>
      <c r="BIM247" s="471"/>
      <c r="BIN247" s="471"/>
      <c r="BIO247" s="471"/>
      <c r="BIP247" s="471"/>
      <c r="BIQ247" s="471"/>
      <c r="BIR247" s="471"/>
      <c r="BIS247" s="471"/>
      <c r="BIT247" s="471"/>
      <c r="BIU247" s="471"/>
      <c r="BIV247" s="471"/>
      <c r="BIW247" s="471"/>
      <c r="BIX247" s="471"/>
      <c r="BIY247" s="471"/>
      <c r="BIZ247" s="471"/>
      <c r="BJA247" s="471"/>
      <c r="BJB247" s="471"/>
      <c r="BJC247" s="471"/>
      <c r="BJD247" s="471"/>
      <c r="BJE247" s="471"/>
      <c r="BJF247" s="471"/>
      <c r="BJG247" s="471"/>
      <c r="BJH247" s="471"/>
      <c r="BJI247" s="471"/>
      <c r="BJJ247" s="471"/>
      <c r="BJK247" s="471"/>
      <c r="BJL247" s="471"/>
      <c r="BJM247" s="471"/>
      <c r="BJN247" s="471"/>
      <c r="BJO247" s="471"/>
      <c r="BJP247" s="471"/>
      <c r="BJQ247" s="471"/>
      <c r="BJR247" s="471"/>
      <c r="BJS247" s="471"/>
      <c r="BJT247" s="471"/>
      <c r="BJU247" s="471"/>
      <c r="BJV247" s="471"/>
      <c r="BJW247" s="471"/>
      <c r="BJX247" s="471"/>
      <c r="BJY247" s="471"/>
      <c r="BJZ247" s="471"/>
      <c r="BKA247" s="471"/>
      <c r="BKB247" s="471"/>
      <c r="BKC247" s="471"/>
      <c r="BKD247" s="471"/>
      <c r="BKE247" s="471"/>
      <c r="BKF247" s="471"/>
      <c r="BKG247" s="471"/>
      <c r="BKH247" s="471"/>
      <c r="BKI247" s="471"/>
      <c r="BKJ247" s="471"/>
      <c r="BKK247" s="471"/>
      <c r="BKL247" s="471"/>
      <c r="BKM247" s="471"/>
      <c r="BKN247" s="471"/>
      <c r="BKO247" s="471"/>
      <c r="BKP247" s="471"/>
      <c r="BKQ247" s="471"/>
      <c r="BKR247" s="471"/>
      <c r="BKS247" s="471"/>
      <c r="BKT247" s="471"/>
      <c r="BKU247" s="471"/>
      <c r="BKV247" s="471"/>
      <c r="BKW247" s="471"/>
      <c r="BKX247" s="471"/>
      <c r="BKY247" s="471"/>
      <c r="BKZ247" s="471"/>
      <c r="BLA247" s="471"/>
      <c r="BLB247" s="471"/>
      <c r="BLC247" s="471"/>
      <c r="BLD247" s="471"/>
      <c r="BLE247" s="471"/>
      <c r="BLF247" s="471"/>
      <c r="BLG247" s="471"/>
      <c r="BLH247" s="471"/>
      <c r="BLI247" s="471"/>
      <c r="BLJ247" s="471"/>
      <c r="BLK247" s="471"/>
      <c r="BLL247" s="471"/>
      <c r="BLM247" s="471"/>
      <c r="BLN247" s="471"/>
      <c r="BLO247" s="471"/>
      <c r="BLP247" s="471"/>
      <c r="BLQ247" s="471"/>
      <c r="BLR247" s="471"/>
      <c r="BLS247" s="471"/>
      <c r="BLT247" s="471"/>
      <c r="BLU247" s="471"/>
      <c r="BLV247" s="471"/>
      <c r="BLW247" s="471"/>
      <c r="BLX247" s="471"/>
      <c r="BLY247" s="471"/>
      <c r="BLZ247" s="471"/>
      <c r="BMA247" s="471"/>
      <c r="BMB247" s="471"/>
      <c r="BMC247" s="471"/>
      <c r="BMD247" s="471"/>
      <c r="BME247" s="471"/>
      <c r="BMF247" s="471"/>
      <c r="BMG247" s="471"/>
      <c r="BMH247" s="471"/>
      <c r="BMI247" s="471"/>
      <c r="BMJ247" s="471"/>
      <c r="BMK247" s="471"/>
      <c r="BML247" s="471"/>
      <c r="BMM247" s="471"/>
      <c r="BMN247" s="471"/>
      <c r="BMO247" s="471"/>
      <c r="BMP247" s="471"/>
      <c r="BMQ247" s="471"/>
      <c r="BMR247" s="471"/>
      <c r="BMS247" s="471"/>
      <c r="BMT247" s="471"/>
      <c r="BMU247" s="471"/>
      <c r="BMV247" s="471"/>
      <c r="BMW247" s="471"/>
      <c r="BMX247" s="471"/>
      <c r="BMY247" s="471"/>
      <c r="BMZ247" s="471"/>
      <c r="BNA247" s="471"/>
      <c r="BNB247" s="471"/>
      <c r="BNC247" s="471"/>
      <c r="BND247" s="471"/>
      <c r="BNE247" s="471"/>
      <c r="BNF247" s="471"/>
      <c r="BNG247" s="471"/>
      <c r="BNH247" s="471"/>
      <c r="BNI247" s="471"/>
      <c r="BNJ247" s="471"/>
      <c r="BNK247" s="471"/>
      <c r="BNL247" s="471"/>
      <c r="BNM247" s="471"/>
      <c r="BNN247" s="471"/>
      <c r="BNO247" s="471"/>
      <c r="BNP247" s="471"/>
      <c r="BNQ247" s="471"/>
      <c r="BNR247" s="471"/>
      <c r="BNS247" s="471"/>
      <c r="BNT247" s="471"/>
      <c r="BNU247" s="471"/>
      <c r="BNV247" s="471"/>
      <c r="BNW247" s="471"/>
      <c r="BNX247" s="471"/>
      <c r="BNY247" s="471"/>
      <c r="BNZ247" s="471"/>
      <c r="BOA247" s="471"/>
      <c r="BOB247" s="471"/>
      <c r="BOC247" s="471"/>
      <c r="BOD247" s="471"/>
      <c r="BOE247" s="471"/>
      <c r="BOF247" s="471"/>
      <c r="BOG247" s="471"/>
      <c r="BOH247" s="471"/>
      <c r="BOI247" s="471"/>
      <c r="BOJ247" s="471"/>
      <c r="BOK247" s="471"/>
      <c r="BOL247" s="471"/>
      <c r="BOM247" s="471"/>
      <c r="BON247" s="471"/>
      <c r="BOO247" s="471"/>
      <c r="BOP247" s="471"/>
      <c r="BOQ247" s="471"/>
      <c r="BOR247" s="471"/>
      <c r="BOS247" s="471"/>
      <c r="BOT247" s="471"/>
      <c r="BOU247" s="471"/>
      <c r="BOV247" s="471"/>
      <c r="BOW247" s="471"/>
      <c r="BOX247" s="471"/>
      <c r="BOY247" s="471"/>
      <c r="BOZ247" s="471"/>
      <c r="BPA247" s="471"/>
      <c r="BPB247" s="471"/>
      <c r="BPC247" s="471"/>
      <c r="BPD247" s="471"/>
      <c r="BPE247" s="471"/>
      <c r="BPF247" s="471"/>
      <c r="BPG247" s="471"/>
      <c r="BPH247" s="471"/>
      <c r="BPI247" s="471"/>
      <c r="BPJ247" s="471"/>
      <c r="BPK247" s="471"/>
      <c r="BPL247" s="471"/>
      <c r="BPM247" s="471"/>
      <c r="BPN247" s="471"/>
      <c r="BPO247" s="471"/>
      <c r="BPP247" s="471"/>
      <c r="BPQ247" s="471"/>
      <c r="BPR247" s="471"/>
      <c r="BPS247" s="471"/>
      <c r="BPT247" s="471"/>
      <c r="BPU247" s="471"/>
      <c r="BPV247" s="471"/>
      <c r="BPW247" s="471"/>
      <c r="BPX247" s="471"/>
      <c r="BPY247" s="471"/>
      <c r="BPZ247" s="471"/>
      <c r="BQA247" s="471"/>
      <c r="BQB247" s="471"/>
      <c r="BQC247" s="471"/>
      <c r="BQD247" s="471"/>
      <c r="BQE247" s="471"/>
      <c r="BQF247" s="471"/>
      <c r="BQG247" s="471"/>
      <c r="BQH247" s="471"/>
      <c r="BQI247" s="471"/>
      <c r="BQJ247" s="471"/>
      <c r="BQK247" s="471"/>
      <c r="BQL247" s="471"/>
      <c r="BQM247" s="471"/>
      <c r="BQN247" s="471"/>
      <c r="BQO247" s="471"/>
      <c r="BQP247" s="471"/>
      <c r="BQQ247" s="471"/>
      <c r="BQR247" s="471"/>
      <c r="BQS247" s="471"/>
      <c r="BQT247" s="471"/>
      <c r="BQU247" s="471"/>
      <c r="BQV247" s="471"/>
      <c r="BQW247" s="471"/>
      <c r="BQX247" s="471"/>
      <c r="BQY247" s="471"/>
      <c r="BQZ247" s="471"/>
      <c r="BRA247" s="471"/>
      <c r="BRB247" s="471"/>
      <c r="BRC247" s="471"/>
      <c r="BRD247" s="471"/>
      <c r="BRE247" s="471"/>
      <c r="BRF247" s="471"/>
      <c r="BRG247" s="471"/>
      <c r="BRH247" s="471"/>
      <c r="BRI247" s="471"/>
      <c r="BRJ247" s="471"/>
      <c r="BRK247" s="471"/>
      <c r="BRL247" s="471"/>
      <c r="BRM247" s="471"/>
      <c r="BRN247" s="471"/>
      <c r="BRO247" s="471"/>
      <c r="BRP247" s="471"/>
      <c r="BRQ247" s="471"/>
      <c r="BRR247" s="471"/>
      <c r="BRS247" s="471"/>
      <c r="BRT247" s="471"/>
      <c r="BRU247" s="471"/>
      <c r="BRV247" s="471"/>
      <c r="BRW247" s="471"/>
      <c r="BRX247" s="471"/>
      <c r="BRY247" s="471"/>
      <c r="BRZ247" s="471"/>
      <c r="BSA247" s="471"/>
      <c r="BSB247" s="471"/>
      <c r="BSC247" s="471"/>
      <c r="BSD247" s="471"/>
      <c r="BSE247" s="471"/>
      <c r="BSF247" s="471"/>
      <c r="BSG247" s="471"/>
      <c r="BSH247" s="471"/>
      <c r="BSI247" s="471"/>
      <c r="BSJ247" s="471"/>
      <c r="BSK247" s="471"/>
      <c r="BSL247" s="471"/>
      <c r="BSM247" s="471"/>
      <c r="BSN247" s="471"/>
      <c r="BSO247" s="471"/>
      <c r="BSP247" s="471"/>
      <c r="BSQ247" s="471"/>
      <c r="BSR247" s="471"/>
      <c r="BSS247" s="471"/>
      <c r="BST247" s="471"/>
      <c r="BSU247" s="471"/>
      <c r="BSV247" s="471"/>
      <c r="BSW247" s="471"/>
      <c r="BSX247" s="471"/>
      <c r="BSY247" s="471"/>
      <c r="BSZ247" s="471"/>
      <c r="BTA247" s="471"/>
      <c r="BTB247" s="471"/>
      <c r="BTC247" s="471"/>
      <c r="BTD247" s="471"/>
      <c r="BTE247" s="471"/>
      <c r="BTF247" s="471"/>
      <c r="BTG247" s="471"/>
      <c r="BTH247" s="471"/>
      <c r="BTI247" s="471"/>
    </row>
    <row r="248" spans="1:1881" s="470" customFormat="1" ht="73.5" customHeight="1" x14ac:dyDescent="0.25">
      <c r="B248" s="882" t="s">
        <v>1056</v>
      </c>
      <c r="C248" s="883"/>
      <c r="D248" s="883"/>
      <c r="E248" s="883"/>
      <c r="G248" s="536"/>
      <c r="H248" s="472"/>
      <c r="I248" s="398"/>
      <c r="J248" s="471"/>
      <c r="K248" s="471"/>
      <c r="L248" s="471"/>
      <c r="M248" s="471"/>
      <c r="N248"/>
      <c r="O248" s="471"/>
      <c r="P248" s="471"/>
      <c r="Q248" s="471"/>
      <c r="R248"/>
      <c r="S248" s="471"/>
      <c r="T248" s="471"/>
      <c r="U248" s="471"/>
      <c r="V248" s="471"/>
      <c r="W248" s="471"/>
      <c r="X248" s="682"/>
      <c r="Y248" s="471"/>
      <c r="Z248" s="471"/>
      <c r="AA248" s="471"/>
      <c r="AB248" s="471"/>
      <c r="AC248" s="471"/>
      <c r="AD248" s="471"/>
      <c r="AE248" s="471"/>
      <c r="AF248" s="471"/>
      <c r="AG248" s="471"/>
      <c r="AH248" s="471"/>
      <c r="AI248" s="471"/>
      <c r="AJ248" s="471"/>
      <c r="AK248" s="471"/>
      <c r="AL248" s="471"/>
      <c r="AM248" s="471"/>
      <c r="AN248" s="471"/>
      <c r="AO248" s="471"/>
      <c r="AP248" s="471"/>
      <c r="AQ248" s="471"/>
      <c r="AR248" s="471"/>
      <c r="AS248" s="471"/>
      <c r="AT248" s="471"/>
      <c r="AU248" s="471"/>
      <c r="AV248" s="471"/>
      <c r="AW248" s="471"/>
      <c r="AX248" s="471"/>
      <c r="AY248" s="471"/>
      <c r="AZ248" s="471"/>
      <c r="BA248" s="471"/>
      <c r="BB248" s="471"/>
      <c r="BC248" s="471"/>
      <c r="BD248" s="471"/>
      <c r="BE248" s="471"/>
      <c r="BF248" s="471"/>
      <c r="BG248" s="471"/>
      <c r="BH248" s="471"/>
      <c r="BI248" s="471"/>
      <c r="BJ248" s="471"/>
      <c r="BK248" s="471"/>
      <c r="BL248" s="471"/>
      <c r="BM248" s="471"/>
      <c r="BN248" s="471"/>
      <c r="BO248" s="471"/>
      <c r="BP248" s="471"/>
      <c r="BQ248" s="471"/>
      <c r="BR248" s="471"/>
      <c r="BS248" s="471"/>
      <c r="BT248" s="471"/>
      <c r="BU248" s="471"/>
      <c r="BV248" s="471"/>
      <c r="BW248" s="471"/>
      <c r="BX248" s="471"/>
      <c r="BY248" s="471"/>
      <c r="BZ248" s="471"/>
      <c r="CA248" s="471"/>
      <c r="CB248" s="471"/>
      <c r="CC248" s="471"/>
      <c r="CD248" s="471"/>
      <c r="CE248" s="471"/>
      <c r="CF248" s="471"/>
      <c r="CG248" s="471"/>
      <c r="CH248" s="471"/>
      <c r="CI248" s="471"/>
      <c r="CJ248" s="471"/>
      <c r="CK248" s="471"/>
      <c r="CL248" s="471"/>
      <c r="CM248" s="471"/>
      <c r="CN248" s="471"/>
      <c r="CO248" s="471"/>
      <c r="CP248" s="471"/>
      <c r="CQ248" s="471"/>
      <c r="CR248" s="471"/>
      <c r="CS248" s="471"/>
      <c r="CT248" s="471"/>
      <c r="CU248" s="471"/>
      <c r="CV248" s="471"/>
      <c r="CW248" s="471"/>
      <c r="CX248" s="471"/>
      <c r="CY248" s="471"/>
      <c r="CZ248" s="471"/>
      <c r="DA248" s="471"/>
      <c r="DB248" s="471"/>
      <c r="DC248" s="471"/>
      <c r="DD248" s="471"/>
      <c r="DE248" s="471"/>
      <c r="DF248" s="471"/>
      <c r="DG248" s="471"/>
      <c r="DH248" s="471"/>
      <c r="DI248" s="471"/>
      <c r="DJ248" s="471"/>
      <c r="DK248" s="471"/>
      <c r="DL248" s="471"/>
      <c r="DM248" s="471"/>
      <c r="DN248" s="471"/>
      <c r="DO248" s="471"/>
      <c r="DP248" s="471"/>
      <c r="DQ248" s="471"/>
      <c r="DR248" s="471"/>
      <c r="DS248" s="471"/>
      <c r="DT248" s="471"/>
      <c r="DU248" s="471"/>
      <c r="DV248" s="471"/>
      <c r="DW248" s="471"/>
      <c r="DX248" s="471"/>
      <c r="DY248" s="471"/>
      <c r="DZ248" s="471"/>
      <c r="EA248" s="471"/>
      <c r="EB248" s="471"/>
      <c r="EC248" s="471"/>
      <c r="ED248" s="471"/>
      <c r="EE248" s="471"/>
      <c r="EF248" s="471"/>
      <c r="EG248" s="471"/>
      <c r="EH248" s="471"/>
      <c r="EI248" s="471"/>
      <c r="EJ248" s="471"/>
      <c r="EK248" s="471"/>
      <c r="EL248" s="471"/>
      <c r="EM248" s="471"/>
      <c r="EN248" s="471"/>
      <c r="EO248" s="471"/>
      <c r="EP248" s="471"/>
      <c r="EQ248" s="471"/>
      <c r="ER248" s="471"/>
      <c r="ES248" s="471"/>
      <c r="ET248" s="471"/>
      <c r="EU248" s="471"/>
      <c r="EV248" s="471"/>
      <c r="EW248" s="471"/>
      <c r="EX248" s="471"/>
      <c r="EY248" s="471"/>
      <c r="EZ248" s="471"/>
      <c r="FA248" s="471"/>
      <c r="FB248" s="471"/>
      <c r="FC248" s="471"/>
      <c r="FD248" s="471"/>
      <c r="FE248" s="471"/>
      <c r="FF248" s="471"/>
      <c r="FG248" s="471"/>
      <c r="FH248" s="471"/>
      <c r="FI248" s="471"/>
      <c r="FJ248" s="471"/>
      <c r="FK248" s="471"/>
      <c r="FL248" s="471"/>
      <c r="FM248" s="471"/>
      <c r="FN248" s="471"/>
      <c r="FO248" s="471"/>
      <c r="FP248" s="471"/>
      <c r="FQ248" s="471"/>
      <c r="FR248" s="471"/>
      <c r="FS248" s="471"/>
      <c r="FT248" s="471"/>
      <c r="FU248" s="471"/>
      <c r="FV248" s="471"/>
      <c r="FW248" s="471"/>
      <c r="FX248" s="471"/>
      <c r="FY248" s="471"/>
      <c r="FZ248" s="471"/>
      <c r="GA248" s="471"/>
      <c r="GB248" s="471"/>
      <c r="GC248" s="471"/>
      <c r="GD248" s="471"/>
      <c r="GE248" s="471"/>
      <c r="GF248" s="471"/>
      <c r="GG248" s="471"/>
      <c r="GH248" s="471"/>
      <c r="GI248" s="471"/>
      <c r="GJ248" s="471"/>
      <c r="GK248" s="471"/>
      <c r="GL248" s="471"/>
      <c r="GM248" s="471"/>
      <c r="GN248" s="471"/>
      <c r="GO248" s="471"/>
      <c r="GP248" s="471"/>
      <c r="GQ248" s="471"/>
      <c r="GR248" s="471"/>
      <c r="GS248" s="471"/>
      <c r="GT248" s="471"/>
      <c r="GU248" s="471"/>
      <c r="GV248" s="471"/>
      <c r="GW248" s="471"/>
      <c r="GX248" s="471"/>
      <c r="GY248" s="471"/>
      <c r="GZ248" s="471"/>
      <c r="HA248" s="471"/>
      <c r="HB248" s="471"/>
      <c r="HC248" s="471"/>
      <c r="HD248" s="471"/>
      <c r="HE248" s="471"/>
      <c r="HF248" s="471"/>
      <c r="HG248" s="471"/>
      <c r="HH248" s="471"/>
      <c r="HI248" s="471"/>
      <c r="HJ248" s="471"/>
      <c r="HK248" s="471"/>
      <c r="HL248" s="471"/>
      <c r="HM248" s="471"/>
      <c r="HN248" s="471"/>
      <c r="HO248" s="471"/>
      <c r="HP248" s="471"/>
      <c r="HQ248" s="471"/>
      <c r="HR248" s="471"/>
      <c r="HS248" s="471"/>
      <c r="HT248" s="471"/>
      <c r="HU248" s="471"/>
      <c r="HV248" s="471"/>
      <c r="HW248" s="471"/>
      <c r="HX248" s="471"/>
      <c r="HY248" s="471"/>
      <c r="HZ248" s="471"/>
      <c r="IA248" s="471"/>
      <c r="IB248" s="471"/>
      <c r="IC248" s="471"/>
      <c r="ID248" s="471"/>
      <c r="IE248" s="471"/>
      <c r="IF248" s="471"/>
      <c r="IG248" s="471"/>
      <c r="IH248" s="471"/>
      <c r="II248" s="471"/>
      <c r="IJ248" s="471"/>
      <c r="IK248" s="471"/>
      <c r="IL248" s="471"/>
      <c r="IM248" s="471"/>
      <c r="IN248" s="471"/>
      <c r="IO248" s="471"/>
      <c r="IP248" s="471"/>
      <c r="IQ248" s="471"/>
      <c r="IR248" s="471"/>
      <c r="IS248" s="471"/>
      <c r="IT248" s="471"/>
      <c r="IU248" s="471"/>
      <c r="IV248" s="471"/>
      <c r="IW248" s="471"/>
      <c r="IX248" s="471"/>
      <c r="IY248" s="471"/>
      <c r="IZ248" s="471"/>
      <c r="JA248" s="471"/>
      <c r="JB248" s="471"/>
      <c r="JC248" s="471"/>
      <c r="JD248" s="471"/>
      <c r="JE248" s="471"/>
      <c r="JF248" s="471"/>
      <c r="JG248" s="471"/>
      <c r="JH248" s="471"/>
      <c r="JI248" s="471"/>
      <c r="JJ248" s="471"/>
      <c r="JK248" s="471"/>
      <c r="JL248" s="471"/>
      <c r="JM248" s="471"/>
      <c r="JN248" s="471"/>
      <c r="JO248" s="471"/>
      <c r="JP248" s="471"/>
      <c r="JQ248" s="471"/>
      <c r="JR248" s="471"/>
      <c r="JS248" s="471"/>
      <c r="JT248" s="471"/>
      <c r="JU248" s="471"/>
      <c r="JV248" s="471"/>
      <c r="JW248" s="471"/>
      <c r="JX248" s="471"/>
      <c r="JY248" s="471"/>
      <c r="JZ248" s="471"/>
      <c r="KA248" s="471"/>
      <c r="KB248" s="471"/>
      <c r="KC248" s="471"/>
      <c r="KD248" s="471"/>
      <c r="KE248" s="471"/>
      <c r="KF248" s="471"/>
      <c r="KG248" s="471"/>
      <c r="KH248" s="471"/>
      <c r="KI248" s="471"/>
      <c r="KJ248" s="471"/>
      <c r="KK248" s="471"/>
      <c r="KL248" s="471"/>
      <c r="KM248" s="471"/>
      <c r="KN248" s="471"/>
      <c r="KO248" s="471"/>
      <c r="KP248" s="471"/>
      <c r="KQ248" s="471"/>
      <c r="KR248" s="471"/>
      <c r="KS248" s="471"/>
      <c r="KT248" s="471"/>
      <c r="KU248" s="471"/>
      <c r="KV248" s="471"/>
      <c r="KW248" s="471"/>
      <c r="KX248" s="471"/>
      <c r="KY248" s="471"/>
      <c r="KZ248" s="471"/>
      <c r="LA248" s="471"/>
      <c r="LB248" s="471"/>
      <c r="LC248" s="471"/>
      <c r="LD248" s="471"/>
      <c r="LE248" s="471"/>
      <c r="LF248" s="471"/>
      <c r="LG248" s="471"/>
      <c r="LH248" s="471"/>
      <c r="LI248" s="471"/>
      <c r="LJ248" s="471"/>
      <c r="LK248" s="471"/>
      <c r="LL248" s="471"/>
      <c r="LM248" s="471"/>
      <c r="LN248" s="471"/>
      <c r="LO248" s="471"/>
      <c r="LP248" s="471"/>
      <c r="LQ248" s="471"/>
      <c r="LR248" s="471"/>
      <c r="LS248" s="471"/>
      <c r="LT248" s="471"/>
      <c r="LU248" s="471"/>
      <c r="LV248" s="471"/>
      <c r="LW248" s="471"/>
      <c r="LX248" s="471"/>
      <c r="LY248" s="471"/>
      <c r="LZ248" s="471"/>
      <c r="MA248" s="471"/>
      <c r="MB248" s="471"/>
      <c r="MC248" s="471"/>
      <c r="MD248" s="471"/>
      <c r="ME248" s="471"/>
      <c r="MF248" s="471"/>
      <c r="MG248" s="471"/>
      <c r="MH248" s="471"/>
      <c r="MI248" s="471"/>
      <c r="MJ248" s="471"/>
      <c r="MK248" s="471"/>
      <c r="ML248" s="471"/>
      <c r="MM248" s="471"/>
      <c r="MN248" s="471"/>
      <c r="MO248" s="471"/>
      <c r="MP248" s="471"/>
      <c r="MQ248" s="471"/>
      <c r="MR248" s="471"/>
      <c r="MS248" s="471"/>
      <c r="MT248" s="471"/>
      <c r="MU248" s="471"/>
      <c r="MV248" s="471"/>
      <c r="MW248" s="471"/>
      <c r="MX248" s="471"/>
      <c r="MY248" s="471"/>
      <c r="MZ248" s="471"/>
      <c r="NA248" s="471"/>
      <c r="NB248" s="471"/>
      <c r="NC248" s="471"/>
      <c r="ND248" s="471"/>
      <c r="NE248" s="471"/>
      <c r="NF248" s="471"/>
      <c r="NG248" s="471"/>
      <c r="NH248" s="471"/>
      <c r="NI248" s="471"/>
      <c r="NJ248" s="471"/>
      <c r="NK248" s="471"/>
      <c r="NL248" s="471"/>
      <c r="NM248" s="471"/>
      <c r="NN248" s="471"/>
      <c r="NO248" s="471"/>
      <c r="NP248" s="471"/>
      <c r="NQ248" s="471"/>
      <c r="NR248" s="471"/>
      <c r="NS248" s="471"/>
      <c r="NT248" s="471"/>
      <c r="NU248" s="471"/>
      <c r="NV248" s="471"/>
      <c r="NW248" s="471"/>
      <c r="NX248" s="471"/>
      <c r="NY248" s="471"/>
      <c r="NZ248" s="471"/>
      <c r="OA248" s="471"/>
      <c r="OB248" s="471"/>
      <c r="OC248" s="471"/>
      <c r="OD248" s="471"/>
      <c r="OE248" s="471"/>
      <c r="OF248" s="471"/>
      <c r="OG248" s="471"/>
      <c r="OH248" s="471"/>
      <c r="OI248" s="471"/>
      <c r="OJ248" s="471"/>
      <c r="OK248" s="471"/>
      <c r="OL248" s="471"/>
      <c r="OM248" s="471"/>
      <c r="ON248" s="471"/>
      <c r="OO248" s="471"/>
      <c r="OP248" s="471"/>
      <c r="OQ248" s="471"/>
      <c r="OR248" s="471"/>
      <c r="OS248" s="471"/>
      <c r="OT248" s="471"/>
      <c r="OU248" s="471"/>
      <c r="OV248" s="471"/>
      <c r="OW248" s="471"/>
      <c r="OX248" s="471"/>
      <c r="OY248" s="471"/>
      <c r="OZ248" s="471"/>
      <c r="PA248" s="471"/>
      <c r="PB248" s="471"/>
      <c r="PC248" s="471"/>
      <c r="PD248" s="471"/>
      <c r="PE248" s="471"/>
      <c r="PF248" s="471"/>
      <c r="PG248" s="471"/>
      <c r="PH248" s="471"/>
      <c r="PI248" s="471"/>
      <c r="PJ248" s="471"/>
      <c r="PK248" s="471"/>
      <c r="PL248" s="471"/>
      <c r="PM248" s="471"/>
      <c r="PN248" s="471"/>
      <c r="PO248" s="471"/>
      <c r="PP248" s="471"/>
      <c r="PQ248" s="471"/>
      <c r="PR248" s="471"/>
      <c r="PS248" s="471"/>
      <c r="PT248" s="471"/>
      <c r="PU248" s="471"/>
      <c r="PV248" s="471"/>
      <c r="PW248" s="471"/>
      <c r="PX248" s="471"/>
      <c r="PY248" s="471"/>
      <c r="PZ248" s="471"/>
      <c r="QA248" s="471"/>
      <c r="QB248" s="471"/>
      <c r="QC248" s="471"/>
      <c r="QD248" s="471"/>
      <c r="QE248" s="471"/>
      <c r="QF248" s="471"/>
      <c r="QG248" s="471"/>
      <c r="QH248" s="471"/>
      <c r="QI248" s="471"/>
      <c r="QJ248" s="471"/>
      <c r="QK248" s="471"/>
      <c r="QL248" s="471"/>
      <c r="QM248" s="471"/>
      <c r="QN248" s="471"/>
      <c r="QO248" s="471"/>
      <c r="QP248" s="471"/>
      <c r="QQ248" s="471"/>
      <c r="QR248" s="471"/>
      <c r="QS248" s="471"/>
      <c r="QT248" s="471"/>
      <c r="QU248" s="471"/>
      <c r="QV248" s="471"/>
      <c r="QW248" s="471"/>
      <c r="QX248" s="471"/>
      <c r="QY248" s="471"/>
      <c r="QZ248" s="471"/>
      <c r="RA248" s="471"/>
      <c r="RB248" s="471"/>
      <c r="RC248" s="471"/>
      <c r="RD248" s="471"/>
      <c r="RE248" s="471"/>
      <c r="RF248" s="471"/>
      <c r="RG248" s="471"/>
      <c r="RH248" s="471"/>
      <c r="RI248" s="471"/>
      <c r="RJ248" s="471"/>
      <c r="RK248" s="471"/>
      <c r="RL248" s="471"/>
      <c r="RM248" s="471"/>
      <c r="RN248" s="471"/>
      <c r="RO248" s="471"/>
      <c r="RP248" s="471"/>
      <c r="RQ248" s="471"/>
      <c r="RR248" s="471"/>
      <c r="RS248" s="471"/>
      <c r="RT248" s="471"/>
      <c r="RU248" s="471"/>
      <c r="RV248" s="471"/>
      <c r="RW248" s="471"/>
      <c r="RX248" s="471"/>
      <c r="RY248" s="471"/>
      <c r="RZ248" s="471"/>
      <c r="SA248" s="471"/>
      <c r="SB248" s="471"/>
      <c r="SC248" s="471"/>
      <c r="SD248" s="471"/>
      <c r="SE248" s="471"/>
      <c r="SF248" s="471"/>
      <c r="SG248" s="471"/>
      <c r="SH248" s="471"/>
      <c r="SI248" s="471"/>
      <c r="SJ248" s="471"/>
      <c r="SK248" s="471"/>
      <c r="SL248" s="471"/>
      <c r="SM248" s="471"/>
      <c r="SN248" s="471"/>
      <c r="SO248" s="471"/>
      <c r="SP248" s="471"/>
      <c r="SQ248" s="471"/>
      <c r="SR248" s="471"/>
      <c r="SS248" s="471"/>
      <c r="ST248" s="471"/>
      <c r="SU248" s="471"/>
      <c r="SV248" s="471"/>
      <c r="SW248" s="471"/>
      <c r="SX248" s="471"/>
      <c r="SY248" s="471"/>
      <c r="SZ248" s="471"/>
      <c r="TA248" s="471"/>
      <c r="TB248" s="471"/>
      <c r="TC248" s="471"/>
      <c r="TD248" s="471"/>
      <c r="TE248" s="471"/>
      <c r="TF248" s="471"/>
      <c r="TG248" s="471"/>
      <c r="TH248" s="471"/>
      <c r="TI248" s="471"/>
      <c r="TJ248" s="471"/>
      <c r="TK248" s="471"/>
      <c r="TL248" s="471"/>
      <c r="TM248" s="471"/>
      <c r="TN248" s="471"/>
      <c r="TO248" s="471"/>
      <c r="TP248" s="471"/>
      <c r="TQ248" s="471"/>
      <c r="TR248" s="471"/>
      <c r="TS248" s="471"/>
      <c r="TT248" s="471"/>
      <c r="TU248" s="471"/>
      <c r="TV248" s="471"/>
      <c r="TW248" s="471"/>
      <c r="TX248" s="471"/>
      <c r="TY248" s="471"/>
      <c r="TZ248" s="471"/>
      <c r="UA248" s="471"/>
      <c r="UB248" s="471"/>
      <c r="UC248" s="471"/>
      <c r="UD248" s="471"/>
      <c r="UE248" s="471"/>
      <c r="UF248" s="471"/>
      <c r="UG248" s="471"/>
      <c r="UH248" s="471"/>
      <c r="UI248" s="471"/>
      <c r="UJ248" s="471"/>
      <c r="UK248" s="471"/>
      <c r="UL248" s="471"/>
      <c r="UM248" s="471"/>
      <c r="UN248" s="471"/>
      <c r="UO248" s="471"/>
      <c r="UP248" s="471"/>
      <c r="UQ248" s="471"/>
      <c r="UR248" s="471"/>
      <c r="US248" s="471"/>
      <c r="UT248" s="471"/>
      <c r="UU248" s="471"/>
      <c r="UV248" s="471"/>
      <c r="UW248" s="471"/>
      <c r="UX248" s="471"/>
      <c r="UY248" s="471"/>
      <c r="UZ248" s="471"/>
      <c r="VA248" s="471"/>
      <c r="VB248" s="471"/>
      <c r="VC248" s="471"/>
      <c r="VD248" s="471"/>
      <c r="VE248" s="471"/>
      <c r="VF248" s="471"/>
      <c r="VG248" s="471"/>
      <c r="VH248" s="471"/>
      <c r="VI248" s="471"/>
      <c r="VJ248" s="471"/>
      <c r="VK248" s="471"/>
      <c r="VL248" s="471"/>
      <c r="VM248" s="471"/>
      <c r="VN248" s="471"/>
      <c r="VO248" s="471"/>
      <c r="VP248" s="471"/>
      <c r="VQ248" s="471"/>
      <c r="VR248" s="471"/>
      <c r="VS248" s="471"/>
      <c r="VT248" s="471"/>
      <c r="VU248" s="471"/>
      <c r="VV248" s="471"/>
      <c r="VW248" s="471"/>
      <c r="VX248" s="471"/>
      <c r="VY248" s="471"/>
      <c r="VZ248" s="471"/>
      <c r="WA248" s="471"/>
      <c r="WB248" s="471"/>
      <c r="WC248" s="471"/>
      <c r="WD248" s="471"/>
      <c r="WE248" s="471"/>
      <c r="WF248" s="471"/>
      <c r="WG248" s="471"/>
      <c r="WH248" s="471"/>
      <c r="WI248" s="471"/>
      <c r="WJ248" s="471"/>
      <c r="WK248" s="471"/>
      <c r="WL248" s="471"/>
      <c r="WM248" s="471"/>
      <c r="WN248" s="471"/>
      <c r="WO248" s="471"/>
      <c r="WP248" s="471"/>
      <c r="WQ248" s="471"/>
      <c r="WR248" s="471"/>
      <c r="WS248" s="471"/>
      <c r="WT248" s="471"/>
      <c r="WU248" s="471"/>
      <c r="WV248" s="471"/>
      <c r="WW248" s="471"/>
      <c r="WX248" s="471"/>
      <c r="WY248" s="471"/>
      <c r="WZ248" s="471"/>
      <c r="XA248" s="471"/>
      <c r="XB248" s="471"/>
      <c r="XC248" s="471"/>
      <c r="XD248" s="471"/>
      <c r="XE248" s="471"/>
      <c r="XF248" s="471"/>
      <c r="XG248" s="471"/>
      <c r="XH248" s="471"/>
      <c r="XI248" s="471"/>
      <c r="XJ248" s="471"/>
      <c r="XK248" s="471"/>
      <c r="XL248" s="471"/>
      <c r="XM248" s="471"/>
      <c r="XN248" s="471"/>
      <c r="XO248" s="471"/>
      <c r="XP248" s="471"/>
      <c r="XQ248" s="471"/>
      <c r="XR248" s="471"/>
      <c r="XS248" s="471"/>
      <c r="XT248" s="471"/>
      <c r="XU248" s="471"/>
      <c r="XV248" s="471"/>
      <c r="XW248" s="471"/>
      <c r="XX248" s="471"/>
      <c r="XY248" s="471"/>
      <c r="XZ248" s="471"/>
      <c r="YA248" s="471"/>
      <c r="YB248" s="471"/>
      <c r="YC248" s="471"/>
      <c r="YD248" s="471"/>
      <c r="YE248" s="471"/>
      <c r="YF248" s="471"/>
      <c r="YG248" s="471"/>
      <c r="YH248" s="471"/>
      <c r="YI248" s="471"/>
      <c r="YJ248" s="471"/>
      <c r="YK248" s="471"/>
      <c r="YL248" s="471"/>
      <c r="YM248" s="471"/>
      <c r="YN248" s="471"/>
      <c r="YO248" s="471"/>
      <c r="YP248" s="471"/>
      <c r="YQ248" s="471"/>
      <c r="YR248" s="471"/>
      <c r="YS248" s="471"/>
      <c r="YT248" s="471"/>
      <c r="YU248" s="471"/>
      <c r="YV248" s="471"/>
      <c r="YW248" s="471"/>
      <c r="YX248" s="471"/>
      <c r="YY248" s="471"/>
      <c r="YZ248" s="471"/>
      <c r="ZA248" s="471"/>
      <c r="ZB248" s="471"/>
      <c r="ZC248" s="471"/>
      <c r="ZD248" s="471"/>
      <c r="ZE248" s="471"/>
      <c r="ZF248" s="471"/>
      <c r="ZG248" s="471"/>
      <c r="ZH248" s="471"/>
      <c r="ZI248" s="471"/>
      <c r="ZJ248" s="471"/>
      <c r="ZK248" s="471"/>
      <c r="ZL248" s="471"/>
      <c r="ZM248" s="471"/>
      <c r="ZN248" s="471"/>
      <c r="ZO248" s="471"/>
      <c r="ZP248" s="471"/>
      <c r="ZQ248" s="471"/>
      <c r="ZR248" s="471"/>
      <c r="ZS248" s="471"/>
      <c r="ZT248" s="471"/>
      <c r="ZU248" s="471"/>
      <c r="ZV248" s="471"/>
      <c r="ZW248" s="471"/>
      <c r="ZX248" s="471"/>
      <c r="ZY248" s="471"/>
      <c r="ZZ248" s="471"/>
      <c r="AAA248" s="471"/>
      <c r="AAB248" s="471"/>
      <c r="AAC248" s="471"/>
      <c r="AAD248" s="471"/>
      <c r="AAE248" s="471"/>
      <c r="AAF248" s="471"/>
      <c r="AAG248" s="471"/>
      <c r="AAH248" s="471"/>
      <c r="AAI248" s="471"/>
      <c r="AAJ248" s="471"/>
      <c r="AAK248" s="471"/>
      <c r="AAL248" s="471"/>
      <c r="AAM248" s="471"/>
      <c r="AAN248" s="471"/>
      <c r="AAO248" s="471"/>
      <c r="AAP248" s="471"/>
      <c r="AAQ248" s="471"/>
      <c r="AAR248" s="471"/>
      <c r="AAS248" s="471"/>
      <c r="AAT248" s="471"/>
      <c r="AAU248" s="471"/>
      <c r="AAV248" s="471"/>
      <c r="AAW248" s="471"/>
      <c r="AAX248" s="471"/>
      <c r="AAY248" s="471"/>
      <c r="AAZ248" s="471"/>
      <c r="ABA248" s="471"/>
      <c r="ABB248" s="471"/>
      <c r="ABC248" s="471"/>
      <c r="ABD248" s="471"/>
      <c r="ABE248" s="471"/>
      <c r="ABF248" s="471"/>
      <c r="ABG248" s="471"/>
      <c r="ABH248" s="471"/>
      <c r="ABI248" s="471"/>
      <c r="ABJ248" s="471"/>
      <c r="ABK248" s="471"/>
      <c r="ABL248" s="471"/>
      <c r="ABM248" s="471"/>
      <c r="ABN248" s="471"/>
      <c r="ABO248" s="471"/>
      <c r="ABP248" s="471"/>
      <c r="ABQ248" s="471"/>
      <c r="ABR248" s="471"/>
      <c r="ABS248" s="471"/>
      <c r="ABT248" s="471"/>
      <c r="ABU248" s="471"/>
      <c r="ABV248" s="471"/>
      <c r="ABW248" s="471"/>
      <c r="ABX248" s="471"/>
      <c r="ABY248" s="471"/>
      <c r="ABZ248" s="471"/>
      <c r="ACA248" s="471"/>
      <c r="ACB248" s="471"/>
      <c r="ACC248" s="471"/>
      <c r="ACD248" s="471"/>
      <c r="ACE248" s="471"/>
      <c r="ACF248" s="471"/>
      <c r="ACG248" s="471"/>
      <c r="ACH248" s="471"/>
      <c r="ACI248" s="471"/>
      <c r="ACJ248" s="471"/>
      <c r="ACK248" s="471"/>
      <c r="ACL248" s="471"/>
      <c r="ACM248" s="471"/>
      <c r="ACN248" s="471"/>
      <c r="ACO248" s="471"/>
      <c r="ACP248" s="471"/>
      <c r="ACQ248" s="471"/>
      <c r="ACR248" s="471"/>
      <c r="ACS248" s="471"/>
      <c r="ACT248" s="471"/>
      <c r="ACU248" s="471"/>
      <c r="ACV248" s="471"/>
      <c r="ACW248" s="471"/>
      <c r="ACX248" s="471"/>
      <c r="ACY248" s="471"/>
      <c r="ACZ248" s="471"/>
      <c r="ADA248" s="471"/>
      <c r="ADB248" s="471"/>
      <c r="ADC248" s="471"/>
      <c r="ADD248" s="471"/>
      <c r="ADE248" s="471"/>
      <c r="ADF248" s="471"/>
      <c r="ADG248" s="471"/>
      <c r="ADH248" s="471"/>
      <c r="ADI248" s="471"/>
      <c r="ADJ248" s="471"/>
      <c r="ADK248" s="471"/>
      <c r="ADL248" s="471"/>
      <c r="ADM248" s="471"/>
      <c r="ADN248" s="471"/>
      <c r="ADO248" s="471"/>
      <c r="ADP248" s="471"/>
      <c r="ADQ248" s="471"/>
      <c r="ADR248" s="471"/>
      <c r="ADS248" s="471"/>
      <c r="ADT248" s="471"/>
      <c r="ADU248" s="471"/>
      <c r="ADV248" s="471"/>
      <c r="ADW248" s="471"/>
      <c r="ADX248" s="471"/>
      <c r="ADY248" s="471"/>
      <c r="ADZ248" s="471"/>
      <c r="AEA248" s="471"/>
      <c r="AEB248" s="471"/>
      <c r="AEC248" s="471"/>
      <c r="AED248" s="471"/>
      <c r="AEE248" s="471"/>
      <c r="AEF248" s="471"/>
      <c r="AEG248" s="471"/>
      <c r="AEH248" s="471"/>
      <c r="AEI248" s="471"/>
      <c r="AEJ248" s="471"/>
      <c r="AEK248" s="471"/>
      <c r="AEL248" s="471"/>
      <c r="AEM248" s="471"/>
      <c r="AEN248" s="471"/>
      <c r="AEO248" s="471"/>
      <c r="AEP248" s="471"/>
      <c r="AEQ248" s="471"/>
      <c r="AER248" s="471"/>
      <c r="AES248" s="471"/>
      <c r="AET248" s="471"/>
      <c r="AEU248" s="471"/>
      <c r="AEV248" s="471"/>
      <c r="AEW248" s="471"/>
      <c r="AEX248" s="471"/>
      <c r="AEY248" s="471"/>
      <c r="AEZ248" s="471"/>
      <c r="AFA248" s="471"/>
      <c r="AFB248" s="471"/>
      <c r="AFC248" s="471"/>
      <c r="AFD248" s="471"/>
      <c r="AFE248" s="471"/>
      <c r="AFF248" s="471"/>
      <c r="AFG248" s="471"/>
      <c r="AFH248" s="471"/>
      <c r="AFI248" s="471"/>
      <c r="AFJ248" s="471"/>
      <c r="AFK248" s="471"/>
      <c r="AFL248" s="471"/>
      <c r="AFM248" s="471"/>
      <c r="AFN248" s="471"/>
      <c r="AFO248" s="471"/>
      <c r="AFP248" s="471"/>
      <c r="AFQ248" s="471"/>
      <c r="AFR248" s="471"/>
      <c r="AFS248" s="471"/>
      <c r="AFT248" s="471"/>
      <c r="AFU248" s="471"/>
      <c r="AFV248" s="471"/>
      <c r="AFW248" s="471"/>
      <c r="AFX248" s="471"/>
      <c r="AFY248" s="471"/>
      <c r="AFZ248" s="471"/>
      <c r="AGA248" s="471"/>
      <c r="AGB248" s="471"/>
      <c r="AGC248" s="471"/>
      <c r="AGD248" s="471"/>
      <c r="AGE248" s="471"/>
      <c r="AGF248" s="471"/>
      <c r="AGG248" s="471"/>
      <c r="AGH248" s="471"/>
      <c r="AGI248" s="471"/>
      <c r="AGJ248" s="471"/>
      <c r="AGK248" s="471"/>
      <c r="AGL248" s="471"/>
      <c r="AGM248" s="471"/>
      <c r="AGN248" s="471"/>
      <c r="AGO248" s="471"/>
      <c r="AGP248" s="471"/>
      <c r="AGQ248" s="471"/>
      <c r="AGR248" s="471"/>
      <c r="AGS248" s="471"/>
      <c r="AGT248" s="471"/>
      <c r="AGU248" s="471"/>
      <c r="AGV248" s="471"/>
      <c r="AGW248" s="471"/>
      <c r="AGX248" s="471"/>
      <c r="AGY248" s="471"/>
      <c r="AGZ248" s="471"/>
      <c r="AHA248" s="471"/>
      <c r="AHB248" s="471"/>
      <c r="AHC248" s="471"/>
      <c r="AHD248" s="471"/>
      <c r="AHE248" s="471"/>
      <c r="AHF248" s="471"/>
      <c r="AHG248" s="471"/>
      <c r="AHH248" s="471"/>
      <c r="AHI248" s="471"/>
      <c r="AHJ248" s="471"/>
      <c r="AHK248" s="471"/>
      <c r="AHL248" s="471"/>
      <c r="AHM248" s="471"/>
      <c r="AHN248" s="471"/>
      <c r="AHO248" s="471"/>
      <c r="AHP248" s="471"/>
      <c r="AHQ248" s="471"/>
      <c r="AHR248" s="471"/>
      <c r="AHS248" s="471"/>
      <c r="AHT248" s="471"/>
      <c r="AHU248" s="471"/>
      <c r="AHV248" s="471"/>
      <c r="AHW248" s="471"/>
      <c r="AHX248" s="471"/>
      <c r="AHY248" s="471"/>
      <c r="AHZ248" s="471"/>
      <c r="AIA248" s="471"/>
      <c r="AIB248" s="471"/>
      <c r="AIC248" s="471"/>
      <c r="AID248" s="471"/>
      <c r="AIE248" s="471"/>
      <c r="AIF248" s="471"/>
      <c r="AIG248" s="471"/>
      <c r="AIH248" s="471"/>
      <c r="AII248" s="471"/>
      <c r="AIJ248" s="471"/>
      <c r="AIK248" s="471"/>
      <c r="AIL248" s="471"/>
      <c r="AIM248" s="471"/>
      <c r="AIN248" s="471"/>
      <c r="AIO248" s="471"/>
      <c r="AIP248" s="471"/>
      <c r="AIQ248" s="471"/>
      <c r="AIR248" s="471"/>
      <c r="AIS248" s="471"/>
      <c r="AIT248" s="471"/>
      <c r="AIU248" s="471"/>
      <c r="AIV248" s="471"/>
      <c r="AIW248" s="471"/>
      <c r="AIX248" s="471"/>
      <c r="AIY248" s="471"/>
      <c r="AIZ248" s="471"/>
      <c r="AJA248" s="471"/>
      <c r="AJB248" s="471"/>
      <c r="AJC248" s="471"/>
      <c r="AJD248" s="471"/>
      <c r="AJE248" s="471"/>
      <c r="AJF248" s="471"/>
      <c r="AJG248" s="471"/>
      <c r="AJH248" s="471"/>
      <c r="AJI248" s="471"/>
      <c r="AJJ248" s="471"/>
      <c r="AJK248" s="471"/>
      <c r="AJL248" s="471"/>
      <c r="AJM248" s="471"/>
      <c r="AJN248" s="471"/>
      <c r="AJO248" s="471"/>
      <c r="AJP248" s="471"/>
      <c r="AJQ248" s="471"/>
      <c r="AJR248" s="471"/>
      <c r="AJS248" s="471"/>
      <c r="AJT248" s="471"/>
      <c r="AJU248" s="471"/>
      <c r="AJV248" s="471"/>
      <c r="AJW248" s="471"/>
      <c r="AJX248" s="471"/>
      <c r="AJY248" s="471"/>
      <c r="AJZ248" s="471"/>
      <c r="AKA248" s="471"/>
      <c r="AKB248" s="471"/>
      <c r="AKC248" s="471"/>
      <c r="AKD248" s="471"/>
      <c r="AKE248" s="471"/>
      <c r="AKF248" s="471"/>
      <c r="AKG248" s="471"/>
      <c r="AKH248" s="471"/>
      <c r="AKI248" s="471"/>
      <c r="AKJ248" s="471"/>
      <c r="AKK248" s="471"/>
      <c r="AKL248" s="471"/>
      <c r="AKM248" s="471"/>
      <c r="AKN248" s="471"/>
      <c r="AKO248" s="471"/>
      <c r="AKP248" s="471"/>
      <c r="AKQ248" s="471"/>
      <c r="AKR248" s="471"/>
      <c r="AKS248" s="471"/>
      <c r="AKT248" s="471"/>
      <c r="AKU248" s="471"/>
      <c r="AKV248" s="471"/>
      <c r="AKW248" s="471"/>
      <c r="AKX248" s="471"/>
      <c r="AKY248" s="471"/>
      <c r="AKZ248" s="471"/>
      <c r="ALA248" s="471"/>
      <c r="ALB248" s="471"/>
      <c r="ALC248" s="471"/>
      <c r="ALD248" s="471"/>
      <c r="ALE248" s="471"/>
      <c r="ALF248" s="471"/>
      <c r="ALG248" s="471"/>
      <c r="ALH248" s="471"/>
      <c r="ALI248" s="471"/>
      <c r="ALJ248" s="471"/>
      <c r="ALK248" s="471"/>
      <c r="ALL248" s="471"/>
      <c r="ALM248" s="471"/>
      <c r="ALN248" s="471"/>
      <c r="ALO248" s="471"/>
      <c r="ALP248" s="471"/>
      <c r="ALQ248" s="471"/>
      <c r="ALR248" s="471"/>
      <c r="ALS248" s="471"/>
      <c r="ALT248" s="471"/>
      <c r="ALU248" s="471"/>
      <c r="ALV248" s="471"/>
      <c r="ALW248" s="471"/>
      <c r="ALX248" s="471"/>
      <c r="ALY248" s="471"/>
      <c r="ALZ248" s="471"/>
      <c r="AMA248" s="471"/>
      <c r="AMB248" s="471"/>
      <c r="AMC248" s="471"/>
      <c r="AMD248" s="471"/>
      <c r="AME248" s="471"/>
      <c r="AMF248" s="471"/>
      <c r="AMG248" s="471"/>
      <c r="AMH248" s="471"/>
      <c r="AMI248" s="471"/>
      <c r="AMJ248" s="471"/>
      <c r="AMK248" s="471"/>
      <c r="AML248" s="471"/>
      <c r="AMM248" s="471"/>
      <c r="AMN248" s="471"/>
      <c r="AMO248" s="471"/>
      <c r="AMP248" s="471"/>
      <c r="AMQ248" s="471"/>
      <c r="AMR248" s="471"/>
      <c r="AMS248" s="471"/>
      <c r="AMT248" s="471"/>
      <c r="AMU248" s="471"/>
      <c r="AMV248" s="471"/>
      <c r="AMW248" s="471"/>
      <c r="AMX248" s="471"/>
      <c r="AMY248" s="471"/>
      <c r="AMZ248" s="471"/>
      <c r="ANA248" s="471"/>
      <c r="ANB248" s="471"/>
      <c r="ANC248" s="471"/>
      <c r="AND248" s="471"/>
      <c r="ANE248" s="471"/>
      <c r="ANF248" s="471"/>
      <c r="ANG248" s="471"/>
      <c r="ANH248" s="471"/>
      <c r="ANI248" s="471"/>
      <c r="ANJ248" s="471"/>
      <c r="ANK248" s="471"/>
      <c r="ANL248" s="471"/>
      <c r="ANM248" s="471"/>
      <c r="ANN248" s="471"/>
      <c r="ANO248" s="471"/>
      <c r="ANP248" s="471"/>
      <c r="ANQ248" s="471"/>
      <c r="ANR248" s="471"/>
      <c r="ANS248" s="471"/>
      <c r="ANT248" s="471"/>
      <c r="ANU248" s="471"/>
      <c r="ANV248" s="471"/>
      <c r="ANW248" s="471"/>
      <c r="ANX248" s="471"/>
      <c r="ANY248" s="471"/>
      <c r="ANZ248" s="471"/>
      <c r="AOA248" s="471"/>
      <c r="AOB248" s="471"/>
      <c r="AOC248" s="471"/>
      <c r="AOD248" s="471"/>
      <c r="AOE248" s="471"/>
      <c r="AOF248" s="471"/>
      <c r="AOG248" s="471"/>
      <c r="AOH248" s="471"/>
      <c r="AOI248" s="471"/>
      <c r="AOJ248" s="471"/>
      <c r="AOK248" s="471"/>
      <c r="AOL248" s="471"/>
      <c r="AOM248" s="471"/>
      <c r="AON248" s="471"/>
      <c r="AOO248" s="471"/>
      <c r="AOP248" s="471"/>
      <c r="AOQ248" s="471"/>
      <c r="AOR248" s="471"/>
      <c r="AOS248" s="471"/>
      <c r="AOT248" s="471"/>
      <c r="AOU248" s="471"/>
      <c r="AOV248" s="471"/>
      <c r="AOW248" s="471"/>
      <c r="AOX248" s="471"/>
      <c r="AOY248" s="471"/>
      <c r="AOZ248" s="471"/>
      <c r="APA248" s="471"/>
      <c r="APB248" s="471"/>
      <c r="APC248" s="471"/>
      <c r="APD248" s="471"/>
      <c r="APE248" s="471"/>
      <c r="APF248" s="471"/>
      <c r="APG248" s="471"/>
      <c r="APH248" s="471"/>
      <c r="API248" s="471"/>
      <c r="APJ248" s="471"/>
      <c r="APK248" s="471"/>
      <c r="APL248" s="471"/>
      <c r="APM248" s="471"/>
      <c r="APN248" s="471"/>
      <c r="APO248" s="471"/>
      <c r="APP248" s="471"/>
      <c r="APQ248" s="471"/>
      <c r="APR248" s="471"/>
      <c r="APS248" s="471"/>
      <c r="APT248" s="471"/>
      <c r="APU248" s="471"/>
      <c r="APV248" s="471"/>
      <c r="APW248" s="471"/>
      <c r="APX248" s="471"/>
      <c r="APY248" s="471"/>
      <c r="APZ248" s="471"/>
      <c r="AQA248" s="471"/>
      <c r="AQB248" s="471"/>
      <c r="AQC248" s="471"/>
      <c r="AQD248" s="471"/>
      <c r="AQE248" s="471"/>
      <c r="AQF248" s="471"/>
      <c r="AQG248" s="471"/>
      <c r="AQH248" s="471"/>
      <c r="AQI248" s="471"/>
      <c r="AQJ248" s="471"/>
      <c r="AQK248" s="471"/>
      <c r="AQL248" s="471"/>
      <c r="AQM248" s="471"/>
      <c r="AQN248" s="471"/>
      <c r="AQO248" s="471"/>
      <c r="AQP248" s="471"/>
      <c r="AQQ248" s="471"/>
      <c r="AQR248" s="471"/>
      <c r="AQS248" s="471"/>
      <c r="AQT248" s="471"/>
      <c r="AQU248" s="471"/>
      <c r="AQV248" s="471"/>
      <c r="AQW248" s="471"/>
      <c r="AQX248" s="471"/>
      <c r="AQY248" s="471"/>
      <c r="AQZ248" s="471"/>
      <c r="ARA248" s="471"/>
      <c r="ARB248" s="471"/>
      <c r="ARC248" s="471"/>
      <c r="ARD248" s="471"/>
      <c r="ARE248" s="471"/>
      <c r="ARF248" s="471"/>
      <c r="ARG248" s="471"/>
      <c r="ARH248" s="471"/>
      <c r="ARI248" s="471"/>
      <c r="ARJ248" s="471"/>
      <c r="ARK248" s="471"/>
      <c r="ARL248" s="471"/>
      <c r="ARM248" s="471"/>
      <c r="ARN248" s="471"/>
      <c r="ARO248" s="471"/>
      <c r="ARP248" s="471"/>
      <c r="ARQ248" s="471"/>
      <c r="ARR248" s="471"/>
      <c r="ARS248" s="471"/>
      <c r="ART248" s="471"/>
      <c r="ARU248" s="471"/>
      <c r="ARV248" s="471"/>
      <c r="ARW248" s="471"/>
      <c r="ARX248" s="471"/>
      <c r="ARY248" s="471"/>
      <c r="ARZ248" s="471"/>
      <c r="ASA248" s="471"/>
      <c r="ASB248" s="471"/>
      <c r="ASC248" s="471"/>
      <c r="ASD248" s="471"/>
      <c r="ASE248" s="471"/>
      <c r="ASF248" s="471"/>
      <c r="ASG248" s="471"/>
      <c r="ASH248" s="471"/>
      <c r="ASI248" s="471"/>
      <c r="ASJ248" s="471"/>
      <c r="ASK248" s="471"/>
      <c r="ASL248" s="471"/>
      <c r="ASM248" s="471"/>
      <c r="ASN248" s="471"/>
      <c r="ASO248" s="471"/>
      <c r="ASP248" s="471"/>
      <c r="ASQ248" s="471"/>
      <c r="ASR248" s="471"/>
      <c r="ASS248" s="471"/>
      <c r="AST248" s="471"/>
      <c r="ASU248" s="471"/>
      <c r="ASV248" s="471"/>
      <c r="ASW248" s="471"/>
      <c r="ASX248" s="471"/>
      <c r="ASY248" s="471"/>
      <c r="ASZ248" s="471"/>
      <c r="ATA248" s="471"/>
      <c r="ATB248" s="471"/>
      <c r="ATC248" s="471"/>
      <c r="ATD248" s="471"/>
      <c r="ATE248" s="471"/>
      <c r="ATF248" s="471"/>
      <c r="ATG248" s="471"/>
      <c r="ATH248" s="471"/>
      <c r="ATI248" s="471"/>
      <c r="ATJ248" s="471"/>
      <c r="ATK248" s="471"/>
      <c r="ATL248" s="471"/>
      <c r="ATM248" s="471"/>
      <c r="ATN248" s="471"/>
      <c r="ATO248" s="471"/>
      <c r="ATP248" s="471"/>
      <c r="ATQ248" s="471"/>
      <c r="ATR248" s="471"/>
      <c r="ATS248" s="471"/>
      <c r="ATT248" s="471"/>
      <c r="ATU248" s="471"/>
      <c r="ATV248" s="471"/>
      <c r="ATW248" s="471"/>
      <c r="ATX248" s="471"/>
      <c r="ATY248" s="471"/>
      <c r="ATZ248" s="471"/>
      <c r="AUA248" s="471"/>
      <c r="AUB248" s="471"/>
      <c r="AUC248" s="471"/>
      <c r="AUD248" s="471"/>
      <c r="AUE248" s="471"/>
      <c r="AUF248" s="471"/>
      <c r="AUG248" s="471"/>
      <c r="AUH248" s="471"/>
      <c r="AUI248" s="471"/>
      <c r="AUJ248" s="471"/>
      <c r="AUK248" s="471"/>
      <c r="AUL248" s="471"/>
      <c r="AUM248" s="471"/>
      <c r="AUN248" s="471"/>
      <c r="AUO248" s="471"/>
      <c r="AUP248" s="471"/>
      <c r="AUQ248" s="471"/>
      <c r="AUR248" s="471"/>
      <c r="AUS248" s="471"/>
      <c r="AUT248" s="471"/>
      <c r="AUU248" s="471"/>
      <c r="AUV248" s="471"/>
      <c r="AUW248" s="471"/>
      <c r="AUX248" s="471"/>
      <c r="AUY248" s="471"/>
      <c r="AUZ248" s="471"/>
      <c r="AVA248" s="471"/>
      <c r="AVB248" s="471"/>
      <c r="AVC248" s="471"/>
      <c r="AVD248" s="471"/>
      <c r="AVE248" s="471"/>
      <c r="AVF248" s="471"/>
      <c r="AVG248" s="471"/>
      <c r="AVH248" s="471"/>
      <c r="AVI248" s="471"/>
      <c r="AVJ248" s="471"/>
      <c r="AVK248" s="471"/>
      <c r="AVL248" s="471"/>
      <c r="AVM248" s="471"/>
      <c r="AVN248" s="471"/>
      <c r="AVO248" s="471"/>
      <c r="AVP248" s="471"/>
      <c r="AVQ248" s="471"/>
      <c r="AVR248" s="471"/>
      <c r="AVS248" s="471"/>
      <c r="AVT248" s="471"/>
      <c r="AVU248" s="471"/>
      <c r="AVV248" s="471"/>
      <c r="AVW248" s="471"/>
      <c r="AVX248" s="471"/>
      <c r="AVY248" s="471"/>
      <c r="AVZ248" s="471"/>
      <c r="AWA248" s="471"/>
      <c r="AWB248" s="471"/>
      <c r="AWC248" s="471"/>
      <c r="AWD248" s="471"/>
      <c r="AWE248" s="471"/>
      <c r="AWF248" s="471"/>
      <c r="AWG248" s="471"/>
      <c r="AWH248" s="471"/>
      <c r="AWI248" s="471"/>
      <c r="AWJ248" s="471"/>
      <c r="AWK248" s="471"/>
      <c r="AWL248" s="471"/>
      <c r="AWM248" s="471"/>
      <c r="AWN248" s="471"/>
      <c r="AWO248" s="471"/>
      <c r="AWP248" s="471"/>
      <c r="AWQ248" s="471"/>
      <c r="AWR248" s="471"/>
      <c r="AWS248" s="471"/>
      <c r="AWT248" s="471"/>
      <c r="AWU248" s="471"/>
      <c r="AWV248" s="471"/>
      <c r="AWW248" s="471"/>
      <c r="AWX248" s="471"/>
      <c r="AWY248" s="471"/>
      <c r="AWZ248" s="471"/>
      <c r="AXA248" s="471"/>
      <c r="AXB248" s="471"/>
      <c r="AXC248" s="471"/>
      <c r="AXD248" s="471"/>
      <c r="AXE248" s="471"/>
      <c r="AXF248" s="471"/>
      <c r="AXG248" s="471"/>
      <c r="AXH248" s="471"/>
      <c r="AXI248" s="471"/>
      <c r="AXJ248" s="471"/>
      <c r="AXK248" s="471"/>
      <c r="AXL248" s="471"/>
      <c r="AXM248" s="471"/>
      <c r="AXN248" s="471"/>
      <c r="AXO248" s="471"/>
      <c r="AXP248" s="471"/>
      <c r="AXQ248" s="471"/>
      <c r="AXR248" s="471"/>
      <c r="AXS248" s="471"/>
      <c r="AXT248" s="471"/>
      <c r="AXU248" s="471"/>
      <c r="AXV248" s="471"/>
      <c r="AXW248" s="471"/>
      <c r="AXX248" s="471"/>
      <c r="AXY248" s="471"/>
      <c r="AXZ248" s="471"/>
      <c r="AYA248" s="471"/>
      <c r="AYB248" s="471"/>
      <c r="AYC248" s="471"/>
      <c r="AYD248" s="471"/>
      <c r="AYE248" s="471"/>
      <c r="AYF248" s="471"/>
      <c r="AYG248" s="471"/>
      <c r="AYH248" s="471"/>
      <c r="AYI248" s="471"/>
      <c r="AYJ248" s="471"/>
      <c r="AYK248" s="471"/>
      <c r="AYL248" s="471"/>
      <c r="AYM248" s="471"/>
      <c r="AYN248" s="471"/>
      <c r="AYO248" s="471"/>
      <c r="AYP248" s="471"/>
      <c r="AYQ248" s="471"/>
      <c r="AYR248" s="471"/>
      <c r="AYS248" s="471"/>
      <c r="AYT248" s="471"/>
      <c r="AYU248" s="471"/>
      <c r="AYV248" s="471"/>
      <c r="AYW248" s="471"/>
      <c r="AYX248" s="471"/>
      <c r="AYY248" s="471"/>
      <c r="AYZ248" s="471"/>
      <c r="AZA248" s="471"/>
      <c r="AZB248" s="471"/>
      <c r="AZC248" s="471"/>
      <c r="AZD248" s="471"/>
      <c r="AZE248" s="471"/>
      <c r="AZF248" s="471"/>
      <c r="AZG248" s="471"/>
      <c r="AZH248" s="471"/>
      <c r="AZI248" s="471"/>
      <c r="AZJ248" s="471"/>
      <c r="AZK248" s="471"/>
      <c r="AZL248" s="471"/>
      <c r="AZM248" s="471"/>
      <c r="AZN248" s="471"/>
      <c r="AZO248" s="471"/>
      <c r="AZP248" s="471"/>
      <c r="AZQ248" s="471"/>
      <c r="AZR248" s="471"/>
      <c r="AZS248" s="471"/>
      <c r="AZT248" s="471"/>
      <c r="AZU248" s="471"/>
      <c r="AZV248" s="471"/>
      <c r="AZW248" s="471"/>
      <c r="AZX248" s="471"/>
      <c r="AZY248" s="471"/>
      <c r="AZZ248" s="471"/>
      <c r="BAA248" s="471"/>
      <c r="BAB248" s="471"/>
      <c r="BAC248" s="471"/>
      <c r="BAD248" s="471"/>
      <c r="BAE248" s="471"/>
      <c r="BAF248" s="471"/>
      <c r="BAG248" s="471"/>
      <c r="BAH248" s="471"/>
      <c r="BAI248" s="471"/>
      <c r="BAJ248" s="471"/>
      <c r="BAK248" s="471"/>
      <c r="BAL248" s="471"/>
      <c r="BAM248" s="471"/>
      <c r="BAN248" s="471"/>
      <c r="BAO248" s="471"/>
      <c r="BAP248" s="471"/>
      <c r="BAQ248" s="471"/>
      <c r="BAR248" s="471"/>
      <c r="BAS248" s="471"/>
      <c r="BAT248" s="471"/>
      <c r="BAU248" s="471"/>
      <c r="BAV248" s="471"/>
      <c r="BAW248" s="471"/>
      <c r="BAX248" s="471"/>
      <c r="BAY248" s="471"/>
      <c r="BAZ248" s="471"/>
      <c r="BBA248" s="471"/>
      <c r="BBB248" s="471"/>
      <c r="BBC248" s="471"/>
      <c r="BBD248" s="471"/>
      <c r="BBE248" s="471"/>
      <c r="BBF248" s="471"/>
      <c r="BBG248" s="471"/>
      <c r="BBH248" s="471"/>
      <c r="BBI248" s="471"/>
      <c r="BBJ248" s="471"/>
      <c r="BBK248" s="471"/>
      <c r="BBL248" s="471"/>
      <c r="BBM248" s="471"/>
      <c r="BBN248" s="471"/>
      <c r="BBO248" s="471"/>
      <c r="BBP248" s="471"/>
      <c r="BBQ248" s="471"/>
      <c r="BBR248" s="471"/>
      <c r="BBS248" s="471"/>
      <c r="BBT248" s="471"/>
      <c r="BBU248" s="471"/>
      <c r="BBV248" s="471"/>
      <c r="BBW248" s="471"/>
      <c r="BBX248" s="471"/>
      <c r="BBY248" s="471"/>
      <c r="BBZ248" s="471"/>
      <c r="BCA248" s="471"/>
      <c r="BCB248" s="471"/>
      <c r="BCC248" s="471"/>
      <c r="BCD248" s="471"/>
      <c r="BCE248" s="471"/>
      <c r="BCF248" s="471"/>
      <c r="BCG248" s="471"/>
      <c r="BCH248" s="471"/>
      <c r="BCI248" s="471"/>
      <c r="BCJ248" s="471"/>
      <c r="BCK248" s="471"/>
      <c r="BCL248" s="471"/>
      <c r="BCM248" s="471"/>
      <c r="BCN248" s="471"/>
      <c r="BCO248" s="471"/>
      <c r="BCP248" s="471"/>
      <c r="BCQ248" s="471"/>
      <c r="BCR248" s="471"/>
      <c r="BCS248" s="471"/>
      <c r="BCT248" s="471"/>
      <c r="BCU248" s="471"/>
      <c r="BCV248" s="471"/>
      <c r="BCW248" s="471"/>
      <c r="BCX248" s="471"/>
      <c r="BCY248" s="471"/>
      <c r="BCZ248" s="471"/>
      <c r="BDA248" s="471"/>
      <c r="BDB248" s="471"/>
      <c r="BDC248" s="471"/>
      <c r="BDD248" s="471"/>
      <c r="BDE248" s="471"/>
      <c r="BDF248" s="471"/>
      <c r="BDG248" s="471"/>
      <c r="BDH248" s="471"/>
      <c r="BDI248" s="471"/>
      <c r="BDJ248" s="471"/>
      <c r="BDK248" s="471"/>
      <c r="BDL248" s="471"/>
      <c r="BDM248" s="471"/>
      <c r="BDN248" s="471"/>
      <c r="BDO248" s="471"/>
      <c r="BDP248" s="471"/>
      <c r="BDQ248" s="471"/>
      <c r="BDR248" s="471"/>
      <c r="BDS248" s="471"/>
      <c r="BDT248" s="471"/>
      <c r="BDU248" s="471"/>
      <c r="BDV248" s="471"/>
      <c r="BDW248" s="471"/>
      <c r="BDX248" s="471"/>
      <c r="BDY248" s="471"/>
      <c r="BDZ248" s="471"/>
      <c r="BEA248" s="471"/>
      <c r="BEB248" s="471"/>
      <c r="BEC248" s="471"/>
      <c r="BED248" s="471"/>
      <c r="BEE248" s="471"/>
      <c r="BEF248" s="471"/>
      <c r="BEG248" s="471"/>
      <c r="BEH248" s="471"/>
      <c r="BEI248" s="471"/>
      <c r="BEJ248" s="471"/>
      <c r="BEK248" s="471"/>
      <c r="BEL248" s="471"/>
      <c r="BEM248" s="471"/>
      <c r="BEN248" s="471"/>
      <c r="BEO248" s="471"/>
      <c r="BEP248" s="471"/>
      <c r="BEQ248" s="471"/>
      <c r="BER248" s="471"/>
      <c r="BES248" s="471"/>
      <c r="BET248" s="471"/>
      <c r="BEU248" s="471"/>
      <c r="BEV248" s="471"/>
      <c r="BEW248" s="471"/>
      <c r="BEX248" s="471"/>
      <c r="BEY248" s="471"/>
      <c r="BEZ248" s="471"/>
      <c r="BFA248" s="471"/>
      <c r="BFB248" s="471"/>
      <c r="BFC248" s="471"/>
      <c r="BFD248" s="471"/>
      <c r="BFE248" s="471"/>
      <c r="BFF248" s="471"/>
      <c r="BFG248" s="471"/>
      <c r="BFH248" s="471"/>
      <c r="BFI248" s="471"/>
      <c r="BFJ248" s="471"/>
      <c r="BFK248" s="471"/>
      <c r="BFL248" s="471"/>
      <c r="BFM248" s="471"/>
      <c r="BFN248" s="471"/>
      <c r="BFO248" s="471"/>
      <c r="BFP248" s="471"/>
      <c r="BFQ248" s="471"/>
      <c r="BFR248" s="471"/>
      <c r="BFS248" s="471"/>
      <c r="BFT248" s="471"/>
      <c r="BFU248" s="471"/>
      <c r="BFV248" s="471"/>
      <c r="BFW248" s="471"/>
      <c r="BFX248" s="471"/>
      <c r="BFY248" s="471"/>
      <c r="BFZ248" s="471"/>
      <c r="BGA248" s="471"/>
      <c r="BGB248" s="471"/>
      <c r="BGC248" s="471"/>
      <c r="BGD248" s="471"/>
      <c r="BGE248" s="471"/>
      <c r="BGF248" s="471"/>
      <c r="BGG248" s="471"/>
      <c r="BGH248" s="471"/>
      <c r="BGI248" s="471"/>
      <c r="BGJ248" s="471"/>
      <c r="BGK248" s="471"/>
      <c r="BGL248" s="471"/>
      <c r="BGM248" s="471"/>
      <c r="BGN248" s="471"/>
      <c r="BGO248" s="471"/>
      <c r="BGP248" s="471"/>
      <c r="BGQ248" s="471"/>
      <c r="BGR248" s="471"/>
      <c r="BGS248" s="471"/>
      <c r="BGT248" s="471"/>
      <c r="BGU248" s="471"/>
      <c r="BGV248" s="471"/>
      <c r="BGW248" s="471"/>
      <c r="BGX248" s="471"/>
      <c r="BGY248" s="471"/>
      <c r="BGZ248" s="471"/>
      <c r="BHA248" s="471"/>
      <c r="BHB248" s="471"/>
      <c r="BHC248" s="471"/>
      <c r="BHD248" s="471"/>
      <c r="BHE248" s="471"/>
      <c r="BHF248" s="471"/>
      <c r="BHG248" s="471"/>
      <c r="BHH248" s="471"/>
      <c r="BHI248" s="471"/>
      <c r="BHJ248" s="471"/>
      <c r="BHK248" s="471"/>
      <c r="BHL248" s="471"/>
      <c r="BHM248" s="471"/>
      <c r="BHN248" s="471"/>
      <c r="BHO248" s="471"/>
      <c r="BHP248" s="471"/>
      <c r="BHQ248" s="471"/>
      <c r="BHR248" s="471"/>
      <c r="BHS248" s="471"/>
      <c r="BHT248" s="471"/>
      <c r="BHU248" s="471"/>
      <c r="BHV248" s="471"/>
      <c r="BHW248" s="471"/>
      <c r="BHX248" s="471"/>
      <c r="BHY248" s="471"/>
      <c r="BHZ248" s="471"/>
      <c r="BIA248" s="471"/>
      <c r="BIB248" s="471"/>
      <c r="BIC248" s="471"/>
      <c r="BID248" s="471"/>
      <c r="BIE248" s="471"/>
      <c r="BIF248" s="471"/>
      <c r="BIG248" s="471"/>
      <c r="BIH248" s="471"/>
      <c r="BII248" s="471"/>
      <c r="BIJ248" s="471"/>
      <c r="BIK248" s="471"/>
      <c r="BIL248" s="471"/>
      <c r="BIM248" s="471"/>
      <c r="BIN248" s="471"/>
      <c r="BIO248" s="471"/>
      <c r="BIP248" s="471"/>
      <c r="BIQ248" s="471"/>
      <c r="BIR248" s="471"/>
      <c r="BIS248" s="471"/>
      <c r="BIT248" s="471"/>
      <c r="BIU248" s="471"/>
      <c r="BIV248" s="471"/>
      <c r="BIW248" s="471"/>
      <c r="BIX248" s="471"/>
      <c r="BIY248" s="471"/>
      <c r="BIZ248" s="471"/>
      <c r="BJA248" s="471"/>
      <c r="BJB248" s="471"/>
      <c r="BJC248" s="471"/>
      <c r="BJD248" s="471"/>
      <c r="BJE248" s="471"/>
      <c r="BJF248" s="471"/>
      <c r="BJG248" s="471"/>
      <c r="BJH248" s="471"/>
      <c r="BJI248" s="471"/>
      <c r="BJJ248" s="471"/>
      <c r="BJK248" s="471"/>
      <c r="BJL248" s="471"/>
      <c r="BJM248" s="471"/>
      <c r="BJN248" s="471"/>
      <c r="BJO248" s="471"/>
      <c r="BJP248" s="471"/>
      <c r="BJQ248" s="471"/>
      <c r="BJR248" s="471"/>
      <c r="BJS248" s="471"/>
      <c r="BJT248" s="471"/>
      <c r="BJU248" s="471"/>
      <c r="BJV248" s="471"/>
      <c r="BJW248" s="471"/>
      <c r="BJX248" s="471"/>
      <c r="BJY248" s="471"/>
      <c r="BJZ248" s="471"/>
      <c r="BKA248" s="471"/>
      <c r="BKB248" s="471"/>
      <c r="BKC248" s="471"/>
      <c r="BKD248" s="471"/>
      <c r="BKE248" s="471"/>
      <c r="BKF248" s="471"/>
      <c r="BKG248" s="471"/>
      <c r="BKH248" s="471"/>
      <c r="BKI248" s="471"/>
      <c r="BKJ248" s="471"/>
      <c r="BKK248" s="471"/>
      <c r="BKL248" s="471"/>
      <c r="BKM248" s="471"/>
      <c r="BKN248" s="471"/>
      <c r="BKO248" s="471"/>
      <c r="BKP248" s="471"/>
      <c r="BKQ248" s="471"/>
      <c r="BKR248" s="471"/>
      <c r="BKS248" s="471"/>
      <c r="BKT248" s="471"/>
      <c r="BKU248" s="471"/>
      <c r="BKV248" s="471"/>
      <c r="BKW248" s="471"/>
      <c r="BKX248" s="471"/>
      <c r="BKY248" s="471"/>
      <c r="BKZ248" s="471"/>
      <c r="BLA248" s="471"/>
      <c r="BLB248" s="471"/>
      <c r="BLC248" s="471"/>
      <c r="BLD248" s="471"/>
      <c r="BLE248" s="471"/>
      <c r="BLF248" s="471"/>
      <c r="BLG248" s="471"/>
      <c r="BLH248" s="471"/>
      <c r="BLI248" s="471"/>
      <c r="BLJ248" s="471"/>
      <c r="BLK248" s="471"/>
      <c r="BLL248" s="471"/>
      <c r="BLM248" s="471"/>
      <c r="BLN248" s="471"/>
      <c r="BLO248" s="471"/>
      <c r="BLP248" s="471"/>
      <c r="BLQ248" s="471"/>
      <c r="BLR248" s="471"/>
      <c r="BLS248" s="471"/>
      <c r="BLT248" s="471"/>
      <c r="BLU248" s="471"/>
      <c r="BLV248" s="471"/>
      <c r="BLW248" s="471"/>
      <c r="BLX248" s="471"/>
      <c r="BLY248" s="471"/>
      <c r="BLZ248" s="471"/>
      <c r="BMA248" s="471"/>
      <c r="BMB248" s="471"/>
      <c r="BMC248" s="471"/>
      <c r="BMD248" s="471"/>
      <c r="BME248" s="471"/>
      <c r="BMF248" s="471"/>
      <c r="BMG248" s="471"/>
      <c r="BMH248" s="471"/>
      <c r="BMI248" s="471"/>
      <c r="BMJ248" s="471"/>
      <c r="BMK248" s="471"/>
      <c r="BML248" s="471"/>
      <c r="BMM248" s="471"/>
      <c r="BMN248" s="471"/>
      <c r="BMO248" s="471"/>
      <c r="BMP248" s="471"/>
      <c r="BMQ248" s="471"/>
      <c r="BMR248" s="471"/>
      <c r="BMS248" s="471"/>
      <c r="BMT248" s="471"/>
      <c r="BMU248" s="471"/>
      <c r="BMV248" s="471"/>
      <c r="BMW248" s="471"/>
      <c r="BMX248" s="471"/>
      <c r="BMY248" s="471"/>
      <c r="BMZ248" s="471"/>
      <c r="BNA248" s="471"/>
      <c r="BNB248" s="471"/>
      <c r="BNC248" s="471"/>
      <c r="BND248" s="471"/>
      <c r="BNE248" s="471"/>
      <c r="BNF248" s="471"/>
      <c r="BNG248" s="471"/>
      <c r="BNH248" s="471"/>
      <c r="BNI248" s="471"/>
      <c r="BNJ248" s="471"/>
      <c r="BNK248" s="471"/>
      <c r="BNL248" s="471"/>
      <c r="BNM248" s="471"/>
      <c r="BNN248" s="471"/>
      <c r="BNO248" s="471"/>
      <c r="BNP248" s="471"/>
      <c r="BNQ248" s="471"/>
      <c r="BNR248" s="471"/>
      <c r="BNS248" s="471"/>
      <c r="BNT248" s="471"/>
      <c r="BNU248" s="471"/>
      <c r="BNV248" s="471"/>
      <c r="BNW248" s="471"/>
      <c r="BNX248" s="471"/>
      <c r="BNY248" s="471"/>
      <c r="BNZ248" s="471"/>
      <c r="BOA248" s="471"/>
      <c r="BOB248" s="471"/>
      <c r="BOC248" s="471"/>
      <c r="BOD248" s="471"/>
      <c r="BOE248" s="471"/>
      <c r="BOF248" s="471"/>
      <c r="BOG248" s="471"/>
      <c r="BOH248" s="471"/>
      <c r="BOI248" s="471"/>
      <c r="BOJ248" s="471"/>
      <c r="BOK248" s="471"/>
      <c r="BOL248" s="471"/>
      <c r="BOM248" s="471"/>
      <c r="BON248" s="471"/>
      <c r="BOO248" s="471"/>
      <c r="BOP248" s="471"/>
      <c r="BOQ248" s="471"/>
      <c r="BOR248" s="471"/>
      <c r="BOS248" s="471"/>
      <c r="BOT248" s="471"/>
      <c r="BOU248" s="471"/>
      <c r="BOV248" s="471"/>
      <c r="BOW248" s="471"/>
      <c r="BOX248" s="471"/>
      <c r="BOY248" s="471"/>
      <c r="BOZ248" s="471"/>
      <c r="BPA248" s="471"/>
      <c r="BPB248" s="471"/>
      <c r="BPC248" s="471"/>
      <c r="BPD248" s="471"/>
      <c r="BPE248" s="471"/>
      <c r="BPF248" s="471"/>
      <c r="BPG248" s="471"/>
      <c r="BPH248" s="471"/>
      <c r="BPI248" s="471"/>
      <c r="BPJ248" s="471"/>
      <c r="BPK248" s="471"/>
      <c r="BPL248" s="471"/>
      <c r="BPM248" s="471"/>
      <c r="BPN248" s="471"/>
      <c r="BPO248" s="471"/>
      <c r="BPP248" s="471"/>
      <c r="BPQ248" s="471"/>
      <c r="BPR248" s="471"/>
      <c r="BPS248" s="471"/>
      <c r="BPT248" s="471"/>
      <c r="BPU248" s="471"/>
      <c r="BPV248" s="471"/>
      <c r="BPW248" s="471"/>
      <c r="BPX248" s="471"/>
      <c r="BPY248" s="471"/>
      <c r="BPZ248" s="471"/>
      <c r="BQA248" s="471"/>
      <c r="BQB248" s="471"/>
      <c r="BQC248" s="471"/>
      <c r="BQD248" s="471"/>
      <c r="BQE248" s="471"/>
      <c r="BQF248" s="471"/>
      <c r="BQG248" s="471"/>
      <c r="BQH248" s="471"/>
      <c r="BQI248" s="471"/>
      <c r="BQJ248" s="471"/>
      <c r="BQK248" s="471"/>
      <c r="BQL248" s="471"/>
      <c r="BQM248" s="471"/>
      <c r="BQN248" s="471"/>
      <c r="BQO248" s="471"/>
      <c r="BQP248" s="471"/>
      <c r="BQQ248" s="471"/>
      <c r="BQR248" s="471"/>
      <c r="BQS248" s="471"/>
      <c r="BQT248" s="471"/>
      <c r="BQU248" s="471"/>
      <c r="BQV248" s="471"/>
      <c r="BQW248" s="471"/>
      <c r="BQX248" s="471"/>
      <c r="BQY248" s="471"/>
      <c r="BQZ248" s="471"/>
      <c r="BRA248" s="471"/>
      <c r="BRB248" s="471"/>
      <c r="BRC248" s="471"/>
      <c r="BRD248" s="471"/>
      <c r="BRE248" s="471"/>
      <c r="BRF248" s="471"/>
      <c r="BRG248" s="471"/>
      <c r="BRH248" s="471"/>
      <c r="BRI248" s="471"/>
      <c r="BRJ248" s="471"/>
      <c r="BRK248" s="471"/>
      <c r="BRL248" s="471"/>
      <c r="BRM248" s="471"/>
      <c r="BRN248" s="471"/>
      <c r="BRO248" s="471"/>
      <c r="BRP248" s="471"/>
      <c r="BRQ248" s="471"/>
      <c r="BRR248" s="471"/>
      <c r="BRS248" s="471"/>
      <c r="BRT248" s="471"/>
      <c r="BRU248" s="471"/>
      <c r="BRV248" s="471"/>
      <c r="BRW248" s="471"/>
      <c r="BRX248" s="471"/>
      <c r="BRY248" s="471"/>
      <c r="BRZ248" s="471"/>
      <c r="BSA248" s="471"/>
      <c r="BSB248" s="471"/>
      <c r="BSC248" s="471"/>
      <c r="BSD248" s="471"/>
      <c r="BSE248" s="471"/>
      <c r="BSF248" s="471"/>
      <c r="BSG248" s="471"/>
      <c r="BSH248" s="471"/>
      <c r="BSI248" s="471"/>
      <c r="BSJ248" s="471"/>
      <c r="BSK248" s="471"/>
      <c r="BSL248" s="471"/>
      <c r="BSM248" s="471"/>
      <c r="BSN248" s="471"/>
      <c r="BSO248" s="471"/>
      <c r="BSP248" s="471"/>
      <c r="BSQ248" s="471"/>
      <c r="BSR248" s="471"/>
      <c r="BSS248" s="471"/>
      <c r="BST248" s="471"/>
      <c r="BSU248" s="471"/>
      <c r="BSV248" s="471"/>
      <c r="BSW248" s="471"/>
      <c r="BSX248" s="471"/>
      <c r="BSY248" s="471"/>
      <c r="BSZ248" s="471"/>
      <c r="BTA248" s="471"/>
      <c r="BTB248" s="471"/>
      <c r="BTC248" s="471"/>
      <c r="BTD248" s="471"/>
      <c r="BTE248" s="471"/>
      <c r="BTF248" s="471"/>
      <c r="BTG248" s="471"/>
      <c r="BTH248" s="471"/>
      <c r="BTI248" s="471"/>
    </row>
    <row r="249" spans="1:1881" s="470" customFormat="1" ht="5.25" customHeight="1" thickBot="1" x14ac:dyDescent="0.3">
      <c r="A249" s="477"/>
      <c r="B249" s="670"/>
      <c r="C249" s="670"/>
      <c r="D249" s="671"/>
      <c r="E249" s="661"/>
      <c r="F249" s="551"/>
      <c r="G249" s="536"/>
      <c r="H249" s="472"/>
      <c r="I249" s="398"/>
      <c r="J249" s="471"/>
      <c r="K249" s="471"/>
      <c r="L249" s="471"/>
      <c r="M249" s="471"/>
      <c r="N249"/>
      <c r="O249" s="471"/>
      <c r="P249" s="471"/>
      <c r="Q249" s="471"/>
      <c r="R249"/>
      <c r="S249" s="387"/>
      <c r="T249" s="471"/>
      <c r="U249" s="471"/>
      <c r="V249" s="471"/>
      <c r="W249" s="471"/>
      <c r="X249" s="682"/>
      <c r="Y249" s="471"/>
      <c r="Z249" s="471"/>
      <c r="AA249" s="471"/>
      <c r="AB249" s="471"/>
      <c r="AC249" s="471"/>
      <c r="AD249" s="471"/>
      <c r="AE249" s="471"/>
      <c r="AF249" s="471"/>
      <c r="AG249" s="471"/>
      <c r="AH249" s="471"/>
      <c r="AI249" s="471"/>
      <c r="AJ249" s="471"/>
      <c r="AK249" s="471"/>
      <c r="AL249" s="471"/>
      <c r="AM249" s="471"/>
      <c r="AN249" s="471"/>
      <c r="AO249" s="471"/>
      <c r="AP249" s="471"/>
      <c r="AQ249" s="471"/>
      <c r="AR249" s="471"/>
      <c r="AS249" s="471"/>
      <c r="AT249" s="471"/>
      <c r="AU249" s="471"/>
      <c r="AV249" s="471"/>
      <c r="AW249" s="471"/>
      <c r="AX249" s="471"/>
      <c r="AY249" s="471"/>
      <c r="AZ249" s="471"/>
      <c r="BA249" s="471"/>
      <c r="BB249" s="471"/>
      <c r="BC249" s="471"/>
      <c r="BD249" s="471"/>
      <c r="BE249" s="471"/>
      <c r="BF249" s="471"/>
      <c r="BG249" s="471"/>
      <c r="BH249" s="471"/>
      <c r="BI249" s="471"/>
      <c r="BJ249" s="471"/>
      <c r="BK249" s="471"/>
      <c r="BL249" s="471"/>
      <c r="BM249" s="471"/>
      <c r="BN249" s="471"/>
      <c r="BO249" s="471"/>
      <c r="BP249" s="471"/>
      <c r="BQ249" s="471"/>
      <c r="BR249" s="471"/>
      <c r="BS249" s="471"/>
      <c r="BT249" s="471"/>
      <c r="BU249" s="471"/>
      <c r="BV249" s="471"/>
      <c r="BW249" s="471"/>
      <c r="BX249" s="471"/>
      <c r="BY249" s="471"/>
      <c r="BZ249" s="471"/>
      <c r="CA249" s="471"/>
      <c r="CB249" s="471"/>
      <c r="CC249" s="471"/>
      <c r="CD249" s="471"/>
      <c r="CE249" s="471"/>
      <c r="CF249" s="471"/>
      <c r="CG249" s="471"/>
      <c r="CH249" s="471"/>
      <c r="CI249" s="471"/>
      <c r="CJ249" s="471"/>
      <c r="CK249" s="471"/>
      <c r="CL249" s="471"/>
      <c r="CM249" s="471"/>
      <c r="CN249" s="471"/>
      <c r="CO249" s="471"/>
      <c r="CP249" s="471"/>
      <c r="CQ249" s="471"/>
      <c r="CR249" s="471"/>
      <c r="CS249" s="471"/>
      <c r="CT249" s="471"/>
      <c r="CU249" s="471"/>
      <c r="CV249" s="471"/>
      <c r="CW249" s="471"/>
      <c r="CX249" s="471"/>
      <c r="CY249" s="471"/>
      <c r="CZ249" s="471"/>
      <c r="DA249" s="471"/>
      <c r="DB249" s="471"/>
      <c r="DC249" s="471"/>
      <c r="DD249" s="471"/>
      <c r="DE249" s="471"/>
      <c r="DF249" s="471"/>
      <c r="DG249" s="471"/>
      <c r="DH249" s="471"/>
      <c r="DI249" s="471"/>
      <c r="DJ249" s="471"/>
      <c r="DK249" s="471"/>
      <c r="DL249" s="471"/>
      <c r="DM249" s="471"/>
      <c r="DN249" s="471"/>
      <c r="DO249" s="471"/>
      <c r="DP249" s="471"/>
      <c r="DQ249" s="471"/>
      <c r="DR249" s="471"/>
      <c r="DS249" s="471"/>
      <c r="DT249" s="471"/>
      <c r="DU249" s="471"/>
      <c r="DV249" s="471"/>
      <c r="DW249" s="471"/>
      <c r="DX249" s="471"/>
      <c r="DY249" s="471"/>
      <c r="DZ249" s="471"/>
      <c r="EA249" s="471"/>
      <c r="EB249" s="471"/>
      <c r="EC249" s="471"/>
      <c r="ED249" s="471"/>
      <c r="EE249" s="471"/>
      <c r="EF249" s="471"/>
      <c r="EG249" s="471"/>
      <c r="EH249" s="471"/>
      <c r="EI249" s="471"/>
      <c r="EJ249" s="471"/>
      <c r="EK249" s="471"/>
      <c r="EL249" s="471"/>
      <c r="EM249" s="471"/>
      <c r="EN249" s="471"/>
      <c r="EO249" s="471"/>
      <c r="EP249" s="471"/>
      <c r="EQ249" s="471"/>
      <c r="ER249" s="471"/>
      <c r="ES249" s="471"/>
      <c r="ET249" s="471"/>
      <c r="EU249" s="471"/>
      <c r="EV249" s="471"/>
      <c r="EW249" s="471"/>
      <c r="EX249" s="471"/>
      <c r="EY249" s="471"/>
      <c r="EZ249" s="471"/>
      <c r="FA249" s="471"/>
      <c r="FB249" s="471"/>
      <c r="FC249" s="471"/>
      <c r="FD249" s="471"/>
      <c r="FE249" s="471"/>
      <c r="FF249" s="471"/>
      <c r="FG249" s="471"/>
      <c r="FH249" s="471"/>
      <c r="FI249" s="471"/>
      <c r="FJ249" s="471"/>
      <c r="FK249" s="471"/>
      <c r="FL249" s="471"/>
      <c r="FM249" s="471"/>
      <c r="FN249" s="471"/>
      <c r="FO249" s="471"/>
      <c r="FP249" s="471"/>
      <c r="FQ249" s="471"/>
      <c r="FR249" s="471"/>
      <c r="FS249" s="471"/>
      <c r="FT249" s="471"/>
      <c r="FU249" s="471"/>
      <c r="FV249" s="471"/>
      <c r="FW249" s="471"/>
      <c r="FX249" s="471"/>
      <c r="FY249" s="471"/>
      <c r="FZ249" s="471"/>
      <c r="GA249" s="471"/>
      <c r="GB249" s="471"/>
      <c r="GC249" s="471"/>
      <c r="GD249" s="471"/>
      <c r="GE249" s="471"/>
      <c r="GF249" s="471"/>
      <c r="GG249" s="471"/>
      <c r="GH249" s="471"/>
      <c r="GI249" s="471"/>
      <c r="GJ249" s="471"/>
      <c r="GK249" s="471"/>
      <c r="GL249" s="471"/>
      <c r="GM249" s="471"/>
      <c r="GN249" s="471"/>
      <c r="GO249" s="471"/>
      <c r="GP249" s="471"/>
      <c r="GQ249" s="471"/>
      <c r="GR249" s="471"/>
      <c r="GS249" s="471"/>
      <c r="GT249" s="471"/>
      <c r="GU249" s="471"/>
      <c r="GV249" s="471"/>
      <c r="GW249" s="471"/>
      <c r="GX249" s="471"/>
      <c r="GY249" s="471"/>
      <c r="GZ249" s="471"/>
      <c r="HA249" s="471"/>
      <c r="HB249" s="471"/>
      <c r="HC249" s="471"/>
      <c r="HD249" s="471"/>
      <c r="HE249" s="471"/>
      <c r="HF249" s="471"/>
      <c r="HG249" s="471"/>
      <c r="HH249" s="471"/>
      <c r="HI249" s="471"/>
      <c r="HJ249" s="471"/>
      <c r="HK249" s="471"/>
      <c r="HL249" s="471"/>
      <c r="HM249" s="471"/>
      <c r="HN249" s="471"/>
      <c r="HO249" s="471"/>
      <c r="HP249" s="471"/>
      <c r="HQ249" s="471"/>
      <c r="HR249" s="471"/>
      <c r="HS249" s="471"/>
      <c r="HT249" s="471"/>
      <c r="HU249" s="471"/>
      <c r="HV249" s="471"/>
      <c r="HW249" s="471"/>
      <c r="HX249" s="471"/>
      <c r="HY249" s="471"/>
      <c r="HZ249" s="471"/>
      <c r="IA249" s="471"/>
      <c r="IB249" s="471"/>
      <c r="IC249" s="471"/>
      <c r="ID249" s="471"/>
      <c r="IE249" s="471"/>
      <c r="IF249" s="471"/>
      <c r="IG249" s="471"/>
      <c r="IH249" s="471"/>
      <c r="II249" s="471"/>
      <c r="IJ249" s="471"/>
      <c r="IK249" s="471"/>
      <c r="IL249" s="471"/>
      <c r="IM249" s="471"/>
      <c r="IN249" s="471"/>
      <c r="IO249" s="471"/>
      <c r="IP249" s="471"/>
      <c r="IQ249" s="471"/>
      <c r="IR249" s="471"/>
      <c r="IS249" s="471"/>
      <c r="IT249" s="471"/>
      <c r="IU249" s="471"/>
      <c r="IV249" s="471"/>
      <c r="IW249" s="471"/>
      <c r="IX249" s="471"/>
      <c r="IY249" s="471"/>
      <c r="IZ249" s="471"/>
      <c r="JA249" s="471"/>
      <c r="JB249" s="471"/>
      <c r="JC249" s="471"/>
      <c r="JD249" s="471"/>
      <c r="JE249" s="471"/>
      <c r="JF249" s="471"/>
      <c r="JG249" s="471"/>
      <c r="JH249" s="471"/>
      <c r="JI249" s="471"/>
      <c r="JJ249" s="471"/>
      <c r="JK249" s="471"/>
      <c r="JL249" s="471"/>
      <c r="JM249" s="471"/>
      <c r="JN249" s="471"/>
      <c r="JO249" s="471"/>
      <c r="JP249" s="471"/>
      <c r="JQ249" s="471"/>
      <c r="JR249" s="471"/>
      <c r="JS249" s="471"/>
      <c r="JT249" s="471"/>
      <c r="JU249" s="471"/>
      <c r="JV249" s="471"/>
      <c r="JW249" s="471"/>
      <c r="JX249" s="471"/>
      <c r="JY249" s="471"/>
      <c r="JZ249" s="471"/>
      <c r="KA249" s="471"/>
      <c r="KB249" s="471"/>
      <c r="KC249" s="471"/>
      <c r="KD249" s="471"/>
      <c r="KE249" s="471"/>
      <c r="KF249" s="471"/>
      <c r="KG249" s="471"/>
      <c r="KH249" s="471"/>
      <c r="KI249" s="471"/>
      <c r="KJ249" s="471"/>
      <c r="KK249" s="471"/>
      <c r="KL249" s="471"/>
      <c r="KM249" s="471"/>
      <c r="KN249" s="471"/>
      <c r="KO249" s="471"/>
      <c r="KP249" s="471"/>
      <c r="KQ249" s="471"/>
      <c r="KR249" s="471"/>
      <c r="KS249" s="471"/>
      <c r="KT249" s="471"/>
      <c r="KU249" s="471"/>
      <c r="KV249" s="471"/>
      <c r="KW249" s="471"/>
      <c r="KX249" s="471"/>
      <c r="KY249" s="471"/>
      <c r="KZ249" s="471"/>
      <c r="LA249" s="471"/>
      <c r="LB249" s="471"/>
      <c r="LC249" s="471"/>
      <c r="LD249" s="471"/>
      <c r="LE249" s="471"/>
      <c r="LF249" s="471"/>
      <c r="LG249" s="471"/>
      <c r="LH249" s="471"/>
      <c r="LI249" s="471"/>
      <c r="LJ249" s="471"/>
      <c r="LK249" s="471"/>
      <c r="LL249" s="471"/>
      <c r="LM249" s="471"/>
      <c r="LN249" s="471"/>
      <c r="LO249" s="471"/>
      <c r="LP249" s="471"/>
      <c r="LQ249" s="471"/>
      <c r="LR249" s="471"/>
      <c r="LS249" s="471"/>
      <c r="LT249" s="471"/>
      <c r="LU249" s="471"/>
      <c r="LV249" s="471"/>
      <c r="LW249" s="471"/>
      <c r="LX249" s="471"/>
      <c r="LY249" s="471"/>
      <c r="LZ249" s="471"/>
      <c r="MA249" s="471"/>
      <c r="MB249" s="471"/>
      <c r="MC249" s="471"/>
      <c r="MD249" s="471"/>
      <c r="ME249" s="471"/>
      <c r="MF249" s="471"/>
      <c r="MG249" s="471"/>
      <c r="MH249" s="471"/>
      <c r="MI249" s="471"/>
      <c r="MJ249" s="471"/>
      <c r="MK249" s="471"/>
      <c r="ML249" s="471"/>
      <c r="MM249" s="471"/>
      <c r="MN249" s="471"/>
      <c r="MO249" s="471"/>
      <c r="MP249" s="471"/>
      <c r="MQ249" s="471"/>
      <c r="MR249" s="471"/>
      <c r="MS249" s="471"/>
      <c r="MT249" s="471"/>
      <c r="MU249" s="471"/>
      <c r="MV249" s="471"/>
      <c r="MW249" s="471"/>
      <c r="MX249" s="471"/>
      <c r="MY249" s="471"/>
      <c r="MZ249" s="471"/>
      <c r="NA249" s="471"/>
      <c r="NB249" s="471"/>
      <c r="NC249" s="471"/>
      <c r="ND249" s="471"/>
      <c r="NE249" s="471"/>
      <c r="NF249" s="471"/>
      <c r="NG249" s="471"/>
      <c r="NH249" s="471"/>
      <c r="NI249" s="471"/>
      <c r="NJ249" s="471"/>
      <c r="NK249" s="471"/>
      <c r="NL249" s="471"/>
      <c r="NM249" s="471"/>
      <c r="NN249" s="471"/>
      <c r="NO249" s="471"/>
      <c r="NP249" s="471"/>
      <c r="NQ249" s="471"/>
      <c r="NR249" s="471"/>
      <c r="NS249" s="471"/>
      <c r="NT249" s="471"/>
      <c r="NU249" s="471"/>
      <c r="NV249" s="471"/>
      <c r="NW249" s="471"/>
      <c r="NX249" s="471"/>
      <c r="NY249" s="471"/>
      <c r="NZ249" s="471"/>
      <c r="OA249" s="471"/>
      <c r="OB249" s="471"/>
      <c r="OC249" s="471"/>
      <c r="OD249" s="471"/>
      <c r="OE249" s="471"/>
      <c r="OF249" s="471"/>
      <c r="OG249" s="471"/>
      <c r="OH249" s="471"/>
      <c r="OI249" s="471"/>
      <c r="OJ249" s="471"/>
      <c r="OK249" s="471"/>
      <c r="OL249" s="471"/>
      <c r="OM249" s="471"/>
      <c r="ON249" s="471"/>
      <c r="OO249" s="471"/>
      <c r="OP249" s="471"/>
      <c r="OQ249" s="471"/>
      <c r="OR249" s="471"/>
      <c r="OS249" s="471"/>
      <c r="OT249" s="471"/>
      <c r="OU249" s="471"/>
      <c r="OV249" s="471"/>
      <c r="OW249" s="471"/>
      <c r="OX249" s="471"/>
      <c r="OY249" s="471"/>
      <c r="OZ249" s="471"/>
      <c r="PA249" s="471"/>
      <c r="PB249" s="471"/>
      <c r="PC249" s="471"/>
      <c r="PD249" s="471"/>
      <c r="PE249" s="471"/>
      <c r="PF249" s="471"/>
      <c r="PG249" s="471"/>
      <c r="PH249" s="471"/>
      <c r="PI249" s="471"/>
      <c r="PJ249" s="471"/>
      <c r="PK249" s="471"/>
      <c r="PL249" s="471"/>
      <c r="PM249" s="471"/>
      <c r="PN249" s="471"/>
      <c r="PO249" s="471"/>
      <c r="PP249" s="471"/>
      <c r="PQ249" s="471"/>
      <c r="PR249" s="471"/>
      <c r="PS249" s="471"/>
      <c r="PT249" s="471"/>
      <c r="PU249" s="471"/>
      <c r="PV249" s="471"/>
      <c r="PW249" s="471"/>
      <c r="PX249" s="471"/>
      <c r="PY249" s="471"/>
      <c r="PZ249" s="471"/>
      <c r="QA249" s="471"/>
      <c r="QB249" s="471"/>
      <c r="QC249" s="471"/>
      <c r="QD249" s="471"/>
      <c r="QE249" s="471"/>
      <c r="QF249" s="471"/>
      <c r="QG249" s="471"/>
      <c r="QH249" s="471"/>
      <c r="QI249" s="471"/>
      <c r="QJ249" s="471"/>
      <c r="QK249" s="471"/>
      <c r="QL249" s="471"/>
      <c r="QM249" s="471"/>
      <c r="QN249" s="471"/>
      <c r="QO249" s="471"/>
      <c r="QP249" s="471"/>
      <c r="QQ249" s="471"/>
      <c r="QR249" s="471"/>
      <c r="QS249" s="471"/>
      <c r="QT249" s="471"/>
      <c r="QU249" s="471"/>
      <c r="QV249" s="471"/>
      <c r="QW249" s="471"/>
      <c r="QX249" s="471"/>
      <c r="QY249" s="471"/>
      <c r="QZ249" s="471"/>
      <c r="RA249" s="471"/>
      <c r="RB249" s="471"/>
      <c r="RC249" s="471"/>
      <c r="RD249" s="471"/>
      <c r="RE249" s="471"/>
      <c r="RF249" s="471"/>
      <c r="RG249" s="471"/>
      <c r="RH249" s="471"/>
      <c r="RI249" s="471"/>
      <c r="RJ249" s="471"/>
      <c r="RK249" s="471"/>
      <c r="RL249" s="471"/>
      <c r="RM249" s="471"/>
      <c r="RN249" s="471"/>
      <c r="RO249" s="471"/>
      <c r="RP249" s="471"/>
      <c r="RQ249" s="471"/>
      <c r="RR249" s="471"/>
      <c r="RS249" s="471"/>
      <c r="RT249" s="471"/>
      <c r="RU249" s="471"/>
      <c r="RV249" s="471"/>
      <c r="RW249" s="471"/>
      <c r="RX249" s="471"/>
      <c r="RY249" s="471"/>
      <c r="RZ249" s="471"/>
      <c r="SA249" s="471"/>
      <c r="SB249" s="471"/>
      <c r="SC249" s="471"/>
      <c r="SD249" s="471"/>
      <c r="SE249" s="471"/>
      <c r="SF249" s="471"/>
      <c r="SG249" s="471"/>
      <c r="SH249" s="471"/>
      <c r="SI249" s="471"/>
      <c r="SJ249" s="471"/>
      <c r="SK249" s="471"/>
      <c r="SL249" s="471"/>
      <c r="SM249" s="471"/>
      <c r="SN249" s="471"/>
      <c r="SO249" s="471"/>
      <c r="SP249" s="471"/>
      <c r="SQ249" s="471"/>
      <c r="SR249" s="471"/>
      <c r="SS249" s="471"/>
      <c r="ST249" s="471"/>
      <c r="SU249" s="471"/>
      <c r="SV249" s="471"/>
      <c r="SW249" s="471"/>
      <c r="SX249" s="471"/>
      <c r="SY249" s="471"/>
      <c r="SZ249" s="471"/>
      <c r="TA249" s="471"/>
      <c r="TB249" s="471"/>
      <c r="TC249" s="471"/>
      <c r="TD249" s="471"/>
      <c r="TE249" s="471"/>
      <c r="TF249" s="471"/>
      <c r="TG249" s="471"/>
      <c r="TH249" s="471"/>
      <c r="TI249" s="471"/>
      <c r="TJ249" s="471"/>
      <c r="TK249" s="471"/>
      <c r="TL249" s="471"/>
      <c r="TM249" s="471"/>
      <c r="TN249" s="471"/>
      <c r="TO249" s="471"/>
      <c r="TP249" s="471"/>
      <c r="TQ249" s="471"/>
      <c r="TR249" s="471"/>
      <c r="TS249" s="471"/>
      <c r="TT249" s="471"/>
      <c r="TU249" s="471"/>
      <c r="TV249" s="471"/>
      <c r="TW249" s="471"/>
      <c r="TX249" s="471"/>
      <c r="TY249" s="471"/>
      <c r="TZ249" s="471"/>
      <c r="UA249" s="471"/>
      <c r="UB249" s="471"/>
      <c r="UC249" s="471"/>
      <c r="UD249" s="471"/>
      <c r="UE249" s="471"/>
      <c r="UF249" s="471"/>
      <c r="UG249" s="471"/>
      <c r="UH249" s="471"/>
      <c r="UI249" s="471"/>
      <c r="UJ249" s="471"/>
      <c r="UK249" s="471"/>
      <c r="UL249" s="471"/>
      <c r="UM249" s="471"/>
      <c r="UN249" s="471"/>
      <c r="UO249" s="471"/>
      <c r="UP249" s="471"/>
      <c r="UQ249" s="471"/>
      <c r="UR249" s="471"/>
      <c r="US249" s="471"/>
      <c r="UT249" s="471"/>
      <c r="UU249" s="471"/>
      <c r="UV249" s="471"/>
      <c r="UW249" s="471"/>
      <c r="UX249" s="471"/>
      <c r="UY249" s="471"/>
      <c r="UZ249" s="471"/>
      <c r="VA249" s="471"/>
      <c r="VB249" s="471"/>
      <c r="VC249" s="471"/>
      <c r="VD249" s="471"/>
      <c r="VE249" s="471"/>
      <c r="VF249" s="471"/>
      <c r="VG249" s="471"/>
      <c r="VH249" s="471"/>
      <c r="VI249" s="471"/>
      <c r="VJ249" s="471"/>
      <c r="VK249" s="471"/>
      <c r="VL249" s="471"/>
      <c r="VM249" s="471"/>
      <c r="VN249" s="471"/>
      <c r="VO249" s="471"/>
      <c r="VP249" s="471"/>
      <c r="VQ249" s="471"/>
      <c r="VR249" s="471"/>
      <c r="VS249" s="471"/>
      <c r="VT249" s="471"/>
      <c r="VU249" s="471"/>
      <c r="VV249" s="471"/>
      <c r="VW249" s="471"/>
      <c r="VX249" s="471"/>
      <c r="VY249" s="471"/>
      <c r="VZ249" s="471"/>
      <c r="WA249" s="471"/>
      <c r="WB249" s="471"/>
      <c r="WC249" s="471"/>
      <c r="WD249" s="471"/>
      <c r="WE249" s="471"/>
      <c r="WF249" s="471"/>
      <c r="WG249" s="471"/>
      <c r="WH249" s="471"/>
      <c r="WI249" s="471"/>
      <c r="WJ249" s="471"/>
      <c r="WK249" s="471"/>
      <c r="WL249" s="471"/>
      <c r="WM249" s="471"/>
      <c r="WN249" s="471"/>
      <c r="WO249" s="471"/>
      <c r="WP249" s="471"/>
      <c r="WQ249" s="471"/>
      <c r="WR249" s="471"/>
      <c r="WS249" s="471"/>
      <c r="WT249" s="471"/>
      <c r="WU249" s="471"/>
      <c r="WV249" s="471"/>
      <c r="WW249" s="471"/>
      <c r="WX249" s="471"/>
      <c r="WY249" s="471"/>
      <c r="WZ249" s="471"/>
      <c r="XA249" s="471"/>
      <c r="XB249" s="471"/>
      <c r="XC249" s="471"/>
      <c r="XD249" s="471"/>
      <c r="XE249" s="471"/>
      <c r="XF249" s="471"/>
      <c r="XG249" s="471"/>
      <c r="XH249" s="471"/>
      <c r="XI249" s="471"/>
      <c r="XJ249" s="471"/>
      <c r="XK249" s="471"/>
      <c r="XL249" s="471"/>
      <c r="XM249" s="471"/>
      <c r="XN249" s="471"/>
      <c r="XO249" s="471"/>
      <c r="XP249" s="471"/>
      <c r="XQ249" s="471"/>
      <c r="XR249" s="471"/>
      <c r="XS249" s="471"/>
      <c r="XT249" s="471"/>
      <c r="XU249" s="471"/>
      <c r="XV249" s="471"/>
      <c r="XW249" s="471"/>
      <c r="XX249" s="471"/>
      <c r="XY249" s="471"/>
      <c r="XZ249" s="471"/>
      <c r="YA249" s="471"/>
      <c r="YB249" s="471"/>
      <c r="YC249" s="471"/>
      <c r="YD249" s="471"/>
      <c r="YE249" s="471"/>
      <c r="YF249" s="471"/>
      <c r="YG249" s="471"/>
      <c r="YH249" s="471"/>
      <c r="YI249" s="471"/>
      <c r="YJ249" s="471"/>
      <c r="YK249" s="471"/>
      <c r="YL249" s="471"/>
      <c r="YM249" s="471"/>
      <c r="YN249" s="471"/>
      <c r="YO249" s="471"/>
      <c r="YP249" s="471"/>
      <c r="YQ249" s="471"/>
      <c r="YR249" s="471"/>
      <c r="YS249" s="471"/>
      <c r="YT249" s="471"/>
      <c r="YU249" s="471"/>
      <c r="YV249" s="471"/>
      <c r="YW249" s="471"/>
      <c r="YX249" s="471"/>
      <c r="YY249" s="471"/>
      <c r="YZ249" s="471"/>
      <c r="ZA249" s="471"/>
      <c r="ZB249" s="471"/>
      <c r="ZC249" s="471"/>
      <c r="ZD249" s="471"/>
      <c r="ZE249" s="471"/>
      <c r="ZF249" s="471"/>
      <c r="ZG249" s="471"/>
      <c r="ZH249" s="471"/>
      <c r="ZI249" s="471"/>
      <c r="ZJ249" s="471"/>
      <c r="ZK249" s="471"/>
      <c r="ZL249" s="471"/>
      <c r="ZM249" s="471"/>
      <c r="ZN249" s="471"/>
      <c r="ZO249" s="471"/>
      <c r="ZP249" s="471"/>
      <c r="ZQ249" s="471"/>
      <c r="ZR249" s="471"/>
      <c r="ZS249" s="471"/>
      <c r="ZT249" s="471"/>
      <c r="ZU249" s="471"/>
      <c r="ZV249" s="471"/>
      <c r="ZW249" s="471"/>
      <c r="ZX249" s="471"/>
      <c r="ZY249" s="471"/>
      <c r="ZZ249" s="471"/>
      <c r="AAA249" s="471"/>
      <c r="AAB249" s="471"/>
      <c r="AAC249" s="471"/>
      <c r="AAD249" s="471"/>
      <c r="AAE249" s="471"/>
      <c r="AAF249" s="471"/>
      <c r="AAG249" s="471"/>
      <c r="AAH249" s="471"/>
      <c r="AAI249" s="471"/>
      <c r="AAJ249" s="471"/>
      <c r="AAK249" s="471"/>
      <c r="AAL249" s="471"/>
      <c r="AAM249" s="471"/>
      <c r="AAN249" s="471"/>
      <c r="AAO249" s="471"/>
      <c r="AAP249" s="471"/>
      <c r="AAQ249" s="471"/>
      <c r="AAR249" s="471"/>
      <c r="AAS249" s="471"/>
      <c r="AAT249" s="471"/>
      <c r="AAU249" s="471"/>
      <c r="AAV249" s="471"/>
      <c r="AAW249" s="471"/>
      <c r="AAX249" s="471"/>
      <c r="AAY249" s="471"/>
      <c r="AAZ249" s="471"/>
      <c r="ABA249" s="471"/>
      <c r="ABB249" s="471"/>
      <c r="ABC249" s="471"/>
      <c r="ABD249" s="471"/>
      <c r="ABE249" s="471"/>
      <c r="ABF249" s="471"/>
      <c r="ABG249" s="471"/>
      <c r="ABH249" s="471"/>
      <c r="ABI249" s="471"/>
      <c r="ABJ249" s="471"/>
      <c r="ABK249" s="471"/>
      <c r="ABL249" s="471"/>
      <c r="ABM249" s="471"/>
      <c r="ABN249" s="471"/>
      <c r="ABO249" s="471"/>
      <c r="ABP249" s="471"/>
      <c r="ABQ249" s="471"/>
      <c r="ABR249" s="471"/>
      <c r="ABS249" s="471"/>
      <c r="ABT249" s="471"/>
      <c r="ABU249" s="471"/>
      <c r="ABV249" s="471"/>
      <c r="ABW249" s="471"/>
      <c r="ABX249" s="471"/>
      <c r="ABY249" s="471"/>
      <c r="ABZ249" s="471"/>
      <c r="ACA249" s="471"/>
      <c r="ACB249" s="471"/>
      <c r="ACC249" s="471"/>
      <c r="ACD249" s="471"/>
      <c r="ACE249" s="471"/>
      <c r="ACF249" s="471"/>
      <c r="ACG249" s="471"/>
      <c r="ACH249" s="471"/>
      <c r="ACI249" s="471"/>
      <c r="ACJ249" s="471"/>
      <c r="ACK249" s="471"/>
      <c r="ACL249" s="471"/>
      <c r="ACM249" s="471"/>
      <c r="ACN249" s="471"/>
      <c r="ACO249" s="471"/>
      <c r="ACP249" s="471"/>
      <c r="ACQ249" s="471"/>
      <c r="ACR249" s="471"/>
      <c r="ACS249" s="471"/>
      <c r="ACT249" s="471"/>
      <c r="ACU249" s="471"/>
      <c r="ACV249" s="471"/>
      <c r="ACW249" s="471"/>
      <c r="ACX249" s="471"/>
      <c r="ACY249" s="471"/>
      <c r="ACZ249" s="471"/>
      <c r="ADA249" s="471"/>
      <c r="ADB249" s="471"/>
      <c r="ADC249" s="471"/>
      <c r="ADD249" s="471"/>
      <c r="ADE249" s="471"/>
      <c r="ADF249" s="471"/>
      <c r="ADG249" s="471"/>
      <c r="ADH249" s="471"/>
      <c r="ADI249" s="471"/>
      <c r="ADJ249" s="471"/>
      <c r="ADK249" s="471"/>
      <c r="ADL249" s="471"/>
      <c r="ADM249" s="471"/>
      <c r="ADN249" s="471"/>
      <c r="ADO249" s="471"/>
      <c r="ADP249" s="471"/>
      <c r="ADQ249" s="471"/>
      <c r="ADR249" s="471"/>
      <c r="ADS249" s="471"/>
      <c r="ADT249" s="471"/>
      <c r="ADU249" s="471"/>
      <c r="ADV249" s="471"/>
      <c r="ADW249" s="471"/>
      <c r="ADX249" s="471"/>
      <c r="ADY249" s="471"/>
      <c r="ADZ249" s="471"/>
      <c r="AEA249" s="471"/>
      <c r="AEB249" s="471"/>
      <c r="AEC249" s="471"/>
      <c r="AED249" s="471"/>
      <c r="AEE249" s="471"/>
      <c r="AEF249" s="471"/>
      <c r="AEG249" s="471"/>
      <c r="AEH249" s="471"/>
      <c r="AEI249" s="471"/>
      <c r="AEJ249" s="471"/>
      <c r="AEK249" s="471"/>
      <c r="AEL249" s="471"/>
      <c r="AEM249" s="471"/>
      <c r="AEN249" s="471"/>
      <c r="AEO249" s="471"/>
      <c r="AEP249" s="471"/>
      <c r="AEQ249" s="471"/>
      <c r="AER249" s="471"/>
      <c r="AES249" s="471"/>
      <c r="AET249" s="471"/>
      <c r="AEU249" s="471"/>
      <c r="AEV249" s="471"/>
      <c r="AEW249" s="471"/>
      <c r="AEX249" s="471"/>
      <c r="AEY249" s="471"/>
      <c r="AEZ249" s="471"/>
      <c r="AFA249" s="471"/>
      <c r="AFB249" s="471"/>
      <c r="AFC249" s="471"/>
      <c r="AFD249" s="471"/>
      <c r="AFE249" s="471"/>
      <c r="AFF249" s="471"/>
      <c r="AFG249" s="471"/>
      <c r="AFH249" s="471"/>
      <c r="AFI249" s="471"/>
      <c r="AFJ249" s="471"/>
      <c r="AFK249" s="471"/>
      <c r="AFL249" s="471"/>
      <c r="AFM249" s="471"/>
      <c r="AFN249" s="471"/>
      <c r="AFO249" s="471"/>
      <c r="AFP249" s="471"/>
      <c r="AFQ249" s="471"/>
      <c r="AFR249" s="471"/>
      <c r="AFS249" s="471"/>
      <c r="AFT249" s="471"/>
      <c r="AFU249" s="471"/>
      <c r="AFV249" s="471"/>
      <c r="AFW249" s="471"/>
      <c r="AFX249" s="471"/>
      <c r="AFY249" s="471"/>
      <c r="AFZ249" s="471"/>
      <c r="AGA249" s="471"/>
      <c r="AGB249" s="471"/>
      <c r="AGC249" s="471"/>
      <c r="AGD249" s="471"/>
      <c r="AGE249" s="471"/>
      <c r="AGF249" s="471"/>
      <c r="AGG249" s="471"/>
      <c r="AGH249" s="471"/>
      <c r="AGI249" s="471"/>
      <c r="AGJ249" s="471"/>
      <c r="AGK249" s="471"/>
      <c r="AGL249" s="471"/>
      <c r="AGM249" s="471"/>
      <c r="AGN249" s="471"/>
      <c r="AGO249" s="471"/>
      <c r="AGP249" s="471"/>
      <c r="AGQ249" s="471"/>
      <c r="AGR249" s="471"/>
      <c r="AGS249" s="471"/>
      <c r="AGT249" s="471"/>
      <c r="AGU249" s="471"/>
      <c r="AGV249" s="471"/>
      <c r="AGW249" s="471"/>
      <c r="AGX249" s="471"/>
      <c r="AGY249" s="471"/>
      <c r="AGZ249" s="471"/>
      <c r="AHA249" s="471"/>
      <c r="AHB249" s="471"/>
      <c r="AHC249" s="471"/>
      <c r="AHD249" s="471"/>
      <c r="AHE249" s="471"/>
      <c r="AHF249" s="471"/>
      <c r="AHG249" s="471"/>
      <c r="AHH249" s="471"/>
      <c r="AHI249" s="471"/>
      <c r="AHJ249" s="471"/>
      <c r="AHK249" s="471"/>
      <c r="AHL249" s="471"/>
      <c r="AHM249" s="471"/>
      <c r="AHN249" s="471"/>
      <c r="AHO249" s="471"/>
      <c r="AHP249" s="471"/>
      <c r="AHQ249" s="471"/>
      <c r="AHR249" s="471"/>
      <c r="AHS249" s="471"/>
      <c r="AHT249" s="471"/>
      <c r="AHU249" s="471"/>
      <c r="AHV249" s="471"/>
      <c r="AHW249" s="471"/>
      <c r="AHX249" s="471"/>
      <c r="AHY249" s="471"/>
      <c r="AHZ249" s="471"/>
      <c r="AIA249" s="471"/>
      <c r="AIB249" s="471"/>
      <c r="AIC249" s="471"/>
      <c r="AID249" s="471"/>
      <c r="AIE249" s="471"/>
      <c r="AIF249" s="471"/>
      <c r="AIG249" s="471"/>
      <c r="AIH249" s="471"/>
      <c r="AII249" s="471"/>
      <c r="AIJ249" s="471"/>
      <c r="AIK249" s="471"/>
      <c r="AIL249" s="471"/>
      <c r="AIM249" s="471"/>
      <c r="AIN249" s="471"/>
      <c r="AIO249" s="471"/>
      <c r="AIP249" s="471"/>
      <c r="AIQ249" s="471"/>
      <c r="AIR249" s="471"/>
      <c r="AIS249" s="471"/>
      <c r="AIT249" s="471"/>
      <c r="AIU249" s="471"/>
      <c r="AIV249" s="471"/>
      <c r="AIW249" s="471"/>
      <c r="AIX249" s="471"/>
      <c r="AIY249" s="471"/>
      <c r="AIZ249" s="471"/>
      <c r="AJA249" s="471"/>
      <c r="AJB249" s="471"/>
      <c r="AJC249" s="471"/>
      <c r="AJD249" s="471"/>
      <c r="AJE249" s="471"/>
      <c r="AJF249" s="471"/>
      <c r="AJG249" s="471"/>
      <c r="AJH249" s="471"/>
      <c r="AJI249" s="471"/>
      <c r="AJJ249" s="471"/>
      <c r="AJK249" s="471"/>
      <c r="AJL249" s="471"/>
      <c r="AJM249" s="471"/>
      <c r="AJN249" s="471"/>
      <c r="AJO249" s="471"/>
      <c r="AJP249" s="471"/>
      <c r="AJQ249" s="471"/>
      <c r="AJR249" s="471"/>
      <c r="AJS249" s="471"/>
      <c r="AJT249" s="471"/>
      <c r="AJU249" s="471"/>
      <c r="AJV249" s="471"/>
      <c r="AJW249" s="471"/>
      <c r="AJX249" s="471"/>
      <c r="AJY249" s="471"/>
      <c r="AJZ249" s="471"/>
      <c r="AKA249" s="471"/>
      <c r="AKB249" s="471"/>
      <c r="AKC249" s="471"/>
      <c r="AKD249" s="471"/>
      <c r="AKE249" s="471"/>
      <c r="AKF249" s="471"/>
      <c r="AKG249" s="471"/>
      <c r="AKH249" s="471"/>
      <c r="AKI249" s="471"/>
      <c r="AKJ249" s="471"/>
      <c r="AKK249" s="471"/>
      <c r="AKL249" s="471"/>
      <c r="AKM249" s="471"/>
      <c r="AKN249" s="471"/>
      <c r="AKO249" s="471"/>
      <c r="AKP249" s="471"/>
      <c r="AKQ249" s="471"/>
      <c r="AKR249" s="471"/>
      <c r="AKS249" s="471"/>
      <c r="AKT249" s="471"/>
      <c r="AKU249" s="471"/>
      <c r="AKV249" s="471"/>
      <c r="AKW249" s="471"/>
      <c r="AKX249" s="471"/>
      <c r="AKY249" s="471"/>
      <c r="AKZ249" s="471"/>
      <c r="ALA249" s="471"/>
      <c r="ALB249" s="471"/>
      <c r="ALC249" s="471"/>
      <c r="ALD249" s="471"/>
      <c r="ALE249" s="471"/>
      <c r="ALF249" s="471"/>
      <c r="ALG249" s="471"/>
      <c r="ALH249" s="471"/>
      <c r="ALI249" s="471"/>
      <c r="ALJ249" s="471"/>
      <c r="ALK249" s="471"/>
      <c r="ALL249" s="471"/>
      <c r="ALM249" s="471"/>
      <c r="ALN249" s="471"/>
      <c r="ALO249" s="471"/>
      <c r="ALP249" s="471"/>
      <c r="ALQ249" s="471"/>
      <c r="ALR249" s="471"/>
      <c r="ALS249" s="471"/>
      <c r="ALT249" s="471"/>
      <c r="ALU249" s="471"/>
      <c r="ALV249" s="471"/>
      <c r="ALW249" s="471"/>
      <c r="ALX249" s="471"/>
      <c r="ALY249" s="471"/>
      <c r="ALZ249" s="471"/>
      <c r="AMA249" s="471"/>
      <c r="AMB249" s="471"/>
      <c r="AMC249" s="471"/>
      <c r="AMD249" s="471"/>
      <c r="AME249" s="471"/>
      <c r="AMF249" s="471"/>
      <c r="AMG249" s="471"/>
      <c r="AMH249" s="471"/>
      <c r="AMI249" s="471"/>
      <c r="AMJ249" s="471"/>
      <c r="AMK249" s="471"/>
      <c r="AML249" s="471"/>
      <c r="AMM249" s="471"/>
      <c r="AMN249" s="471"/>
      <c r="AMO249" s="471"/>
      <c r="AMP249" s="471"/>
      <c r="AMQ249" s="471"/>
      <c r="AMR249" s="471"/>
      <c r="AMS249" s="471"/>
      <c r="AMT249" s="471"/>
      <c r="AMU249" s="471"/>
      <c r="AMV249" s="471"/>
      <c r="AMW249" s="471"/>
      <c r="AMX249" s="471"/>
      <c r="AMY249" s="471"/>
      <c r="AMZ249" s="471"/>
      <c r="ANA249" s="471"/>
      <c r="ANB249" s="471"/>
      <c r="ANC249" s="471"/>
      <c r="AND249" s="471"/>
      <c r="ANE249" s="471"/>
      <c r="ANF249" s="471"/>
      <c r="ANG249" s="471"/>
      <c r="ANH249" s="471"/>
      <c r="ANI249" s="471"/>
      <c r="ANJ249" s="471"/>
      <c r="ANK249" s="471"/>
      <c r="ANL249" s="471"/>
      <c r="ANM249" s="471"/>
      <c r="ANN249" s="471"/>
      <c r="ANO249" s="471"/>
      <c r="ANP249" s="471"/>
      <c r="ANQ249" s="471"/>
      <c r="ANR249" s="471"/>
      <c r="ANS249" s="471"/>
      <c r="ANT249" s="471"/>
      <c r="ANU249" s="471"/>
      <c r="ANV249" s="471"/>
      <c r="ANW249" s="471"/>
      <c r="ANX249" s="471"/>
      <c r="ANY249" s="471"/>
      <c r="ANZ249" s="471"/>
      <c r="AOA249" s="471"/>
      <c r="AOB249" s="471"/>
      <c r="AOC249" s="471"/>
      <c r="AOD249" s="471"/>
      <c r="AOE249" s="471"/>
      <c r="AOF249" s="471"/>
      <c r="AOG249" s="471"/>
      <c r="AOH249" s="471"/>
      <c r="AOI249" s="471"/>
      <c r="AOJ249" s="471"/>
      <c r="AOK249" s="471"/>
      <c r="AOL249" s="471"/>
      <c r="AOM249" s="471"/>
      <c r="AON249" s="471"/>
      <c r="AOO249" s="471"/>
      <c r="AOP249" s="471"/>
      <c r="AOQ249" s="471"/>
      <c r="AOR249" s="471"/>
      <c r="AOS249" s="471"/>
      <c r="AOT249" s="471"/>
      <c r="AOU249" s="471"/>
      <c r="AOV249" s="471"/>
      <c r="AOW249" s="471"/>
      <c r="AOX249" s="471"/>
      <c r="AOY249" s="471"/>
      <c r="AOZ249" s="471"/>
      <c r="APA249" s="471"/>
      <c r="APB249" s="471"/>
      <c r="APC249" s="471"/>
      <c r="APD249" s="471"/>
      <c r="APE249" s="471"/>
      <c r="APF249" s="471"/>
      <c r="APG249" s="471"/>
      <c r="APH249" s="471"/>
      <c r="API249" s="471"/>
      <c r="APJ249" s="471"/>
      <c r="APK249" s="471"/>
      <c r="APL249" s="471"/>
      <c r="APM249" s="471"/>
      <c r="APN249" s="471"/>
      <c r="APO249" s="471"/>
      <c r="APP249" s="471"/>
      <c r="APQ249" s="471"/>
      <c r="APR249" s="471"/>
      <c r="APS249" s="471"/>
      <c r="APT249" s="471"/>
      <c r="APU249" s="471"/>
      <c r="APV249" s="471"/>
      <c r="APW249" s="471"/>
      <c r="APX249" s="471"/>
      <c r="APY249" s="471"/>
      <c r="APZ249" s="471"/>
      <c r="AQA249" s="471"/>
      <c r="AQB249" s="471"/>
      <c r="AQC249" s="471"/>
      <c r="AQD249" s="471"/>
      <c r="AQE249" s="471"/>
      <c r="AQF249" s="471"/>
      <c r="AQG249" s="471"/>
      <c r="AQH249" s="471"/>
      <c r="AQI249" s="471"/>
      <c r="AQJ249" s="471"/>
      <c r="AQK249" s="471"/>
      <c r="AQL249" s="471"/>
      <c r="AQM249" s="471"/>
      <c r="AQN249" s="471"/>
      <c r="AQO249" s="471"/>
      <c r="AQP249" s="471"/>
      <c r="AQQ249" s="471"/>
      <c r="AQR249" s="471"/>
      <c r="AQS249" s="471"/>
      <c r="AQT249" s="471"/>
      <c r="AQU249" s="471"/>
      <c r="AQV249" s="471"/>
      <c r="AQW249" s="471"/>
      <c r="AQX249" s="471"/>
      <c r="AQY249" s="471"/>
      <c r="AQZ249" s="471"/>
      <c r="ARA249" s="471"/>
      <c r="ARB249" s="471"/>
      <c r="ARC249" s="471"/>
      <c r="ARD249" s="471"/>
      <c r="ARE249" s="471"/>
      <c r="ARF249" s="471"/>
      <c r="ARG249" s="471"/>
      <c r="ARH249" s="471"/>
      <c r="ARI249" s="471"/>
      <c r="ARJ249" s="471"/>
      <c r="ARK249" s="471"/>
      <c r="ARL249" s="471"/>
      <c r="ARM249" s="471"/>
      <c r="ARN249" s="471"/>
      <c r="ARO249" s="471"/>
      <c r="ARP249" s="471"/>
      <c r="ARQ249" s="471"/>
      <c r="ARR249" s="471"/>
      <c r="ARS249" s="471"/>
      <c r="ART249" s="471"/>
      <c r="ARU249" s="471"/>
      <c r="ARV249" s="471"/>
      <c r="ARW249" s="471"/>
      <c r="ARX249" s="471"/>
      <c r="ARY249" s="471"/>
      <c r="ARZ249" s="471"/>
      <c r="ASA249" s="471"/>
      <c r="ASB249" s="471"/>
      <c r="ASC249" s="471"/>
      <c r="ASD249" s="471"/>
      <c r="ASE249" s="471"/>
      <c r="ASF249" s="471"/>
      <c r="ASG249" s="471"/>
      <c r="ASH249" s="471"/>
      <c r="ASI249" s="471"/>
      <c r="ASJ249" s="471"/>
      <c r="ASK249" s="471"/>
      <c r="ASL249" s="471"/>
      <c r="ASM249" s="471"/>
      <c r="ASN249" s="471"/>
      <c r="ASO249" s="471"/>
      <c r="ASP249" s="471"/>
      <c r="ASQ249" s="471"/>
      <c r="ASR249" s="471"/>
      <c r="ASS249" s="471"/>
      <c r="AST249" s="471"/>
      <c r="ASU249" s="471"/>
      <c r="ASV249" s="471"/>
      <c r="ASW249" s="471"/>
      <c r="ASX249" s="471"/>
      <c r="ASY249" s="471"/>
      <c r="ASZ249" s="471"/>
      <c r="ATA249" s="471"/>
      <c r="ATB249" s="471"/>
      <c r="ATC249" s="471"/>
      <c r="ATD249" s="471"/>
      <c r="ATE249" s="471"/>
      <c r="ATF249" s="471"/>
      <c r="ATG249" s="471"/>
      <c r="ATH249" s="471"/>
      <c r="ATI249" s="471"/>
      <c r="ATJ249" s="471"/>
      <c r="ATK249" s="471"/>
      <c r="ATL249" s="471"/>
      <c r="ATM249" s="471"/>
      <c r="ATN249" s="471"/>
      <c r="ATO249" s="471"/>
      <c r="ATP249" s="471"/>
      <c r="ATQ249" s="471"/>
      <c r="ATR249" s="471"/>
      <c r="ATS249" s="471"/>
      <c r="ATT249" s="471"/>
      <c r="ATU249" s="471"/>
      <c r="ATV249" s="471"/>
      <c r="ATW249" s="471"/>
      <c r="ATX249" s="471"/>
      <c r="ATY249" s="471"/>
      <c r="ATZ249" s="471"/>
      <c r="AUA249" s="471"/>
      <c r="AUB249" s="471"/>
      <c r="AUC249" s="471"/>
      <c r="AUD249" s="471"/>
      <c r="AUE249" s="471"/>
      <c r="AUF249" s="471"/>
      <c r="AUG249" s="471"/>
      <c r="AUH249" s="471"/>
      <c r="AUI249" s="471"/>
      <c r="AUJ249" s="471"/>
      <c r="AUK249" s="471"/>
      <c r="AUL249" s="471"/>
      <c r="AUM249" s="471"/>
      <c r="AUN249" s="471"/>
      <c r="AUO249" s="471"/>
      <c r="AUP249" s="471"/>
      <c r="AUQ249" s="471"/>
      <c r="AUR249" s="471"/>
      <c r="AUS249" s="471"/>
      <c r="AUT249" s="471"/>
      <c r="AUU249" s="471"/>
      <c r="AUV249" s="471"/>
      <c r="AUW249" s="471"/>
      <c r="AUX249" s="471"/>
      <c r="AUY249" s="471"/>
      <c r="AUZ249" s="471"/>
      <c r="AVA249" s="471"/>
      <c r="AVB249" s="471"/>
      <c r="AVC249" s="471"/>
      <c r="AVD249" s="471"/>
      <c r="AVE249" s="471"/>
      <c r="AVF249" s="471"/>
      <c r="AVG249" s="471"/>
      <c r="AVH249" s="471"/>
      <c r="AVI249" s="471"/>
      <c r="AVJ249" s="471"/>
      <c r="AVK249" s="471"/>
      <c r="AVL249" s="471"/>
      <c r="AVM249" s="471"/>
      <c r="AVN249" s="471"/>
      <c r="AVO249" s="471"/>
      <c r="AVP249" s="471"/>
      <c r="AVQ249" s="471"/>
      <c r="AVR249" s="471"/>
      <c r="AVS249" s="471"/>
      <c r="AVT249" s="471"/>
      <c r="AVU249" s="471"/>
      <c r="AVV249" s="471"/>
      <c r="AVW249" s="471"/>
      <c r="AVX249" s="471"/>
      <c r="AVY249" s="471"/>
      <c r="AVZ249" s="471"/>
      <c r="AWA249" s="471"/>
      <c r="AWB249" s="471"/>
      <c r="AWC249" s="471"/>
      <c r="AWD249" s="471"/>
      <c r="AWE249" s="471"/>
      <c r="AWF249" s="471"/>
      <c r="AWG249" s="471"/>
      <c r="AWH249" s="471"/>
      <c r="AWI249" s="471"/>
      <c r="AWJ249" s="471"/>
      <c r="AWK249" s="471"/>
      <c r="AWL249" s="471"/>
      <c r="AWM249" s="471"/>
      <c r="AWN249" s="471"/>
      <c r="AWO249" s="471"/>
      <c r="AWP249" s="471"/>
      <c r="AWQ249" s="471"/>
      <c r="AWR249" s="471"/>
      <c r="AWS249" s="471"/>
      <c r="AWT249" s="471"/>
      <c r="AWU249" s="471"/>
      <c r="AWV249" s="471"/>
      <c r="AWW249" s="471"/>
      <c r="AWX249" s="471"/>
      <c r="AWY249" s="471"/>
      <c r="AWZ249" s="471"/>
      <c r="AXA249" s="471"/>
      <c r="AXB249" s="471"/>
      <c r="AXC249" s="471"/>
      <c r="AXD249" s="471"/>
      <c r="AXE249" s="471"/>
      <c r="AXF249" s="471"/>
      <c r="AXG249" s="471"/>
      <c r="AXH249" s="471"/>
      <c r="AXI249" s="471"/>
      <c r="AXJ249" s="471"/>
      <c r="AXK249" s="471"/>
      <c r="AXL249" s="471"/>
      <c r="AXM249" s="471"/>
      <c r="AXN249" s="471"/>
      <c r="AXO249" s="471"/>
      <c r="AXP249" s="471"/>
      <c r="AXQ249" s="471"/>
      <c r="AXR249" s="471"/>
      <c r="AXS249" s="471"/>
      <c r="AXT249" s="471"/>
      <c r="AXU249" s="471"/>
      <c r="AXV249" s="471"/>
      <c r="AXW249" s="471"/>
      <c r="AXX249" s="471"/>
      <c r="AXY249" s="471"/>
      <c r="AXZ249" s="471"/>
      <c r="AYA249" s="471"/>
      <c r="AYB249" s="471"/>
      <c r="AYC249" s="471"/>
      <c r="AYD249" s="471"/>
      <c r="AYE249" s="471"/>
      <c r="AYF249" s="471"/>
      <c r="AYG249" s="471"/>
      <c r="AYH249" s="471"/>
      <c r="AYI249" s="471"/>
      <c r="AYJ249" s="471"/>
      <c r="AYK249" s="471"/>
      <c r="AYL249" s="471"/>
      <c r="AYM249" s="471"/>
      <c r="AYN249" s="471"/>
      <c r="AYO249" s="471"/>
      <c r="AYP249" s="471"/>
      <c r="AYQ249" s="471"/>
      <c r="AYR249" s="471"/>
      <c r="AYS249" s="471"/>
      <c r="AYT249" s="471"/>
      <c r="AYU249" s="471"/>
      <c r="AYV249" s="471"/>
      <c r="AYW249" s="471"/>
      <c r="AYX249" s="471"/>
      <c r="AYY249" s="471"/>
      <c r="AYZ249" s="471"/>
      <c r="AZA249" s="471"/>
      <c r="AZB249" s="471"/>
      <c r="AZC249" s="471"/>
      <c r="AZD249" s="471"/>
      <c r="AZE249" s="471"/>
      <c r="AZF249" s="471"/>
      <c r="AZG249" s="471"/>
      <c r="AZH249" s="471"/>
      <c r="AZI249" s="471"/>
      <c r="AZJ249" s="471"/>
      <c r="AZK249" s="471"/>
      <c r="AZL249" s="471"/>
      <c r="AZM249" s="471"/>
      <c r="AZN249" s="471"/>
      <c r="AZO249" s="471"/>
      <c r="AZP249" s="471"/>
      <c r="AZQ249" s="471"/>
      <c r="AZR249" s="471"/>
      <c r="AZS249" s="471"/>
      <c r="AZT249" s="471"/>
      <c r="AZU249" s="471"/>
      <c r="AZV249" s="471"/>
      <c r="AZW249" s="471"/>
      <c r="AZX249" s="471"/>
      <c r="AZY249" s="471"/>
      <c r="AZZ249" s="471"/>
      <c r="BAA249" s="471"/>
      <c r="BAB249" s="471"/>
      <c r="BAC249" s="471"/>
      <c r="BAD249" s="471"/>
      <c r="BAE249" s="471"/>
      <c r="BAF249" s="471"/>
      <c r="BAG249" s="471"/>
      <c r="BAH249" s="471"/>
      <c r="BAI249" s="471"/>
      <c r="BAJ249" s="471"/>
      <c r="BAK249" s="471"/>
      <c r="BAL249" s="471"/>
      <c r="BAM249" s="471"/>
      <c r="BAN249" s="471"/>
      <c r="BAO249" s="471"/>
      <c r="BAP249" s="471"/>
      <c r="BAQ249" s="471"/>
      <c r="BAR249" s="471"/>
      <c r="BAS249" s="471"/>
      <c r="BAT249" s="471"/>
      <c r="BAU249" s="471"/>
      <c r="BAV249" s="471"/>
      <c r="BAW249" s="471"/>
      <c r="BAX249" s="471"/>
      <c r="BAY249" s="471"/>
      <c r="BAZ249" s="471"/>
      <c r="BBA249" s="471"/>
      <c r="BBB249" s="471"/>
      <c r="BBC249" s="471"/>
      <c r="BBD249" s="471"/>
      <c r="BBE249" s="471"/>
      <c r="BBF249" s="471"/>
      <c r="BBG249" s="471"/>
      <c r="BBH249" s="471"/>
      <c r="BBI249" s="471"/>
      <c r="BBJ249" s="471"/>
      <c r="BBK249" s="471"/>
      <c r="BBL249" s="471"/>
      <c r="BBM249" s="471"/>
      <c r="BBN249" s="471"/>
      <c r="BBO249" s="471"/>
      <c r="BBP249" s="471"/>
      <c r="BBQ249" s="471"/>
      <c r="BBR249" s="471"/>
      <c r="BBS249" s="471"/>
      <c r="BBT249" s="471"/>
      <c r="BBU249" s="471"/>
      <c r="BBV249" s="471"/>
      <c r="BBW249" s="471"/>
      <c r="BBX249" s="471"/>
      <c r="BBY249" s="471"/>
      <c r="BBZ249" s="471"/>
      <c r="BCA249" s="471"/>
      <c r="BCB249" s="471"/>
      <c r="BCC249" s="471"/>
      <c r="BCD249" s="471"/>
      <c r="BCE249" s="471"/>
      <c r="BCF249" s="471"/>
      <c r="BCG249" s="471"/>
      <c r="BCH249" s="471"/>
      <c r="BCI249" s="471"/>
      <c r="BCJ249" s="471"/>
      <c r="BCK249" s="471"/>
      <c r="BCL249" s="471"/>
      <c r="BCM249" s="471"/>
      <c r="BCN249" s="471"/>
      <c r="BCO249" s="471"/>
      <c r="BCP249" s="471"/>
      <c r="BCQ249" s="471"/>
      <c r="BCR249" s="471"/>
      <c r="BCS249" s="471"/>
      <c r="BCT249" s="471"/>
      <c r="BCU249" s="471"/>
      <c r="BCV249" s="471"/>
      <c r="BCW249" s="471"/>
      <c r="BCX249" s="471"/>
      <c r="BCY249" s="471"/>
      <c r="BCZ249" s="471"/>
      <c r="BDA249" s="471"/>
      <c r="BDB249" s="471"/>
      <c r="BDC249" s="471"/>
      <c r="BDD249" s="471"/>
      <c r="BDE249" s="471"/>
      <c r="BDF249" s="471"/>
      <c r="BDG249" s="471"/>
      <c r="BDH249" s="471"/>
      <c r="BDI249" s="471"/>
      <c r="BDJ249" s="471"/>
      <c r="BDK249" s="471"/>
      <c r="BDL249" s="471"/>
      <c r="BDM249" s="471"/>
      <c r="BDN249" s="471"/>
      <c r="BDO249" s="471"/>
      <c r="BDP249" s="471"/>
      <c r="BDQ249" s="471"/>
      <c r="BDR249" s="471"/>
      <c r="BDS249" s="471"/>
      <c r="BDT249" s="471"/>
      <c r="BDU249" s="471"/>
      <c r="BDV249" s="471"/>
      <c r="BDW249" s="471"/>
      <c r="BDX249" s="471"/>
      <c r="BDY249" s="471"/>
      <c r="BDZ249" s="471"/>
      <c r="BEA249" s="471"/>
      <c r="BEB249" s="471"/>
      <c r="BEC249" s="471"/>
      <c r="BED249" s="471"/>
      <c r="BEE249" s="471"/>
      <c r="BEF249" s="471"/>
      <c r="BEG249" s="471"/>
      <c r="BEH249" s="471"/>
      <c r="BEI249" s="471"/>
      <c r="BEJ249" s="471"/>
      <c r="BEK249" s="471"/>
      <c r="BEL249" s="471"/>
      <c r="BEM249" s="471"/>
      <c r="BEN249" s="471"/>
      <c r="BEO249" s="471"/>
      <c r="BEP249" s="471"/>
      <c r="BEQ249" s="471"/>
      <c r="BER249" s="471"/>
      <c r="BES249" s="471"/>
      <c r="BET249" s="471"/>
      <c r="BEU249" s="471"/>
      <c r="BEV249" s="471"/>
      <c r="BEW249" s="471"/>
      <c r="BEX249" s="471"/>
      <c r="BEY249" s="471"/>
      <c r="BEZ249" s="471"/>
      <c r="BFA249" s="471"/>
      <c r="BFB249" s="471"/>
      <c r="BFC249" s="471"/>
      <c r="BFD249" s="471"/>
      <c r="BFE249" s="471"/>
      <c r="BFF249" s="471"/>
      <c r="BFG249" s="471"/>
      <c r="BFH249" s="471"/>
      <c r="BFI249" s="471"/>
      <c r="BFJ249" s="471"/>
      <c r="BFK249" s="471"/>
      <c r="BFL249" s="471"/>
      <c r="BFM249" s="471"/>
      <c r="BFN249" s="471"/>
      <c r="BFO249" s="471"/>
      <c r="BFP249" s="471"/>
      <c r="BFQ249" s="471"/>
      <c r="BFR249" s="471"/>
      <c r="BFS249" s="471"/>
      <c r="BFT249" s="471"/>
      <c r="BFU249" s="471"/>
      <c r="BFV249" s="471"/>
      <c r="BFW249" s="471"/>
      <c r="BFX249" s="471"/>
      <c r="BFY249" s="471"/>
      <c r="BFZ249" s="471"/>
      <c r="BGA249" s="471"/>
      <c r="BGB249" s="471"/>
      <c r="BGC249" s="471"/>
      <c r="BGD249" s="471"/>
      <c r="BGE249" s="471"/>
      <c r="BGF249" s="471"/>
      <c r="BGG249" s="471"/>
      <c r="BGH249" s="471"/>
      <c r="BGI249" s="471"/>
      <c r="BGJ249" s="471"/>
      <c r="BGK249" s="471"/>
      <c r="BGL249" s="471"/>
      <c r="BGM249" s="471"/>
      <c r="BGN249" s="471"/>
      <c r="BGO249" s="471"/>
      <c r="BGP249" s="471"/>
      <c r="BGQ249" s="471"/>
      <c r="BGR249" s="471"/>
      <c r="BGS249" s="471"/>
      <c r="BGT249" s="471"/>
      <c r="BGU249" s="471"/>
      <c r="BGV249" s="471"/>
      <c r="BGW249" s="471"/>
      <c r="BGX249" s="471"/>
      <c r="BGY249" s="471"/>
      <c r="BGZ249" s="471"/>
      <c r="BHA249" s="471"/>
      <c r="BHB249" s="471"/>
      <c r="BHC249" s="471"/>
      <c r="BHD249" s="471"/>
      <c r="BHE249" s="471"/>
      <c r="BHF249" s="471"/>
      <c r="BHG249" s="471"/>
      <c r="BHH249" s="471"/>
      <c r="BHI249" s="471"/>
      <c r="BHJ249" s="471"/>
      <c r="BHK249" s="471"/>
      <c r="BHL249" s="471"/>
      <c r="BHM249" s="471"/>
      <c r="BHN249" s="471"/>
      <c r="BHO249" s="471"/>
      <c r="BHP249" s="471"/>
      <c r="BHQ249" s="471"/>
      <c r="BHR249" s="471"/>
      <c r="BHS249" s="471"/>
      <c r="BHT249" s="471"/>
      <c r="BHU249" s="471"/>
      <c r="BHV249" s="471"/>
      <c r="BHW249" s="471"/>
      <c r="BHX249" s="471"/>
      <c r="BHY249" s="471"/>
      <c r="BHZ249" s="471"/>
      <c r="BIA249" s="471"/>
      <c r="BIB249" s="471"/>
      <c r="BIC249" s="471"/>
      <c r="BID249" s="471"/>
      <c r="BIE249" s="471"/>
      <c r="BIF249" s="471"/>
      <c r="BIG249" s="471"/>
      <c r="BIH249" s="471"/>
      <c r="BII249" s="471"/>
      <c r="BIJ249" s="471"/>
      <c r="BIK249" s="471"/>
      <c r="BIL249" s="471"/>
      <c r="BIM249" s="471"/>
      <c r="BIN249" s="471"/>
      <c r="BIO249" s="471"/>
      <c r="BIP249" s="471"/>
      <c r="BIQ249" s="471"/>
      <c r="BIR249" s="471"/>
      <c r="BIS249" s="471"/>
      <c r="BIT249" s="471"/>
      <c r="BIU249" s="471"/>
      <c r="BIV249" s="471"/>
      <c r="BIW249" s="471"/>
      <c r="BIX249" s="471"/>
      <c r="BIY249" s="471"/>
      <c r="BIZ249" s="471"/>
      <c r="BJA249" s="471"/>
      <c r="BJB249" s="471"/>
      <c r="BJC249" s="471"/>
      <c r="BJD249" s="471"/>
      <c r="BJE249" s="471"/>
      <c r="BJF249" s="471"/>
      <c r="BJG249" s="471"/>
      <c r="BJH249" s="471"/>
      <c r="BJI249" s="471"/>
      <c r="BJJ249" s="471"/>
      <c r="BJK249" s="471"/>
      <c r="BJL249" s="471"/>
      <c r="BJM249" s="471"/>
      <c r="BJN249" s="471"/>
      <c r="BJO249" s="471"/>
      <c r="BJP249" s="471"/>
      <c r="BJQ249" s="471"/>
      <c r="BJR249" s="471"/>
      <c r="BJS249" s="471"/>
      <c r="BJT249" s="471"/>
      <c r="BJU249" s="471"/>
      <c r="BJV249" s="471"/>
      <c r="BJW249" s="471"/>
      <c r="BJX249" s="471"/>
      <c r="BJY249" s="471"/>
      <c r="BJZ249" s="471"/>
      <c r="BKA249" s="471"/>
      <c r="BKB249" s="471"/>
      <c r="BKC249" s="471"/>
      <c r="BKD249" s="471"/>
      <c r="BKE249" s="471"/>
      <c r="BKF249" s="471"/>
      <c r="BKG249" s="471"/>
      <c r="BKH249" s="471"/>
      <c r="BKI249" s="471"/>
      <c r="BKJ249" s="471"/>
      <c r="BKK249" s="471"/>
      <c r="BKL249" s="471"/>
      <c r="BKM249" s="471"/>
      <c r="BKN249" s="471"/>
      <c r="BKO249" s="471"/>
      <c r="BKP249" s="471"/>
      <c r="BKQ249" s="471"/>
      <c r="BKR249" s="471"/>
      <c r="BKS249" s="471"/>
      <c r="BKT249" s="471"/>
      <c r="BKU249" s="471"/>
      <c r="BKV249" s="471"/>
      <c r="BKW249" s="471"/>
      <c r="BKX249" s="471"/>
      <c r="BKY249" s="471"/>
      <c r="BKZ249" s="471"/>
      <c r="BLA249" s="471"/>
      <c r="BLB249" s="471"/>
      <c r="BLC249" s="471"/>
      <c r="BLD249" s="471"/>
      <c r="BLE249" s="471"/>
      <c r="BLF249" s="471"/>
      <c r="BLG249" s="471"/>
      <c r="BLH249" s="471"/>
      <c r="BLI249" s="471"/>
      <c r="BLJ249" s="471"/>
      <c r="BLK249" s="471"/>
      <c r="BLL249" s="471"/>
      <c r="BLM249" s="471"/>
      <c r="BLN249" s="471"/>
      <c r="BLO249" s="471"/>
      <c r="BLP249" s="471"/>
      <c r="BLQ249" s="471"/>
      <c r="BLR249" s="471"/>
      <c r="BLS249" s="471"/>
      <c r="BLT249" s="471"/>
      <c r="BLU249" s="471"/>
      <c r="BLV249" s="471"/>
      <c r="BLW249" s="471"/>
      <c r="BLX249" s="471"/>
      <c r="BLY249" s="471"/>
      <c r="BLZ249" s="471"/>
      <c r="BMA249" s="471"/>
      <c r="BMB249" s="471"/>
      <c r="BMC249" s="471"/>
      <c r="BMD249" s="471"/>
      <c r="BME249" s="471"/>
      <c r="BMF249" s="471"/>
      <c r="BMG249" s="471"/>
      <c r="BMH249" s="471"/>
      <c r="BMI249" s="471"/>
      <c r="BMJ249" s="471"/>
      <c r="BMK249" s="471"/>
      <c r="BML249" s="471"/>
      <c r="BMM249" s="471"/>
      <c r="BMN249" s="471"/>
      <c r="BMO249" s="471"/>
      <c r="BMP249" s="471"/>
      <c r="BMQ249" s="471"/>
      <c r="BMR249" s="471"/>
      <c r="BMS249" s="471"/>
      <c r="BMT249" s="471"/>
      <c r="BMU249" s="471"/>
      <c r="BMV249" s="471"/>
      <c r="BMW249" s="471"/>
      <c r="BMX249" s="471"/>
      <c r="BMY249" s="471"/>
      <c r="BMZ249" s="471"/>
      <c r="BNA249" s="471"/>
      <c r="BNB249" s="471"/>
      <c r="BNC249" s="471"/>
      <c r="BND249" s="471"/>
      <c r="BNE249" s="471"/>
      <c r="BNF249" s="471"/>
      <c r="BNG249" s="471"/>
      <c r="BNH249" s="471"/>
      <c r="BNI249" s="471"/>
      <c r="BNJ249" s="471"/>
      <c r="BNK249" s="471"/>
      <c r="BNL249" s="471"/>
      <c r="BNM249" s="471"/>
      <c r="BNN249" s="471"/>
      <c r="BNO249" s="471"/>
      <c r="BNP249" s="471"/>
      <c r="BNQ249" s="471"/>
      <c r="BNR249" s="471"/>
      <c r="BNS249" s="471"/>
      <c r="BNT249" s="471"/>
      <c r="BNU249" s="471"/>
      <c r="BNV249" s="471"/>
      <c r="BNW249" s="471"/>
      <c r="BNX249" s="471"/>
      <c r="BNY249" s="471"/>
      <c r="BNZ249" s="471"/>
      <c r="BOA249" s="471"/>
      <c r="BOB249" s="471"/>
      <c r="BOC249" s="471"/>
      <c r="BOD249" s="471"/>
      <c r="BOE249" s="471"/>
      <c r="BOF249" s="471"/>
      <c r="BOG249" s="471"/>
      <c r="BOH249" s="471"/>
      <c r="BOI249" s="471"/>
      <c r="BOJ249" s="471"/>
      <c r="BOK249" s="471"/>
      <c r="BOL249" s="471"/>
      <c r="BOM249" s="471"/>
      <c r="BON249" s="471"/>
      <c r="BOO249" s="471"/>
      <c r="BOP249" s="471"/>
      <c r="BOQ249" s="471"/>
      <c r="BOR249" s="471"/>
      <c r="BOS249" s="471"/>
      <c r="BOT249" s="471"/>
      <c r="BOU249" s="471"/>
      <c r="BOV249" s="471"/>
      <c r="BOW249" s="471"/>
      <c r="BOX249" s="471"/>
      <c r="BOY249" s="471"/>
      <c r="BOZ249" s="471"/>
      <c r="BPA249" s="471"/>
      <c r="BPB249" s="471"/>
      <c r="BPC249" s="471"/>
      <c r="BPD249" s="471"/>
      <c r="BPE249" s="471"/>
      <c r="BPF249" s="471"/>
      <c r="BPG249" s="471"/>
      <c r="BPH249" s="471"/>
      <c r="BPI249" s="471"/>
      <c r="BPJ249" s="471"/>
      <c r="BPK249" s="471"/>
      <c r="BPL249" s="471"/>
      <c r="BPM249" s="471"/>
      <c r="BPN249" s="471"/>
      <c r="BPO249" s="471"/>
      <c r="BPP249" s="471"/>
      <c r="BPQ249" s="471"/>
      <c r="BPR249" s="471"/>
      <c r="BPS249" s="471"/>
      <c r="BPT249" s="471"/>
      <c r="BPU249" s="471"/>
      <c r="BPV249" s="471"/>
      <c r="BPW249" s="471"/>
      <c r="BPX249" s="471"/>
      <c r="BPY249" s="471"/>
      <c r="BPZ249" s="471"/>
      <c r="BQA249" s="471"/>
      <c r="BQB249" s="471"/>
      <c r="BQC249" s="471"/>
      <c r="BQD249" s="471"/>
      <c r="BQE249" s="471"/>
      <c r="BQF249" s="471"/>
      <c r="BQG249" s="471"/>
      <c r="BQH249" s="471"/>
      <c r="BQI249" s="471"/>
      <c r="BQJ249" s="471"/>
      <c r="BQK249" s="471"/>
      <c r="BQL249" s="471"/>
      <c r="BQM249" s="471"/>
      <c r="BQN249" s="471"/>
      <c r="BQO249" s="471"/>
      <c r="BQP249" s="471"/>
      <c r="BQQ249" s="471"/>
      <c r="BQR249" s="471"/>
      <c r="BQS249" s="471"/>
      <c r="BQT249" s="471"/>
      <c r="BQU249" s="471"/>
      <c r="BQV249" s="471"/>
      <c r="BQW249" s="471"/>
      <c r="BQX249" s="471"/>
      <c r="BQY249" s="471"/>
      <c r="BQZ249" s="471"/>
      <c r="BRA249" s="471"/>
      <c r="BRB249" s="471"/>
      <c r="BRC249" s="471"/>
      <c r="BRD249" s="471"/>
      <c r="BRE249" s="471"/>
      <c r="BRF249" s="471"/>
      <c r="BRG249" s="471"/>
      <c r="BRH249" s="471"/>
      <c r="BRI249" s="471"/>
      <c r="BRJ249" s="471"/>
      <c r="BRK249" s="471"/>
      <c r="BRL249" s="471"/>
      <c r="BRM249" s="471"/>
      <c r="BRN249" s="471"/>
      <c r="BRO249" s="471"/>
      <c r="BRP249" s="471"/>
      <c r="BRQ249" s="471"/>
      <c r="BRR249" s="471"/>
      <c r="BRS249" s="471"/>
      <c r="BRT249" s="471"/>
      <c r="BRU249" s="471"/>
      <c r="BRV249" s="471"/>
      <c r="BRW249" s="471"/>
      <c r="BRX249" s="471"/>
      <c r="BRY249" s="471"/>
      <c r="BRZ249" s="471"/>
      <c r="BSA249" s="471"/>
      <c r="BSB249" s="471"/>
      <c r="BSC249" s="471"/>
      <c r="BSD249" s="471"/>
      <c r="BSE249" s="471"/>
      <c r="BSF249" s="471"/>
      <c r="BSG249" s="471"/>
      <c r="BSH249" s="471"/>
      <c r="BSI249" s="471"/>
      <c r="BSJ249" s="471"/>
      <c r="BSK249" s="471"/>
      <c r="BSL249" s="471"/>
      <c r="BSM249" s="471"/>
      <c r="BSN249" s="471"/>
      <c r="BSO249" s="471"/>
      <c r="BSP249" s="471"/>
      <c r="BSQ249" s="471"/>
      <c r="BSR249" s="471"/>
      <c r="BSS249" s="471"/>
      <c r="BST249" s="471"/>
      <c r="BSU249" s="471"/>
      <c r="BSV249" s="471"/>
      <c r="BSW249" s="471"/>
      <c r="BSX249" s="471"/>
      <c r="BSY249" s="471"/>
      <c r="BSZ249" s="471"/>
      <c r="BTA249" s="471"/>
      <c r="BTB249" s="471"/>
      <c r="BTC249" s="471"/>
      <c r="BTD249" s="471"/>
      <c r="BTE249" s="471"/>
      <c r="BTF249" s="471"/>
      <c r="BTG249" s="471"/>
      <c r="BTH249" s="471"/>
      <c r="BTI249" s="471"/>
    </row>
    <row r="250" spans="1:1881" s="470" customFormat="1" ht="15.75" thickBot="1" x14ac:dyDescent="0.3">
      <c r="B250" s="662" t="s">
        <v>757</v>
      </c>
      <c r="C250" s="664" t="s">
        <v>758</v>
      </c>
      <c r="D250" s="663"/>
      <c r="E250" s="666"/>
      <c r="F250" s="365"/>
      <c r="G250" s="536"/>
      <c r="H250" s="472"/>
      <c r="I250" s="398"/>
      <c r="J250" s="471"/>
      <c r="K250" s="471"/>
      <c r="L250" s="471"/>
      <c r="M250" s="471"/>
      <c r="N250"/>
      <c r="O250" s="471"/>
      <c r="P250" s="471"/>
      <c r="Q250" s="471"/>
      <c r="R250"/>
      <c r="S250" s="387"/>
      <c r="T250" s="471"/>
      <c r="U250" s="471"/>
      <c r="V250" s="471"/>
      <c r="W250" s="471"/>
      <c r="X250" s="682"/>
      <c r="Y250" s="471"/>
      <c r="Z250" s="471"/>
      <c r="AA250" s="471"/>
      <c r="AB250" s="471"/>
      <c r="AC250" s="471"/>
      <c r="AD250" s="471"/>
      <c r="AE250" s="471"/>
      <c r="AF250" s="471"/>
      <c r="AG250" s="471"/>
      <c r="AH250" s="471"/>
      <c r="AI250" s="471"/>
      <c r="AJ250" s="471"/>
      <c r="AK250" s="471"/>
      <c r="AL250" s="471"/>
      <c r="AM250" s="471"/>
      <c r="AN250" s="471"/>
      <c r="AO250" s="471"/>
      <c r="AP250" s="471"/>
      <c r="AQ250" s="471"/>
      <c r="AR250" s="471"/>
      <c r="AS250" s="471"/>
      <c r="AT250" s="471"/>
      <c r="AU250" s="471"/>
      <c r="AV250" s="471"/>
      <c r="AW250" s="471"/>
      <c r="AX250" s="471"/>
      <c r="AY250" s="471"/>
      <c r="AZ250" s="471"/>
      <c r="BA250" s="471"/>
      <c r="BB250" s="471"/>
      <c r="BC250" s="471"/>
      <c r="BD250" s="471"/>
      <c r="BE250" s="471"/>
      <c r="BF250" s="471"/>
      <c r="BG250" s="471"/>
      <c r="BH250" s="471"/>
      <c r="BI250" s="471"/>
      <c r="BJ250" s="471"/>
      <c r="BK250" s="471"/>
      <c r="BL250" s="471"/>
      <c r="BM250" s="471"/>
      <c r="BN250" s="471"/>
      <c r="BO250" s="471"/>
      <c r="BP250" s="471"/>
      <c r="BQ250" s="471"/>
      <c r="BR250" s="471"/>
      <c r="BS250" s="471"/>
      <c r="BT250" s="471"/>
      <c r="BU250" s="471"/>
      <c r="BV250" s="471"/>
      <c r="BW250" s="471"/>
      <c r="BX250" s="471"/>
      <c r="BY250" s="471"/>
      <c r="BZ250" s="471"/>
      <c r="CA250" s="471"/>
      <c r="CB250" s="471"/>
      <c r="CC250" s="471"/>
      <c r="CD250" s="471"/>
      <c r="CE250" s="471"/>
      <c r="CF250" s="471"/>
      <c r="CG250" s="471"/>
      <c r="CH250" s="471"/>
      <c r="CI250" s="471"/>
      <c r="CJ250" s="471"/>
      <c r="CK250" s="471"/>
      <c r="CL250" s="471"/>
      <c r="CM250" s="471"/>
      <c r="CN250" s="471"/>
      <c r="CO250" s="471"/>
      <c r="CP250" s="471"/>
      <c r="CQ250" s="471"/>
      <c r="CR250" s="471"/>
      <c r="CS250" s="471"/>
      <c r="CT250" s="471"/>
      <c r="CU250" s="471"/>
      <c r="CV250" s="471"/>
      <c r="CW250" s="471"/>
      <c r="CX250" s="471"/>
      <c r="CY250" s="471"/>
      <c r="CZ250" s="471"/>
      <c r="DA250" s="471"/>
      <c r="DB250" s="471"/>
      <c r="DC250" s="471"/>
      <c r="DD250" s="471"/>
      <c r="DE250" s="471"/>
      <c r="DF250" s="471"/>
      <c r="DG250" s="471"/>
      <c r="DH250" s="471"/>
      <c r="DI250" s="471"/>
      <c r="DJ250" s="471"/>
      <c r="DK250" s="471"/>
      <c r="DL250" s="471"/>
      <c r="DM250" s="471"/>
      <c r="DN250" s="471"/>
      <c r="DO250" s="471"/>
      <c r="DP250" s="471"/>
      <c r="DQ250" s="471"/>
      <c r="DR250" s="471"/>
      <c r="DS250" s="471"/>
      <c r="DT250" s="471"/>
      <c r="DU250" s="471"/>
      <c r="DV250" s="471"/>
      <c r="DW250" s="471"/>
      <c r="DX250" s="471"/>
      <c r="DY250" s="471"/>
      <c r="DZ250" s="471"/>
      <c r="EA250" s="471"/>
      <c r="EB250" s="471"/>
      <c r="EC250" s="471"/>
      <c r="ED250" s="471"/>
      <c r="EE250" s="471"/>
      <c r="EF250" s="471"/>
      <c r="EG250" s="471"/>
      <c r="EH250" s="471"/>
      <c r="EI250" s="471"/>
      <c r="EJ250" s="471"/>
      <c r="EK250" s="471"/>
      <c r="EL250" s="471"/>
      <c r="EM250" s="471"/>
      <c r="EN250" s="471"/>
      <c r="EO250" s="471"/>
      <c r="EP250" s="471"/>
      <c r="EQ250" s="471"/>
      <c r="ER250" s="471"/>
      <c r="ES250" s="471"/>
      <c r="ET250" s="471"/>
      <c r="EU250" s="471"/>
      <c r="EV250" s="471"/>
      <c r="EW250" s="471"/>
      <c r="EX250" s="471"/>
      <c r="EY250" s="471"/>
      <c r="EZ250" s="471"/>
      <c r="FA250" s="471"/>
      <c r="FB250" s="471"/>
      <c r="FC250" s="471"/>
      <c r="FD250" s="471"/>
      <c r="FE250" s="471"/>
      <c r="FF250" s="471"/>
      <c r="FG250" s="471"/>
      <c r="FH250" s="471"/>
      <c r="FI250" s="471"/>
      <c r="FJ250" s="471"/>
      <c r="FK250" s="471"/>
      <c r="FL250" s="471"/>
      <c r="FM250" s="471"/>
      <c r="FN250" s="471"/>
      <c r="FO250" s="471"/>
      <c r="FP250" s="471"/>
      <c r="FQ250" s="471"/>
      <c r="FR250" s="471"/>
      <c r="FS250" s="471"/>
      <c r="FT250" s="471"/>
      <c r="FU250" s="471"/>
      <c r="FV250" s="471"/>
      <c r="FW250" s="471"/>
      <c r="FX250" s="471"/>
      <c r="FY250" s="471"/>
      <c r="FZ250" s="471"/>
      <c r="GA250" s="471"/>
      <c r="GB250" s="471"/>
      <c r="GC250" s="471"/>
      <c r="GD250" s="471"/>
      <c r="GE250" s="471"/>
      <c r="GF250" s="471"/>
      <c r="GG250" s="471"/>
      <c r="GH250" s="471"/>
      <c r="GI250" s="471"/>
      <c r="GJ250" s="471"/>
      <c r="GK250" s="471"/>
      <c r="GL250" s="471"/>
      <c r="GM250" s="471"/>
      <c r="GN250" s="471"/>
      <c r="GO250" s="471"/>
      <c r="GP250" s="471"/>
      <c r="GQ250" s="471"/>
      <c r="GR250" s="471"/>
      <c r="GS250" s="471"/>
      <c r="GT250" s="471"/>
      <c r="GU250" s="471"/>
      <c r="GV250" s="471"/>
      <c r="GW250" s="471"/>
      <c r="GX250" s="471"/>
      <c r="GY250" s="471"/>
      <c r="GZ250" s="471"/>
      <c r="HA250" s="471"/>
      <c r="HB250" s="471"/>
      <c r="HC250" s="471"/>
      <c r="HD250" s="471"/>
      <c r="HE250" s="471"/>
      <c r="HF250" s="471"/>
      <c r="HG250" s="471"/>
      <c r="HH250" s="471"/>
      <c r="HI250" s="471"/>
      <c r="HJ250" s="471"/>
      <c r="HK250" s="471"/>
      <c r="HL250" s="471"/>
      <c r="HM250" s="471"/>
      <c r="HN250" s="471"/>
      <c r="HO250" s="471"/>
      <c r="HP250" s="471"/>
      <c r="HQ250" s="471"/>
      <c r="HR250" s="471"/>
      <c r="HS250" s="471"/>
      <c r="HT250" s="471"/>
      <c r="HU250" s="471"/>
      <c r="HV250" s="471"/>
      <c r="HW250" s="471"/>
      <c r="HX250" s="471"/>
      <c r="HY250" s="471"/>
      <c r="HZ250" s="471"/>
      <c r="IA250" s="471"/>
      <c r="IB250" s="471"/>
      <c r="IC250" s="471"/>
      <c r="ID250" s="471"/>
      <c r="IE250" s="471"/>
      <c r="IF250" s="471"/>
      <c r="IG250" s="471"/>
      <c r="IH250" s="471"/>
      <c r="II250" s="471"/>
      <c r="IJ250" s="471"/>
      <c r="IK250" s="471"/>
      <c r="IL250" s="471"/>
      <c r="IM250" s="471"/>
      <c r="IN250" s="471"/>
      <c r="IO250" s="471"/>
      <c r="IP250" s="471"/>
      <c r="IQ250" s="471"/>
      <c r="IR250" s="471"/>
      <c r="IS250" s="471"/>
      <c r="IT250" s="471"/>
      <c r="IU250" s="471"/>
      <c r="IV250" s="471"/>
      <c r="IW250" s="471"/>
      <c r="IX250" s="471"/>
      <c r="IY250" s="471"/>
      <c r="IZ250" s="471"/>
      <c r="JA250" s="471"/>
      <c r="JB250" s="471"/>
      <c r="JC250" s="471"/>
      <c r="JD250" s="471"/>
      <c r="JE250" s="471"/>
      <c r="JF250" s="471"/>
      <c r="JG250" s="471"/>
      <c r="JH250" s="471"/>
      <c r="JI250" s="471"/>
      <c r="JJ250" s="471"/>
      <c r="JK250" s="471"/>
      <c r="JL250" s="471"/>
      <c r="JM250" s="471"/>
      <c r="JN250" s="471"/>
      <c r="JO250" s="471"/>
      <c r="JP250" s="471"/>
      <c r="JQ250" s="471"/>
      <c r="JR250" s="471"/>
      <c r="JS250" s="471"/>
      <c r="JT250" s="471"/>
      <c r="JU250" s="471"/>
      <c r="JV250" s="471"/>
      <c r="JW250" s="471"/>
      <c r="JX250" s="471"/>
      <c r="JY250" s="471"/>
      <c r="JZ250" s="471"/>
      <c r="KA250" s="471"/>
      <c r="KB250" s="471"/>
      <c r="KC250" s="471"/>
      <c r="KD250" s="471"/>
      <c r="KE250" s="471"/>
      <c r="KF250" s="471"/>
      <c r="KG250" s="471"/>
      <c r="KH250" s="471"/>
      <c r="KI250" s="471"/>
      <c r="KJ250" s="471"/>
      <c r="KK250" s="471"/>
      <c r="KL250" s="471"/>
      <c r="KM250" s="471"/>
      <c r="KN250" s="471"/>
      <c r="KO250" s="471"/>
      <c r="KP250" s="471"/>
      <c r="KQ250" s="471"/>
      <c r="KR250" s="471"/>
      <c r="KS250" s="471"/>
      <c r="KT250" s="471"/>
      <c r="KU250" s="471"/>
      <c r="KV250" s="471"/>
      <c r="KW250" s="471"/>
      <c r="KX250" s="471"/>
      <c r="KY250" s="471"/>
      <c r="KZ250" s="471"/>
      <c r="LA250" s="471"/>
      <c r="LB250" s="471"/>
      <c r="LC250" s="471"/>
      <c r="LD250" s="471"/>
      <c r="LE250" s="471"/>
      <c r="LF250" s="471"/>
      <c r="LG250" s="471"/>
      <c r="LH250" s="471"/>
      <c r="LI250" s="471"/>
      <c r="LJ250" s="471"/>
      <c r="LK250" s="471"/>
      <c r="LL250" s="471"/>
      <c r="LM250" s="471"/>
      <c r="LN250" s="471"/>
      <c r="LO250" s="471"/>
      <c r="LP250" s="471"/>
      <c r="LQ250" s="471"/>
      <c r="LR250" s="471"/>
      <c r="LS250" s="471"/>
      <c r="LT250" s="471"/>
      <c r="LU250" s="471"/>
      <c r="LV250" s="471"/>
      <c r="LW250" s="471"/>
      <c r="LX250" s="471"/>
      <c r="LY250" s="471"/>
      <c r="LZ250" s="471"/>
      <c r="MA250" s="471"/>
      <c r="MB250" s="471"/>
      <c r="MC250" s="471"/>
      <c r="MD250" s="471"/>
      <c r="ME250" s="471"/>
      <c r="MF250" s="471"/>
      <c r="MG250" s="471"/>
      <c r="MH250" s="471"/>
      <c r="MI250" s="471"/>
      <c r="MJ250" s="471"/>
      <c r="MK250" s="471"/>
      <c r="ML250" s="471"/>
      <c r="MM250" s="471"/>
      <c r="MN250" s="471"/>
      <c r="MO250" s="471"/>
      <c r="MP250" s="471"/>
      <c r="MQ250" s="471"/>
      <c r="MR250" s="471"/>
      <c r="MS250" s="471"/>
      <c r="MT250" s="471"/>
      <c r="MU250" s="471"/>
      <c r="MV250" s="471"/>
      <c r="MW250" s="471"/>
      <c r="MX250" s="471"/>
      <c r="MY250" s="471"/>
      <c r="MZ250" s="471"/>
      <c r="NA250" s="471"/>
      <c r="NB250" s="471"/>
      <c r="NC250" s="471"/>
      <c r="ND250" s="471"/>
      <c r="NE250" s="471"/>
      <c r="NF250" s="471"/>
      <c r="NG250" s="471"/>
      <c r="NH250" s="471"/>
      <c r="NI250" s="471"/>
      <c r="NJ250" s="471"/>
      <c r="NK250" s="471"/>
      <c r="NL250" s="471"/>
      <c r="NM250" s="471"/>
      <c r="NN250" s="471"/>
      <c r="NO250" s="471"/>
      <c r="NP250" s="471"/>
      <c r="NQ250" s="471"/>
      <c r="NR250" s="471"/>
      <c r="NS250" s="471"/>
      <c r="NT250" s="471"/>
      <c r="NU250" s="471"/>
      <c r="NV250" s="471"/>
      <c r="NW250" s="471"/>
      <c r="NX250" s="471"/>
      <c r="NY250" s="471"/>
      <c r="NZ250" s="471"/>
      <c r="OA250" s="471"/>
      <c r="OB250" s="471"/>
      <c r="OC250" s="471"/>
      <c r="OD250" s="471"/>
      <c r="OE250" s="471"/>
      <c r="OF250" s="471"/>
      <c r="OG250" s="471"/>
      <c r="OH250" s="471"/>
      <c r="OI250" s="471"/>
      <c r="OJ250" s="471"/>
      <c r="OK250" s="471"/>
      <c r="OL250" s="471"/>
      <c r="OM250" s="471"/>
      <c r="ON250" s="471"/>
      <c r="OO250" s="471"/>
      <c r="OP250" s="471"/>
      <c r="OQ250" s="471"/>
      <c r="OR250" s="471"/>
      <c r="OS250" s="471"/>
      <c r="OT250" s="471"/>
      <c r="OU250" s="471"/>
      <c r="OV250" s="471"/>
      <c r="OW250" s="471"/>
      <c r="OX250" s="471"/>
      <c r="OY250" s="471"/>
      <c r="OZ250" s="471"/>
      <c r="PA250" s="471"/>
      <c r="PB250" s="471"/>
      <c r="PC250" s="471"/>
      <c r="PD250" s="471"/>
      <c r="PE250" s="471"/>
      <c r="PF250" s="471"/>
      <c r="PG250" s="471"/>
      <c r="PH250" s="471"/>
      <c r="PI250" s="471"/>
      <c r="PJ250" s="471"/>
      <c r="PK250" s="471"/>
      <c r="PL250" s="471"/>
      <c r="PM250" s="471"/>
      <c r="PN250" s="471"/>
      <c r="PO250" s="471"/>
      <c r="PP250" s="471"/>
      <c r="PQ250" s="471"/>
      <c r="PR250" s="471"/>
      <c r="PS250" s="471"/>
      <c r="PT250" s="471"/>
      <c r="PU250" s="471"/>
      <c r="PV250" s="471"/>
      <c r="PW250" s="471"/>
      <c r="PX250" s="471"/>
      <c r="PY250" s="471"/>
      <c r="PZ250" s="471"/>
      <c r="QA250" s="471"/>
      <c r="QB250" s="471"/>
      <c r="QC250" s="471"/>
      <c r="QD250" s="471"/>
      <c r="QE250" s="471"/>
      <c r="QF250" s="471"/>
      <c r="QG250" s="471"/>
      <c r="QH250" s="471"/>
      <c r="QI250" s="471"/>
      <c r="QJ250" s="471"/>
      <c r="QK250" s="471"/>
      <c r="QL250" s="471"/>
      <c r="QM250" s="471"/>
      <c r="QN250" s="471"/>
      <c r="QO250" s="471"/>
      <c r="QP250" s="471"/>
      <c r="QQ250" s="471"/>
      <c r="QR250" s="471"/>
      <c r="QS250" s="471"/>
      <c r="QT250" s="471"/>
      <c r="QU250" s="471"/>
      <c r="QV250" s="471"/>
      <c r="QW250" s="471"/>
      <c r="QX250" s="471"/>
      <c r="QY250" s="471"/>
      <c r="QZ250" s="471"/>
      <c r="RA250" s="471"/>
      <c r="RB250" s="471"/>
      <c r="RC250" s="471"/>
      <c r="RD250" s="471"/>
      <c r="RE250" s="471"/>
      <c r="RF250" s="471"/>
      <c r="RG250" s="471"/>
      <c r="RH250" s="471"/>
      <c r="RI250" s="471"/>
      <c r="RJ250" s="471"/>
      <c r="RK250" s="471"/>
      <c r="RL250" s="471"/>
      <c r="RM250" s="471"/>
      <c r="RN250" s="471"/>
      <c r="RO250" s="471"/>
      <c r="RP250" s="471"/>
      <c r="RQ250" s="471"/>
      <c r="RR250" s="471"/>
      <c r="RS250" s="471"/>
      <c r="RT250" s="471"/>
      <c r="RU250" s="471"/>
      <c r="RV250" s="471"/>
      <c r="RW250" s="471"/>
      <c r="RX250" s="471"/>
      <c r="RY250" s="471"/>
      <c r="RZ250" s="471"/>
      <c r="SA250" s="471"/>
      <c r="SB250" s="471"/>
      <c r="SC250" s="471"/>
      <c r="SD250" s="471"/>
      <c r="SE250" s="471"/>
      <c r="SF250" s="471"/>
      <c r="SG250" s="471"/>
      <c r="SH250" s="471"/>
      <c r="SI250" s="471"/>
      <c r="SJ250" s="471"/>
      <c r="SK250" s="471"/>
      <c r="SL250" s="471"/>
      <c r="SM250" s="471"/>
      <c r="SN250" s="471"/>
      <c r="SO250" s="471"/>
      <c r="SP250" s="471"/>
      <c r="SQ250" s="471"/>
      <c r="SR250" s="471"/>
      <c r="SS250" s="471"/>
      <c r="ST250" s="471"/>
      <c r="SU250" s="471"/>
      <c r="SV250" s="471"/>
      <c r="SW250" s="471"/>
      <c r="SX250" s="471"/>
      <c r="SY250" s="471"/>
      <c r="SZ250" s="471"/>
      <c r="TA250" s="471"/>
      <c r="TB250" s="471"/>
      <c r="TC250" s="471"/>
      <c r="TD250" s="471"/>
      <c r="TE250" s="471"/>
      <c r="TF250" s="471"/>
      <c r="TG250" s="471"/>
      <c r="TH250" s="471"/>
      <c r="TI250" s="471"/>
      <c r="TJ250" s="471"/>
      <c r="TK250" s="471"/>
      <c r="TL250" s="471"/>
      <c r="TM250" s="471"/>
      <c r="TN250" s="471"/>
      <c r="TO250" s="471"/>
      <c r="TP250" s="471"/>
      <c r="TQ250" s="471"/>
      <c r="TR250" s="471"/>
      <c r="TS250" s="471"/>
      <c r="TT250" s="471"/>
      <c r="TU250" s="471"/>
      <c r="TV250" s="471"/>
      <c r="TW250" s="471"/>
      <c r="TX250" s="471"/>
      <c r="TY250" s="471"/>
      <c r="TZ250" s="471"/>
      <c r="UA250" s="471"/>
      <c r="UB250" s="471"/>
      <c r="UC250" s="471"/>
      <c r="UD250" s="471"/>
      <c r="UE250" s="471"/>
      <c r="UF250" s="471"/>
      <c r="UG250" s="471"/>
      <c r="UH250" s="471"/>
      <c r="UI250" s="471"/>
      <c r="UJ250" s="471"/>
      <c r="UK250" s="471"/>
      <c r="UL250" s="471"/>
      <c r="UM250" s="471"/>
      <c r="UN250" s="471"/>
      <c r="UO250" s="471"/>
      <c r="UP250" s="471"/>
      <c r="UQ250" s="471"/>
      <c r="UR250" s="471"/>
      <c r="US250" s="471"/>
      <c r="UT250" s="471"/>
      <c r="UU250" s="471"/>
      <c r="UV250" s="471"/>
      <c r="UW250" s="471"/>
      <c r="UX250" s="471"/>
      <c r="UY250" s="471"/>
      <c r="UZ250" s="471"/>
      <c r="VA250" s="471"/>
      <c r="VB250" s="471"/>
      <c r="VC250" s="471"/>
      <c r="VD250" s="471"/>
      <c r="VE250" s="471"/>
      <c r="VF250" s="471"/>
      <c r="VG250" s="471"/>
      <c r="VH250" s="471"/>
      <c r="VI250" s="471"/>
      <c r="VJ250" s="471"/>
      <c r="VK250" s="471"/>
      <c r="VL250" s="471"/>
      <c r="VM250" s="471"/>
      <c r="VN250" s="471"/>
      <c r="VO250" s="471"/>
      <c r="VP250" s="471"/>
      <c r="VQ250" s="471"/>
      <c r="VR250" s="471"/>
      <c r="VS250" s="471"/>
      <c r="VT250" s="471"/>
      <c r="VU250" s="471"/>
      <c r="VV250" s="471"/>
      <c r="VW250" s="471"/>
      <c r="VX250" s="471"/>
      <c r="VY250" s="471"/>
      <c r="VZ250" s="471"/>
      <c r="WA250" s="471"/>
      <c r="WB250" s="471"/>
      <c r="WC250" s="471"/>
      <c r="WD250" s="471"/>
      <c r="WE250" s="471"/>
      <c r="WF250" s="471"/>
      <c r="WG250" s="471"/>
      <c r="WH250" s="471"/>
      <c r="WI250" s="471"/>
      <c r="WJ250" s="471"/>
      <c r="WK250" s="471"/>
      <c r="WL250" s="471"/>
      <c r="WM250" s="471"/>
      <c r="WN250" s="471"/>
      <c r="WO250" s="471"/>
      <c r="WP250" s="471"/>
      <c r="WQ250" s="471"/>
      <c r="WR250" s="471"/>
      <c r="WS250" s="471"/>
      <c r="WT250" s="471"/>
      <c r="WU250" s="471"/>
      <c r="WV250" s="471"/>
      <c r="WW250" s="471"/>
      <c r="WX250" s="471"/>
      <c r="WY250" s="471"/>
      <c r="WZ250" s="471"/>
      <c r="XA250" s="471"/>
      <c r="XB250" s="471"/>
      <c r="XC250" s="471"/>
      <c r="XD250" s="471"/>
      <c r="XE250" s="471"/>
      <c r="XF250" s="471"/>
      <c r="XG250" s="471"/>
      <c r="XH250" s="471"/>
      <c r="XI250" s="471"/>
      <c r="XJ250" s="471"/>
      <c r="XK250" s="471"/>
      <c r="XL250" s="471"/>
      <c r="XM250" s="471"/>
      <c r="XN250" s="471"/>
      <c r="XO250" s="471"/>
      <c r="XP250" s="471"/>
      <c r="XQ250" s="471"/>
      <c r="XR250" s="471"/>
      <c r="XS250" s="471"/>
      <c r="XT250" s="471"/>
      <c r="XU250" s="471"/>
      <c r="XV250" s="471"/>
      <c r="XW250" s="471"/>
      <c r="XX250" s="471"/>
      <c r="XY250" s="471"/>
      <c r="XZ250" s="471"/>
      <c r="YA250" s="471"/>
      <c r="YB250" s="471"/>
      <c r="YC250" s="471"/>
      <c r="YD250" s="471"/>
      <c r="YE250" s="471"/>
      <c r="YF250" s="471"/>
      <c r="YG250" s="471"/>
      <c r="YH250" s="471"/>
      <c r="YI250" s="471"/>
      <c r="YJ250" s="471"/>
      <c r="YK250" s="471"/>
      <c r="YL250" s="471"/>
      <c r="YM250" s="471"/>
      <c r="YN250" s="471"/>
      <c r="YO250" s="471"/>
      <c r="YP250" s="471"/>
      <c r="YQ250" s="471"/>
      <c r="YR250" s="471"/>
      <c r="YS250" s="471"/>
      <c r="YT250" s="471"/>
      <c r="YU250" s="471"/>
      <c r="YV250" s="471"/>
      <c r="YW250" s="471"/>
      <c r="YX250" s="471"/>
      <c r="YY250" s="471"/>
      <c r="YZ250" s="471"/>
      <c r="ZA250" s="471"/>
      <c r="ZB250" s="471"/>
      <c r="ZC250" s="471"/>
      <c r="ZD250" s="471"/>
      <c r="ZE250" s="471"/>
      <c r="ZF250" s="471"/>
      <c r="ZG250" s="471"/>
      <c r="ZH250" s="471"/>
      <c r="ZI250" s="471"/>
      <c r="ZJ250" s="471"/>
      <c r="ZK250" s="471"/>
      <c r="ZL250" s="471"/>
      <c r="ZM250" s="471"/>
      <c r="ZN250" s="471"/>
      <c r="ZO250" s="471"/>
      <c r="ZP250" s="471"/>
      <c r="ZQ250" s="471"/>
      <c r="ZR250" s="471"/>
      <c r="ZS250" s="471"/>
      <c r="ZT250" s="471"/>
      <c r="ZU250" s="471"/>
      <c r="ZV250" s="471"/>
      <c r="ZW250" s="471"/>
      <c r="ZX250" s="471"/>
      <c r="ZY250" s="471"/>
      <c r="ZZ250" s="471"/>
      <c r="AAA250" s="471"/>
      <c r="AAB250" s="471"/>
      <c r="AAC250" s="471"/>
      <c r="AAD250" s="471"/>
      <c r="AAE250" s="471"/>
      <c r="AAF250" s="471"/>
      <c r="AAG250" s="471"/>
      <c r="AAH250" s="471"/>
      <c r="AAI250" s="471"/>
      <c r="AAJ250" s="471"/>
      <c r="AAK250" s="471"/>
      <c r="AAL250" s="471"/>
      <c r="AAM250" s="471"/>
      <c r="AAN250" s="471"/>
      <c r="AAO250" s="471"/>
      <c r="AAP250" s="471"/>
      <c r="AAQ250" s="471"/>
      <c r="AAR250" s="471"/>
      <c r="AAS250" s="471"/>
      <c r="AAT250" s="471"/>
      <c r="AAU250" s="471"/>
      <c r="AAV250" s="471"/>
      <c r="AAW250" s="471"/>
      <c r="AAX250" s="471"/>
      <c r="AAY250" s="471"/>
      <c r="AAZ250" s="471"/>
      <c r="ABA250" s="471"/>
      <c r="ABB250" s="471"/>
      <c r="ABC250" s="471"/>
      <c r="ABD250" s="471"/>
      <c r="ABE250" s="471"/>
      <c r="ABF250" s="471"/>
      <c r="ABG250" s="471"/>
      <c r="ABH250" s="471"/>
      <c r="ABI250" s="471"/>
      <c r="ABJ250" s="471"/>
      <c r="ABK250" s="471"/>
      <c r="ABL250" s="471"/>
      <c r="ABM250" s="471"/>
      <c r="ABN250" s="471"/>
      <c r="ABO250" s="471"/>
      <c r="ABP250" s="471"/>
      <c r="ABQ250" s="471"/>
      <c r="ABR250" s="471"/>
      <c r="ABS250" s="471"/>
      <c r="ABT250" s="471"/>
      <c r="ABU250" s="471"/>
      <c r="ABV250" s="471"/>
      <c r="ABW250" s="471"/>
      <c r="ABX250" s="471"/>
      <c r="ABY250" s="471"/>
      <c r="ABZ250" s="471"/>
      <c r="ACA250" s="471"/>
      <c r="ACB250" s="471"/>
      <c r="ACC250" s="471"/>
      <c r="ACD250" s="471"/>
      <c r="ACE250" s="471"/>
      <c r="ACF250" s="471"/>
      <c r="ACG250" s="471"/>
      <c r="ACH250" s="471"/>
      <c r="ACI250" s="471"/>
      <c r="ACJ250" s="471"/>
      <c r="ACK250" s="471"/>
      <c r="ACL250" s="471"/>
      <c r="ACM250" s="471"/>
      <c r="ACN250" s="471"/>
      <c r="ACO250" s="471"/>
      <c r="ACP250" s="471"/>
      <c r="ACQ250" s="471"/>
      <c r="ACR250" s="471"/>
      <c r="ACS250" s="471"/>
      <c r="ACT250" s="471"/>
      <c r="ACU250" s="471"/>
      <c r="ACV250" s="471"/>
      <c r="ACW250" s="471"/>
      <c r="ACX250" s="471"/>
      <c r="ACY250" s="471"/>
      <c r="ACZ250" s="471"/>
      <c r="ADA250" s="471"/>
      <c r="ADB250" s="471"/>
      <c r="ADC250" s="471"/>
      <c r="ADD250" s="471"/>
      <c r="ADE250" s="471"/>
      <c r="ADF250" s="471"/>
      <c r="ADG250" s="471"/>
      <c r="ADH250" s="471"/>
      <c r="ADI250" s="471"/>
      <c r="ADJ250" s="471"/>
      <c r="ADK250" s="471"/>
      <c r="ADL250" s="471"/>
      <c r="ADM250" s="471"/>
      <c r="ADN250" s="471"/>
      <c r="ADO250" s="471"/>
      <c r="ADP250" s="471"/>
      <c r="ADQ250" s="471"/>
      <c r="ADR250" s="471"/>
      <c r="ADS250" s="471"/>
      <c r="ADT250" s="471"/>
      <c r="ADU250" s="471"/>
      <c r="ADV250" s="471"/>
      <c r="ADW250" s="471"/>
      <c r="ADX250" s="471"/>
      <c r="ADY250" s="471"/>
      <c r="ADZ250" s="471"/>
      <c r="AEA250" s="471"/>
      <c r="AEB250" s="471"/>
      <c r="AEC250" s="471"/>
      <c r="AED250" s="471"/>
      <c r="AEE250" s="471"/>
      <c r="AEF250" s="471"/>
      <c r="AEG250" s="471"/>
      <c r="AEH250" s="471"/>
      <c r="AEI250" s="471"/>
      <c r="AEJ250" s="471"/>
      <c r="AEK250" s="471"/>
      <c r="AEL250" s="471"/>
      <c r="AEM250" s="471"/>
      <c r="AEN250" s="471"/>
      <c r="AEO250" s="471"/>
      <c r="AEP250" s="471"/>
      <c r="AEQ250" s="471"/>
      <c r="AER250" s="471"/>
      <c r="AES250" s="471"/>
      <c r="AET250" s="471"/>
      <c r="AEU250" s="471"/>
      <c r="AEV250" s="471"/>
      <c r="AEW250" s="471"/>
      <c r="AEX250" s="471"/>
      <c r="AEY250" s="471"/>
      <c r="AEZ250" s="471"/>
      <c r="AFA250" s="471"/>
      <c r="AFB250" s="471"/>
      <c r="AFC250" s="471"/>
      <c r="AFD250" s="471"/>
      <c r="AFE250" s="471"/>
      <c r="AFF250" s="471"/>
      <c r="AFG250" s="471"/>
      <c r="AFH250" s="471"/>
      <c r="AFI250" s="471"/>
      <c r="AFJ250" s="471"/>
      <c r="AFK250" s="471"/>
      <c r="AFL250" s="471"/>
      <c r="AFM250" s="471"/>
      <c r="AFN250" s="471"/>
      <c r="AFO250" s="471"/>
      <c r="AFP250" s="471"/>
      <c r="AFQ250" s="471"/>
      <c r="AFR250" s="471"/>
      <c r="AFS250" s="471"/>
      <c r="AFT250" s="471"/>
      <c r="AFU250" s="471"/>
      <c r="AFV250" s="471"/>
      <c r="AFW250" s="471"/>
      <c r="AFX250" s="471"/>
      <c r="AFY250" s="471"/>
      <c r="AFZ250" s="471"/>
      <c r="AGA250" s="471"/>
      <c r="AGB250" s="471"/>
      <c r="AGC250" s="471"/>
      <c r="AGD250" s="471"/>
      <c r="AGE250" s="471"/>
      <c r="AGF250" s="471"/>
      <c r="AGG250" s="471"/>
      <c r="AGH250" s="471"/>
      <c r="AGI250" s="471"/>
      <c r="AGJ250" s="471"/>
      <c r="AGK250" s="471"/>
      <c r="AGL250" s="471"/>
      <c r="AGM250" s="471"/>
      <c r="AGN250" s="471"/>
      <c r="AGO250" s="471"/>
      <c r="AGP250" s="471"/>
      <c r="AGQ250" s="471"/>
      <c r="AGR250" s="471"/>
      <c r="AGS250" s="471"/>
      <c r="AGT250" s="471"/>
      <c r="AGU250" s="471"/>
      <c r="AGV250" s="471"/>
      <c r="AGW250" s="471"/>
      <c r="AGX250" s="471"/>
      <c r="AGY250" s="471"/>
      <c r="AGZ250" s="471"/>
      <c r="AHA250" s="471"/>
      <c r="AHB250" s="471"/>
      <c r="AHC250" s="471"/>
      <c r="AHD250" s="471"/>
      <c r="AHE250" s="471"/>
      <c r="AHF250" s="471"/>
      <c r="AHG250" s="471"/>
      <c r="AHH250" s="471"/>
      <c r="AHI250" s="471"/>
      <c r="AHJ250" s="471"/>
      <c r="AHK250" s="471"/>
      <c r="AHL250" s="471"/>
      <c r="AHM250" s="471"/>
      <c r="AHN250" s="471"/>
      <c r="AHO250" s="471"/>
      <c r="AHP250" s="471"/>
      <c r="AHQ250" s="471"/>
      <c r="AHR250" s="471"/>
      <c r="AHS250" s="471"/>
      <c r="AHT250" s="471"/>
      <c r="AHU250" s="471"/>
      <c r="AHV250" s="471"/>
      <c r="AHW250" s="471"/>
      <c r="AHX250" s="471"/>
      <c r="AHY250" s="471"/>
      <c r="AHZ250" s="471"/>
      <c r="AIA250" s="471"/>
      <c r="AIB250" s="471"/>
      <c r="AIC250" s="471"/>
      <c r="AID250" s="471"/>
      <c r="AIE250" s="471"/>
      <c r="AIF250" s="471"/>
      <c r="AIG250" s="471"/>
      <c r="AIH250" s="471"/>
      <c r="AII250" s="471"/>
      <c r="AIJ250" s="471"/>
      <c r="AIK250" s="471"/>
      <c r="AIL250" s="471"/>
      <c r="AIM250" s="471"/>
      <c r="AIN250" s="471"/>
      <c r="AIO250" s="471"/>
      <c r="AIP250" s="471"/>
      <c r="AIQ250" s="471"/>
      <c r="AIR250" s="471"/>
      <c r="AIS250" s="471"/>
      <c r="AIT250" s="471"/>
      <c r="AIU250" s="471"/>
      <c r="AIV250" s="471"/>
      <c r="AIW250" s="471"/>
      <c r="AIX250" s="471"/>
      <c r="AIY250" s="471"/>
      <c r="AIZ250" s="471"/>
      <c r="AJA250" s="471"/>
      <c r="AJB250" s="471"/>
      <c r="AJC250" s="471"/>
      <c r="AJD250" s="471"/>
      <c r="AJE250" s="471"/>
      <c r="AJF250" s="471"/>
      <c r="AJG250" s="471"/>
      <c r="AJH250" s="471"/>
      <c r="AJI250" s="471"/>
      <c r="AJJ250" s="471"/>
      <c r="AJK250" s="471"/>
      <c r="AJL250" s="471"/>
      <c r="AJM250" s="471"/>
      <c r="AJN250" s="471"/>
      <c r="AJO250" s="471"/>
      <c r="AJP250" s="471"/>
      <c r="AJQ250" s="471"/>
      <c r="AJR250" s="471"/>
      <c r="AJS250" s="471"/>
      <c r="AJT250" s="471"/>
      <c r="AJU250" s="471"/>
      <c r="AJV250" s="471"/>
      <c r="AJW250" s="471"/>
      <c r="AJX250" s="471"/>
      <c r="AJY250" s="471"/>
      <c r="AJZ250" s="471"/>
      <c r="AKA250" s="471"/>
      <c r="AKB250" s="471"/>
      <c r="AKC250" s="471"/>
      <c r="AKD250" s="471"/>
      <c r="AKE250" s="471"/>
      <c r="AKF250" s="471"/>
      <c r="AKG250" s="471"/>
      <c r="AKH250" s="471"/>
      <c r="AKI250" s="471"/>
      <c r="AKJ250" s="471"/>
      <c r="AKK250" s="471"/>
      <c r="AKL250" s="471"/>
      <c r="AKM250" s="471"/>
      <c r="AKN250" s="471"/>
      <c r="AKO250" s="471"/>
      <c r="AKP250" s="471"/>
      <c r="AKQ250" s="471"/>
      <c r="AKR250" s="471"/>
      <c r="AKS250" s="471"/>
      <c r="AKT250" s="471"/>
      <c r="AKU250" s="471"/>
      <c r="AKV250" s="471"/>
      <c r="AKW250" s="471"/>
      <c r="AKX250" s="471"/>
      <c r="AKY250" s="471"/>
      <c r="AKZ250" s="471"/>
      <c r="ALA250" s="471"/>
      <c r="ALB250" s="471"/>
      <c r="ALC250" s="471"/>
      <c r="ALD250" s="471"/>
      <c r="ALE250" s="471"/>
      <c r="ALF250" s="471"/>
      <c r="ALG250" s="471"/>
      <c r="ALH250" s="471"/>
      <c r="ALI250" s="471"/>
      <c r="ALJ250" s="471"/>
      <c r="ALK250" s="471"/>
      <c r="ALL250" s="471"/>
      <c r="ALM250" s="471"/>
      <c r="ALN250" s="471"/>
      <c r="ALO250" s="471"/>
      <c r="ALP250" s="471"/>
      <c r="ALQ250" s="471"/>
      <c r="ALR250" s="471"/>
      <c r="ALS250" s="471"/>
      <c r="ALT250" s="471"/>
      <c r="ALU250" s="471"/>
      <c r="ALV250" s="471"/>
      <c r="ALW250" s="471"/>
      <c r="ALX250" s="471"/>
      <c r="ALY250" s="471"/>
      <c r="ALZ250" s="471"/>
      <c r="AMA250" s="471"/>
      <c r="AMB250" s="471"/>
      <c r="AMC250" s="471"/>
      <c r="AMD250" s="471"/>
      <c r="AME250" s="471"/>
      <c r="AMF250" s="471"/>
      <c r="AMG250" s="471"/>
      <c r="AMH250" s="471"/>
      <c r="AMI250" s="471"/>
      <c r="AMJ250" s="471"/>
      <c r="AMK250" s="471"/>
      <c r="AML250" s="471"/>
      <c r="AMM250" s="471"/>
      <c r="AMN250" s="471"/>
      <c r="AMO250" s="471"/>
      <c r="AMP250" s="471"/>
      <c r="AMQ250" s="471"/>
      <c r="AMR250" s="471"/>
      <c r="AMS250" s="471"/>
      <c r="AMT250" s="471"/>
      <c r="AMU250" s="471"/>
      <c r="AMV250" s="471"/>
      <c r="AMW250" s="471"/>
      <c r="AMX250" s="471"/>
      <c r="AMY250" s="471"/>
      <c r="AMZ250" s="471"/>
      <c r="ANA250" s="471"/>
      <c r="ANB250" s="471"/>
      <c r="ANC250" s="471"/>
      <c r="AND250" s="471"/>
      <c r="ANE250" s="471"/>
      <c r="ANF250" s="471"/>
      <c r="ANG250" s="471"/>
      <c r="ANH250" s="471"/>
      <c r="ANI250" s="471"/>
      <c r="ANJ250" s="471"/>
      <c r="ANK250" s="471"/>
      <c r="ANL250" s="471"/>
      <c r="ANM250" s="471"/>
      <c r="ANN250" s="471"/>
      <c r="ANO250" s="471"/>
      <c r="ANP250" s="471"/>
      <c r="ANQ250" s="471"/>
      <c r="ANR250" s="471"/>
      <c r="ANS250" s="471"/>
      <c r="ANT250" s="471"/>
      <c r="ANU250" s="471"/>
      <c r="ANV250" s="471"/>
      <c r="ANW250" s="471"/>
      <c r="ANX250" s="471"/>
      <c r="ANY250" s="471"/>
      <c r="ANZ250" s="471"/>
      <c r="AOA250" s="471"/>
      <c r="AOB250" s="471"/>
      <c r="AOC250" s="471"/>
      <c r="AOD250" s="471"/>
      <c r="AOE250" s="471"/>
      <c r="AOF250" s="471"/>
      <c r="AOG250" s="471"/>
      <c r="AOH250" s="471"/>
      <c r="AOI250" s="471"/>
      <c r="AOJ250" s="471"/>
      <c r="AOK250" s="471"/>
      <c r="AOL250" s="471"/>
      <c r="AOM250" s="471"/>
      <c r="AON250" s="471"/>
      <c r="AOO250" s="471"/>
      <c r="AOP250" s="471"/>
      <c r="AOQ250" s="471"/>
      <c r="AOR250" s="471"/>
      <c r="AOS250" s="471"/>
      <c r="AOT250" s="471"/>
      <c r="AOU250" s="471"/>
      <c r="AOV250" s="471"/>
      <c r="AOW250" s="471"/>
      <c r="AOX250" s="471"/>
      <c r="AOY250" s="471"/>
      <c r="AOZ250" s="471"/>
      <c r="APA250" s="471"/>
      <c r="APB250" s="471"/>
      <c r="APC250" s="471"/>
      <c r="APD250" s="471"/>
      <c r="APE250" s="471"/>
      <c r="APF250" s="471"/>
      <c r="APG250" s="471"/>
      <c r="APH250" s="471"/>
      <c r="API250" s="471"/>
      <c r="APJ250" s="471"/>
      <c r="APK250" s="471"/>
      <c r="APL250" s="471"/>
      <c r="APM250" s="471"/>
      <c r="APN250" s="471"/>
      <c r="APO250" s="471"/>
      <c r="APP250" s="471"/>
      <c r="APQ250" s="471"/>
      <c r="APR250" s="471"/>
      <c r="APS250" s="471"/>
      <c r="APT250" s="471"/>
      <c r="APU250" s="471"/>
      <c r="APV250" s="471"/>
      <c r="APW250" s="471"/>
      <c r="APX250" s="471"/>
      <c r="APY250" s="471"/>
      <c r="APZ250" s="471"/>
      <c r="AQA250" s="471"/>
      <c r="AQB250" s="471"/>
      <c r="AQC250" s="471"/>
      <c r="AQD250" s="471"/>
      <c r="AQE250" s="471"/>
      <c r="AQF250" s="471"/>
      <c r="AQG250" s="471"/>
      <c r="AQH250" s="471"/>
      <c r="AQI250" s="471"/>
      <c r="AQJ250" s="471"/>
      <c r="AQK250" s="471"/>
      <c r="AQL250" s="471"/>
      <c r="AQM250" s="471"/>
      <c r="AQN250" s="471"/>
      <c r="AQO250" s="471"/>
      <c r="AQP250" s="471"/>
      <c r="AQQ250" s="471"/>
      <c r="AQR250" s="471"/>
      <c r="AQS250" s="471"/>
      <c r="AQT250" s="471"/>
      <c r="AQU250" s="471"/>
      <c r="AQV250" s="471"/>
      <c r="AQW250" s="471"/>
      <c r="AQX250" s="471"/>
      <c r="AQY250" s="471"/>
      <c r="AQZ250" s="471"/>
      <c r="ARA250" s="471"/>
      <c r="ARB250" s="471"/>
      <c r="ARC250" s="471"/>
      <c r="ARD250" s="471"/>
      <c r="ARE250" s="471"/>
      <c r="ARF250" s="471"/>
      <c r="ARG250" s="471"/>
      <c r="ARH250" s="471"/>
      <c r="ARI250" s="471"/>
      <c r="ARJ250" s="471"/>
      <c r="ARK250" s="471"/>
      <c r="ARL250" s="471"/>
      <c r="ARM250" s="471"/>
      <c r="ARN250" s="471"/>
      <c r="ARO250" s="471"/>
      <c r="ARP250" s="471"/>
      <c r="ARQ250" s="471"/>
      <c r="ARR250" s="471"/>
      <c r="ARS250" s="471"/>
      <c r="ART250" s="471"/>
      <c r="ARU250" s="471"/>
      <c r="ARV250" s="471"/>
      <c r="ARW250" s="471"/>
      <c r="ARX250" s="471"/>
      <c r="ARY250" s="471"/>
      <c r="ARZ250" s="471"/>
      <c r="ASA250" s="471"/>
      <c r="ASB250" s="471"/>
      <c r="ASC250" s="471"/>
      <c r="ASD250" s="471"/>
      <c r="ASE250" s="471"/>
      <c r="ASF250" s="471"/>
      <c r="ASG250" s="471"/>
      <c r="ASH250" s="471"/>
      <c r="ASI250" s="471"/>
      <c r="ASJ250" s="471"/>
      <c r="ASK250" s="471"/>
      <c r="ASL250" s="471"/>
      <c r="ASM250" s="471"/>
      <c r="ASN250" s="471"/>
      <c r="ASO250" s="471"/>
      <c r="ASP250" s="471"/>
      <c r="ASQ250" s="471"/>
      <c r="ASR250" s="471"/>
      <c r="ASS250" s="471"/>
      <c r="AST250" s="471"/>
      <c r="ASU250" s="471"/>
      <c r="ASV250" s="471"/>
      <c r="ASW250" s="471"/>
      <c r="ASX250" s="471"/>
      <c r="ASY250" s="471"/>
      <c r="ASZ250" s="471"/>
      <c r="ATA250" s="471"/>
      <c r="ATB250" s="471"/>
      <c r="ATC250" s="471"/>
      <c r="ATD250" s="471"/>
      <c r="ATE250" s="471"/>
      <c r="ATF250" s="471"/>
      <c r="ATG250" s="471"/>
      <c r="ATH250" s="471"/>
      <c r="ATI250" s="471"/>
      <c r="ATJ250" s="471"/>
      <c r="ATK250" s="471"/>
      <c r="ATL250" s="471"/>
      <c r="ATM250" s="471"/>
      <c r="ATN250" s="471"/>
      <c r="ATO250" s="471"/>
      <c r="ATP250" s="471"/>
      <c r="ATQ250" s="471"/>
      <c r="ATR250" s="471"/>
      <c r="ATS250" s="471"/>
      <c r="ATT250" s="471"/>
      <c r="ATU250" s="471"/>
      <c r="ATV250" s="471"/>
      <c r="ATW250" s="471"/>
      <c r="ATX250" s="471"/>
      <c r="ATY250" s="471"/>
      <c r="ATZ250" s="471"/>
      <c r="AUA250" s="471"/>
      <c r="AUB250" s="471"/>
      <c r="AUC250" s="471"/>
      <c r="AUD250" s="471"/>
      <c r="AUE250" s="471"/>
      <c r="AUF250" s="471"/>
      <c r="AUG250" s="471"/>
      <c r="AUH250" s="471"/>
      <c r="AUI250" s="471"/>
      <c r="AUJ250" s="471"/>
      <c r="AUK250" s="471"/>
      <c r="AUL250" s="471"/>
      <c r="AUM250" s="471"/>
      <c r="AUN250" s="471"/>
      <c r="AUO250" s="471"/>
      <c r="AUP250" s="471"/>
      <c r="AUQ250" s="471"/>
      <c r="AUR250" s="471"/>
      <c r="AUS250" s="471"/>
      <c r="AUT250" s="471"/>
      <c r="AUU250" s="471"/>
      <c r="AUV250" s="471"/>
      <c r="AUW250" s="471"/>
      <c r="AUX250" s="471"/>
      <c r="AUY250" s="471"/>
      <c r="AUZ250" s="471"/>
      <c r="AVA250" s="471"/>
      <c r="AVB250" s="471"/>
      <c r="AVC250" s="471"/>
      <c r="AVD250" s="471"/>
      <c r="AVE250" s="471"/>
      <c r="AVF250" s="471"/>
      <c r="AVG250" s="471"/>
      <c r="AVH250" s="471"/>
      <c r="AVI250" s="471"/>
      <c r="AVJ250" s="471"/>
      <c r="AVK250" s="471"/>
      <c r="AVL250" s="471"/>
      <c r="AVM250" s="471"/>
      <c r="AVN250" s="471"/>
      <c r="AVO250" s="471"/>
      <c r="AVP250" s="471"/>
      <c r="AVQ250" s="471"/>
      <c r="AVR250" s="471"/>
      <c r="AVS250" s="471"/>
      <c r="AVT250" s="471"/>
      <c r="AVU250" s="471"/>
      <c r="AVV250" s="471"/>
      <c r="AVW250" s="471"/>
      <c r="AVX250" s="471"/>
      <c r="AVY250" s="471"/>
      <c r="AVZ250" s="471"/>
      <c r="AWA250" s="471"/>
      <c r="AWB250" s="471"/>
      <c r="AWC250" s="471"/>
      <c r="AWD250" s="471"/>
      <c r="AWE250" s="471"/>
      <c r="AWF250" s="471"/>
      <c r="AWG250" s="471"/>
      <c r="AWH250" s="471"/>
      <c r="AWI250" s="471"/>
      <c r="AWJ250" s="471"/>
      <c r="AWK250" s="471"/>
      <c r="AWL250" s="471"/>
      <c r="AWM250" s="471"/>
      <c r="AWN250" s="471"/>
      <c r="AWO250" s="471"/>
      <c r="AWP250" s="471"/>
      <c r="AWQ250" s="471"/>
      <c r="AWR250" s="471"/>
      <c r="AWS250" s="471"/>
      <c r="AWT250" s="471"/>
      <c r="AWU250" s="471"/>
      <c r="AWV250" s="471"/>
      <c r="AWW250" s="471"/>
      <c r="AWX250" s="471"/>
      <c r="AWY250" s="471"/>
      <c r="AWZ250" s="471"/>
      <c r="AXA250" s="471"/>
      <c r="AXB250" s="471"/>
      <c r="AXC250" s="471"/>
      <c r="AXD250" s="471"/>
      <c r="AXE250" s="471"/>
      <c r="AXF250" s="471"/>
      <c r="AXG250" s="471"/>
      <c r="AXH250" s="471"/>
      <c r="AXI250" s="471"/>
      <c r="AXJ250" s="471"/>
      <c r="AXK250" s="471"/>
      <c r="AXL250" s="471"/>
      <c r="AXM250" s="471"/>
      <c r="AXN250" s="471"/>
      <c r="AXO250" s="471"/>
      <c r="AXP250" s="471"/>
      <c r="AXQ250" s="471"/>
      <c r="AXR250" s="471"/>
      <c r="AXS250" s="471"/>
      <c r="AXT250" s="471"/>
      <c r="AXU250" s="471"/>
      <c r="AXV250" s="471"/>
      <c r="AXW250" s="471"/>
      <c r="AXX250" s="471"/>
      <c r="AXY250" s="471"/>
      <c r="AXZ250" s="471"/>
      <c r="AYA250" s="471"/>
      <c r="AYB250" s="471"/>
      <c r="AYC250" s="471"/>
      <c r="AYD250" s="471"/>
      <c r="AYE250" s="471"/>
      <c r="AYF250" s="471"/>
      <c r="AYG250" s="471"/>
      <c r="AYH250" s="471"/>
      <c r="AYI250" s="471"/>
      <c r="AYJ250" s="471"/>
      <c r="AYK250" s="471"/>
      <c r="AYL250" s="471"/>
      <c r="AYM250" s="471"/>
      <c r="AYN250" s="471"/>
      <c r="AYO250" s="471"/>
      <c r="AYP250" s="471"/>
      <c r="AYQ250" s="471"/>
      <c r="AYR250" s="471"/>
      <c r="AYS250" s="471"/>
      <c r="AYT250" s="471"/>
      <c r="AYU250" s="471"/>
      <c r="AYV250" s="471"/>
      <c r="AYW250" s="471"/>
      <c r="AYX250" s="471"/>
      <c r="AYY250" s="471"/>
      <c r="AYZ250" s="471"/>
      <c r="AZA250" s="471"/>
      <c r="AZB250" s="471"/>
      <c r="AZC250" s="471"/>
      <c r="AZD250" s="471"/>
      <c r="AZE250" s="471"/>
      <c r="AZF250" s="471"/>
      <c r="AZG250" s="471"/>
      <c r="AZH250" s="471"/>
      <c r="AZI250" s="471"/>
      <c r="AZJ250" s="471"/>
      <c r="AZK250" s="471"/>
      <c r="AZL250" s="471"/>
      <c r="AZM250" s="471"/>
      <c r="AZN250" s="471"/>
      <c r="AZO250" s="471"/>
      <c r="AZP250" s="471"/>
      <c r="AZQ250" s="471"/>
      <c r="AZR250" s="471"/>
      <c r="AZS250" s="471"/>
      <c r="AZT250" s="471"/>
      <c r="AZU250" s="471"/>
      <c r="AZV250" s="471"/>
      <c r="AZW250" s="471"/>
      <c r="AZX250" s="471"/>
      <c r="AZY250" s="471"/>
      <c r="AZZ250" s="471"/>
      <c r="BAA250" s="471"/>
      <c r="BAB250" s="471"/>
      <c r="BAC250" s="471"/>
      <c r="BAD250" s="471"/>
      <c r="BAE250" s="471"/>
      <c r="BAF250" s="471"/>
      <c r="BAG250" s="471"/>
      <c r="BAH250" s="471"/>
      <c r="BAI250" s="471"/>
      <c r="BAJ250" s="471"/>
      <c r="BAK250" s="471"/>
      <c r="BAL250" s="471"/>
      <c r="BAM250" s="471"/>
      <c r="BAN250" s="471"/>
      <c r="BAO250" s="471"/>
      <c r="BAP250" s="471"/>
      <c r="BAQ250" s="471"/>
      <c r="BAR250" s="471"/>
      <c r="BAS250" s="471"/>
      <c r="BAT250" s="471"/>
      <c r="BAU250" s="471"/>
      <c r="BAV250" s="471"/>
      <c r="BAW250" s="471"/>
      <c r="BAX250" s="471"/>
      <c r="BAY250" s="471"/>
      <c r="BAZ250" s="471"/>
      <c r="BBA250" s="471"/>
      <c r="BBB250" s="471"/>
      <c r="BBC250" s="471"/>
      <c r="BBD250" s="471"/>
      <c r="BBE250" s="471"/>
      <c r="BBF250" s="471"/>
      <c r="BBG250" s="471"/>
      <c r="BBH250" s="471"/>
      <c r="BBI250" s="471"/>
      <c r="BBJ250" s="471"/>
      <c r="BBK250" s="471"/>
      <c r="BBL250" s="471"/>
      <c r="BBM250" s="471"/>
      <c r="BBN250" s="471"/>
      <c r="BBO250" s="471"/>
      <c r="BBP250" s="471"/>
      <c r="BBQ250" s="471"/>
      <c r="BBR250" s="471"/>
      <c r="BBS250" s="471"/>
      <c r="BBT250" s="471"/>
      <c r="BBU250" s="471"/>
      <c r="BBV250" s="471"/>
      <c r="BBW250" s="471"/>
      <c r="BBX250" s="471"/>
      <c r="BBY250" s="471"/>
      <c r="BBZ250" s="471"/>
      <c r="BCA250" s="471"/>
      <c r="BCB250" s="471"/>
      <c r="BCC250" s="471"/>
      <c r="BCD250" s="471"/>
      <c r="BCE250" s="471"/>
      <c r="BCF250" s="471"/>
      <c r="BCG250" s="471"/>
      <c r="BCH250" s="471"/>
      <c r="BCI250" s="471"/>
      <c r="BCJ250" s="471"/>
      <c r="BCK250" s="471"/>
      <c r="BCL250" s="471"/>
      <c r="BCM250" s="471"/>
      <c r="BCN250" s="471"/>
      <c r="BCO250" s="471"/>
      <c r="BCP250" s="471"/>
      <c r="BCQ250" s="471"/>
      <c r="BCR250" s="471"/>
      <c r="BCS250" s="471"/>
      <c r="BCT250" s="471"/>
      <c r="BCU250" s="471"/>
      <c r="BCV250" s="471"/>
      <c r="BCW250" s="471"/>
      <c r="BCX250" s="471"/>
      <c r="BCY250" s="471"/>
      <c r="BCZ250" s="471"/>
      <c r="BDA250" s="471"/>
      <c r="BDB250" s="471"/>
      <c r="BDC250" s="471"/>
      <c r="BDD250" s="471"/>
      <c r="BDE250" s="471"/>
      <c r="BDF250" s="471"/>
      <c r="BDG250" s="471"/>
      <c r="BDH250" s="471"/>
      <c r="BDI250" s="471"/>
      <c r="BDJ250" s="471"/>
      <c r="BDK250" s="471"/>
      <c r="BDL250" s="471"/>
      <c r="BDM250" s="471"/>
      <c r="BDN250" s="471"/>
      <c r="BDO250" s="471"/>
      <c r="BDP250" s="471"/>
      <c r="BDQ250" s="471"/>
      <c r="BDR250" s="471"/>
      <c r="BDS250" s="471"/>
      <c r="BDT250" s="471"/>
      <c r="BDU250" s="471"/>
      <c r="BDV250" s="471"/>
      <c r="BDW250" s="471"/>
      <c r="BDX250" s="471"/>
      <c r="BDY250" s="471"/>
      <c r="BDZ250" s="471"/>
      <c r="BEA250" s="471"/>
      <c r="BEB250" s="471"/>
      <c r="BEC250" s="471"/>
      <c r="BED250" s="471"/>
      <c r="BEE250" s="471"/>
      <c r="BEF250" s="471"/>
      <c r="BEG250" s="471"/>
      <c r="BEH250" s="471"/>
      <c r="BEI250" s="471"/>
      <c r="BEJ250" s="471"/>
      <c r="BEK250" s="471"/>
      <c r="BEL250" s="471"/>
      <c r="BEM250" s="471"/>
      <c r="BEN250" s="471"/>
      <c r="BEO250" s="471"/>
      <c r="BEP250" s="471"/>
      <c r="BEQ250" s="471"/>
      <c r="BER250" s="471"/>
      <c r="BES250" s="471"/>
      <c r="BET250" s="471"/>
      <c r="BEU250" s="471"/>
      <c r="BEV250" s="471"/>
      <c r="BEW250" s="471"/>
      <c r="BEX250" s="471"/>
      <c r="BEY250" s="471"/>
      <c r="BEZ250" s="471"/>
      <c r="BFA250" s="471"/>
      <c r="BFB250" s="471"/>
      <c r="BFC250" s="471"/>
      <c r="BFD250" s="471"/>
      <c r="BFE250" s="471"/>
      <c r="BFF250" s="471"/>
      <c r="BFG250" s="471"/>
      <c r="BFH250" s="471"/>
      <c r="BFI250" s="471"/>
      <c r="BFJ250" s="471"/>
      <c r="BFK250" s="471"/>
      <c r="BFL250" s="471"/>
      <c r="BFM250" s="471"/>
      <c r="BFN250" s="471"/>
      <c r="BFO250" s="471"/>
      <c r="BFP250" s="471"/>
      <c r="BFQ250" s="471"/>
      <c r="BFR250" s="471"/>
      <c r="BFS250" s="471"/>
      <c r="BFT250" s="471"/>
      <c r="BFU250" s="471"/>
      <c r="BFV250" s="471"/>
      <c r="BFW250" s="471"/>
      <c r="BFX250" s="471"/>
      <c r="BFY250" s="471"/>
      <c r="BFZ250" s="471"/>
      <c r="BGA250" s="471"/>
      <c r="BGB250" s="471"/>
      <c r="BGC250" s="471"/>
      <c r="BGD250" s="471"/>
      <c r="BGE250" s="471"/>
      <c r="BGF250" s="471"/>
      <c r="BGG250" s="471"/>
      <c r="BGH250" s="471"/>
      <c r="BGI250" s="471"/>
      <c r="BGJ250" s="471"/>
      <c r="BGK250" s="471"/>
      <c r="BGL250" s="471"/>
      <c r="BGM250" s="471"/>
      <c r="BGN250" s="471"/>
      <c r="BGO250" s="471"/>
      <c r="BGP250" s="471"/>
      <c r="BGQ250" s="471"/>
      <c r="BGR250" s="471"/>
      <c r="BGS250" s="471"/>
      <c r="BGT250" s="471"/>
      <c r="BGU250" s="471"/>
      <c r="BGV250" s="471"/>
      <c r="BGW250" s="471"/>
      <c r="BGX250" s="471"/>
      <c r="BGY250" s="471"/>
      <c r="BGZ250" s="471"/>
      <c r="BHA250" s="471"/>
      <c r="BHB250" s="471"/>
      <c r="BHC250" s="471"/>
      <c r="BHD250" s="471"/>
      <c r="BHE250" s="471"/>
      <c r="BHF250" s="471"/>
      <c r="BHG250" s="471"/>
      <c r="BHH250" s="471"/>
      <c r="BHI250" s="471"/>
      <c r="BHJ250" s="471"/>
      <c r="BHK250" s="471"/>
      <c r="BHL250" s="471"/>
      <c r="BHM250" s="471"/>
      <c r="BHN250" s="471"/>
      <c r="BHO250" s="471"/>
      <c r="BHP250" s="471"/>
      <c r="BHQ250" s="471"/>
      <c r="BHR250" s="471"/>
      <c r="BHS250" s="471"/>
      <c r="BHT250" s="471"/>
      <c r="BHU250" s="471"/>
      <c r="BHV250" s="471"/>
      <c r="BHW250" s="471"/>
      <c r="BHX250" s="471"/>
      <c r="BHY250" s="471"/>
      <c r="BHZ250" s="471"/>
      <c r="BIA250" s="471"/>
      <c r="BIB250" s="471"/>
      <c r="BIC250" s="471"/>
      <c r="BID250" s="471"/>
      <c r="BIE250" s="471"/>
      <c r="BIF250" s="471"/>
      <c r="BIG250" s="471"/>
      <c r="BIH250" s="471"/>
      <c r="BII250" s="471"/>
      <c r="BIJ250" s="471"/>
      <c r="BIK250" s="471"/>
      <c r="BIL250" s="471"/>
      <c r="BIM250" s="471"/>
      <c r="BIN250" s="471"/>
      <c r="BIO250" s="471"/>
      <c r="BIP250" s="471"/>
      <c r="BIQ250" s="471"/>
      <c r="BIR250" s="471"/>
      <c r="BIS250" s="471"/>
      <c r="BIT250" s="471"/>
      <c r="BIU250" s="471"/>
      <c r="BIV250" s="471"/>
      <c r="BIW250" s="471"/>
      <c r="BIX250" s="471"/>
      <c r="BIY250" s="471"/>
      <c r="BIZ250" s="471"/>
      <c r="BJA250" s="471"/>
      <c r="BJB250" s="471"/>
      <c r="BJC250" s="471"/>
      <c r="BJD250" s="471"/>
      <c r="BJE250" s="471"/>
      <c r="BJF250" s="471"/>
      <c r="BJG250" s="471"/>
      <c r="BJH250" s="471"/>
      <c r="BJI250" s="471"/>
      <c r="BJJ250" s="471"/>
      <c r="BJK250" s="471"/>
      <c r="BJL250" s="471"/>
      <c r="BJM250" s="471"/>
      <c r="BJN250" s="471"/>
      <c r="BJO250" s="471"/>
      <c r="BJP250" s="471"/>
      <c r="BJQ250" s="471"/>
      <c r="BJR250" s="471"/>
      <c r="BJS250" s="471"/>
      <c r="BJT250" s="471"/>
      <c r="BJU250" s="471"/>
      <c r="BJV250" s="471"/>
      <c r="BJW250" s="471"/>
      <c r="BJX250" s="471"/>
      <c r="BJY250" s="471"/>
      <c r="BJZ250" s="471"/>
      <c r="BKA250" s="471"/>
      <c r="BKB250" s="471"/>
      <c r="BKC250" s="471"/>
      <c r="BKD250" s="471"/>
      <c r="BKE250" s="471"/>
      <c r="BKF250" s="471"/>
      <c r="BKG250" s="471"/>
      <c r="BKH250" s="471"/>
      <c r="BKI250" s="471"/>
      <c r="BKJ250" s="471"/>
      <c r="BKK250" s="471"/>
      <c r="BKL250" s="471"/>
      <c r="BKM250" s="471"/>
      <c r="BKN250" s="471"/>
      <c r="BKO250" s="471"/>
      <c r="BKP250" s="471"/>
      <c r="BKQ250" s="471"/>
      <c r="BKR250" s="471"/>
      <c r="BKS250" s="471"/>
      <c r="BKT250" s="471"/>
      <c r="BKU250" s="471"/>
      <c r="BKV250" s="471"/>
      <c r="BKW250" s="471"/>
      <c r="BKX250" s="471"/>
      <c r="BKY250" s="471"/>
      <c r="BKZ250" s="471"/>
      <c r="BLA250" s="471"/>
      <c r="BLB250" s="471"/>
      <c r="BLC250" s="471"/>
      <c r="BLD250" s="471"/>
      <c r="BLE250" s="471"/>
      <c r="BLF250" s="471"/>
      <c r="BLG250" s="471"/>
      <c r="BLH250" s="471"/>
      <c r="BLI250" s="471"/>
      <c r="BLJ250" s="471"/>
      <c r="BLK250" s="471"/>
      <c r="BLL250" s="471"/>
      <c r="BLM250" s="471"/>
      <c r="BLN250" s="471"/>
      <c r="BLO250" s="471"/>
      <c r="BLP250" s="471"/>
      <c r="BLQ250" s="471"/>
      <c r="BLR250" s="471"/>
      <c r="BLS250" s="471"/>
      <c r="BLT250" s="471"/>
      <c r="BLU250" s="471"/>
      <c r="BLV250" s="471"/>
      <c r="BLW250" s="471"/>
      <c r="BLX250" s="471"/>
      <c r="BLY250" s="471"/>
      <c r="BLZ250" s="471"/>
      <c r="BMA250" s="471"/>
      <c r="BMB250" s="471"/>
      <c r="BMC250" s="471"/>
      <c r="BMD250" s="471"/>
      <c r="BME250" s="471"/>
      <c r="BMF250" s="471"/>
      <c r="BMG250" s="471"/>
      <c r="BMH250" s="471"/>
      <c r="BMI250" s="471"/>
      <c r="BMJ250" s="471"/>
      <c r="BMK250" s="471"/>
      <c r="BML250" s="471"/>
      <c r="BMM250" s="471"/>
      <c r="BMN250" s="471"/>
      <c r="BMO250" s="471"/>
      <c r="BMP250" s="471"/>
      <c r="BMQ250" s="471"/>
      <c r="BMR250" s="471"/>
      <c r="BMS250" s="471"/>
      <c r="BMT250" s="471"/>
      <c r="BMU250" s="471"/>
      <c r="BMV250" s="471"/>
      <c r="BMW250" s="471"/>
      <c r="BMX250" s="471"/>
      <c r="BMY250" s="471"/>
      <c r="BMZ250" s="471"/>
      <c r="BNA250" s="471"/>
      <c r="BNB250" s="471"/>
      <c r="BNC250" s="471"/>
      <c r="BND250" s="471"/>
      <c r="BNE250" s="471"/>
      <c r="BNF250" s="471"/>
      <c r="BNG250" s="471"/>
      <c r="BNH250" s="471"/>
      <c r="BNI250" s="471"/>
      <c r="BNJ250" s="471"/>
      <c r="BNK250" s="471"/>
      <c r="BNL250" s="471"/>
      <c r="BNM250" s="471"/>
      <c r="BNN250" s="471"/>
      <c r="BNO250" s="471"/>
      <c r="BNP250" s="471"/>
      <c r="BNQ250" s="471"/>
      <c r="BNR250" s="471"/>
      <c r="BNS250" s="471"/>
      <c r="BNT250" s="471"/>
      <c r="BNU250" s="471"/>
      <c r="BNV250" s="471"/>
      <c r="BNW250" s="471"/>
      <c r="BNX250" s="471"/>
      <c r="BNY250" s="471"/>
      <c r="BNZ250" s="471"/>
      <c r="BOA250" s="471"/>
      <c r="BOB250" s="471"/>
      <c r="BOC250" s="471"/>
      <c r="BOD250" s="471"/>
      <c r="BOE250" s="471"/>
      <c r="BOF250" s="471"/>
      <c r="BOG250" s="471"/>
      <c r="BOH250" s="471"/>
      <c r="BOI250" s="471"/>
      <c r="BOJ250" s="471"/>
      <c r="BOK250" s="471"/>
      <c r="BOL250" s="471"/>
      <c r="BOM250" s="471"/>
      <c r="BON250" s="471"/>
      <c r="BOO250" s="471"/>
      <c r="BOP250" s="471"/>
      <c r="BOQ250" s="471"/>
      <c r="BOR250" s="471"/>
      <c r="BOS250" s="471"/>
      <c r="BOT250" s="471"/>
      <c r="BOU250" s="471"/>
      <c r="BOV250" s="471"/>
      <c r="BOW250" s="471"/>
      <c r="BOX250" s="471"/>
      <c r="BOY250" s="471"/>
      <c r="BOZ250" s="471"/>
      <c r="BPA250" s="471"/>
      <c r="BPB250" s="471"/>
      <c r="BPC250" s="471"/>
      <c r="BPD250" s="471"/>
      <c r="BPE250" s="471"/>
      <c r="BPF250" s="471"/>
      <c r="BPG250" s="471"/>
      <c r="BPH250" s="471"/>
      <c r="BPI250" s="471"/>
      <c r="BPJ250" s="471"/>
      <c r="BPK250" s="471"/>
      <c r="BPL250" s="471"/>
      <c r="BPM250" s="471"/>
      <c r="BPN250" s="471"/>
      <c r="BPO250" s="471"/>
      <c r="BPP250" s="471"/>
      <c r="BPQ250" s="471"/>
      <c r="BPR250" s="471"/>
      <c r="BPS250" s="471"/>
      <c r="BPT250" s="471"/>
      <c r="BPU250" s="471"/>
      <c r="BPV250" s="471"/>
      <c r="BPW250" s="471"/>
      <c r="BPX250" s="471"/>
      <c r="BPY250" s="471"/>
      <c r="BPZ250" s="471"/>
      <c r="BQA250" s="471"/>
      <c r="BQB250" s="471"/>
      <c r="BQC250" s="471"/>
      <c r="BQD250" s="471"/>
      <c r="BQE250" s="471"/>
      <c r="BQF250" s="471"/>
      <c r="BQG250" s="471"/>
      <c r="BQH250" s="471"/>
      <c r="BQI250" s="471"/>
      <c r="BQJ250" s="471"/>
      <c r="BQK250" s="471"/>
      <c r="BQL250" s="471"/>
      <c r="BQM250" s="471"/>
      <c r="BQN250" s="471"/>
      <c r="BQO250" s="471"/>
      <c r="BQP250" s="471"/>
      <c r="BQQ250" s="471"/>
      <c r="BQR250" s="471"/>
      <c r="BQS250" s="471"/>
      <c r="BQT250" s="471"/>
      <c r="BQU250" s="471"/>
      <c r="BQV250" s="471"/>
      <c r="BQW250" s="471"/>
      <c r="BQX250" s="471"/>
      <c r="BQY250" s="471"/>
      <c r="BQZ250" s="471"/>
      <c r="BRA250" s="471"/>
      <c r="BRB250" s="471"/>
      <c r="BRC250" s="471"/>
      <c r="BRD250" s="471"/>
      <c r="BRE250" s="471"/>
      <c r="BRF250" s="471"/>
      <c r="BRG250" s="471"/>
      <c r="BRH250" s="471"/>
      <c r="BRI250" s="471"/>
      <c r="BRJ250" s="471"/>
      <c r="BRK250" s="471"/>
      <c r="BRL250" s="471"/>
      <c r="BRM250" s="471"/>
      <c r="BRN250" s="471"/>
      <c r="BRO250" s="471"/>
      <c r="BRP250" s="471"/>
      <c r="BRQ250" s="471"/>
      <c r="BRR250" s="471"/>
      <c r="BRS250" s="471"/>
      <c r="BRT250" s="471"/>
      <c r="BRU250" s="471"/>
      <c r="BRV250" s="471"/>
      <c r="BRW250" s="471"/>
      <c r="BRX250" s="471"/>
      <c r="BRY250" s="471"/>
      <c r="BRZ250" s="471"/>
      <c r="BSA250" s="471"/>
      <c r="BSB250" s="471"/>
      <c r="BSC250" s="471"/>
      <c r="BSD250" s="471"/>
      <c r="BSE250" s="471"/>
      <c r="BSF250" s="471"/>
      <c r="BSG250" s="471"/>
      <c r="BSH250" s="471"/>
      <c r="BSI250" s="471"/>
      <c r="BSJ250" s="471"/>
      <c r="BSK250" s="471"/>
      <c r="BSL250" s="471"/>
      <c r="BSM250" s="471"/>
      <c r="BSN250" s="471"/>
      <c r="BSO250" s="471"/>
      <c r="BSP250" s="471"/>
      <c r="BSQ250" s="471"/>
      <c r="BSR250" s="471"/>
      <c r="BSS250" s="471"/>
      <c r="BST250" s="471"/>
      <c r="BSU250" s="471"/>
      <c r="BSV250" s="471"/>
      <c r="BSW250" s="471"/>
      <c r="BSX250" s="471"/>
      <c r="BSY250" s="471"/>
      <c r="BSZ250" s="471"/>
      <c r="BTA250" s="471"/>
      <c r="BTB250" s="471"/>
      <c r="BTC250" s="471"/>
      <c r="BTD250" s="471"/>
      <c r="BTE250" s="471"/>
      <c r="BTF250" s="471"/>
      <c r="BTG250" s="471"/>
      <c r="BTH250" s="471"/>
      <c r="BTI250" s="471"/>
    </row>
    <row r="251" spans="1:1881" s="470" customFormat="1" ht="44.25" customHeight="1" thickBot="1" x14ac:dyDescent="0.3">
      <c r="B251" s="669" t="s">
        <v>906</v>
      </c>
      <c r="C251" s="668"/>
      <c r="D251" s="667"/>
      <c r="E251" s="665"/>
      <c r="F251" s="536"/>
      <c r="G251" s="536"/>
      <c r="H251" s="472"/>
      <c r="I251" s="398"/>
      <c r="J251" s="471"/>
      <c r="K251" s="471"/>
      <c r="L251" s="471"/>
      <c r="M251" s="471"/>
      <c r="N251"/>
      <c r="O251" s="471"/>
      <c r="P251" s="471"/>
      <c r="Q251" s="471"/>
      <c r="R251"/>
      <c r="S251" s="387"/>
      <c r="T251" s="471"/>
      <c r="U251" s="471"/>
      <c r="V251" s="471"/>
      <c r="W251" s="471"/>
      <c r="X251" s="682"/>
      <c r="Y251" s="471"/>
      <c r="Z251" s="471"/>
      <c r="AA251" s="471"/>
      <c r="AB251" s="471"/>
      <c r="AC251" s="471"/>
      <c r="AD251" s="471"/>
      <c r="AE251" s="471"/>
      <c r="AF251" s="471"/>
      <c r="AG251" s="471"/>
      <c r="AH251" s="471"/>
      <c r="AI251" s="471"/>
      <c r="AJ251" s="471"/>
      <c r="AK251" s="471"/>
      <c r="AL251" s="471"/>
      <c r="AM251" s="471"/>
      <c r="AN251" s="471"/>
      <c r="AO251" s="471"/>
      <c r="AP251" s="471"/>
      <c r="AQ251" s="471"/>
      <c r="AR251" s="471"/>
      <c r="AS251" s="471"/>
      <c r="AT251" s="471"/>
      <c r="AU251" s="471"/>
      <c r="AV251" s="471"/>
      <c r="AW251" s="471"/>
      <c r="AX251" s="471"/>
      <c r="AY251" s="471"/>
      <c r="AZ251" s="471"/>
      <c r="BA251" s="471"/>
      <c r="BB251" s="471"/>
      <c r="BC251" s="471"/>
      <c r="BD251" s="471"/>
      <c r="BE251" s="471"/>
      <c r="BF251" s="471"/>
      <c r="BG251" s="471"/>
      <c r="BH251" s="471"/>
      <c r="BI251" s="471"/>
      <c r="BJ251" s="471"/>
      <c r="BK251" s="471"/>
      <c r="BL251" s="471"/>
      <c r="BM251" s="471"/>
      <c r="BN251" s="471"/>
      <c r="BO251" s="471"/>
      <c r="BP251" s="471"/>
      <c r="BQ251" s="471"/>
      <c r="BR251" s="471"/>
      <c r="BS251" s="471"/>
      <c r="BT251" s="471"/>
      <c r="BU251" s="471"/>
      <c r="BV251" s="471"/>
      <c r="BW251" s="471"/>
      <c r="BX251" s="471"/>
      <c r="BY251" s="471"/>
      <c r="BZ251" s="471"/>
      <c r="CA251" s="471"/>
      <c r="CB251" s="471"/>
      <c r="CC251" s="471"/>
      <c r="CD251" s="471"/>
      <c r="CE251" s="471"/>
      <c r="CF251" s="471"/>
      <c r="CG251" s="471"/>
      <c r="CH251" s="471"/>
      <c r="CI251" s="471"/>
      <c r="CJ251" s="471"/>
      <c r="CK251" s="471"/>
      <c r="CL251" s="471"/>
      <c r="CM251" s="471"/>
      <c r="CN251" s="471"/>
      <c r="CO251" s="471"/>
      <c r="CP251" s="471"/>
      <c r="CQ251" s="471"/>
      <c r="CR251" s="471"/>
      <c r="CS251" s="471"/>
      <c r="CT251" s="471"/>
      <c r="CU251" s="471"/>
      <c r="CV251" s="471"/>
      <c r="CW251" s="471"/>
      <c r="CX251" s="471"/>
      <c r="CY251" s="471"/>
      <c r="CZ251" s="471"/>
      <c r="DA251" s="471"/>
      <c r="DB251" s="471"/>
      <c r="DC251" s="471"/>
      <c r="DD251" s="471"/>
      <c r="DE251" s="471"/>
      <c r="DF251" s="471"/>
      <c r="DG251" s="471"/>
      <c r="DH251" s="471"/>
      <c r="DI251" s="471"/>
      <c r="DJ251" s="471"/>
      <c r="DK251" s="471"/>
      <c r="DL251" s="471"/>
      <c r="DM251" s="471"/>
      <c r="DN251" s="471"/>
      <c r="DO251" s="471"/>
      <c r="DP251" s="471"/>
      <c r="DQ251" s="471"/>
      <c r="DR251" s="471"/>
      <c r="DS251" s="471"/>
      <c r="DT251" s="471"/>
      <c r="DU251" s="471"/>
      <c r="DV251" s="471"/>
      <c r="DW251" s="471"/>
      <c r="DX251" s="471"/>
      <c r="DY251" s="471"/>
      <c r="DZ251" s="471"/>
      <c r="EA251" s="471"/>
      <c r="EB251" s="471"/>
      <c r="EC251" s="471"/>
      <c r="ED251" s="471"/>
      <c r="EE251" s="471"/>
      <c r="EF251" s="471"/>
      <c r="EG251" s="471"/>
      <c r="EH251" s="471"/>
      <c r="EI251" s="471"/>
      <c r="EJ251" s="471"/>
      <c r="EK251" s="471"/>
      <c r="EL251" s="471"/>
      <c r="EM251" s="471"/>
      <c r="EN251" s="471"/>
      <c r="EO251" s="471"/>
      <c r="EP251" s="471"/>
      <c r="EQ251" s="471"/>
      <c r="ER251" s="471"/>
      <c r="ES251" s="471"/>
      <c r="ET251" s="471"/>
      <c r="EU251" s="471"/>
      <c r="EV251" s="471"/>
      <c r="EW251" s="471"/>
      <c r="EX251" s="471"/>
      <c r="EY251" s="471"/>
      <c r="EZ251" s="471"/>
      <c r="FA251" s="471"/>
      <c r="FB251" s="471"/>
      <c r="FC251" s="471"/>
      <c r="FD251" s="471"/>
      <c r="FE251" s="471"/>
      <c r="FF251" s="471"/>
      <c r="FG251" s="471"/>
      <c r="FH251" s="471"/>
      <c r="FI251" s="471"/>
      <c r="FJ251" s="471"/>
      <c r="FK251" s="471"/>
      <c r="FL251" s="471"/>
      <c r="FM251" s="471"/>
      <c r="FN251" s="471"/>
      <c r="FO251" s="471"/>
      <c r="FP251" s="471"/>
      <c r="FQ251" s="471"/>
      <c r="FR251" s="471"/>
      <c r="FS251" s="471"/>
      <c r="FT251" s="471"/>
      <c r="FU251" s="471"/>
      <c r="FV251" s="471"/>
      <c r="FW251" s="471"/>
      <c r="FX251" s="471"/>
      <c r="FY251" s="471"/>
      <c r="FZ251" s="471"/>
      <c r="GA251" s="471"/>
      <c r="GB251" s="471"/>
      <c r="GC251" s="471"/>
      <c r="GD251" s="471"/>
      <c r="GE251" s="471"/>
      <c r="GF251" s="471"/>
      <c r="GG251" s="471"/>
      <c r="GH251" s="471"/>
      <c r="GI251" s="471"/>
      <c r="GJ251" s="471"/>
      <c r="GK251" s="471"/>
      <c r="GL251" s="471"/>
      <c r="GM251" s="471"/>
      <c r="GN251" s="471"/>
      <c r="GO251" s="471"/>
      <c r="GP251" s="471"/>
      <c r="GQ251" s="471"/>
      <c r="GR251" s="471"/>
      <c r="GS251" s="471"/>
      <c r="GT251" s="471"/>
      <c r="GU251" s="471"/>
      <c r="GV251" s="471"/>
      <c r="GW251" s="471"/>
      <c r="GX251" s="471"/>
      <c r="GY251" s="471"/>
      <c r="GZ251" s="471"/>
      <c r="HA251" s="471"/>
      <c r="HB251" s="471"/>
      <c r="HC251" s="471"/>
      <c r="HD251" s="471"/>
      <c r="HE251" s="471"/>
      <c r="HF251" s="471"/>
      <c r="HG251" s="471"/>
      <c r="HH251" s="471"/>
      <c r="HI251" s="471"/>
      <c r="HJ251" s="471"/>
      <c r="HK251" s="471"/>
      <c r="HL251" s="471"/>
      <c r="HM251" s="471"/>
      <c r="HN251" s="471"/>
      <c r="HO251" s="471"/>
      <c r="HP251" s="471"/>
      <c r="HQ251" s="471"/>
      <c r="HR251" s="471"/>
      <c r="HS251" s="471"/>
      <c r="HT251" s="471"/>
      <c r="HU251" s="471"/>
      <c r="HV251" s="471"/>
      <c r="HW251" s="471"/>
      <c r="HX251" s="471"/>
      <c r="HY251" s="471"/>
      <c r="HZ251" s="471"/>
      <c r="IA251" s="471"/>
      <c r="IB251" s="471"/>
      <c r="IC251" s="471"/>
      <c r="ID251" s="471"/>
      <c r="IE251" s="471"/>
      <c r="IF251" s="471"/>
      <c r="IG251" s="471"/>
      <c r="IH251" s="471"/>
      <c r="II251" s="471"/>
      <c r="IJ251" s="471"/>
      <c r="IK251" s="471"/>
      <c r="IL251" s="471"/>
      <c r="IM251" s="471"/>
      <c r="IN251" s="471"/>
      <c r="IO251" s="471"/>
      <c r="IP251" s="471"/>
      <c r="IQ251" s="471"/>
      <c r="IR251" s="471"/>
      <c r="IS251" s="471"/>
      <c r="IT251" s="471"/>
      <c r="IU251" s="471"/>
      <c r="IV251" s="471"/>
      <c r="IW251" s="471"/>
      <c r="IX251" s="471"/>
      <c r="IY251" s="471"/>
      <c r="IZ251" s="471"/>
      <c r="JA251" s="471"/>
      <c r="JB251" s="471"/>
      <c r="JC251" s="471"/>
      <c r="JD251" s="471"/>
      <c r="JE251" s="471"/>
      <c r="JF251" s="471"/>
      <c r="JG251" s="471"/>
      <c r="JH251" s="471"/>
      <c r="JI251" s="471"/>
      <c r="JJ251" s="471"/>
      <c r="JK251" s="471"/>
      <c r="JL251" s="471"/>
      <c r="JM251" s="471"/>
      <c r="JN251" s="471"/>
      <c r="JO251" s="471"/>
      <c r="JP251" s="471"/>
      <c r="JQ251" s="471"/>
      <c r="JR251" s="471"/>
      <c r="JS251" s="471"/>
      <c r="JT251" s="471"/>
      <c r="JU251" s="471"/>
      <c r="JV251" s="471"/>
      <c r="JW251" s="471"/>
      <c r="JX251" s="471"/>
      <c r="JY251" s="471"/>
      <c r="JZ251" s="471"/>
      <c r="KA251" s="471"/>
      <c r="KB251" s="471"/>
      <c r="KC251" s="471"/>
      <c r="KD251" s="471"/>
      <c r="KE251" s="471"/>
      <c r="KF251" s="471"/>
      <c r="KG251" s="471"/>
      <c r="KH251" s="471"/>
      <c r="KI251" s="471"/>
      <c r="KJ251" s="471"/>
      <c r="KK251" s="471"/>
      <c r="KL251" s="471"/>
      <c r="KM251" s="471"/>
      <c r="KN251" s="471"/>
      <c r="KO251" s="471"/>
      <c r="KP251" s="471"/>
      <c r="KQ251" s="471"/>
      <c r="KR251" s="471"/>
      <c r="KS251" s="471"/>
      <c r="KT251" s="471"/>
      <c r="KU251" s="471"/>
      <c r="KV251" s="471"/>
      <c r="KW251" s="471"/>
      <c r="KX251" s="471"/>
      <c r="KY251" s="471"/>
      <c r="KZ251" s="471"/>
      <c r="LA251" s="471"/>
      <c r="LB251" s="471"/>
      <c r="LC251" s="471"/>
      <c r="LD251" s="471"/>
      <c r="LE251" s="471"/>
      <c r="LF251" s="471"/>
      <c r="LG251" s="471"/>
      <c r="LH251" s="471"/>
      <c r="LI251" s="471"/>
      <c r="LJ251" s="471"/>
      <c r="LK251" s="471"/>
      <c r="LL251" s="471"/>
      <c r="LM251" s="471"/>
      <c r="LN251" s="471"/>
      <c r="LO251" s="471"/>
      <c r="LP251" s="471"/>
      <c r="LQ251" s="471"/>
      <c r="LR251" s="471"/>
      <c r="LS251" s="471"/>
      <c r="LT251" s="471"/>
      <c r="LU251" s="471"/>
      <c r="LV251" s="471"/>
      <c r="LW251" s="471"/>
      <c r="LX251" s="471"/>
      <c r="LY251" s="471"/>
      <c r="LZ251" s="471"/>
      <c r="MA251" s="471"/>
      <c r="MB251" s="471"/>
      <c r="MC251" s="471"/>
      <c r="MD251" s="471"/>
      <c r="ME251" s="471"/>
      <c r="MF251" s="471"/>
      <c r="MG251" s="471"/>
      <c r="MH251" s="471"/>
      <c r="MI251" s="471"/>
      <c r="MJ251" s="471"/>
      <c r="MK251" s="471"/>
      <c r="ML251" s="471"/>
      <c r="MM251" s="471"/>
      <c r="MN251" s="471"/>
      <c r="MO251" s="471"/>
      <c r="MP251" s="471"/>
      <c r="MQ251" s="471"/>
      <c r="MR251" s="471"/>
      <c r="MS251" s="471"/>
      <c r="MT251" s="471"/>
      <c r="MU251" s="471"/>
      <c r="MV251" s="471"/>
      <c r="MW251" s="471"/>
      <c r="MX251" s="471"/>
      <c r="MY251" s="471"/>
      <c r="MZ251" s="471"/>
      <c r="NA251" s="471"/>
      <c r="NB251" s="471"/>
      <c r="NC251" s="471"/>
      <c r="ND251" s="471"/>
      <c r="NE251" s="471"/>
      <c r="NF251" s="471"/>
      <c r="NG251" s="471"/>
      <c r="NH251" s="471"/>
      <c r="NI251" s="471"/>
      <c r="NJ251" s="471"/>
      <c r="NK251" s="471"/>
      <c r="NL251" s="471"/>
      <c r="NM251" s="471"/>
      <c r="NN251" s="471"/>
      <c r="NO251" s="471"/>
      <c r="NP251" s="471"/>
      <c r="NQ251" s="471"/>
      <c r="NR251" s="471"/>
      <c r="NS251" s="471"/>
      <c r="NT251" s="471"/>
      <c r="NU251" s="471"/>
      <c r="NV251" s="471"/>
      <c r="NW251" s="471"/>
      <c r="NX251" s="471"/>
      <c r="NY251" s="471"/>
      <c r="NZ251" s="471"/>
      <c r="OA251" s="471"/>
      <c r="OB251" s="471"/>
      <c r="OC251" s="471"/>
      <c r="OD251" s="471"/>
      <c r="OE251" s="471"/>
      <c r="OF251" s="471"/>
      <c r="OG251" s="471"/>
      <c r="OH251" s="471"/>
      <c r="OI251" s="471"/>
      <c r="OJ251" s="471"/>
      <c r="OK251" s="471"/>
      <c r="OL251" s="471"/>
      <c r="OM251" s="471"/>
      <c r="ON251" s="471"/>
      <c r="OO251" s="471"/>
      <c r="OP251" s="471"/>
      <c r="OQ251" s="471"/>
      <c r="OR251" s="471"/>
      <c r="OS251" s="471"/>
      <c r="OT251" s="471"/>
      <c r="OU251" s="471"/>
      <c r="OV251" s="471"/>
      <c r="OW251" s="471"/>
      <c r="OX251" s="471"/>
      <c r="OY251" s="471"/>
      <c r="OZ251" s="471"/>
      <c r="PA251" s="471"/>
      <c r="PB251" s="471"/>
      <c r="PC251" s="471"/>
      <c r="PD251" s="471"/>
      <c r="PE251" s="471"/>
      <c r="PF251" s="471"/>
      <c r="PG251" s="471"/>
      <c r="PH251" s="471"/>
      <c r="PI251" s="471"/>
      <c r="PJ251" s="471"/>
      <c r="PK251" s="471"/>
      <c r="PL251" s="471"/>
      <c r="PM251" s="471"/>
      <c r="PN251" s="471"/>
      <c r="PO251" s="471"/>
      <c r="PP251" s="471"/>
      <c r="PQ251" s="471"/>
      <c r="PR251" s="471"/>
      <c r="PS251" s="471"/>
      <c r="PT251" s="471"/>
      <c r="PU251" s="471"/>
      <c r="PV251" s="471"/>
      <c r="PW251" s="471"/>
      <c r="PX251" s="471"/>
      <c r="PY251" s="471"/>
      <c r="PZ251" s="471"/>
      <c r="QA251" s="471"/>
      <c r="QB251" s="471"/>
      <c r="QC251" s="471"/>
      <c r="QD251" s="471"/>
      <c r="QE251" s="471"/>
      <c r="QF251" s="471"/>
      <c r="QG251" s="471"/>
      <c r="QH251" s="471"/>
      <c r="QI251" s="471"/>
      <c r="QJ251" s="471"/>
      <c r="QK251" s="471"/>
      <c r="QL251" s="471"/>
      <c r="QM251" s="471"/>
      <c r="QN251" s="471"/>
      <c r="QO251" s="471"/>
      <c r="QP251" s="471"/>
      <c r="QQ251" s="471"/>
      <c r="QR251" s="471"/>
      <c r="QS251" s="471"/>
      <c r="QT251" s="471"/>
      <c r="QU251" s="471"/>
      <c r="QV251" s="471"/>
      <c r="QW251" s="471"/>
      <c r="QX251" s="471"/>
      <c r="QY251" s="471"/>
      <c r="QZ251" s="471"/>
      <c r="RA251" s="471"/>
      <c r="RB251" s="471"/>
      <c r="RC251" s="471"/>
      <c r="RD251" s="471"/>
      <c r="RE251" s="471"/>
      <c r="RF251" s="471"/>
      <c r="RG251" s="471"/>
      <c r="RH251" s="471"/>
      <c r="RI251" s="471"/>
      <c r="RJ251" s="471"/>
      <c r="RK251" s="471"/>
      <c r="RL251" s="471"/>
      <c r="RM251" s="471"/>
      <c r="RN251" s="471"/>
      <c r="RO251" s="471"/>
      <c r="RP251" s="471"/>
      <c r="RQ251" s="471"/>
      <c r="RR251" s="471"/>
      <c r="RS251" s="471"/>
      <c r="RT251" s="471"/>
      <c r="RU251" s="471"/>
      <c r="RV251" s="471"/>
      <c r="RW251" s="471"/>
      <c r="RX251" s="471"/>
      <c r="RY251" s="471"/>
      <c r="RZ251" s="471"/>
      <c r="SA251" s="471"/>
      <c r="SB251" s="471"/>
      <c r="SC251" s="471"/>
      <c r="SD251" s="471"/>
      <c r="SE251" s="471"/>
      <c r="SF251" s="471"/>
      <c r="SG251" s="471"/>
      <c r="SH251" s="471"/>
      <c r="SI251" s="471"/>
      <c r="SJ251" s="471"/>
      <c r="SK251" s="471"/>
      <c r="SL251" s="471"/>
      <c r="SM251" s="471"/>
      <c r="SN251" s="471"/>
      <c r="SO251" s="471"/>
      <c r="SP251" s="471"/>
      <c r="SQ251" s="471"/>
      <c r="SR251" s="471"/>
      <c r="SS251" s="471"/>
      <c r="ST251" s="471"/>
      <c r="SU251" s="471"/>
      <c r="SV251" s="471"/>
      <c r="SW251" s="471"/>
      <c r="SX251" s="471"/>
      <c r="SY251" s="471"/>
      <c r="SZ251" s="471"/>
      <c r="TA251" s="471"/>
      <c r="TB251" s="471"/>
      <c r="TC251" s="471"/>
      <c r="TD251" s="471"/>
      <c r="TE251" s="471"/>
      <c r="TF251" s="471"/>
      <c r="TG251" s="471"/>
      <c r="TH251" s="471"/>
      <c r="TI251" s="471"/>
      <c r="TJ251" s="471"/>
      <c r="TK251" s="471"/>
      <c r="TL251" s="471"/>
      <c r="TM251" s="471"/>
      <c r="TN251" s="471"/>
      <c r="TO251" s="471"/>
      <c r="TP251" s="471"/>
      <c r="TQ251" s="471"/>
      <c r="TR251" s="471"/>
      <c r="TS251" s="471"/>
      <c r="TT251" s="471"/>
      <c r="TU251" s="471"/>
      <c r="TV251" s="471"/>
      <c r="TW251" s="471"/>
      <c r="TX251" s="471"/>
      <c r="TY251" s="471"/>
      <c r="TZ251" s="471"/>
      <c r="UA251" s="471"/>
      <c r="UB251" s="471"/>
      <c r="UC251" s="471"/>
      <c r="UD251" s="471"/>
      <c r="UE251" s="471"/>
      <c r="UF251" s="471"/>
      <c r="UG251" s="471"/>
      <c r="UH251" s="471"/>
      <c r="UI251" s="471"/>
      <c r="UJ251" s="471"/>
      <c r="UK251" s="471"/>
      <c r="UL251" s="471"/>
      <c r="UM251" s="471"/>
      <c r="UN251" s="471"/>
      <c r="UO251" s="471"/>
      <c r="UP251" s="471"/>
      <c r="UQ251" s="471"/>
      <c r="UR251" s="471"/>
      <c r="US251" s="471"/>
      <c r="UT251" s="471"/>
      <c r="UU251" s="471"/>
      <c r="UV251" s="471"/>
      <c r="UW251" s="471"/>
      <c r="UX251" s="471"/>
      <c r="UY251" s="471"/>
      <c r="UZ251" s="471"/>
      <c r="VA251" s="471"/>
      <c r="VB251" s="471"/>
      <c r="VC251" s="471"/>
      <c r="VD251" s="471"/>
      <c r="VE251" s="471"/>
      <c r="VF251" s="471"/>
      <c r="VG251" s="471"/>
      <c r="VH251" s="471"/>
      <c r="VI251" s="471"/>
      <c r="VJ251" s="471"/>
      <c r="VK251" s="471"/>
      <c r="VL251" s="471"/>
      <c r="VM251" s="471"/>
      <c r="VN251" s="471"/>
      <c r="VO251" s="471"/>
      <c r="VP251" s="471"/>
      <c r="VQ251" s="471"/>
      <c r="VR251" s="471"/>
      <c r="VS251" s="471"/>
      <c r="VT251" s="471"/>
      <c r="VU251" s="471"/>
      <c r="VV251" s="471"/>
      <c r="VW251" s="471"/>
      <c r="VX251" s="471"/>
      <c r="VY251" s="471"/>
      <c r="VZ251" s="471"/>
      <c r="WA251" s="471"/>
      <c r="WB251" s="471"/>
      <c r="WC251" s="471"/>
      <c r="WD251" s="471"/>
      <c r="WE251" s="471"/>
      <c r="WF251" s="471"/>
      <c r="WG251" s="471"/>
      <c r="WH251" s="471"/>
      <c r="WI251" s="471"/>
      <c r="WJ251" s="471"/>
      <c r="WK251" s="471"/>
      <c r="WL251" s="471"/>
      <c r="WM251" s="471"/>
      <c r="WN251" s="471"/>
      <c r="WO251" s="471"/>
      <c r="WP251" s="471"/>
      <c r="WQ251" s="471"/>
      <c r="WR251" s="471"/>
      <c r="WS251" s="471"/>
      <c r="WT251" s="471"/>
      <c r="WU251" s="471"/>
      <c r="WV251" s="471"/>
      <c r="WW251" s="471"/>
      <c r="WX251" s="471"/>
      <c r="WY251" s="471"/>
      <c r="WZ251" s="471"/>
      <c r="XA251" s="471"/>
      <c r="XB251" s="471"/>
      <c r="XC251" s="471"/>
      <c r="XD251" s="471"/>
      <c r="XE251" s="471"/>
      <c r="XF251" s="471"/>
      <c r="XG251" s="471"/>
      <c r="XH251" s="471"/>
      <c r="XI251" s="471"/>
      <c r="XJ251" s="471"/>
      <c r="XK251" s="471"/>
      <c r="XL251" s="471"/>
      <c r="XM251" s="471"/>
      <c r="XN251" s="471"/>
      <c r="XO251" s="471"/>
      <c r="XP251" s="471"/>
      <c r="XQ251" s="471"/>
      <c r="XR251" s="471"/>
      <c r="XS251" s="471"/>
      <c r="XT251" s="471"/>
      <c r="XU251" s="471"/>
      <c r="XV251" s="471"/>
      <c r="XW251" s="471"/>
      <c r="XX251" s="471"/>
      <c r="XY251" s="471"/>
      <c r="XZ251" s="471"/>
      <c r="YA251" s="471"/>
      <c r="YB251" s="471"/>
      <c r="YC251" s="471"/>
      <c r="YD251" s="471"/>
      <c r="YE251" s="471"/>
      <c r="YF251" s="471"/>
      <c r="YG251" s="471"/>
      <c r="YH251" s="471"/>
      <c r="YI251" s="471"/>
      <c r="YJ251" s="471"/>
      <c r="YK251" s="471"/>
      <c r="YL251" s="471"/>
      <c r="YM251" s="471"/>
      <c r="YN251" s="471"/>
      <c r="YO251" s="471"/>
      <c r="YP251" s="471"/>
      <c r="YQ251" s="471"/>
      <c r="YR251" s="471"/>
      <c r="YS251" s="471"/>
      <c r="YT251" s="471"/>
      <c r="YU251" s="471"/>
      <c r="YV251" s="471"/>
      <c r="YW251" s="471"/>
      <c r="YX251" s="471"/>
      <c r="YY251" s="471"/>
      <c r="YZ251" s="471"/>
      <c r="ZA251" s="471"/>
      <c r="ZB251" s="471"/>
      <c r="ZC251" s="471"/>
      <c r="ZD251" s="471"/>
      <c r="ZE251" s="471"/>
      <c r="ZF251" s="471"/>
      <c r="ZG251" s="471"/>
      <c r="ZH251" s="471"/>
      <c r="ZI251" s="471"/>
      <c r="ZJ251" s="471"/>
      <c r="ZK251" s="471"/>
      <c r="ZL251" s="471"/>
      <c r="ZM251" s="471"/>
      <c r="ZN251" s="471"/>
      <c r="ZO251" s="471"/>
      <c r="ZP251" s="471"/>
      <c r="ZQ251" s="471"/>
      <c r="ZR251" s="471"/>
      <c r="ZS251" s="471"/>
      <c r="ZT251" s="471"/>
      <c r="ZU251" s="471"/>
      <c r="ZV251" s="471"/>
      <c r="ZW251" s="471"/>
      <c r="ZX251" s="471"/>
      <c r="ZY251" s="471"/>
      <c r="ZZ251" s="471"/>
      <c r="AAA251" s="471"/>
      <c r="AAB251" s="471"/>
      <c r="AAC251" s="471"/>
      <c r="AAD251" s="471"/>
      <c r="AAE251" s="471"/>
      <c r="AAF251" s="471"/>
      <c r="AAG251" s="471"/>
      <c r="AAH251" s="471"/>
      <c r="AAI251" s="471"/>
      <c r="AAJ251" s="471"/>
      <c r="AAK251" s="471"/>
      <c r="AAL251" s="471"/>
      <c r="AAM251" s="471"/>
      <c r="AAN251" s="471"/>
      <c r="AAO251" s="471"/>
      <c r="AAP251" s="471"/>
      <c r="AAQ251" s="471"/>
      <c r="AAR251" s="471"/>
      <c r="AAS251" s="471"/>
      <c r="AAT251" s="471"/>
      <c r="AAU251" s="471"/>
      <c r="AAV251" s="471"/>
      <c r="AAW251" s="471"/>
      <c r="AAX251" s="471"/>
      <c r="AAY251" s="471"/>
      <c r="AAZ251" s="471"/>
      <c r="ABA251" s="471"/>
      <c r="ABB251" s="471"/>
      <c r="ABC251" s="471"/>
      <c r="ABD251" s="471"/>
      <c r="ABE251" s="471"/>
      <c r="ABF251" s="471"/>
      <c r="ABG251" s="471"/>
      <c r="ABH251" s="471"/>
      <c r="ABI251" s="471"/>
      <c r="ABJ251" s="471"/>
      <c r="ABK251" s="471"/>
      <c r="ABL251" s="471"/>
      <c r="ABM251" s="471"/>
      <c r="ABN251" s="471"/>
      <c r="ABO251" s="471"/>
      <c r="ABP251" s="471"/>
      <c r="ABQ251" s="471"/>
      <c r="ABR251" s="471"/>
      <c r="ABS251" s="471"/>
      <c r="ABT251" s="471"/>
      <c r="ABU251" s="471"/>
      <c r="ABV251" s="471"/>
      <c r="ABW251" s="471"/>
      <c r="ABX251" s="471"/>
      <c r="ABY251" s="471"/>
      <c r="ABZ251" s="471"/>
      <c r="ACA251" s="471"/>
      <c r="ACB251" s="471"/>
      <c r="ACC251" s="471"/>
      <c r="ACD251" s="471"/>
      <c r="ACE251" s="471"/>
      <c r="ACF251" s="471"/>
      <c r="ACG251" s="471"/>
      <c r="ACH251" s="471"/>
      <c r="ACI251" s="471"/>
      <c r="ACJ251" s="471"/>
      <c r="ACK251" s="471"/>
      <c r="ACL251" s="471"/>
      <c r="ACM251" s="471"/>
      <c r="ACN251" s="471"/>
      <c r="ACO251" s="471"/>
      <c r="ACP251" s="471"/>
      <c r="ACQ251" s="471"/>
      <c r="ACR251" s="471"/>
      <c r="ACS251" s="471"/>
      <c r="ACT251" s="471"/>
      <c r="ACU251" s="471"/>
      <c r="ACV251" s="471"/>
      <c r="ACW251" s="471"/>
      <c r="ACX251" s="471"/>
      <c r="ACY251" s="471"/>
      <c r="ACZ251" s="471"/>
      <c r="ADA251" s="471"/>
      <c r="ADB251" s="471"/>
      <c r="ADC251" s="471"/>
      <c r="ADD251" s="471"/>
      <c r="ADE251" s="471"/>
      <c r="ADF251" s="471"/>
      <c r="ADG251" s="471"/>
      <c r="ADH251" s="471"/>
      <c r="ADI251" s="471"/>
      <c r="ADJ251" s="471"/>
      <c r="ADK251" s="471"/>
      <c r="ADL251" s="471"/>
      <c r="ADM251" s="471"/>
      <c r="ADN251" s="471"/>
      <c r="ADO251" s="471"/>
      <c r="ADP251" s="471"/>
      <c r="ADQ251" s="471"/>
      <c r="ADR251" s="471"/>
      <c r="ADS251" s="471"/>
      <c r="ADT251" s="471"/>
      <c r="ADU251" s="471"/>
      <c r="ADV251" s="471"/>
      <c r="ADW251" s="471"/>
      <c r="ADX251" s="471"/>
      <c r="ADY251" s="471"/>
      <c r="ADZ251" s="471"/>
      <c r="AEA251" s="471"/>
      <c r="AEB251" s="471"/>
      <c r="AEC251" s="471"/>
      <c r="AED251" s="471"/>
      <c r="AEE251" s="471"/>
      <c r="AEF251" s="471"/>
      <c r="AEG251" s="471"/>
      <c r="AEH251" s="471"/>
      <c r="AEI251" s="471"/>
      <c r="AEJ251" s="471"/>
      <c r="AEK251" s="471"/>
      <c r="AEL251" s="471"/>
      <c r="AEM251" s="471"/>
      <c r="AEN251" s="471"/>
      <c r="AEO251" s="471"/>
      <c r="AEP251" s="471"/>
      <c r="AEQ251" s="471"/>
      <c r="AER251" s="471"/>
      <c r="AES251" s="471"/>
      <c r="AET251" s="471"/>
      <c r="AEU251" s="471"/>
      <c r="AEV251" s="471"/>
      <c r="AEW251" s="471"/>
      <c r="AEX251" s="471"/>
      <c r="AEY251" s="471"/>
      <c r="AEZ251" s="471"/>
      <c r="AFA251" s="471"/>
      <c r="AFB251" s="471"/>
      <c r="AFC251" s="471"/>
      <c r="AFD251" s="471"/>
      <c r="AFE251" s="471"/>
      <c r="AFF251" s="471"/>
      <c r="AFG251" s="471"/>
      <c r="AFH251" s="471"/>
      <c r="AFI251" s="471"/>
      <c r="AFJ251" s="471"/>
      <c r="AFK251" s="471"/>
      <c r="AFL251" s="471"/>
      <c r="AFM251" s="471"/>
      <c r="AFN251" s="471"/>
      <c r="AFO251" s="471"/>
      <c r="AFP251" s="471"/>
      <c r="AFQ251" s="471"/>
      <c r="AFR251" s="471"/>
      <c r="AFS251" s="471"/>
      <c r="AFT251" s="471"/>
      <c r="AFU251" s="471"/>
      <c r="AFV251" s="471"/>
      <c r="AFW251" s="471"/>
      <c r="AFX251" s="471"/>
      <c r="AFY251" s="471"/>
      <c r="AFZ251" s="471"/>
      <c r="AGA251" s="471"/>
      <c r="AGB251" s="471"/>
      <c r="AGC251" s="471"/>
      <c r="AGD251" s="471"/>
      <c r="AGE251" s="471"/>
      <c r="AGF251" s="471"/>
      <c r="AGG251" s="471"/>
      <c r="AGH251" s="471"/>
      <c r="AGI251" s="471"/>
      <c r="AGJ251" s="471"/>
      <c r="AGK251" s="471"/>
      <c r="AGL251" s="471"/>
      <c r="AGM251" s="471"/>
      <c r="AGN251" s="471"/>
      <c r="AGO251" s="471"/>
      <c r="AGP251" s="471"/>
      <c r="AGQ251" s="471"/>
      <c r="AGR251" s="471"/>
      <c r="AGS251" s="471"/>
      <c r="AGT251" s="471"/>
      <c r="AGU251" s="471"/>
      <c r="AGV251" s="471"/>
      <c r="AGW251" s="471"/>
      <c r="AGX251" s="471"/>
      <c r="AGY251" s="471"/>
      <c r="AGZ251" s="471"/>
      <c r="AHA251" s="471"/>
      <c r="AHB251" s="471"/>
      <c r="AHC251" s="471"/>
      <c r="AHD251" s="471"/>
      <c r="AHE251" s="471"/>
      <c r="AHF251" s="471"/>
      <c r="AHG251" s="471"/>
      <c r="AHH251" s="471"/>
      <c r="AHI251" s="471"/>
      <c r="AHJ251" s="471"/>
      <c r="AHK251" s="471"/>
      <c r="AHL251" s="471"/>
      <c r="AHM251" s="471"/>
      <c r="AHN251" s="471"/>
      <c r="AHO251" s="471"/>
      <c r="AHP251" s="471"/>
      <c r="AHQ251" s="471"/>
      <c r="AHR251" s="471"/>
      <c r="AHS251" s="471"/>
      <c r="AHT251" s="471"/>
      <c r="AHU251" s="471"/>
      <c r="AHV251" s="471"/>
      <c r="AHW251" s="471"/>
      <c r="AHX251" s="471"/>
      <c r="AHY251" s="471"/>
      <c r="AHZ251" s="471"/>
      <c r="AIA251" s="471"/>
      <c r="AIB251" s="471"/>
      <c r="AIC251" s="471"/>
      <c r="AID251" s="471"/>
      <c r="AIE251" s="471"/>
      <c r="AIF251" s="471"/>
      <c r="AIG251" s="471"/>
      <c r="AIH251" s="471"/>
      <c r="AII251" s="471"/>
      <c r="AIJ251" s="471"/>
      <c r="AIK251" s="471"/>
      <c r="AIL251" s="471"/>
      <c r="AIM251" s="471"/>
      <c r="AIN251" s="471"/>
      <c r="AIO251" s="471"/>
      <c r="AIP251" s="471"/>
      <c r="AIQ251" s="471"/>
      <c r="AIR251" s="471"/>
      <c r="AIS251" s="471"/>
      <c r="AIT251" s="471"/>
      <c r="AIU251" s="471"/>
      <c r="AIV251" s="471"/>
      <c r="AIW251" s="471"/>
      <c r="AIX251" s="471"/>
      <c r="AIY251" s="471"/>
      <c r="AIZ251" s="471"/>
      <c r="AJA251" s="471"/>
      <c r="AJB251" s="471"/>
      <c r="AJC251" s="471"/>
      <c r="AJD251" s="471"/>
      <c r="AJE251" s="471"/>
      <c r="AJF251" s="471"/>
      <c r="AJG251" s="471"/>
      <c r="AJH251" s="471"/>
      <c r="AJI251" s="471"/>
      <c r="AJJ251" s="471"/>
      <c r="AJK251" s="471"/>
      <c r="AJL251" s="471"/>
      <c r="AJM251" s="471"/>
      <c r="AJN251" s="471"/>
      <c r="AJO251" s="471"/>
      <c r="AJP251" s="471"/>
      <c r="AJQ251" s="471"/>
      <c r="AJR251" s="471"/>
      <c r="AJS251" s="471"/>
      <c r="AJT251" s="471"/>
      <c r="AJU251" s="471"/>
      <c r="AJV251" s="471"/>
      <c r="AJW251" s="471"/>
      <c r="AJX251" s="471"/>
      <c r="AJY251" s="471"/>
      <c r="AJZ251" s="471"/>
      <c r="AKA251" s="471"/>
      <c r="AKB251" s="471"/>
      <c r="AKC251" s="471"/>
      <c r="AKD251" s="471"/>
      <c r="AKE251" s="471"/>
      <c r="AKF251" s="471"/>
      <c r="AKG251" s="471"/>
      <c r="AKH251" s="471"/>
      <c r="AKI251" s="471"/>
      <c r="AKJ251" s="471"/>
      <c r="AKK251" s="471"/>
      <c r="AKL251" s="471"/>
      <c r="AKM251" s="471"/>
      <c r="AKN251" s="471"/>
      <c r="AKO251" s="471"/>
      <c r="AKP251" s="471"/>
      <c r="AKQ251" s="471"/>
      <c r="AKR251" s="471"/>
      <c r="AKS251" s="471"/>
      <c r="AKT251" s="471"/>
      <c r="AKU251" s="471"/>
      <c r="AKV251" s="471"/>
      <c r="AKW251" s="471"/>
      <c r="AKX251" s="471"/>
      <c r="AKY251" s="471"/>
      <c r="AKZ251" s="471"/>
      <c r="ALA251" s="471"/>
      <c r="ALB251" s="471"/>
      <c r="ALC251" s="471"/>
      <c r="ALD251" s="471"/>
      <c r="ALE251" s="471"/>
      <c r="ALF251" s="471"/>
      <c r="ALG251" s="471"/>
      <c r="ALH251" s="471"/>
      <c r="ALI251" s="471"/>
      <c r="ALJ251" s="471"/>
      <c r="ALK251" s="471"/>
      <c r="ALL251" s="471"/>
      <c r="ALM251" s="471"/>
      <c r="ALN251" s="471"/>
      <c r="ALO251" s="471"/>
      <c r="ALP251" s="471"/>
      <c r="ALQ251" s="471"/>
      <c r="ALR251" s="471"/>
      <c r="ALS251" s="471"/>
      <c r="ALT251" s="471"/>
      <c r="ALU251" s="471"/>
      <c r="ALV251" s="471"/>
      <c r="ALW251" s="471"/>
      <c r="ALX251" s="471"/>
      <c r="ALY251" s="471"/>
      <c r="ALZ251" s="471"/>
      <c r="AMA251" s="471"/>
      <c r="AMB251" s="471"/>
      <c r="AMC251" s="471"/>
      <c r="AMD251" s="471"/>
      <c r="AME251" s="471"/>
      <c r="AMF251" s="471"/>
      <c r="AMG251" s="471"/>
      <c r="AMH251" s="471"/>
      <c r="AMI251" s="471"/>
      <c r="AMJ251" s="471"/>
      <c r="AMK251" s="471"/>
      <c r="AML251" s="471"/>
      <c r="AMM251" s="471"/>
      <c r="AMN251" s="471"/>
      <c r="AMO251" s="471"/>
      <c r="AMP251" s="471"/>
      <c r="AMQ251" s="471"/>
      <c r="AMR251" s="471"/>
      <c r="AMS251" s="471"/>
      <c r="AMT251" s="471"/>
      <c r="AMU251" s="471"/>
      <c r="AMV251" s="471"/>
      <c r="AMW251" s="471"/>
      <c r="AMX251" s="471"/>
      <c r="AMY251" s="471"/>
      <c r="AMZ251" s="471"/>
      <c r="ANA251" s="471"/>
      <c r="ANB251" s="471"/>
      <c r="ANC251" s="471"/>
      <c r="AND251" s="471"/>
      <c r="ANE251" s="471"/>
      <c r="ANF251" s="471"/>
      <c r="ANG251" s="471"/>
      <c r="ANH251" s="471"/>
      <c r="ANI251" s="471"/>
      <c r="ANJ251" s="471"/>
      <c r="ANK251" s="471"/>
      <c r="ANL251" s="471"/>
      <c r="ANM251" s="471"/>
      <c r="ANN251" s="471"/>
      <c r="ANO251" s="471"/>
      <c r="ANP251" s="471"/>
      <c r="ANQ251" s="471"/>
      <c r="ANR251" s="471"/>
      <c r="ANS251" s="471"/>
      <c r="ANT251" s="471"/>
      <c r="ANU251" s="471"/>
      <c r="ANV251" s="471"/>
      <c r="ANW251" s="471"/>
      <c r="ANX251" s="471"/>
      <c r="ANY251" s="471"/>
      <c r="ANZ251" s="471"/>
      <c r="AOA251" s="471"/>
      <c r="AOB251" s="471"/>
      <c r="AOC251" s="471"/>
      <c r="AOD251" s="471"/>
      <c r="AOE251" s="471"/>
      <c r="AOF251" s="471"/>
      <c r="AOG251" s="471"/>
      <c r="AOH251" s="471"/>
      <c r="AOI251" s="471"/>
      <c r="AOJ251" s="471"/>
      <c r="AOK251" s="471"/>
      <c r="AOL251" s="471"/>
      <c r="AOM251" s="471"/>
      <c r="AON251" s="471"/>
      <c r="AOO251" s="471"/>
      <c r="AOP251" s="471"/>
      <c r="AOQ251" s="471"/>
      <c r="AOR251" s="471"/>
      <c r="AOS251" s="471"/>
      <c r="AOT251" s="471"/>
      <c r="AOU251" s="471"/>
      <c r="AOV251" s="471"/>
      <c r="AOW251" s="471"/>
      <c r="AOX251" s="471"/>
      <c r="AOY251" s="471"/>
      <c r="AOZ251" s="471"/>
      <c r="APA251" s="471"/>
      <c r="APB251" s="471"/>
      <c r="APC251" s="471"/>
      <c r="APD251" s="471"/>
      <c r="APE251" s="471"/>
      <c r="APF251" s="471"/>
      <c r="APG251" s="471"/>
      <c r="APH251" s="471"/>
      <c r="API251" s="471"/>
      <c r="APJ251" s="471"/>
      <c r="APK251" s="471"/>
      <c r="APL251" s="471"/>
      <c r="APM251" s="471"/>
      <c r="APN251" s="471"/>
      <c r="APO251" s="471"/>
      <c r="APP251" s="471"/>
      <c r="APQ251" s="471"/>
      <c r="APR251" s="471"/>
      <c r="APS251" s="471"/>
      <c r="APT251" s="471"/>
      <c r="APU251" s="471"/>
      <c r="APV251" s="471"/>
      <c r="APW251" s="471"/>
      <c r="APX251" s="471"/>
      <c r="APY251" s="471"/>
      <c r="APZ251" s="471"/>
      <c r="AQA251" s="471"/>
      <c r="AQB251" s="471"/>
      <c r="AQC251" s="471"/>
      <c r="AQD251" s="471"/>
      <c r="AQE251" s="471"/>
      <c r="AQF251" s="471"/>
      <c r="AQG251" s="471"/>
      <c r="AQH251" s="471"/>
      <c r="AQI251" s="471"/>
      <c r="AQJ251" s="471"/>
      <c r="AQK251" s="471"/>
      <c r="AQL251" s="471"/>
      <c r="AQM251" s="471"/>
      <c r="AQN251" s="471"/>
      <c r="AQO251" s="471"/>
      <c r="AQP251" s="471"/>
      <c r="AQQ251" s="471"/>
      <c r="AQR251" s="471"/>
      <c r="AQS251" s="471"/>
      <c r="AQT251" s="471"/>
      <c r="AQU251" s="471"/>
      <c r="AQV251" s="471"/>
      <c r="AQW251" s="471"/>
      <c r="AQX251" s="471"/>
      <c r="AQY251" s="471"/>
      <c r="AQZ251" s="471"/>
      <c r="ARA251" s="471"/>
      <c r="ARB251" s="471"/>
      <c r="ARC251" s="471"/>
      <c r="ARD251" s="471"/>
      <c r="ARE251" s="471"/>
      <c r="ARF251" s="471"/>
      <c r="ARG251" s="471"/>
      <c r="ARH251" s="471"/>
      <c r="ARI251" s="471"/>
      <c r="ARJ251" s="471"/>
      <c r="ARK251" s="471"/>
      <c r="ARL251" s="471"/>
      <c r="ARM251" s="471"/>
      <c r="ARN251" s="471"/>
      <c r="ARO251" s="471"/>
      <c r="ARP251" s="471"/>
      <c r="ARQ251" s="471"/>
      <c r="ARR251" s="471"/>
      <c r="ARS251" s="471"/>
      <c r="ART251" s="471"/>
      <c r="ARU251" s="471"/>
      <c r="ARV251" s="471"/>
      <c r="ARW251" s="471"/>
      <c r="ARX251" s="471"/>
      <c r="ARY251" s="471"/>
      <c r="ARZ251" s="471"/>
      <c r="ASA251" s="471"/>
      <c r="ASB251" s="471"/>
      <c r="ASC251" s="471"/>
      <c r="ASD251" s="471"/>
      <c r="ASE251" s="471"/>
      <c r="ASF251" s="471"/>
      <c r="ASG251" s="471"/>
      <c r="ASH251" s="471"/>
      <c r="ASI251" s="471"/>
      <c r="ASJ251" s="471"/>
      <c r="ASK251" s="471"/>
      <c r="ASL251" s="471"/>
      <c r="ASM251" s="471"/>
      <c r="ASN251" s="471"/>
      <c r="ASO251" s="471"/>
      <c r="ASP251" s="471"/>
      <c r="ASQ251" s="471"/>
      <c r="ASR251" s="471"/>
      <c r="ASS251" s="471"/>
      <c r="AST251" s="471"/>
      <c r="ASU251" s="471"/>
      <c r="ASV251" s="471"/>
      <c r="ASW251" s="471"/>
      <c r="ASX251" s="471"/>
      <c r="ASY251" s="471"/>
      <c r="ASZ251" s="471"/>
      <c r="ATA251" s="471"/>
      <c r="ATB251" s="471"/>
      <c r="ATC251" s="471"/>
      <c r="ATD251" s="471"/>
      <c r="ATE251" s="471"/>
      <c r="ATF251" s="471"/>
      <c r="ATG251" s="471"/>
      <c r="ATH251" s="471"/>
      <c r="ATI251" s="471"/>
      <c r="ATJ251" s="471"/>
      <c r="ATK251" s="471"/>
      <c r="ATL251" s="471"/>
      <c r="ATM251" s="471"/>
      <c r="ATN251" s="471"/>
      <c r="ATO251" s="471"/>
      <c r="ATP251" s="471"/>
      <c r="ATQ251" s="471"/>
      <c r="ATR251" s="471"/>
      <c r="ATS251" s="471"/>
      <c r="ATT251" s="471"/>
      <c r="ATU251" s="471"/>
      <c r="ATV251" s="471"/>
      <c r="ATW251" s="471"/>
      <c r="ATX251" s="471"/>
      <c r="ATY251" s="471"/>
      <c r="ATZ251" s="471"/>
      <c r="AUA251" s="471"/>
      <c r="AUB251" s="471"/>
      <c r="AUC251" s="471"/>
      <c r="AUD251" s="471"/>
      <c r="AUE251" s="471"/>
      <c r="AUF251" s="471"/>
      <c r="AUG251" s="471"/>
      <c r="AUH251" s="471"/>
      <c r="AUI251" s="471"/>
      <c r="AUJ251" s="471"/>
      <c r="AUK251" s="471"/>
      <c r="AUL251" s="471"/>
      <c r="AUM251" s="471"/>
      <c r="AUN251" s="471"/>
      <c r="AUO251" s="471"/>
      <c r="AUP251" s="471"/>
      <c r="AUQ251" s="471"/>
      <c r="AUR251" s="471"/>
      <c r="AUS251" s="471"/>
      <c r="AUT251" s="471"/>
      <c r="AUU251" s="471"/>
      <c r="AUV251" s="471"/>
      <c r="AUW251" s="471"/>
      <c r="AUX251" s="471"/>
      <c r="AUY251" s="471"/>
      <c r="AUZ251" s="471"/>
      <c r="AVA251" s="471"/>
      <c r="AVB251" s="471"/>
      <c r="AVC251" s="471"/>
      <c r="AVD251" s="471"/>
      <c r="AVE251" s="471"/>
      <c r="AVF251" s="471"/>
      <c r="AVG251" s="471"/>
      <c r="AVH251" s="471"/>
      <c r="AVI251" s="471"/>
      <c r="AVJ251" s="471"/>
      <c r="AVK251" s="471"/>
      <c r="AVL251" s="471"/>
      <c r="AVM251" s="471"/>
      <c r="AVN251" s="471"/>
      <c r="AVO251" s="471"/>
      <c r="AVP251" s="471"/>
      <c r="AVQ251" s="471"/>
      <c r="AVR251" s="471"/>
      <c r="AVS251" s="471"/>
      <c r="AVT251" s="471"/>
      <c r="AVU251" s="471"/>
      <c r="AVV251" s="471"/>
      <c r="AVW251" s="471"/>
      <c r="AVX251" s="471"/>
      <c r="AVY251" s="471"/>
      <c r="AVZ251" s="471"/>
      <c r="AWA251" s="471"/>
      <c r="AWB251" s="471"/>
      <c r="AWC251" s="471"/>
      <c r="AWD251" s="471"/>
      <c r="AWE251" s="471"/>
      <c r="AWF251" s="471"/>
      <c r="AWG251" s="471"/>
      <c r="AWH251" s="471"/>
      <c r="AWI251" s="471"/>
      <c r="AWJ251" s="471"/>
      <c r="AWK251" s="471"/>
      <c r="AWL251" s="471"/>
      <c r="AWM251" s="471"/>
      <c r="AWN251" s="471"/>
      <c r="AWO251" s="471"/>
      <c r="AWP251" s="471"/>
      <c r="AWQ251" s="471"/>
      <c r="AWR251" s="471"/>
      <c r="AWS251" s="471"/>
      <c r="AWT251" s="471"/>
      <c r="AWU251" s="471"/>
      <c r="AWV251" s="471"/>
      <c r="AWW251" s="471"/>
      <c r="AWX251" s="471"/>
      <c r="AWY251" s="471"/>
      <c r="AWZ251" s="471"/>
      <c r="AXA251" s="471"/>
      <c r="AXB251" s="471"/>
      <c r="AXC251" s="471"/>
      <c r="AXD251" s="471"/>
      <c r="AXE251" s="471"/>
      <c r="AXF251" s="471"/>
      <c r="AXG251" s="471"/>
      <c r="AXH251" s="471"/>
      <c r="AXI251" s="471"/>
      <c r="AXJ251" s="471"/>
      <c r="AXK251" s="471"/>
      <c r="AXL251" s="471"/>
      <c r="AXM251" s="471"/>
      <c r="AXN251" s="471"/>
      <c r="AXO251" s="471"/>
      <c r="AXP251" s="471"/>
      <c r="AXQ251" s="471"/>
      <c r="AXR251" s="471"/>
      <c r="AXS251" s="471"/>
      <c r="AXT251" s="471"/>
      <c r="AXU251" s="471"/>
      <c r="AXV251" s="471"/>
      <c r="AXW251" s="471"/>
      <c r="AXX251" s="471"/>
      <c r="AXY251" s="471"/>
      <c r="AXZ251" s="471"/>
      <c r="AYA251" s="471"/>
      <c r="AYB251" s="471"/>
      <c r="AYC251" s="471"/>
      <c r="AYD251" s="471"/>
      <c r="AYE251" s="471"/>
      <c r="AYF251" s="471"/>
      <c r="AYG251" s="471"/>
      <c r="AYH251" s="471"/>
      <c r="AYI251" s="471"/>
      <c r="AYJ251" s="471"/>
      <c r="AYK251" s="471"/>
      <c r="AYL251" s="471"/>
      <c r="AYM251" s="471"/>
      <c r="AYN251" s="471"/>
      <c r="AYO251" s="471"/>
      <c r="AYP251" s="471"/>
      <c r="AYQ251" s="471"/>
      <c r="AYR251" s="471"/>
      <c r="AYS251" s="471"/>
      <c r="AYT251" s="471"/>
      <c r="AYU251" s="471"/>
      <c r="AYV251" s="471"/>
      <c r="AYW251" s="471"/>
      <c r="AYX251" s="471"/>
      <c r="AYY251" s="471"/>
      <c r="AYZ251" s="471"/>
      <c r="AZA251" s="471"/>
      <c r="AZB251" s="471"/>
      <c r="AZC251" s="471"/>
      <c r="AZD251" s="471"/>
      <c r="AZE251" s="471"/>
      <c r="AZF251" s="471"/>
      <c r="AZG251" s="471"/>
      <c r="AZH251" s="471"/>
      <c r="AZI251" s="471"/>
      <c r="AZJ251" s="471"/>
      <c r="AZK251" s="471"/>
      <c r="AZL251" s="471"/>
      <c r="AZM251" s="471"/>
      <c r="AZN251" s="471"/>
      <c r="AZO251" s="471"/>
      <c r="AZP251" s="471"/>
      <c r="AZQ251" s="471"/>
      <c r="AZR251" s="471"/>
      <c r="AZS251" s="471"/>
      <c r="AZT251" s="471"/>
      <c r="AZU251" s="471"/>
      <c r="AZV251" s="471"/>
      <c r="AZW251" s="471"/>
      <c r="AZX251" s="471"/>
      <c r="AZY251" s="471"/>
      <c r="AZZ251" s="471"/>
      <c r="BAA251" s="471"/>
      <c r="BAB251" s="471"/>
      <c r="BAC251" s="471"/>
      <c r="BAD251" s="471"/>
      <c r="BAE251" s="471"/>
      <c r="BAF251" s="471"/>
      <c r="BAG251" s="471"/>
      <c r="BAH251" s="471"/>
      <c r="BAI251" s="471"/>
      <c r="BAJ251" s="471"/>
      <c r="BAK251" s="471"/>
      <c r="BAL251" s="471"/>
      <c r="BAM251" s="471"/>
      <c r="BAN251" s="471"/>
      <c r="BAO251" s="471"/>
      <c r="BAP251" s="471"/>
      <c r="BAQ251" s="471"/>
      <c r="BAR251" s="471"/>
      <c r="BAS251" s="471"/>
      <c r="BAT251" s="471"/>
      <c r="BAU251" s="471"/>
      <c r="BAV251" s="471"/>
      <c r="BAW251" s="471"/>
      <c r="BAX251" s="471"/>
      <c r="BAY251" s="471"/>
      <c r="BAZ251" s="471"/>
      <c r="BBA251" s="471"/>
      <c r="BBB251" s="471"/>
      <c r="BBC251" s="471"/>
      <c r="BBD251" s="471"/>
      <c r="BBE251" s="471"/>
      <c r="BBF251" s="471"/>
      <c r="BBG251" s="471"/>
      <c r="BBH251" s="471"/>
      <c r="BBI251" s="471"/>
      <c r="BBJ251" s="471"/>
      <c r="BBK251" s="471"/>
      <c r="BBL251" s="471"/>
      <c r="BBM251" s="471"/>
      <c r="BBN251" s="471"/>
      <c r="BBO251" s="471"/>
      <c r="BBP251" s="471"/>
      <c r="BBQ251" s="471"/>
      <c r="BBR251" s="471"/>
      <c r="BBS251" s="471"/>
      <c r="BBT251" s="471"/>
      <c r="BBU251" s="471"/>
      <c r="BBV251" s="471"/>
      <c r="BBW251" s="471"/>
      <c r="BBX251" s="471"/>
      <c r="BBY251" s="471"/>
      <c r="BBZ251" s="471"/>
      <c r="BCA251" s="471"/>
      <c r="BCB251" s="471"/>
      <c r="BCC251" s="471"/>
      <c r="BCD251" s="471"/>
      <c r="BCE251" s="471"/>
      <c r="BCF251" s="471"/>
      <c r="BCG251" s="471"/>
      <c r="BCH251" s="471"/>
      <c r="BCI251" s="471"/>
      <c r="BCJ251" s="471"/>
      <c r="BCK251" s="471"/>
      <c r="BCL251" s="471"/>
      <c r="BCM251" s="471"/>
      <c r="BCN251" s="471"/>
      <c r="BCO251" s="471"/>
      <c r="BCP251" s="471"/>
      <c r="BCQ251" s="471"/>
      <c r="BCR251" s="471"/>
      <c r="BCS251" s="471"/>
      <c r="BCT251" s="471"/>
      <c r="BCU251" s="471"/>
      <c r="BCV251" s="471"/>
      <c r="BCW251" s="471"/>
      <c r="BCX251" s="471"/>
      <c r="BCY251" s="471"/>
      <c r="BCZ251" s="471"/>
      <c r="BDA251" s="471"/>
      <c r="BDB251" s="471"/>
      <c r="BDC251" s="471"/>
      <c r="BDD251" s="471"/>
      <c r="BDE251" s="471"/>
      <c r="BDF251" s="471"/>
      <c r="BDG251" s="471"/>
      <c r="BDH251" s="471"/>
      <c r="BDI251" s="471"/>
      <c r="BDJ251" s="471"/>
      <c r="BDK251" s="471"/>
      <c r="BDL251" s="471"/>
      <c r="BDM251" s="471"/>
      <c r="BDN251" s="471"/>
      <c r="BDO251" s="471"/>
      <c r="BDP251" s="471"/>
      <c r="BDQ251" s="471"/>
      <c r="BDR251" s="471"/>
      <c r="BDS251" s="471"/>
      <c r="BDT251" s="471"/>
      <c r="BDU251" s="471"/>
      <c r="BDV251" s="471"/>
      <c r="BDW251" s="471"/>
      <c r="BDX251" s="471"/>
      <c r="BDY251" s="471"/>
      <c r="BDZ251" s="471"/>
      <c r="BEA251" s="471"/>
      <c r="BEB251" s="471"/>
      <c r="BEC251" s="471"/>
      <c r="BED251" s="471"/>
      <c r="BEE251" s="471"/>
      <c r="BEF251" s="471"/>
      <c r="BEG251" s="471"/>
      <c r="BEH251" s="471"/>
      <c r="BEI251" s="471"/>
      <c r="BEJ251" s="471"/>
      <c r="BEK251" s="471"/>
      <c r="BEL251" s="471"/>
      <c r="BEM251" s="471"/>
      <c r="BEN251" s="471"/>
      <c r="BEO251" s="471"/>
      <c r="BEP251" s="471"/>
      <c r="BEQ251" s="471"/>
      <c r="BER251" s="471"/>
      <c r="BES251" s="471"/>
      <c r="BET251" s="471"/>
      <c r="BEU251" s="471"/>
      <c r="BEV251" s="471"/>
      <c r="BEW251" s="471"/>
      <c r="BEX251" s="471"/>
      <c r="BEY251" s="471"/>
      <c r="BEZ251" s="471"/>
      <c r="BFA251" s="471"/>
      <c r="BFB251" s="471"/>
      <c r="BFC251" s="471"/>
      <c r="BFD251" s="471"/>
      <c r="BFE251" s="471"/>
      <c r="BFF251" s="471"/>
      <c r="BFG251" s="471"/>
      <c r="BFH251" s="471"/>
      <c r="BFI251" s="471"/>
      <c r="BFJ251" s="471"/>
      <c r="BFK251" s="471"/>
      <c r="BFL251" s="471"/>
      <c r="BFM251" s="471"/>
      <c r="BFN251" s="471"/>
      <c r="BFO251" s="471"/>
      <c r="BFP251" s="471"/>
      <c r="BFQ251" s="471"/>
      <c r="BFR251" s="471"/>
      <c r="BFS251" s="471"/>
      <c r="BFT251" s="471"/>
      <c r="BFU251" s="471"/>
      <c r="BFV251" s="471"/>
      <c r="BFW251" s="471"/>
      <c r="BFX251" s="471"/>
      <c r="BFY251" s="471"/>
      <c r="BFZ251" s="471"/>
      <c r="BGA251" s="471"/>
      <c r="BGB251" s="471"/>
      <c r="BGC251" s="471"/>
      <c r="BGD251" s="471"/>
      <c r="BGE251" s="471"/>
      <c r="BGF251" s="471"/>
      <c r="BGG251" s="471"/>
      <c r="BGH251" s="471"/>
      <c r="BGI251" s="471"/>
      <c r="BGJ251" s="471"/>
      <c r="BGK251" s="471"/>
      <c r="BGL251" s="471"/>
      <c r="BGM251" s="471"/>
      <c r="BGN251" s="471"/>
      <c r="BGO251" s="471"/>
      <c r="BGP251" s="471"/>
      <c r="BGQ251" s="471"/>
      <c r="BGR251" s="471"/>
      <c r="BGS251" s="471"/>
      <c r="BGT251" s="471"/>
      <c r="BGU251" s="471"/>
      <c r="BGV251" s="471"/>
      <c r="BGW251" s="471"/>
      <c r="BGX251" s="471"/>
      <c r="BGY251" s="471"/>
      <c r="BGZ251" s="471"/>
      <c r="BHA251" s="471"/>
      <c r="BHB251" s="471"/>
      <c r="BHC251" s="471"/>
      <c r="BHD251" s="471"/>
      <c r="BHE251" s="471"/>
      <c r="BHF251" s="471"/>
      <c r="BHG251" s="471"/>
      <c r="BHH251" s="471"/>
      <c r="BHI251" s="471"/>
      <c r="BHJ251" s="471"/>
      <c r="BHK251" s="471"/>
      <c r="BHL251" s="471"/>
      <c r="BHM251" s="471"/>
      <c r="BHN251" s="471"/>
      <c r="BHO251" s="471"/>
      <c r="BHP251" s="471"/>
      <c r="BHQ251" s="471"/>
      <c r="BHR251" s="471"/>
      <c r="BHS251" s="471"/>
      <c r="BHT251" s="471"/>
      <c r="BHU251" s="471"/>
      <c r="BHV251" s="471"/>
      <c r="BHW251" s="471"/>
      <c r="BHX251" s="471"/>
      <c r="BHY251" s="471"/>
      <c r="BHZ251" s="471"/>
      <c r="BIA251" s="471"/>
      <c r="BIB251" s="471"/>
      <c r="BIC251" s="471"/>
      <c r="BID251" s="471"/>
      <c r="BIE251" s="471"/>
      <c r="BIF251" s="471"/>
      <c r="BIG251" s="471"/>
      <c r="BIH251" s="471"/>
      <c r="BII251" s="471"/>
      <c r="BIJ251" s="471"/>
      <c r="BIK251" s="471"/>
      <c r="BIL251" s="471"/>
      <c r="BIM251" s="471"/>
      <c r="BIN251" s="471"/>
      <c r="BIO251" s="471"/>
      <c r="BIP251" s="471"/>
      <c r="BIQ251" s="471"/>
      <c r="BIR251" s="471"/>
      <c r="BIS251" s="471"/>
      <c r="BIT251" s="471"/>
      <c r="BIU251" s="471"/>
      <c r="BIV251" s="471"/>
      <c r="BIW251" s="471"/>
      <c r="BIX251" s="471"/>
      <c r="BIY251" s="471"/>
      <c r="BIZ251" s="471"/>
      <c r="BJA251" s="471"/>
      <c r="BJB251" s="471"/>
      <c r="BJC251" s="471"/>
      <c r="BJD251" s="471"/>
      <c r="BJE251" s="471"/>
      <c r="BJF251" s="471"/>
      <c r="BJG251" s="471"/>
      <c r="BJH251" s="471"/>
      <c r="BJI251" s="471"/>
      <c r="BJJ251" s="471"/>
      <c r="BJK251" s="471"/>
      <c r="BJL251" s="471"/>
      <c r="BJM251" s="471"/>
      <c r="BJN251" s="471"/>
      <c r="BJO251" s="471"/>
      <c r="BJP251" s="471"/>
      <c r="BJQ251" s="471"/>
      <c r="BJR251" s="471"/>
      <c r="BJS251" s="471"/>
      <c r="BJT251" s="471"/>
      <c r="BJU251" s="471"/>
      <c r="BJV251" s="471"/>
      <c r="BJW251" s="471"/>
      <c r="BJX251" s="471"/>
      <c r="BJY251" s="471"/>
      <c r="BJZ251" s="471"/>
      <c r="BKA251" s="471"/>
      <c r="BKB251" s="471"/>
      <c r="BKC251" s="471"/>
      <c r="BKD251" s="471"/>
      <c r="BKE251" s="471"/>
      <c r="BKF251" s="471"/>
      <c r="BKG251" s="471"/>
      <c r="BKH251" s="471"/>
      <c r="BKI251" s="471"/>
      <c r="BKJ251" s="471"/>
      <c r="BKK251" s="471"/>
      <c r="BKL251" s="471"/>
      <c r="BKM251" s="471"/>
      <c r="BKN251" s="471"/>
      <c r="BKO251" s="471"/>
      <c r="BKP251" s="471"/>
      <c r="BKQ251" s="471"/>
      <c r="BKR251" s="471"/>
      <c r="BKS251" s="471"/>
      <c r="BKT251" s="471"/>
      <c r="BKU251" s="471"/>
      <c r="BKV251" s="471"/>
      <c r="BKW251" s="471"/>
      <c r="BKX251" s="471"/>
      <c r="BKY251" s="471"/>
      <c r="BKZ251" s="471"/>
      <c r="BLA251" s="471"/>
      <c r="BLB251" s="471"/>
      <c r="BLC251" s="471"/>
      <c r="BLD251" s="471"/>
      <c r="BLE251" s="471"/>
      <c r="BLF251" s="471"/>
      <c r="BLG251" s="471"/>
      <c r="BLH251" s="471"/>
      <c r="BLI251" s="471"/>
      <c r="BLJ251" s="471"/>
      <c r="BLK251" s="471"/>
      <c r="BLL251" s="471"/>
      <c r="BLM251" s="471"/>
      <c r="BLN251" s="471"/>
      <c r="BLO251" s="471"/>
      <c r="BLP251" s="471"/>
      <c r="BLQ251" s="471"/>
      <c r="BLR251" s="471"/>
      <c r="BLS251" s="471"/>
      <c r="BLT251" s="471"/>
      <c r="BLU251" s="471"/>
      <c r="BLV251" s="471"/>
      <c r="BLW251" s="471"/>
      <c r="BLX251" s="471"/>
      <c r="BLY251" s="471"/>
      <c r="BLZ251" s="471"/>
      <c r="BMA251" s="471"/>
      <c r="BMB251" s="471"/>
      <c r="BMC251" s="471"/>
      <c r="BMD251" s="471"/>
      <c r="BME251" s="471"/>
      <c r="BMF251" s="471"/>
      <c r="BMG251" s="471"/>
      <c r="BMH251" s="471"/>
      <c r="BMI251" s="471"/>
      <c r="BMJ251" s="471"/>
      <c r="BMK251" s="471"/>
      <c r="BML251" s="471"/>
      <c r="BMM251" s="471"/>
      <c r="BMN251" s="471"/>
      <c r="BMO251" s="471"/>
      <c r="BMP251" s="471"/>
      <c r="BMQ251" s="471"/>
      <c r="BMR251" s="471"/>
      <c r="BMS251" s="471"/>
      <c r="BMT251" s="471"/>
      <c r="BMU251" s="471"/>
      <c r="BMV251" s="471"/>
      <c r="BMW251" s="471"/>
      <c r="BMX251" s="471"/>
      <c r="BMY251" s="471"/>
      <c r="BMZ251" s="471"/>
      <c r="BNA251" s="471"/>
      <c r="BNB251" s="471"/>
      <c r="BNC251" s="471"/>
      <c r="BND251" s="471"/>
      <c r="BNE251" s="471"/>
      <c r="BNF251" s="471"/>
      <c r="BNG251" s="471"/>
      <c r="BNH251" s="471"/>
      <c r="BNI251" s="471"/>
      <c r="BNJ251" s="471"/>
      <c r="BNK251" s="471"/>
      <c r="BNL251" s="471"/>
      <c r="BNM251" s="471"/>
      <c r="BNN251" s="471"/>
      <c r="BNO251" s="471"/>
      <c r="BNP251" s="471"/>
      <c r="BNQ251" s="471"/>
      <c r="BNR251" s="471"/>
      <c r="BNS251" s="471"/>
      <c r="BNT251" s="471"/>
      <c r="BNU251" s="471"/>
      <c r="BNV251" s="471"/>
      <c r="BNW251" s="471"/>
      <c r="BNX251" s="471"/>
      <c r="BNY251" s="471"/>
      <c r="BNZ251" s="471"/>
      <c r="BOA251" s="471"/>
      <c r="BOB251" s="471"/>
      <c r="BOC251" s="471"/>
      <c r="BOD251" s="471"/>
      <c r="BOE251" s="471"/>
      <c r="BOF251" s="471"/>
      <c r="BOG251" s="471"/>
      <c r="BOH251" s="471"/>
      <c r="BOI251" s="471"/>
      <c r="BOJ251" s="471"/>
      <c r="BOK251" s="471"/>
      <c r="BOL251" s="471"/>
      <c r="BOM251" s="471"/>
      <c r="BON251" s="471"/>
      <c r="BOO251" s="471"/>
      <c r="BOP251" s="471"/>
      <c r="BOQ251" s="471"/>
      <c r="BOR251" s="471"/>
      <c r="BOS251" s="471"/>
      <c r="BOT251" s="471"/>
      <c r="BOU251" s="471"/>
      <c r="BOV251" s="471"/>
      <c r="BOW251" s="471"/>
      <c r="BOX251" s="471"/>
      <c r="BOY251" s="471"/>
      <c r="BOZ251" s="471"/>
      <c r="BPA251" s="471"/>
      <c r="BPB251" s="471"/>
      <c r="BPC251" s="471"/>
      <c r="BPD251" s="471"/>
      <c r="BPE251" s="471"/>
      <c r="BPF251" s="471"/>
      <c r="BPG251" s="471"/>
      <c r="BPH251" s="471"/>
      <c r="BPI251" s="471"/>
      <c r="BPJ251" s="471"/>
      <c r="BPK251" s="471"/>
      <c r="BPL251" s="471"/>
      <c r="BPM251" s="471"/>
      <c r="BPN251" s="471"/>
      <c r="BPO251" s="471"/>
      <c r="BPP251" s="471"/>
      <c r="BPQ251" s="471"/>
      <c r="BPR251" s="471"/>
      <c r="BPS251" s="471"/>
      <c r="BPT251" s="471"/>
      <c r="BPU251" s="471"/>
      <c r="BPV251" s="471"/>
      <c r="BPW251" s="471"/>
      <c r="BPX251" s="471"/>
      <c r="BPY251" s="471"/>
      <c r="BPZ251" s="471"/>
      <c r="BQA251" s="471"/>
      <c r="BQB251" s="471"/>
      <c r="BQC251" s="471"/>
      <c r="BQD251" s="471"/>
      <c r="BQE251" s="471"/>
      <c r="BQF251" s="471"/>
      <c r="BQG251" s="471"/>
      <c r="BQH251" s="471"/>
      <c r="BQI251" s="471"/>
      <c r="BQJ251" s="471"/>
      <c r="BQK251" s="471"/>
      <c r="BQL251" s="471"/>
      <c r="BQM251" s="471"/>
      <c r="BQN251" s="471"/>
      <c r="BQO251" s="471"/>
      <c r="BQP251" s="471"/>
      <c r="BQQ251" s="471"/>
      <c r="BQR251" s="471"/>
      <c r="BQS251" s="471"/>
      <c r="BQT251" s="471"/>
      <c r="BQU251" s="471"/>
      <c r="BQV251" s="471"/>
      <c r="BQW251" s="471"/>
      <c r="BQX251" s="471"/>
      <c r="BQY251" s="471"/>
      <c r="BQZ251" s="471"/>
      <c r="BRA251" s="471"/>
      <c r="BRB251" s="471"/>
      <c r="BRC251" s="471"/>
      <c r="BRD251" s="471"/>
      <c r="BRE251" s="471"/>
      <c r="BRF251" s="471"/>
      <c r="BRG251" s="471"/>
      <c r="BRH251" s="471"/>
      <c r="BRI251" s="471"/>
      <c r="BRJ251" s="471"/>
      <c r="BRK251" s="471"/>
      <c r="BRL251" s="471"/>
      <c r="BRM251" s="471"/>
      <c r="BRN251" s="471"/>
      <c r="BRO251" s="471"/>
      <c r="BRP251" s="471"/>
      <c r="BRQ251" s="471"/>
      <c r="BRR251" s="471"/>
      <c r="BRS251" s="471"/>
      <c r="BRT251" s="471"/>
      <c r="BRU251" s="471"/>
      <c r="BRV251" s="471"/>
      <c r="BRW251" s="471"/>
      <c r="BRX251" s="471"/>
      <c r="BRY251" s="471"/>
      <c r="BRZ251" s="471"/>
      <c r="BSA251" s="471"/>
      <c r="BSB251" s="471"/>
      <c r="BSC251" s="471"/>
      <c r="BSD251" s="471"/>
      <c r="BSE251" s="471"/>
      <c r="BSF251" s="471"/>
      <c r="BSG251" s="471"/>
      <c r="BSH251" s="471"/>
      <c r="BSI251" s="471"/>
      <c r="BSJ251" s="471"/>
      <c r="BSK251" s="471"/>
      <c r="BSL251" s="471"/>
      <c r="BSM251" s="471"/>
      <c r="BSN251" s="471"/>
      <c r="BSO251" s="471"/>
      <c r="BSP251" s="471"/>
      <c r="BSQ251" s="471"/>
      <c r="BSR251" s="471"/>
      <c r="BSS251" s="471"/>
      <c r="BST251" s="471"/>
      <c r="BSU251" s="471"/>
      <c r="BSV251" s="471"/>
      <c r="BSW251" s="471"/>
      <c r="BSX251" s="471"/>
      <c r="BSY251" s="471"/>
      <c r="BSZ251" s="471"/>
      <c r="BTA251" s="471"/>
      <c r="BTB251" s="471"/>
      <c r="BTC251" s="471"/>
      <c r="BTD251" s="471"/>
      <c r="BTE251" s="471"/>
      <c r="BTF251" s="471"/>
      <c r="BTG251" s="471"/>
      <c r="BTH251" s="471"/>
      <c r="BTI251" s="471"/>
    </row>
    <row r="252" spans="1:1881" s="575" customFormat="1" ht="44.25" customHeight="1" thickBot="1" x14ac:dyDescent="0.3">
      <c r="A252" s="594"/>
      <c r="B252" s="669"/>
      <c r="C252" s="741"/>
      <c r="D252" s="884" t="s">
        <v>1031</v>
      </c>
      <c r="E252" s="885"/>
      <c r="F252" s="742"/>
      <c r="G252" s="742"/>
      <c r="H252" s="578"/>
      <c r="I252" s="398"/>
      <c r="J252" s="682"/>
      <c r="K252" s="682"/>
      <c r="L252" s="682"/>
      <c r="M252" s="682"/>
      <c r="N252" s="594"/>
      <c r="O252" s="682"/>
      <c r="P252" s="682"/>
      <c r="Q252" s="682"/>
      <c r="R252" s="594"/>
      <c r="S252" s="682"/>
      <c r="T252" s="682"/>
      <c r="U252" s="682"/>
      <c r="V252" s="682"/>
      <c r="W252" s="682"/>
      <c r="X252" s="682"/>
      <c r="Y252" s="682"/>
      <c r="Z252" s="682"/>
      <c r="AA252" s="682"/>
      <c r="AB252" s="682"/>
      <c r="AC252" s="682"/>
      <c r="AD252" s="682"/>
      <c r="AE252" s="682"/>
      <c r="AF252" s="682"/>
      <c r="AG252" s="682"/>
      <c r="AH252" s="682"/>
      <c r="AI252" s="682"/>
      <c r="AJ252" s="682"/>
      <c r="AK252" s="682"/>
      <c r="AL252" s="682"/>
      <c r="AM252" s="682"/>
      <c r="AN252" s="682"/>
      <c r="AO252" s="682"/>
      <c r="AP252" s="682"/>
      <c r="AQ252" s="682"/>
      <c r="AR252" s="682"/>
      <c r="AS252" s="682"/>
      <c r="AT252" s="682"/>
      <c r="AU252" s="682"/>
      <c r="AV252" s="682"/>
      <c r="AW252" s="682"/>
      <c r="AX252" s="682"/>
      <c r="AY252" s="682"/>
      <c r="AZ252" s="682"/>
      <c r="BA252" s="682"/>
      <c r="BB252" s="682"/>
      <c r="BC252" s="682"/>
      <c r="BD252" s="682"/>
      <c r="BE252" s="682"/>
      <c r="BF252" s="682"/>
      <c r="BG252" s="682"/>
      <c r="BH252" s="682"/>
      <c r="BI252" s="682"/>
      <c r="BJ252" s="682"/>
      <c r="BK252" s="682"/>
      <c r="BL252" s="682"/>
      <c r="BM252" s="682"/>
      <c r="BN252" s="682"/>
      <c r="BO252" s="682"/>
      <c r="BP252" s="682"/>
      <c r="BQ252" s="682"/>
      <c r="BR252" s="682"/>
      <c r="BS252" s="682"/>
      <c r="BT252" s="682"/>
      <c r="BU252" s="682"/>
      <c r="BV252" s="682"/>
      <c r="BW252" s="682"/>
      <c r="BX252" s="682"/>
      <c r="BY252" s="682"/>
      <c r="BZ252" s="682"/>
      <c r="CA252" s="682"/>
      <c r="CB252" s="682"/>
      <c r="CC252" s="682"/>
      <c r="CD252" s="682"/>
      <c r="CE252" s="682"/>
      <c r="CF252" s="682"/>
      <c r="CG252" s="682"/>
      <c r="CH252" s="682"/>
      <c r="CI252" s="682"/>
      <c r="CJ252" s="682"/>
      <c r="CK252" s="682"/>
      <c r="CL252" s="682"/>
      <c r="CM252" s="682"/>
      <c r="CN252" s="682"/>
      <c r="CO252" s="682"/>
      <c r="CP252" s="682"/>
      <c r="CQ252" s="682"/>
      <c r="CR252" s="682"/>
      <c r="CS252" s="682"/>
      <c r="CT252" s="682"/>
      <c r="CU252" s="682"/>
      <c r="CV252" s="682"/>
      <c r="CW252" s="682"/>
      <c r="CX252" s="682"/>
      <c r="CY252" s="682"/>
      <c r="CZ252" s="682"/>
      <c r="DA252" s="682"/>
      <c r="DB252" s="682"/>
      <c r="DC252" s="682"/>
      <c r="DD252" s="682"/>
      <c r="DE252" s="682"/>
      <c r="DF252" s="682"/>
      <c r="DG252" s="682"/>
      <c r="DH252" s="682"/>
      <c r="DI252" s="682"/>
      <c r="DJ252" s="682"/>
      <c r="DK252" s="682"/>
      <c r="DL252" s="682"/>
      <c r="DM252" s="682"/>
      <c r="DN252" s="682"/>
      <c r="DO252" s="682"/>
      <c r="DP252" s="682"/>
      <c r="DQ252" s="682"/>
      <c r="DR252" s="682"/>
      <c r="DS252" s="682"/>
      <c r="DT252" s="682"/>
      <c r="DU252" s="682"/>
      <c r="DV252" s="682"/>
      <c r="DW252" s="682"/>
      <c r="DX252" s="682"/>
      <c r="DY252" s="682"/>
      <c r="DZ252" s="682"/>
      <c r="EA252" s="682"/>
      <c r="EB252" s="682"/>
      <c r="EC252" s="682"/>
      <c r="ED252" s="682"/>
      <c r="EE252" s="682"/>
      <c r="EF252" s="682"/>
      <c r="EG252" s="682"/>
      <c r="EH252" s="682"/>
      <c r="EI252" s="682"/>
      <c r="EJ252" s="682"/>
      <c r="EK252" s="682"/>
      <c r="EL252" s="682"/>
      <c r="EM252" s="682"/>
      <c r="EN252" s="682"/>
      <c r="EO252" s="682"/>
      <c r="EP252" s="682"/>
      <c r="EQ252" s="682"/>
      <c r="ER252" s="682"/>
      <c r="ES252" s="682"/>
      <c r="ET252" s="682"/>
      <c r="EU252" s="682"/>
      <c r="EV252" s="682"/>
      <c r="EW252" s="682"/>
      <c r="EX252" s="682"/>
      <c r="EY252" s="682"/>
      <c r="EZ252" s="682"/>
      <c r="FA252" s="682"/>
      <c r="FB252" s="682"/>
      <c r="FC252" s="682"/>
      <c r="FD252" s="682"/>
      <c r="FE252" s="682"/>
      <c r="FF252" s="682"/>
      <c r="FG252" s="682"/>
      <c r="FH252" s="682"/>
      <c r="FI252" s="682"/>
      <c r="FJ252" s="682"/>
      <c r="FK252" s="682"/>
      <c r="FL252" s="682"/>
      <c r="FM252" s="682"/>
      <c r="FN252" s="682"/>
      <c r="FO252" s="682"/>
      <c r="FP252" s="682"/>
      <c r="FQ252" s="682"/>
      <c r="FR252" s="682"/>
      <c r="FS252" s="682"/>
      <c r="FT252" s="682"/>
      <c r="FU252" s="682"/>
      <c r="FV252" s="682"/>
      <c r="FW252" s="682"/>
      <c r="FX252" s="682"/>
      <c r="FY252" s="682"/>
      <c r="FZ252" s="682"/>
      <c r="GA252" s="682"/>
      <c r="GB252" s="682"/>
      <c r="GC252" s="682"/>
      <c r="GD252" s="682"/>
      <c r="GE252" s="682"/>
      <c r="GF252" s="682"/>
      <c r="GG252" s="682"/>
      <c r="GH252" s="682"/>
      <c r="GI252" s="682"/>
      <c r="GJ252" s="682"/>
      <c r="GK252" s="682"/>
      <c r="GL252" s="682"/>
      <c r="GM252" s="682"/>
      <c r="GN252" s="682"/>
      <c r="GO252" s="682"/>
      <c r="GP252" s="682"/>
      <c r="GQ252" s="682"/>
      <c r="GR252" s="682"/>
      <c r="GS252" s="682"/>
      <c r="GT252" s="682"/>
      <c r="GU252" s="682"/>
      <c r="GV252" s="682"/>
      <c r="GW252" s="682"/>
      <c r="GX252" s="682"/>
      <c r="GY252" s="682"/>
      <c r="GZ252" s="682"/>
      <c r="HA252" s="682"/>
      <c r="HB252" s="682"/>
      <c r="HC252" s="682"/>
      <c r="HD252" s="682"/>
      <c r="HE252" s="682"/>
      <c r="HF252" s="682"/>
      <c r="HG252" s="682"/>
      <c r="HH252" s="682"/>
      <c r="HI252" s="682"/>
      <c r="HJ252" s="682"/>
      <c r="HK252" s="682"/>
      <c r="HL252" s="682"/>
      <c r="HM252" s="682"/>
      <c r="HN252" s="682"/>
      <c r="HO252" s="682"/>
      <c r="HP252" s="682"/>
      <c r="HQ252" s="682"/>
      <c r="HR252" s="682"/>
      <c r="HS252" s="682"/>
      <c r="HT252" s="682"/>
      <c r="HU252" s="682"/>
      <c r="HV252" s="682"/>
      <c r="HW252" s="682"/>
      <c r="HX252" s="682"/>
      <c r="HY252" s="682"/>
      <c r="HZ252" s="682"/>
      <c r="IA252" s="682"/>
      <c r="IB252" s="682"/>
      <c r="IC252" s="682"/>
      <c r="ID252" s="682"/>
      <c r="IE252" s="682"/>
      <c r="IF252" s="682"/>
      <c r="IG252" s="682"/>
      <c r="IH252" s="682"/>
      <c r="II252" s="682"/>
      <c r="IJ252" s="682"/>
      <c r="IK252" s="682"/>
      <c r="IL252" s="682"/>
      <c r="IM252" s="682"/>
      <c r="IN252" s="682"/>
      <c r="IO252" s="682"/>
      <c r="IP252" s="682"/>
      <c r="IQ252" s="682"/>
      <c r="IR252" s="682"/>
      <c r="IS252" s="682"/>
      <c r="IT252" s="682"/>
      <c r="IU252" s="682"/>
      <c r="IV252" s="682"/>
      <c r="IW252" s="682"/>
      <c r="IX252" s="682"/>
      <c r="IY252" s="682"/>
      <c r="IZ252" s="682"/>
      <c r="JA252" s="682"/>
      <c r="JB252" s="682"/>
      <c r="JC252" s="682"/>
      <c r="JD252" s="682"/>
      <c r="JE252" s="682"/>
      <c r="JF252" s="682"/>
      <c r="JG252" s="682"/>
      <c r="JH252" s="682"/>
      <c r="JI252" s="682"/>
      <c r="JJ252" s="682"/>
      <c r="JK252" s="682"/>
      <c r="JL252" s="682"/>
      <c r="JM252" s="682"/>
      <c r="JN252" s="682"/>
      <c r="JO252" s="682"/>
      <c r="JP252" s="682"/>
      <c r="JQ252" s="682"/>
      <c r="JR252" s="682"/>
      <c r="JS252" s="682"/>
      <c r="JT252" s="682"/>
      <c r="JU252" s="682"/>
      <c r="JV252" s="682"/>
      <c r="JW252" s="682"/>
      <c r="JX252" s="682"/>
      <c r="JY252" s="682"/>
      <c r="JZ252" s="682"/>
      <c r="KA252" s="682"/>
      <c r="KB252" s="682"/>
      <c r="KC252" s="682"/>
      <c r="KD252" s="682"/>
      <c r="KE252" s="682"/>
      <c r="KF252" s="682"/>
      <c r="KG252" s="682"/>
      <c r="KH252" s="682"/>
      <c r="KI252" s="682"/>
      <c r="KJ252" s="682"/>
      <c r="KK252" s="682"/>
      <c r="KL252" s="682"/>
      <c r="KM252" s="682"/>
      <c r="KN252" s="682"/>
      <c r="KO252" s="682"/>
      <c r="KP252" s="682"/>
      <c r="KQ252" s="682"/>
      <c r="KR252" s="682"/>
      <c r="KS252" s="682"/>
      <c r="KT252" s="682"/>
      <c r="KU252" s="682"/>
      <c r="KV252" s="682"/>
      <c r="KW252" s="682"/>
      <c r="KX252" s="682"/>
      <c r="KY252" s="682"/>
      <c r="KZ252" s="682"/>
      <c r="LA252" s="682"/>
      <c r="LB252" s="682"/>
      <c r="LC252" s="682"/>
      <c r="LD252" s="682"/>
      <c r="LE252" s="682"/>
      <c r="LF252" s="682"/>
      <c r="LG252" s="682"/>
      <c r="LH252" s="682"/>
      <c r="LI252" s="682"/>
      <c r="LJ252" s="682"/>
      <c r="LK252" s="682"/>
      <c r="LL252" s="682"/>
      <c r="LM252" s="682"/>
      <c r="LN252" s="682"/>
      <c r="LO252" s="682"/>
      <c r="LP252" s="682"/>
      <c r="LQ252" s="682"/>
      <c r="LR252" s="682"/>
      <c r="LS252" s="682"/>
      <c r="LT252" s="682"/>
      <c r="LU252" s="682"/>
      <c r="LV252" s="682"/>
      <c r="LW252" s="682"/>
      <c r="LX252" s="682"/>
      <c r="LY252" s="682"/>
      <c r="LZ252" s="682"/>
      <c r="MA252" s="682"/>
      <c r="MB252" s="682"/>
      <c r="MC252" s="682"/>
      <c r="MD252" s="682"/>
      <c r="ME252" s="682"/>
      <c r="MF252" s="682"/>
      <c r="MG252" s="682"/>
      <c r="MH252" s="682"/>
      <c r="MI252" s="682"/>
      <c r="MJ252" s="682"/>
      <c r="MK252" s="682"/>
      <c r="ML252" s="682"/>
      <c r="MM252" s="682"/>
      <c r="MN252" s="682"/>
      <c r="MO252" s="682"/>
      <c r="MP252" s="682"/>
      <c r="MQ252" s="682"/>
      <c r="MR252" s="682"/>
      <c r="MS252" s="682"/>
      <c r="MT252" s="682"/>
      <c r="MU252" s="682"/>
      <c r="MV252" s="682"/>
      <c r="MW252" s="682"/>
      <c r="MX252" s="682"/>
      <c r="MY252" s="682"/>
      <c r="MZ252" s="682"/>
      <c r="NA252" s="682"/>
      <c r="NB252" s="682"/>
      <c r="NC252" s="682"/>
      <c r="ND252" s="682"/>
      <c r="NE252" s="682"/>
      <c r="NF252" s="682"/>
      <c r="NG252" s="682"/>
      <c r="NH252" s="682"/>
      <c r="NI252" s="682"/>
      <c r="NJ252" s="682"/>
      <c r="NK252" s="682"/>
      <c r="NL252" s="682"/>
      <c r="NM252" s="682"/>
      <c r="NN252" s="682"/>
      <c r="NO252" s="682"/>
      <c r="NP252" s="682"/>
      <c r="NQ252" s="682"/>
      <c r="NR252" s="682"/>
      <c r="NS252" s="682"/>
      <c r="NT252" s="682"/>
      <c r="NU252" s="682"/>
      <c r="NV252" s="682"/>
      <c r="NW252" s="682"/>
      <c r="NX252" s="682"/>
      <c r="NY252" s="682"/>
      <c r="NZ252" s="682"/>
      <c r="OA252" s="682"/>
      <c r="OB252" s="682"/>
      <c r="OC252" s="682"/>
      <c r="OD252" s="682"/>
      <c r="OE252" s="682"/>
      <c r="OF252" s="682"/>
      <c r="OG252" s="682"/>
      <c r="OH252" s="682"/>
      <c r="OI252" s="682"/>
      <c r="OJ252" s="682"/>
      <c r="OK252" s="682"/>
      <c r="OL252" s="682"/>
      <c r="OM252" s="682"/>
      <c r="ON252" s="682"/>
      <c r="OO252" s="682"/>
      <c r="OP252" s="682"/>
      <c r="OQ252" s="682"/>
      <c r="OR252" s="682"/>
      <c r="OS252" s="682"/>
      <c r="OT252" s="682"/>
      <c r="OU252" s="682"/>
      <c r="OV252" s="682"/>
      <c r="OW252" s="682"/>
      <c r="OX252" s="682"/>
      <c r="OY252" s="682"/>
      <c r="OZ252" s="682"/>
      <c r="PA252" s="682"/>
      <c r="PB252" s="682"/>
      <c r="PC252" s="682"/>
      <c r="PD252" s="682"/>
      <c r="PE252" s="682"/>
      <c r="PF252" s="682"/>
      <c r="PG252" s="682"/>
      <c r="PH252" s="682"/>
      <c r="PI252" s="682"/>
      <c r="PJ252" s="682"/>
      <c r="PK252" s="682"/>
      <c r="PL252" s="682"/>
      <c r="PM252" s="682"/>
      <c r="PN252" s="682"/>
      <c r="PO252" s="682"/>
      <c r="PP252" s="682"/>
      <c r="PQ252" s="682"/>
      <c r="PR252" s="682"/>
      <c r="PS252" s="682"/>
      <c r="PT252" s="682"/>
      <c r="PU252" s="682"/>
      <c r="PV252" s="682"/>
      <c r="PW252" s="682"/>
      <c r="PX252" s="682"/>
      <c r="PY252" s="682"/>
      <c r="PZ252" s="682"/>
      <c r="QA252" s="682"/>
      <c r="QB252" s="682"/>
      <c r="QC252" s="682"/>
      <c r="QD252" s="682"/>
      <c r="QE252" s="682"/>
      <c r="QF252" s="682"/>
      <c r="QG252" s="682"/>
      <c r="QH252" s="682"/>
      <c r="QI252" s="682"/>
      <c r="QJ252" s="682"/>
      <c r="QK252" s="682"/>
      <c r="QL252" s="682"/>
      <c r="QM252" s="682"/>
      <c r="QN252" s="682"/>
      <c r="QO252" s="682"/>
      <c r="QP252" s="682"/>
      <c r="QQ252" s="682"/>
      <c r="QR252" s="682"/>
      <c r="QS252" s="682"/>
      <c r="QT252" s="682"/>
      <c r="QU252" s="682"/>
      <c r="QV252" s="682"/>
      <c r="QW252" s="682"/>
      <c r="QX252" s="682"/>
      <c r="QY252" s="682"/>
      <c r="QZ252" s="682"/>
      <c r="RA252" s="682"/>
      <c r="RB252" s="682"/>
      <c r="RC252" s="682"/>
      <c r="RD252" s="682"/>
      <c r="RE252" s="682"/>
      <c r="RF252" s="682"/>
      <c r="RG252" s="682"/>
      <c r="RH252" s="682"/>
      <c r="RI252" s="682"/>
      <c r="RJ252" s="682"/>
      <c r="RK252" s="682"/>
      <c r="RL252" s="682"/>
      <c r="RM252" s="682"/>
      <c r="RN252" s="682"/>
      <c r="RO252" s="682"/>
      <c r="RP252" s="682"/>
      <c r="RQ252" s="682"/>
      <c r="RR252" s="682"/>
      <c r="RS252" s="682"/>
      <c r="RT252" s="682"/>
      <c r="RU252" s="682"/>
      <c r="RV252" s="682"/>
      <c r="RW252" s="682"/>
      <c r="RX252" s="682"/>
      <c r="RY252" s="682"/>
      <c r="RZ252" s="682"/>
      <c r="SA252" s="682"/>
      <c r="SB252" s="682"/>
      <c r="SC252" s="682"/>
      <c r="SD252" s="682"/>
      <c r="SE252" s="682"/>
      <c r="SF252" s="682"/>
      <c r="SG252" s="682"/>
      <c r="SH252" s="682"/>
      <c r="SI252" s="682"/>
      <c r="SJ252" s="682"/>
      <c r="SK252" s="682"/>
      <c r="SL252" s="682"/>
      <c r="SM252" s="682"/>
      <c r="SN252" s="682"/>
      <c r="SO252" s="682"/>
      <c r="SP252" s="682"/>
      <c r="SQ252" s="682"/>
      <c r="SR252" s="682"/>
      <c r="SS252" s="682"/>
      <c r="ST252" s="682"/>
      <c r="SU252" s="682"/>
      <c r="SV252" s="682"/>
      <c r="SW252" s="682"/>
      <c r="SX252" s="682"/>
      <c r="SY252" s="682"/>
      <c r="SZ252" s="682"/>
      <c r="TA252" s="682"/>
      <c r="TB252" s="682"/>
      <c r="TC252" s="682"/>
      <c r="TD252" s="682"/>
      <c r="TE252" s="682"/>
      <c r="TF252" s="682"/>
      <c r="TG252" s="682"/>
      <c r="TH252" s="682"/>
      <c r="TI252" s="682"/>
      <c r="TJ252" s="682"/>
      <c r="TK252" s="682"/>
      <c r="TL252" s="682"/>
      <c r="TM252" s="682"/>
      <c r="TN252" s="682"/>
      <c r="TO252" s="682"/>
      <c r="TP252" s="682"/>
      <c r="TQ252" s="682"/>
      <c r="TR252" s="682"/>
      <c r="TS252" s="682"/>
      <c r="TT252" s="682"/>
      <c r="TU252" s="682"/>
      <c r="TV252" s="682"/>
      <c r="TW252" s="682"/>
      <c r="TX252" s="682"/>
      <c r="TY252" s="682"/>
      <c r="TZ252" s="682"/>
      <c r="UA252" s="682"/>
      <c r="UB252" s="682"/>
      <c r="UC252" s="682"/>
      <c r="UD252" s="682"/>
      <c r="UE252" s="682"/>
      <c r="UF252" s="682"/>
      <c r="UG252" s="682"/>
      <c r="UH252" s="682"/>
      <c r="UI252" s="682"/>
      <c r="UJ252" s="682"/>
      <c r="UK252" s="682"/>
      <c r="UL252" s="682"/>
      <c r="UM252" s="682"/>
      <c r="UN252" s="682"/>
      <c r="UO252" s="682"/>
      <c r="UP252" s="682"/>
      <c r="UQ252" s="682"/>
      <c r="UR252" s="682"/>
      <c r="US252" s="682"/>
      <c r="UT252" s="682"/>
      <c r="UU252" s="682"/>
      <c r="UV252" s="682"/>
      <c r="UW252" s="682"/>
      <c r="UX252" s="682"/>
      <c r="UY252" s="682"/>
      <c r="UZ252" s="682"/>
      <c r="VA252" s="682"/>
      <c r="VB252" s="682"/>
      <c r="VC252" s="682"/>
      <c r="VD252" s="682"/>
      <c r="VE252" s="682"/>
      <c r="VF252" s="682"/>
      <c r="VG252" s="682"/>
      <c r="VH252" s="682"/>
      <c r="VI252" s="682"/>
      <c r="VJ252" s="682"/>
      <c r="VK252" s="682"/>
      <c r="VL252" s="682"/>
      <c r="VM252" s="682"/>
      <c r="VN252" s="682"/>
      <c r="VO252" s="682"/>
      <c r="VP252" s="682"/>
      <c r="VQ252" s="682"/>
      <c r="VR252" s="682"/>
      <c r="VS252" s="682"/>
      <c r="VT252" s="682"/>
      <c r="VU252" s="682"/>
      <c r="VV252" s="682"/>
      <c r="VW252" s="682"/>
      <c r="VX252" s="682"/>
      <c r="VY252" s="682"/>
      <c r="VZ252" s="682"/>
      <c r="WA252" s="682"/>
      <c r="WB252" s="682"/>
      <c r="WC252" s="682"/>
      <c r="WD252" s="682"/>
      <c r="WE252" s="682"/>
      <c r="WF252" s="682"/>
      <c r="WG252" s="682"/>
      <c r="WH252" s="682"/>
      <c r="WI252" s="682"/>
      <c r="WJ252" s="682"/>
      <c r="WK252" s="682"/>
      <c r="WL252" s="682"/>
      <c r="WM252" s="682"/>
      <c r="WN252" s="682"/>
      <c r="WO252" s="682"/>
      <c r="WP252" s="682"/>
      <c r="WQ252" s="682"/>
      <c r="WR252" s="682"/>
      <c r="WS252" s="682"/>
      <c r="WT252" s="682"/>
      <c r="WU252" s="682"/>
      <c r="WV252" s="682"/>
      <c r="WW252" s="682"/>
      <c r="WX252" s="682"/>
      <c r="WY252" s="682"/>
      <c r="WZ252" s="682"/>
      <c r="XA252" s="682"/>
      <c r="XB252" s="682"/>
      <c r="XC252" s="682"/>
      <c r="XD252" s="682"/>
      <c r="XE252" s="682"/>
      <c r="XF252" s="682"/>
      <c r="XG252" s="682"/>
      <c r="XH252" s="682"/>
      <c r="XI252" s="682"/>
      <c r="XJ252" s="682"/>
      <c r="XK252" s="682"/>
      <c r="XL252" s="682"/>
      <c r="XM252" s="682"/>
      <c r="XN252" s="682"/>
      <c r="XO252" s="682"/>
      <c r="XP252" s="682"/>
      <c r="XQ252" s="682"/>
      <c r="XR252" s="682"/>
      <c r="XS252" s="682"/>
      <c r="XT252" s="682"/>
      <c r="XU252" s="682"/>
      <c r="XV252" s="682"/>
      <c r="XW252" s="682"/>
      <c r="XX252" s="682"/>
      <c r="XY252" s="682"/>
      <c r="XZ252" s="682"/>
      <c r="YA252" s="682"/>
      <c r="YB252" s="682"/>
      <c r="YC252" s="682"/>
      <c r="YD252" s="682"/>
      <c r="YE252" s="682"/>
      <c r="YF252" s="682"/>
      <c r="YG252" s="682"/>
      <c r="YH252" s="682"/>
      <c r="YI252" s="682"/>
      <c r="YJ252" s="682"/>
      <c r="YK252" s="682"/>
      <c r="YL252" s="682"/>
      <c r="YM252" s="682"/>
      <c r="YN252" s="682"/>
      <c r="YO252" s="682"/>
      <c r="YP252" s="682"/>
      <c r="YQ252" s="682"/>
      <c r="YR252" s="682"/>
      <c r="YS252" s="682"/>
      <c r="YT252" s="682"/>
      <c r="YU252" s="682"/>
      <c r="YV252" s="682"/>
      <c r="YW252" s="682"/>
      <c r="YX252" s="682"/>
      <c r="YY252" s="682"/>
      <c r="YZ252" s="682"/>
      <c r="ZA252" s="682"/>
      <c r="ZB252" s="682"/>
      <c r="ZC252" s="682"/>
      <c r="ZD252" s="682"/>
      <c r="ZE252" s="682"/>
      <c r="ZF252" s="682"/>
      <c r="ZG252" s="682"/>
      <c r="ZH252" s="682"/>
      <c r="ZI252" s="682"/>
      <c r="ZJ252" s="682"/>
      <c r="ZK252" s="682"/>
      <c r="ZL252" s="682"/>
      <c r="ZM252" s="682"/>
      <c r="ZN252" s="682"/>
      <c r="ZO252" s="682"/>
      <c r="ZP252" s="682"/>
      <c r="ZQ252" s="682"/>
      <c r="ZR252" s="682"/>
      <c r="ZS252" s="682"/>
      <c r="ZT252" s="682"/>
      <c r="ZU252" s="682"/>
      <c r="ZV252" s="682"/>
      <c r="ZW252" s="682"/>
      <c r="ZX252" s="682"/>
      <c r="ZY252" s="682"/>
      <c r="ZZ252" s="682"/>
      <c r="AAA252" s="682"/>
      <c r="AAB252" s="682"/>
      <c r="AAC252" s="682"/>
      <c r="AAD252" s="682"/>
      <c r="AAE252" s="682"/>
      <c r="AAF252" s="682"/>
      <c r="AAG252" s="682"/>
      <c r="AAH252" s="682"/>
      <c r="AAI252" s="682"/>
      <c r="AAJ252" s="682"/>
      <c r="AAK252" s="682"/>
      <c r="AAL252" s="682"/>
      <c r="AAM252" s="682"/>
      <c r="AAN252" s="682"/>
      <c r="AAO252" s="682"/>
      <c r="AAP252" s="682"/>
      <c r="AAQ252" s="682"/>
      <c r="AAR252" s="682"/>
      <c r="AAS252" s="682"/>
      <c r="AAT252" s="682"/>
      <c r="AAU252" s="682"/>
      <c r="AAV252" s="682"/>
      <c r="AAW252" s="682"/>
      <c r="AAX252" s="682"/>
      <c r="AAY252" s="682"/>
      <c r="AAZ252" s="682"/>
      <c r="ABA252" s="682"/>
      <c r="ABB252" s="682"/>
      <c r="ABC252" s="682"/>
      <c r="ABD252" s="682"/>
      <c r="ABE252" s="682"/>
      <c r="ABF252" s="682"/>
      <c r="ABG252" s="682"/>
      <c r="ABH252" s="682"/>
      <c r="ABI252" s="682"/>
      <c r="ABJ252" s="682"/>
      <c r="ABK252" s="682"/>
      <c r="ABL252" s="682"/>
      <c r="ABM252" s="682"/>
      <c r="ABN252" s="682"/>
      <c r="ABO252" s="682"/>
      <c r="ABP252" s="682"/>
      <c r="ABQ252" s="682"/>
      <c r="ABR252" s="682"/>
      <c r="ABS252" s="682"/>
      <c r="ABT252" s="682"/>
      <c r="ABU252" s="682"/>
      <c r="ABV252" s="682"/>
      <c r="ABW252" s="682"/>
      <c r="ABX252" s="682"/>
      <c r="ABY252" s="682"/>
      <c r="ABZ252" s="682"/>
      <c r="ACA252" s="682"/>
      <c r="ACB252" s="682"/>
      <c r="ACC252" s="682"/>
      <c r="ACD252" s="682"/>
      <c r="ACE252" s="682"/>
      <c r="ACF252" s="682"/>
      <c r="ACG252" s="682"/>
      <c r="ACH252" s="682"/>
      <c r="ACI252" s="682"/>
      <c r="ACJ252" s="682"/>
      <c r="ACK252" s="682"/>
      <c r="ACL252" s="682"/>
      <c r="ACM252" s="682"/>
      <c r="ACN252" s="682"/>
      <c r="ACO252" s="682"/>
      <c r="ACP252" s="682"/>
      <c r="ACQ252" s="682"/>
      <c r="ACR252" s="682"/>
      <c r="ACS252" s="682"/>
      <c r="ACT252" s="682"/>
      <c r="ACU252" s="682"/>
      <c r="ACV252" s="682"/>
      <c r="ACW252" s="682"/>
      <c r="ACX252" s="682"/>
      <c r="ACY252" s="682"/>
      <c r="ACZ252" s="682"/>
      <c r="ADA252" s="682"/>
      <c r="ADB252" s="682"/>
      <c r="ADC252" s="682"/>
      <c r="ADD252" s="682"/>
      <c r="ADE252" s="682"/>
      <c r="ADF252" s="682"/>
      <c r="ADG252" s="682"/>
      <c r="ADH252" s="682"/>
      <c r="ADI252" s="682"/>
      <c r="ADJ252" s="682"/>
      <c r="ADK252" s="682"/>
      <c r="ADL252" s="682"/>
      <c r="ADM252" s="682"/>
      <c r="ADN252" s="682"/>
      <c r="ADO252" s="682"/>
      <c r="ADP252" s="682"/>
      <c r="ADQ252" s="682"/>
      <c r="ADR252" s="682"/>
      <c r="ADS252" s="682"/>
      <c r="ADT252" s="682"/>
      <c r="ADU252" s="682"/>
      <c r="ADV252" s="682"/>
      <c r="ADW252" s="682"/>
      <c r="ADX252" s="682"/>
      <c r="ADY252" s="682"/>
      <c r="ADZ252" s="682"/>
      <c r="AEA252" s="682"/>
      <c r="AEB252" s="682"/>
      <c r="AEC252" s="682"/>
      <c r="AED252" s="682"/>
      <c r="AEE252" s="682"/>
      <c r="AEF252" s="682"/>
      <c r="AEG252" s="682"/>
      <c r="AEH252" s="682"/>
      <c r="AEI252" s="682"/>
      <c r="AEJ252" s="682"/>
      <c r="AEK252" s="682"/>
      <c r="AEL252" s="682"/>
      <c r="AEM252" s="682"/>
      <c r="AEN252" s="682"/>
      <c r="AEO252" s="682"/>
      <c r="AEP252" s="682"/>
      <c r="AEQ252" s="682"/>
      <c r="AER252" s="682"/>
      <c r="AES252" s="682"/>
      <c r="AET252" s="682"/>
      <c r="AEU252" s="682"/>
      <c r="AEV252" s="682"/>
      <c r="AEW252" s="682"/>
      <c r="AEX252" s="682"/>
      <c r="AEY252" s="682"/>
      <c r="AEZ252" s="682"/>
      <c r="AFA252" s="682"/>
      <c r="AFB252" s="682"/>
      <c r="AFC252" s="682"/>
      <c r="AFD252" s="682"/>
      <c r="AFE252" s="682"/>
      <c r="AFF252" s="682"/>
      <c r="AFG252" s="682"/>
      <c r="AFH252" s="682"/>
      <c r="AFI252" s="682"/>
      <c r="AFJ252" s="682"/>
      <c r="AFK252" s="682"/>
      <c r="AFL252" s="682"/>
      <c r="AFM252" s="682"/>
      <c r="AFN252" s="682"/>
      <c r="AFO252" s="682"/>
      <c r="AFP252" s="682"/>
      <c r="AFQ252" s="682"/>
      <c r="AFR252" s="682"/>
      <c r="AFS252" s="682"/>
      <c r="AFT252" s="682"/>
      <c r="AFU252" s="682"/>
      <c r="AFV252" s="682"/>
      <c r="AFW252" s="682"/>
      <c r="AFX252" s="682"/>
      <c r="AFY252" s="682"/>
      <c r="AFZ252" s="682"/>
      <c r="AGA252" s="682"/>
      <c r="AGB252" s="682"/>
      <c r="AGC252" s="682"/>
      <c r="AGD252" s="682"/>
      <c r="AGE252" s="682"/>
      <c r="AGF252" s="682"/>
      <c r="AGG252" s="682"/>
      <c r="AGH252" s="682"/>
      <c r="AGI252" s="682"/>
      <c r="AGJ252" s="682"/>
      <c r="AGK252" s="682"/>
      <c r="AGL252" s="682"/>
      <c r="AGM252" s="682"/>
      <c r="AGN252" s="682"/>
      <c r="AGO252" s="682"/>
      <c r="AGP252" s="682"/>
      <c r="AGQ252" s="682"/>
      <c r="AGR252" s="682"/>
      <c r="AGS252" s="682"/>
      <c r="AGT252" s="682"/>
      <c r="AGU252" s="682"/>
      <c r="AGV252" s="682"/>
      <c r="AGW252" s="682"/>
      <c r="AGX252" s="682"/>
      <c r="AGY252" s="682"/>
      <c r="AGZ252" s="682"/>
      <c r="AHA252" s="682"/>
      <c r="AHB252" s="682"/>
      <c r="AHC252" s="682"/>
      <c r="AHD252" s="682"/>
      <c r="AHE252" s="682"/>
      <c r="AHF252" s="682"/>
      <c r="AHG252" s="682"/>
      <c r="AHH252" s="682"/>
      <c r="AHI252" s="682"/>
      <c r="AHJ252" s="682"/>
      <c r="AHK252" s="682"/>
      <c r="AHL252" s="682"/>
      <c r="AHM252" s="682"/>
      <c r="AHN252" s="682"/>
      <c r="AHO252" s="682"/>
      <c r="AHP252" s="682"/>
      <c r="AHQ252" s="682"/>
      <c r="AHR252" s="682"/>
      <c r="AHS252" s="682"/>
      <c r="AHT252" s="682"/>
      <c r="AHU252" s="682"/>
      <c r="AHV252" s="682"/>
      <c r="AHW252" s="682"/>
      <c r="AHX252" s="682"/>
      <c r="AHY252" s="682"/>
      <c r="AHZ252" s="682"/>
      <c r="AIA252" s="682"/>
      <c r="AIB252" s="682"/>
      <c r="AIC252" s="682"/>
      <c r="AID252" s="682"/>
      <c r="AIE252" s="682"/>
      <c r="AIF252" s="682"/>
      <c r="AIG252" s="682"/>
      <c r="AIH252" s="682"/>
      <c r="AII252" s="682"/>
      <c r="AIJ252" s="682"/>
      <c r="AIK252" s="682"/>
      <c r="AIL252" s="682"/>
      <c r="AIM252" s="682"/>
      <c r="AIN252" s="682"/>
      <c r="AIO252" s="682"/>
      <c r="AIP252" s="682"/>
      <c r="AIQ252" s="682"/>
      <c r="AIR252" s="682"/>
      <c r="AIS252" s="682"/>
      <c r="AIT252" s="682"/>
      <c r="AIU252" s="682"/>
      <c r="AIV252" s="682"/>
      <c r="AIW252" s="682"/>
      <c r="AIX252" s="682"/>
      <c r="AIY252" s="682"/>
      <c r="AIZ252" s="682"/>
      <c r="AJA252" s="682"/>
      <c r="AJB252" s="682"/>
      <c r="AJC252" s="682"/>
      <c r="AJD252" s="682"/>
      <c r="AJE252" s="682"/>
      <c r="AJF252" s="682"/>
      <c r="AJG252" s="682"/>
      <c r="AJH252" s="682"/>
      <c r="AJI252" s="682"/>
      <c r="AJJ252" s="682"/>
      <c r="AJK252" s="682"/>
      <c r="AJL252" s="682"/>
      <c r="AJM252" s="682"/>
      <c r="AJN252" s="682"/>
      <c r="AJO252" s="682"/>
      <c r="AJP252" s="682"/>
      <c r="AJQ252" s="682"/>
      <c r="AJR252" s="682"/>
      <c r="AJS252" s="682"/>
      <c r="AJT252" s="682"/>
      <c r="AJU252" s="682"/>
      <c r="AJV252" s="682"/>
      <c r="AJW252" s="682"/>
      <c r="AJX252" s="682"/>
      <c r="AJY252" s="682"/>
      <c r="AJZ252" s="682"/>
      <c r="AKA252" s="682"/>
      <c r="AKB252" s="682"/>
      <c r="AKC252" s="682"/>
      <c r="AKD252" s="682"/>
      <c r="AKE252" s="682"/>
      <c r="AKF252" s="682"/>
      <c r="AKG252" s="682"/>
      <c r="AKH252" s="682"/>
      <c r="AKI252" s="682"/>
      <c r="AKJ252" s="682"/>
      <c r="AKK252" s="682"/>
      <c r="AKL252" s="682"/>
      <c r="AKM252" s="682"/>
      <c r="AKN252" s="682"/>
      <c r="AKO252" s="682"/>
      <c r="AKP252" s="682"/>
      <c r="AKQ252" s="682"/>
      <c r="AKR252" s="682"/>
      <c r="AKS252" s="682"/>
      <c r="AKT252" s="682"/>
      <c r="AKU252" s="682"/>
      <c r="AKV252" s="682"/>
      <c r="AKW252" s="682"/>
      <c r="AKX252" s="682"/>
      <c r="AKY252" s="682"/>
      <c r="AKZ252" s="682"/>
      <c r="ALA252" s="682"/>
      <c r="ALB252" s="682"/>
      <c r="ALC252" s="682"/>
      <c r="ALD252" s="682"/>
      <c r="ALE252" s="682"/>
      <c r="ALF252" s="682"/>
      <c r="ALG252" s="682"/>
      <c r="ALH252" s="682"/>
      <c r="ALI252" s="682"/>
      <c r="ALJ252" s="682"/>
      <c r="ALK252" s="682"/>
      <c r="ALL252" s="682"/>
      <c r="ALM252" s="682"/>
      <c r="ALN252" s="682"/>
      <c r="ALO252" s="682"/>
      <c r="ALP252" s="682"/>
      <c r="ALQ252" s="682"/>
      <c r="ALR252" s="682"/>
      <c r="ALS252" s="682"/>
      <c r="ALT252" s="682"/>
      <c r="ALU252" s="682"/>
      <c r="ALV252" s="682"/>
      <c r="ALW252" s="682"/>
      <c r="ALX252" s="682"/>
      <c r="ALY252" s="682"/>
      <c r="ALZ252" s="682"/>
      <c r="AMA252" s="682"/>
      <c r="AMB252" s="682"/>
      <c r="AMC252" s="682"/>
      <c r="AMD252" s="682"/>
      <c r="AME252" s="682"/>
      <c r="AMF252" s="682"/>
      <c r="AMG252" s="682"/>
      <c r="AMH252" s="682"/>
      <c r="AMI252" s="682"/>
      <c r="AMJ252" s="682"/>
      <c r="AMK252" s="682"/>
      <c r="AML252" s="682"/>
      <c r="AMM252" s="682"/>
      <c r="AMN252" s="682"/>
      <c r="AMO252" s="682"/>
      <c r="AMP252" s="682"/>
      <c r="AMQ252" s="682"/>
      <c r="AMR252" s="682"/>
      <c r="AMS252" s="682"/>
      <c r="AMT252" s="682"/>
      <c r="AMU252" s="682"/>
      <c r="AMV252" s="682"/>
      <c r="AMW252" s="682"/>
      <c r="AMX252" s="682"/>
      <c r="AMY252" s="682"/>
      <c r="AMZ252" s="682"/>
      <c r="ANA252" s="682"/>
      <c r="ANB252" s="682"/>
      <c r="ANC252" s="682"/>
      <c r="AND252" s="682"/>
      <c r="ANE252" s="682"/>
      <c r="ANF252" s="682"/>
      <c r="ANG252" s="682"/>
      <c r="ANH252" s="682"/>
      <c r="ANI252" s="682"/>
      <c r="ANJ252" s="682"/>
      <c r="ANK252" s="682"/>
      <c r="ANL252" s="682"/>
      <c r="ANM252" s="682"/>
      <c r="ANN252" s="682"/>
      <c r="ANO252" s="682"/>
      <c r="ANP252" s="682"/>
      <c r="ANQ252" s="682"/>
      <c r="ANR252" s="682"/>
      <c r="ANS252" s="682"/>
      <c r="ANT252" s="682"/>
      <c r="ANU252" s="682"/>
      <c r="ANV252" s="682"/>
      <c r="ANW252" s="682"/>
      <c r="ANX252" s="682"/>
      <c r="ANY252" s="682"/>
      <c r="ANZ252" s="682"/>
      <c r="AOA252" s="682"/>
      <c r="AOB252" s="682"/>
      <c r="AOC252" s="682"/>
      <c r="AOD252" s="682"/>
      <c r="AOE252" s="682"/>
      <c r="AOF252" s="682"/>
      <c r="AOG252" s="682"/>
      <c r="AOH252" s="682"/>
      <c r="AOI252" s="682"/>
      <c r="AOJ252" s="682"/>
      <c r="AOK252" s="682"/>
      <c r="AOL252" s="682"/>
      <c r="AOM252" s="682"/>
      <c r="AON252" s="682"/>
      <c r="AOO252" s="682"/>
      <c r="AOP252" s="682"/>
      <c r="AOQ252" s="682"/>
      <c r="AOR252" s="682"/>
      <c r="AOS252" s="682"/>
      <c r="AOT252" s="682"/>
      <c r="AOU252" s="682"/>
      <c r="AOV252" s="682"/>
      <c r="AOW252" s="682"/>
      <c r="AOX252" s="682"/>
      <c r="AOY252" s="682"/>
      <c r="AOZ252" s="682"/>
      <c r="APA252" s="682"/>
      <c r="APB252" s="682"/>
      <c r="APC252" s="682"/>
      <c r="APD252" s="682"/>
      <c r="APE252" s="682"/>
      <c r="APF252" s="682"/>
      <c r="APG252" s="682"/>
      <c r="APH252" s="682"/>
      <c r="API252" s="682"/>
      <c r="APJ252" s="682"/>
      <c r="APK252" s="682"/>
      <c r="APL252" s="682"/>
      <c r="APM252" s="682"/>
      <c r="APN252" s="682"/>
      <c r="APO252" s="682"/>
      <c r="APP252" s="682"/>
      <c r="APQ252" s="682"/>
      <c r="APR252" s="682"/>
      <c r="APS252" s="682"/>
      <c r="APT252" s="682"/>
      <c r="APU252" s="682"/>
      <c r="APV252" s="682"/>
      <c r="APW252" s="682"/>
      <c r="APX252" s="682"/>
      <c r="APY252" s="682"/>
      <c r="APZ252" s="682"/>
      <c r="AQA252" s="682"/>
      <c r="AQB252" s="682"/>
      <c r="AQC252" s="682"/>
      <c r="AQD252" s="682"/>
      <c r="AQE252" s="682"/>
      <c r="AQF252" s="682"/>
      <c r="AQG252" s="682"/>
      <c r="AQH252" s="682"/>
      <c r="AQI252" s="682"/>
      <c r="AQJ252" s="682"/>
      <c r="AQK252" s="682"/>
      <c r="AQL252" s="682"/>
      <c r="AQM252" s="682"/>
      <c r="AQN252" s="682"/>
      <c r="AQO252" s="682"/>
      <c r="AQP252" s="682"/>
      <c r="AQQ252" s="682"/>
      <c r="AQR252" s="682"/>
      <c r="AQS252" s="682"/>
      <c r="AQT252" s="682"/>
      <c r="AQU252" s="682"/>
      <c r="AQV252" s="682"/>
      <c r="AQW252" s="682"/>
      <c r="AQX252" s="682"/>
      <c r="AQY252" s="682"/>
      <c r="AQZ252" s="682"/>
      <c r="ARA252" s="682"/>
      <c r="ARB252" s="682"/>
      <c r="ARC252" s="682"/>
      <c r="ARD252" s="682"/>
      <c r="ARE252" s="682"/>
      <c r="ARF252" s="682"/>
      <c r="ARG252" s="682"/>
      <c r="ARH252" s="682"/>
      <c r="ARI252" s="682"/>
      <c r="ARJ252" s="682"/>
      <c r="ARK252" s="682"/>
      <c r="ARL252" s="682"/>
      <c r="ARM252" s="682"/>
      <c r="ARN252" s="682"/>
      <c r="ARO252" s="682"/>
      <c r="ARP252" s="682"/>
      <c r="ARQ252" s="682"/>
      <c r="ARR252" s="682"/>
      <c r="ARS252" s="682"/>
      <c r="ART252" s="682"/>
      <c r="ARU252" s="682"/>
      <c r="ARV252" s="682"/>
      <c r="ARW252" s="682"/>
      <c r="ARX252" s="682"/>
      <c r="ARY252" s="682"/>
      <c r="ARZ252" s="682"/>
      <c r="ASA252" s="682"/>
      <c r="ASB252" s="682"/>
      <c r="ASC252" s="682"/>
      <c r="ASD252" s="682"/>
      <c r="ASE252" s="682"/>
      <c r="ASF252" s="682"/>
      <c r="ASG252" s="682"/>
      <c r="ASH252" s="682"/>
      <c r="ASI252" s="682"/>
      <c r="ASJ252" s="682"/>
      <c r="ASK252" s="682"/>
      <c r="ASL252" s="682"/>
      <c r="ASM252" s="682"/>
      <c r="ASN252" s="682"/>
      <c r="ASO252" s="682"/>
      <c r="ASP252" s="682"/>
      <c r="ASQ252" s="682"/>
      <c r="ASR252" s="682"/>
      <c r="ASS252" s="682"/>
      <c r="AST252" s="682"/>
      <c r="ASU252" s="682"/>
      <c r="ASV252" s="682"/>
      <c r="ASW252" s="682"/>
      <c r="ASX252" s="682"/>
      <c r="ASY252" s="682"/>
      <c r="ASZ252" s="682"/>
      <c r="ATA252" s="682"/>
      <c r="ATB252" s="682"/>
      <c r="ATC252" s="682"/>
      <c r="ATD252" s="682"/>
      <c r="ATE252" s="682"/>
      <c r="ATF252" s="682"/>
      <c r="ATG252" s="682"/>
      <c r="ATH252" s="682"/>
      <c r="ATI252" s="682"/>
      <c r="ATJ252" s="682"/>
      <c r="ATK252" s="682"/>
      <c r="ATL252" s="682"/>
      <c r="ATM252" s="682"/>
      <c r="ATN252" s="682"/>
      <c r="ATO252" s="682"/>
      <c r="ATP252" s="682"/>
      <c r="ATQ252" s="682"/>
      <c r="ATR252" s="682"/>
      <c r="ATS252" s="682"/>
      <c r="ATT252" s="682"/>
      <c r="ATU252" s="682"/>
      <c r="ATV252" s="682"/>
      <c r="ATW252" s="682"/>
      <c r="ATX252" s="682"/>
      <c r="ATY252" s="682"/>
      <c r="ATZ252" s="682"/>
      <c r="AUA252" s="682"/>
      <c r="AUB252" s="682"/>
      <c r="AUC252" s="682"/>
      <c r="AUD252" s="682"/>
      <c r="AUE252" s="682"/>
      <c r="AUF252" s="682"/>
      <c r="AUG252" s="682"/>
      <c r="AUH252" s="682"/>
      <c r="AUI252" s="682"/>
      <c r="AUJ252" s="682"/>
      <c r="AUK252" s="682"/>
      <c r="AUL252" s="682"/>
      <c r="AUM252" s="682"/>
      <c r="AUN252" s="682"/>
      <c r="AUO252" s="682"/>
      <c r="AUP252" s="682"/>
      <c r="AUQ252" s="682"/>
      <c r="AUR252" s="682"/>
      <c r="AUS252" s="682"/>
      <c r="AUT252" s="682"/>
      <c r="AUU252" s="682"/>
      <c r="AUV252" s="682"/>
      <c r="AUW252" s="682"/>
      <c r="AUX252" s="682"/>
      <c r="AUY252" s="682"/>
      <c r="AUZ252" s="682"/>
      <c r="AVA252" s="682"/>
      <c r="AVB252" s="682"/>
      <c r="AVC252" s="682"/>
      <c r="AVD252" s="682"/>
      <c r="AVE252" s="682"/>
      <c r="AVF252" s="682"/>
      <c r="AVG252" s="682"/>
      <c r="AVH252" s="682"/>
      <c r="AVI252" s="682"/>
      <c r="AVJ252" s="682"/>
      <c r="AVK252" s="682"/>
      <c r="AVL252" s="682"/>
      <c r="AVM252" s="682"/>
      <c r="AVN252" s="682"/>
      <c r="AVO252" s="682"/>
      <c r="AVP252" s="682"/>
      <c r="AVQ252" s="682"/>
      <c r="AVR252" s="682"/>
      <c r="AVS252" s="682"/>
      <c r="AVT252" s="682"/>
      <c r="AVU252" s="682"/>
      <c r="AVV252" s="682"/>
      <c r="AVW252" s="682"/>
      <c r="AVX252" s="682"/>
      <c r="AVY252" s="682"/>
      <c r="AVZ252" s="682"/>
      <c r="AWA252" s="682"/>
      <c r="AWB252" s="682"/>
      <c r="AWC252" s="682"/>
      <c r="AWD252" s="682"/>
      <c r="AWE252" s="682"/>
      <c r="AWF252" s="682"/>
      <c r="AWG252" s="682"/>
      <c r="AWH252" s="682"/>
      <c r="AWI252" s="682"/>
      <c r="AWJ252" s="682"/>
      <c r="AWK252" s="682"/>
      <c r="AWL252" s="682"/>
      <c r="AWM252" s="682"/>
      <c r="AWN252" s="682"/>
      <c r="AWO252" s="682"/>
      <c r="AWP252" s="682"/>
      <c r="AWQ252" s="682"/>
      <c r="AWR252" s="682"/>
      <c r="AWS252" s="682"/>
      <c r="AWT252" s="682"/>
      <c r="AWU252" s="682"/>
      <c r="AWV252" s="682"/>
      <c r="AWW252" s="682"/>
      <c r="AWX252" s="682"/>
      <c r="AWY252" s="682"/>
      <c r="AWZ252" s="682"/>
      <c r="AXA252" s="682"/>
      <c r="AXB252" s="682"/>
      <c r="AXC252" s="682"/>
      <c r="AXD252" s="682"/>
      <c r="AXE252" s="682"/>
      <c r="AXF252" s="682"/>
      <c r="AXG252" s="682"/>
      <c r="AXH252" s="682"/>
      <c r="AXI252" s="682"/>
      <c r="AXJ252" s="682"/>
      <c r="AXK252" s="682"/>
      <c r="AXL252" s="682"/>
      <c r="AXM252" s="682"/>
      <c r="AXN252" s="682"/>
      <c r="AXO252" s="682"/>
      <c r="AXP252" s="682"/>
      <c r="AXQ252" s="682"/>
      <c r="AXR252" s="682"/>
      <c r="AXS252" s="682"/>
      <c r="AXT252" s="682"/>
      <c r="AXU252" s="682"/>
      <c r="AXV252" s="682"/>
      <c r="AXW252" s="682"/>
      <c r="AXX252" s="682"/>
      <c r="AXY252" s="682"/>
      <c r="AXZ252" s="682"/>
      <c r="AYA252" s="682"/>
      <c r="AYB252" s="682"/>
      <c r="AYC252" s="682"/>
      <c r="AYD252" s="682"/>
      <c r="AYE252" s="682"/>
      <c r="AYF252" s="682"/>
      <c r="AYG252" s="682"/>
      <c r="AYH252" s="682"/>
      <c r="AYI252" s="682"/>
      <c r="AYJ252" s="682"/>
      <c r="AYK252" s="682"/>
      <c r="AYL252" s="682"/>
      <c r="AYM252" s="682"/>
      <c r="AYN252" s="682"/>
      <c r="AYO252" s="682"/>
      <c r="AYP252" s="682"/>
      <c r="AYQ252" s="682"/>
      <c r="AYR252" s="682"/>
      <c r="AYS252" s="682"/>
      <c r="AYT252" s="682"/>
      <c r="AYU252" s="682"/>
      <c r="AYV252" s="682"/>
      <c r="AYW252" s="682"/>
      <c r="AYX252" s="682"/>
      <c r="AYY252" s="682"/>
      <c r="AYZ252" s="682"/>
      <c r="AZA252" s="682"/>
      <c r="AZB252" s="682"/>
      <c r="AZC252" s="682"/>
      <c r="AZD252" s="682"/>
      <c r="AZE252" s="682"/>
      <c r="AZF252" s="682"/>
      <c r="AZG252" s="682"/>
      <c r="AZH252" s="682"/>
      <c r="AZI252" s="682"/>
      <c r="AZJ252" s="682"/>
      <c r="AZK252" s="682"/>
      <c r="AZL252" s="682"/>
      <c r="AZM252" s="682"/>
      <c r="AZN252" s="682"/>
      <c r="AZO252" s="682"/>
      <c r="AZP252" s="682"/>
      <c r="AZQ252" s="682"/>
      <c r="AZR252" s="682"/>
      <c r="AZS252" s="682"/>
      <c r="AZT252" s="682"/>
      <c r="AZU252" s="682"/>
      <c r="AZV252" s="682"/>
      <c r="AZW252" s="682"/>
      <c r="AZX252" s="682"/>
      <c r="AZY252" s="682"/>
      <c r="AZZ252" s="682"/>
      <c r="BAA252" s="682"/>
      <c r="BAB252" s="682"/>
      <c r="BAC252" s="682"/>
      <c r="BAD252" s="682"/>
      <c r="BAE252" s="682"/>
      <c r="BAF252" s="682"/>
      <c r="BAG252" s="682"/>
      <c r="BAH252" s="682"/>
      <c r="BAI252" s="682"/>
      <c r="BAJ252" s="682"/>
      <c r="BAK252" s="682"/>
      <c r="BAL252" s="682"/>
      <c r="BAM252" s="682"/>
      <c r="BAN252" s="682"/>
      <c r="BAO252" s="682"/>
      <c r="BAP252" s="682"/>
      <c r="BAQ252" s="682"/>
      <c r="BAR252" s="682"/>
      <c r="BAS252" s="682"/>
      <c r="BAT252" s="682"/>
      <c r="BAU252" s="682"/>
      <c r="BAV252" s="682"/>
      <c r="BAW252" s="682"/>
      <c r="BAX252" s="682"/>
      <c r="BAY252" s="682"/>
      <c r="BAZ252" s="682"/>
      <c r="BBA252" s="682"/>
      <c r="BBB252" s="682"/>
      <c r="BBC252" s="682"/>
      <c r="BBD252" s="682"/>
      <c r="BBE252" s="682"/>
      <c r="BBF252" s="682"/>
      <c r="BBG252" s="682"/>
      <c r="BBH252" s="682"/>
      <c r="BBI252" s="682"/>
      <c r="BBJ252" s="682"/>
      <c r="BBK252" s="682"/>
      <c r="BBL252" s="682"/>
      <c r="BBM252" s="682"/>
      <c r="BBN252" s="682"/>
      <c r="BBO252" s="682"/>
      <c r="BBP252" s="682"/>
      <c r="BBQ252" s="682"/>
      <c r="BBR252" s="682"/>
      <c r="BBS252" s="682"/>
      <c r="BBT252" s="682"/>
      <c r="BBU252" s="682"/>
      <c r="BBV252" s="682"/>
      <c r="BBW252" s="682"/>
      <c r="BBX252" s="682"/>
      <c r="BBY252" s="682"/>
      <c r="BBZ252" s="682"/>
      <c r="BCA252" s="682"/>
      <c r="BCB252" s="682"/>
      <c r="BCC252" s="682"/>
      <c r="BCD252" s="682"/>
      <c r="BCE252" s="682"/>
      <c r="BCF252" s="682"/>
      <c r="BCG252" s="682"/>
      <c r="BCH252" s="682"/>
      <c r="BCI252" s="682"/>
      <c r="BCJ252" s="682"/>
      <c r="BCK252" s="682"/>
      <c r="BCL252" s="682"/>
      <c r="BCM252" s="682"/>
      <c r="BCN252" s="682"/>
      <c r="BCO252" s="682"/>
      <c r="BCP252" s="682"/>
      <c r="BCQ252" s="682"/>
      <c r="BCR252" s="682"/>
      <c r="BCS252" s="682"/>
      <c r="BCT252" s="682"/>
      <c r="BCU252" s="682"/>
      <c r="BCV252" s="682"/>
      <c r="BCW252" s="682"/>
      <c r="BCX252" s="682"/>
      <c r="BCY252" s="682"/>
      <c r="BCZ252" s="682"/>
      <c r="BDA252" s="682"/>
      <c r="BDB252" s="682"/>
      <c r="BDC252" s="682"/>
      <c r="BDD252" s="682"/>
      <c r="BDE252" s="682"/>
      <c r="BDF252" s="682"/>
      <c r="BDG252" s="682"/>
      <c r="BDH252" s="682"/>
      <c r="BDI252" s="682"/>
      <c r="BDJ252" s="682"/>
      <c r="BDK252" s="682"/>
      <c r="BDL252" s="682"/>
      <c r="BDM252" s="682"/>
      <c r="BDN252" s="682"/>
      <c r="BDO252" s="682"/>
      <c r="BDP252" s="682"/>
      <c r="BDQ252" s="682"/>
      <c r="BDR252" s="682"/>
      <c r="BDS252" s="682"/>
      <c r="BDT252" s="682"/>
      <c r="BDU252" s="682"/>
      <c r="BDV252" s="682"/>
      <c r="BDW252" s="682"/>
      <c r="BDX252" s="682"/>
      <c r="BDY252" s="682"/>
      <c r="BDZ252" s="682"/>
      <c r="BEA252" s="682"/>
      <c r="BEB252" s="682"/>
      <c r="BEC252" s="682"/>
      <c r="BED252" s="682"/>
      <c r="BEE252" s="682"/>
      <c r="BEF252" s="682"/>
      <c r="BEG252" s="682"/>
      <c r="BEH252" s="682"/>
      <c r="BEI252" s="682"/>
      <c r="BEJ252" s="682"/>
      <c r="BEK252" s="682"/>
      <c r="BEL252" s="682"/>
      <c r="BEM252" s="682"/>
      <c r="BEN252" s="682"/>
      <c r="BEO252" s="682"/>
      <c r="BEP252" s="682"/>
      <c r="BEQ252" s="682"/>
      <c r="BER252" s="682"/>
      <c r="BES252" s="682"/>
      <c r="BET252" s="682"/>
      <c r="BEU252" s="682"/>
      <c r="BEV252" s="682"/>
      <c r="BEW252" s="682"/>
      <c r="BEX252" s="682"/>
      <c r="BEY252" s="682"/>
      <c r="BEZ252" s="682"/>
      <c r="BFA252" s="682"/>
      <c r="BFB252" s="682"/>
      <c r="BFC252" s="682"/>
      <c r="BFD252" s="682"/>
      <c r="BFE252" s="682"/>
      <c r="BFF252" s="682"/>
      <c r="BFG252" s="682"/>
      <c r="BFH252" s="682"/>
      <c r="BFI252" s="682"/>
      <c r="BFJ252" s="682"/>
      <c r="BFK252" s="682"/>
      <c r="BFL252" s="682"/>
      <c r="BFM252" s="682"/>
      <c r="BFN252" s="682"/>
      <c r="BFO252" s="682"/>
      <c r="BFP252" s="682"/>
      <c r="BFQ252" s="682"/>
      <c r="BFR252" s="682"/>
      <c r="BFS252" s="682"/>
      <c r="BFT252" s="682"/>
      <c r="BFU252" s="682"/>
      <c r="BFV252" s="682"/>
      <c r="BFW252" s="682"/>
      <c r="BFX252" s="682"/>
      <c r="BFY252" s="682"/>
      <c r="BFZ252" s="682"/>
      <c r="BGA252" s="682"/>
      <c r="BGB252" s="682"/>
      <c r="BGC252" s="682"/>
      <c r="BGD252" s="682"/>
      <c r="BGE252" s="682"/>
      <c r="BGF252" s="682"/>
      <c r="BGG252" s="682"/>
      <c r="BGH252" s="682"/>
      <c r="BGI252" s="682"/>
      <c r="BGJ252" s="682"/>
      <c r="BGK252" s="682"/>
      <c r="BGL252" s="682"/>
      <c r="BGM252" s="682"/>
      <c r="BGN252" s="682"/>
      <c r="BGO252" s="682"/>
      <c r="BGP252" s="682"/>
      <c r="BGQ252" s="682"/>
      <c r="BGR252" s="682"/>
      <c r="BGS252" s="682"/>
      <c r="BGT252" s="682"/>
      <c r="BGU252" s="682"/>
      <c r="BGV252" s="682"/>
      <c r="BGW252" s="682"/>
      <c r="BGX252" s="682"/>
      <c r="BGY252" s="682"/>
      <c r="BGZ252" s="682"/>
      <c r="BHA252" s="682"/>
      <c r="BHB252" s="682"/>
      <c r="BHC252" s="682"/>
      <c r="BHD252" s="682"/>
      <c r="BHE252" s="682"/>
      <c r="BHF252" s="682"/>
      <c r="BHG252" s="682"/>
      <c r="BHH252" s="682"/>
      <c r="BHI252" s="682"/>
      <c r="BHJ252" s="682"/>
      <c r="BHK252" s="682"/>
      <c r="BHL252" s="682"/>
      <c r="BHM252" s="682"/>
      <c r="BHN252" s="682"/>
      <c r="BHO252" s="682"/>
      <c r="BHP252" s="682"/>
      <c r="BHQ252" s="682"/>
      <c r="BHR252" s="682"/>
      <c r="BHS252" s="682"/>
      <c r="BHT252" s="682"/>
      <c r="BHU252" s="682"/>
      <c r="BHV252" s="682"/>
      <c r="BHW252" s="682"/>
      <c r="BHX252" s="682"/>
      <c r="BHY252" s="682"/>
      <c r="BHZ252" s="682"/>
      <c r="BIA252" s="682"/>
      <c r="BIB252" s="682"/>
      <c r="BIC252" s="682"/>
      <c r="BID252" s="682"/>
      <c r="BIE252" s="682"/>
      <c r="BIF252" s="682"/>
      <c r="BIG252" s="682"/>
      <c r="BIH252" s="682"/>
      <c r="BII252" s="682"/>
      <c r="BIJ252" s="682"/>
      <c r="BIK252" s="682"/>
      <c r="BIL252" s="682"/>
      <c r="BIM252" s="682"/>
      <c r="BIN252" s="682"/>
      <c r="BIO252" s="682"/>
      <c r="BIP252" s="682"/>
      <c r="BIQ252" s="682"/>
      <c r="BIR252" s="682"/>
      <c r="BIS252" s="682"/>
      <c r="BIT252" s="682"/>
      <c r="BIU252" s="682"/>
      <c r="BIV252" s="682"/>
      <c r="BIW252" s="682"/>
      <c r="BIX252" s="682"/>
      <c r="BIY252" s="682"/>
      <c r="BIZ252" s="682"/>
      <c r="BJA252" s="682"/>
      <c r="BJB252" s="682"/>
      <c r="BJC252" s="682"/>
      <c r="BJD252" s="682"/>
      <c r="BJE252" s="682"/>
      <c r="BJF252" s="682"/>
      <c r="BJG252" s="682"/>
      <c r="BJH252" s="682"/>
      <c r="BJI252" s="682"/>
      <c r="BJJ252" s="682"/>
      <c r="BJK252" s="682"/>
      <c r="BJL252" s="682"/>
      <c r="BJM252" s="682"/>
      <c r="BJN252" s="682"/>
      <c r="BJO252" s="682"/>
      <c r="BJP252" s="682"/>
      <c r="BJQ252" s="682"/>
      <c r="BJR252" s="682"/>
      <c r="BJS252" s="682"/>
      <c r="BJT252" s="682"/>
      <c r="BJU252" s="682"/>
      <c r="BJV252" s="682"/>
      <c r="BJW252" s="682"/>
      <c r="BJX252" s="682"/>
      <c r="BJY252" s="682"/>
      <c r="BJZ252" s="682"/>
      <c r="BKA252" s="682"/>
      <c r="BKB252" s="682"/>
      <c r="BKC252" s="682"/>
      <c r="BKD252" s="682"/>
      <c r="BKE252" s="682"/>
      <c r="BKF252" s="682"/>
      <c r="BKG252" s="682"/>
      <c r="BKH252" s="682"/>
      <c r="BKI252" s="682"/>
      <c r="BKJ252" s="682"/>
      <c r="BKK252" s="682"/>
      <c r="BKL252" s="682"/>
      <c r="BKM252" s="682"/>
      <c r="BKN252" s="682"/>
      <c r="BKO252" s="682"/>
      <c r="BKP252" s="682"/>
      <c r="BKQ252" s="682"/>
      <c r="BKR252" s="682"/>
      <c r="BKS252" s="682"/>
      <c r="BKT252" s="682"/>
      <c r="BKU252" s="682"/>
      <c r="BKV252" s="682"/>
      <c r="BKW252" s="682"/>
      <c r="BKX252" s="682"/>
      <c r="BKY252" s="682"/>
      <c r="BKZ252" s="682"/>
      <c r="BLA252" s="682"/>
      <c r="BLB252" s="682"/>
      <c r="BLC252" s="682"/>
      <c r="BLD252" s="682"/>
      <c r="BLE252" s="682"/>
      <c r="BLF252" s="682"/>
      <c r="BLG252" s="682"/>
      <c r="BLH252" s="682"/>
      <c r="BLI252" s="682"/>
      <c r="BLJ252" s="682"/>
      <c r="BLK252" s="682"/>
      <c r="BLL252" s="682"/>
      <c r="BLM252" s="682"/>
      <c r="BLN252" s="682"/>
      <c r="BLO252" s="682"/>
      <c r="BLP252" s="682"/>
      <c r="BLQ252" s="682"/>
      <c r="BLR252" s="682"/>
      <c r="BLS252" s="682"/>
      <c r="BLT252" s="682"/>
      <c r="BLU252" s="682"/>
      <c r="BLV252" s="682"/>
      <c r="BLW252" s="682"/>
      <c r="BLX252" s="682"/>
      <c r="BLY252" s="682"/>
      <c r="BLZ252" s="682"/>
      <c r="BMA252" s="682"/>
      <c r="BMB252" s="682"/>
      <c r="BMC252" s="682"/>
      <c r="BMD252" s="682"/>
      <c r="BME252" s="682"/>
      <c r="BMF252" s="682"/>
      <c r="BMG252" s="682"/>
      <c r="BMH252" s="682"/>
      <c r="BMI252" s="682"/>
      <c r="BMJ252" s="682"/>
      <c r="BMK252" s="682"/>
      <c r="BML252" s="682"/>
      <c r="BMM252" s="682"/>
      <c r="BMN252" s="682"/>
      <c r="BMO252" s="682"/>
      <c r="BMP252" s="682"/>
      <c r="BMQ252" s="682"/>
      <c r="BMR252" s="682"/>
      <c r="BMS252" s="682"/>
      <c r="BMT252" s="682"/>
      <c r="BMU252" s="682"/>
      <c r="BMV252" s="682"/>
      <c r="BMW252" s="682"/>
      <c r="BMX252" s="682"/>
      <c r="BMY252" s="682"/>
      <c r="BMZ252" s="682"/>
      <c r="BNA252" s="682"/>
      <c r="BNB252" s="682"/>
      <c r="BNC252" s="682"/>
      <c r="BND252" s="682"/>
      <c r="BNE252" s="682"/>
      <c r="BNF252" s="682"/>
      <c r="BNG252" s="682"/>
      <c r="BNH252" s="682"/>
      <c r="BNI252" s="682"/>
      <c r="BNJ252" s="682"/>
      <c r="BNK252" s="682"/>
      <c r="BNL252" s="682"/>
      <c r="BNM252" s="682"/>
      <c r="BNN252" s="682"/>
      <c r="BNO252" s="682"/>
      <c r="BNP252" s="682"/>
      <c r="BNQ252" s="682"/>
      <c r="BNR252" s="682"/>
      <c r="BNS252" s="682"/>
      <c r="BNT252" s="682"/>
      <c r="BNU252" s="682"/>
      <c r="BNV252" s="682"/>
      <c r="BNW252" s="682"/>
      <c r="BNX252" s="682"/>
      <c r="BNY252" s="682"/>
      <c r="BNZ252" s="682"/>
      <c r="BOA252" s="682"/>
      <c r="BOB252" s="682"/>
      <c r="BOC252" s="682"/>
      <c r="BOD252" s="682"/>
      <c r="BOE252" s="682"/>
      <c r="BOF252" s="682"/>
      <c r="BOG252" s="682"/>
      <c r="BOH252" s="682"/>
      <c r="BOI252" s="682"/>
      <c r="BOJ252" s="682"/>
      <c r="BOK252" s="682"/>
      <c r="BOL252" s="682"/>
      <c r="BOM252" s="682"/>
      <c r="BON252" s="682"/>
      <c r="BOO252" s="682"/>
      <c r="BOP252" s="682"/>
      <c r="BOQ252" s="682"/>
      <c r="BOR252" s="682"/>
      <c r="BOS252" s="682"/>
      <c r="BOT252" s="682"/>
      <c r="BOU252" s="682"/>
      <c r="BOV252" s="682"/>
      <c r="BOW252" s="682"/>
      <c r="BOX252" s="682"/>
      <c r="BOY252" s="682"/>
      <c r="BOZ252" s="682"/>
      <c r="BPA252" s="682"/>
      <c r="BPB252" s="682"/>
      <c r="BPC252" s="682"/>
      <c r="BPD252" s="682"/>
      <c r="BPE252" s="682"/>
      <c r="BPF252" s="682"/>
      <c r="BPG252" s="682"/>
      <c r="BPH252" s="682"/>
      <c r="BPI252" s="682"/>
      <c r="BPJ252" s="682"/>
      <c r="BPK252" s="682"/>
      <c r="BPL252" s="682"/>
      <c r="BPM252" s="682"/>
      <c r="BPN252" s="682"/>
      <c r="BPO252" s="682"/>
      <c r="BPP252" s="682"/>
      <c r="BPQ252" s="682"/>
      <c r="BPR252" s="682"/>
      <c r="BPS252" s="682"/>
      <c r="BPT252" s="682"/>
      <c r="BPU252" s="682"/>
      <c r="BPV252" s="682"/>
      <c r="BPW252" s="682"/>
      <c r="BPX252" s="682"/>
      <c r="BPY252" s="682"/>
      <c r="BPZ252" s="682"/>
      <c r="BQA252" s="682"/>
      <c r="BQB252" s="682"/>
      <c r="BQC252" s="682"/>
      <c r="BQD252" s="682"/>
      <c r="BQE252" s="682"/>
      <c r="BQF252" s="682"/>
      <c r="BQG252" s="682"/>
      <c r="BQH252" s="682"/>
      <c r="BQI252" s="682"/>
      <c r="BQJ252" s="682"/>
      <c r="BQK252" s="682"/>
      <c r="BQL252" s="682"/>
      <c r="BQM252" s="682"/>
      <c r="BQN252" s="682"/>
      <c r="BQO252" s="682"/>
      <c r="BQP252" s="682"/>
      <c r="BQQ252" s="682"/>
      <c r="BQR252" s="682"/>
      <c r="BQS252" s="682"/>
      <c r="BQT252" s="682"/>
      <c r="BQU252" s="682"/>
      <c r="BQV252" s="682"/>
      <c r="BQW252" s="682"/>
      <c r="BQX252" s="682"/>
      <c r="BQY252" s="682"/>
      <c r="BQZ252" s="682"/>
      <c r="BRA252" s="682"/>
      <c r="BRB252" s="682"/>
      <c r="BRC252" s="682"/>
      <c r="BRD252" s="682"/>
      <c r="BRE252" s="682"/>
      <c r="BRF252" s="682"/>
      <c r="BRG252" s="682"/>
      <c r="BRH252" s="682"/>
      <c r="BRI252" s="682"/>
      <c r="BRJ252" s="682"/>
      <c r="BRK252" s="682"/>
      <c r="BRL252" s="682"/>
      <c r="BRM252" s="682"/>
      <c r="BRN252" s="682"/>
      <c r="BRO252" s="682"/>
      <c r="BRP252" s="682"/>
      <c r="BRQ252" s="682"/>
      <c r="BRR252" s="682"/>
      <c r="BRS252" s="682"/>
      <c r="BRT252" s="682"/>
      <c r="BRU252" s="682"/>
      <c r="BRV252" s="682"/>
      <c r="BRW252" s="682"/>
      <c r="BRX252" s="682"/>
      <c r="BRY252" s="682"/>
      <c r="BRZ252" s="682"/>
      <c r="BSA252" s="682"/>
      <c r="BSB252" s="682"/>
      <c r="BSC252" s="682"/>
      <c r="BSD252" s="682"/>
      <c r="BSE252" s="682"/>
      <c r="BSF252" s="682"/>
      <c r="BSG252" s="682"/>
      <c r="BSH252" s="682"/>
      <c r="BSI252" s="682"/>
      <c r="BSJ252" s="682"/>
      <c r="BSK252" s="682"/>
      <c r="BSL252" s="682"/>
      <c r="BSM252" s="682"/>
      <c r="BSN252" s="682"/>
      <c r="BSO252" s="682"/>
      <c r="BSP252" s="682"/>
      <c r="BSQ252" s="682"/>
      <c r="BSR252" s="682"/>
      <c r="BSS252" s="682"/>
      <c r="BST252" s="682"/>
      <c r="BSU252" s="682"/>
      <c r="BSV252" s="682"/>
      <c r="BSW252" s="682"/>
      <c r="BSX252" s="682"/>
      <c r="BSY252" s="682"/>
      <c r="BSZ252" s="682"/>
      <c r="BTA252" s="682"/>
      <c r="BTB252" s="682"/>
      <c r="BTC252" s="682"/>
      <c r="BTD252" s="682"/>
      <c r="BTE252" s="682"/>
      <c r="BTF252" s="682"/>
      <c r="BTG252" s="682"/>
      <c r="BTH252" s="682"/>
      <c r="BTI252" s="682"/>
    </row>
    <row r="253" spans="1:1881" s="470" customFormat="1" ht="30.75" customHeight="1" thickBot="1" x14ac:dyDescent="0.3">
      <c r="A253" s="743">
        <v>960</v>
      </c>
      <c r="B253" s="865" t="s">
        <v>907</v>
      </c>
      <c r="C253" s="866"/>
      <c r="D253" s="869"/>
      <c r="E253" s="870"/>
      <c r="F253" s="744" t="str">
        <f>IF(ISBLANK($D253),"&lt;&lt;&lt;&lt;&lt;&lt;&lt;&lt;&lt;&lt;&lt;&lt;&lt;&lt;&lt;&lt;&lt;&lt;&lt;","")</f>
        <v>&lt;&lt;&lt;&lt;&lt;&lt;&lt;&lt;&lt;&lt;&lt;&lt;&lt;&lt;&lt;&lt;&lt;&lt;&lt;</v>
      </c>
      <c r="G253" s="814" t="str">
        <f>IF(ISBLANK($D253),"Cell D253 must be completed.","")</f>
        <v>Cell D253 must be completed.</v>
      </c>
      <c r="H253" s="472"/>
      <c r="I253" s="398"/>
      <c r="J253" s="471"/>
      <c r="K253" s="471"/>
      <c r="L253" s="471"/>
      <c r="M253" s="471"/>
      <c r="N253"/>
      <c r="O253" s="471"/>
      <c r="P253" s="471"/>
      <c r="Q253" s="471"/>
      <c r="R253"/>
      <c r="S253" s="387"/>
      <c r="T253" s="471"/>
      <c r="U253" s="471"/>
      <c r="V253" s="471"/>
      <c r="W253" s="471"/>
      <c r="X253" s="682"/>
      <c r="Y253" s="471"/>
      <c r="Z253" s="471"/>
      <c r="AA253" s="471"/>
      <c r="AB253" s="471"/>
      <c r="AC253" s="471"/>
      <c r="AD253" s="471"/>
      <c r="AE253" s="471"/>
      <c r="AF253" s="471"/>
      <c r="AG253" s="471"/>
      <c r="AH253" s="471"/>
      <c r="AI253" s="471"/>
      <c r="AJ253" s="471"/>
      <c r="AK253" s="471"/>
      <c r="AL253" s="471"/>
      <c r="AM253" s="471"/>
      <c r="AN253" s="471"/>
      <c r="AO253" s="471"/>
      <c r="AP253" s="471"/>
      <c r="AQ253" s="471"/>
      <c r="AR253" s="471"/>
      <c r="AS253" s="471"/>
      <c r="AT253" s="471"/>
      <c r="AU253" s="471"/>
      <c r="AV253" s="471"/>
      <c r="AW253" s="471"/>
      <c r="AX253" s="471"/>
      <c r="AY253" s="471"/>
      <c r="AZ253" s="471"/>
      <c r="BA253" s="471"/>
      <c r="BB253" s="471"/>
      <c r="BC253" s="471"/>
      <c r="BD253" s="471"/>
      <c r="BE253" s="471"/>
      <c r="BF253" s="471"/>
      <c r="BG253" s="471"/>
      <c r="BH253" s="471"/>
      <c r="BI253" s="471"/>
      <c r="BJ253" s="471"/>
      <c r="BK253" s="471"/>
      <c r="BL253" s="471"/>
      <c r="BM253" s="471"/>
      <c r="BN253" s="471"/>
      <c r="BO253" s="471"/>
      <c r="BP253" s="471"/>
      <c r="BQ253" s="471"/>
      <c r="BR253" s="471"/>
      <c r="BS253" s="471"/>
      <c r="BT253" s="471"/>
      <c r="BU253" s="471"/>
      <c r="BV253" s="471"/>
      <c r="BW253" s="471"/>
      <c r="BX253" s="471"/>
      <c r="BY253" s="471"/>
      <c r="BZ253" s="471"/>
      <c r="CA253" s="471"/>
      <c r="CB253" s="471"/>
      <c r="CC253" s="471"/>
      <c r="CD253" s="471"/>
      <c r="CE253" s="471"/>
      <c r="CF253" s="471"/>
      <c r="CG253" s="471"/>
      <c r="CH253" s="471"/>
      <c r="CI253" s="471"/>
      <c r="CJ253" s="471"/>
      <c r="CK253" s="471"/>
      <c r="CL253" s="471"/>
      <c r="CM253" s="471"/>
      <c r="CN253" s="471"/>
      <c r="CO253" s="471"/>
      <c r="CP253" s="471"/>
      <c r="CQ253" s="471"/>
      <c r="CR253" s="471"/>
      <c r="CS253" s="471"/>
      <c r="CT253" s="471"/>
      <c r="CU253" s="471"/>
      <c r="CV253" s="471"/>
      <c r="CW253" s="471"/>
      <c r="CX253" s="471"/>
      <c r="CY253" s="471"/>
      <c r="CZ253" s="471"/>
      <c r="DA253" s="471"/>
      <c r="DB253" s="471"/>
      <c r="DC253" s="471"/>
      <c r="DD253" s="471"/>
      <c r="DE253" s="471"/>
      <c r="DF253" s="471"/>
      <c r="DG253" s="471"/>
      <c r="DH253" s="471"/>
      <c r="DI253" s="471"/>
      <c r="DJ253" s="471"/>
      <c r="DK253" s="471"/>
      <c r="DL253" s="471"/>
      <c r="DM253" s="471"/>
      <c r="DN253" s="471"/>
      <c r="DO253" s="471"/>
      <c r="DP253" s="471"/>
      <c r="DQ253" s="471"/>
      <c r="DR253" s="471"/>
      <c r="DS253" s="471"/>
      <c r="DT253" s="471"/>
      <c r="DU253" s="471"/>
      <c r="DV253" s="471"/>
      <c r="DW253" s="471"/>
      <c r="DX253" s="471"/>
      <c r="DY253" s="471"/>
      <c r="DZ253" s="471"/>
      <c r="EA253" s="471"/>
      <c r="EB253" s="471"/>
      <c r="EC253" s="471"/>
      <c r="ED253" s="471"/>
      <c r="EE253" s="471"/>
      <c r="EF253" s="471"/>
      <c r="EG253" s="471"/>
      <c r="EH253" s="471"/>
      <c r="EI253" s="471"/>
      <c r="EJ253" s="471"/>
      <c r="EK253" s="471"/>
      <c r="EL253" s="471"/>
      <c r="EM253" s="471"/>
      <c r="EN253" s="471"/>
      <c r="EO253" s="471"/>
      <c r="EP253" s="471"/>
      <c r="EQ253" s="471"/>
      <c r="ER253" s="471"/>
      <c r="ES253" s="471"/>
      <c r="ET253" s="471"/>
      <c r="EU253" s="471"/>
      <c r="EV253" s="471"/>
      <c r="EW253" s="471"/>
      <c r="EX253" s="471"/>
      <c r="EY253" s="471"/>
      <c r="EZ253" s="471"/>
      <c r="FA253" s="471"/>
      <c r="FB253" s="471"/>
      <c r="FC253" s="471"/>
      <c r="FD253" s="471"/>
      <c r="FE253" s="471"/>
      <c r="FF253" s="471"/>
      <c r="FG253" s="471"/>
      <c r="FH253" s="471"/>
      <c r="FI253" s="471"/>
      <c r="FJ253" s="471"/>
      <c r="FK253" s="471"/>
      <c r="FL253" s="471"/>
      <c r="FM253" s="471"/>
      <c r="FN253" s="471"/>
      <c r="FO253" s="471"/>
      <c r="FP253" s="471"/>
      <c r="FQ253" s="471"/>
      <c r="FR253" s="471"/>
      <c r="FS253" s="471"/>
      <c r="FT253" s="471"/>
      <c r="FU253" s="471"/>
      <c r="FV253" s="471"/>
      <c r="FW253" s="471"/>
      <c r="FX253" s="471"/>
      <c r="FY253" s="471"/>
      <c r="FZ253" s="471"/>
      <c r="GA253" s="471"/>
      <c r="GB253" s="471"/>
      <c r="GC253" s="471"/>
      <c r="GD253" s="471"/>
      <c r="GE253" s="471"/>
      <c r="GF253" s="471"/>
      <c r="GG253" s="471"/>
      <c r="GH253" s="471"/>
      <c r="GI253" s="471"/>
      <c r="GJ253" s="471"/>
      <c r="GK253" s="471"/>
      <c r="GL253" s="471"/>
      <c r="GM253" s="471"/>
      <c r="GN253" s="471"/>
      <c r="GO253" s="471"/>
      <c r="GP253" s="471"/>
      <c r="GQ253" s="471"/>
      <c r="GR253" s="471"/>
      <c r="GS253" s="471"/>
      <c r="GT253" s="471"/>
      <c r="GU253" s="471"/>
      <c r="GV253" s="471"/>
      <c r="GW253" s="471"/>
      <c r="GX253" s="471"/>
      <c r="GY253" s="471"/>
      <c r="GZ253" s="471"/>
      <c r="HA253" s="471"/>
      <c r="HB253" s="471"/>
      <c r="HC253" s="471"/>
      <c r="HD253" s="471"/>
      <c r="HE253" s="471"/>
      <c r="HF253" s="471"/>
      <c r="HG253" s="471"/>
      <c r="HH253" s="471"/>
      <c r="HI253" s="471"/>
      <c r="HJ253" s="471"/>
      <c r="HK253" s="471"/>
      <c r="HL253" s="471"/>
      <c r="HM253" s="471"/>
      <c r="HN253" s="471"/>
      <c r="HO253" s="471"/>
      <c r="HP253" s="471"/>
      <c r="HQ253" s="471"/>
      <c r="HR253" s="471"/>
      <c r="HS253" s="471"/>
      <c r="HT253" s="471"/>
      <c r="HU253" s="471"/>
      <c r="HV253" s="471"/>
      <c r="HW253" s="471"/>
      <c r="HX253" s="471"/>
      <c r="HY253" s="471"/>
      <c r="HZ253" s="471"/>
      <c r="IA253" s="471"/>
      <c r="IB253" s="471"/>
      <c r="IC253" s="471"/>
      <c r="ID253" s="471"/>
      <c r="IE253" s="471"/>
      <c r="IF253" s="471"/>
      <c r="IG253" s="471"/>
      <c r="IH253" s="471"/>
      <c r="II253" s="471"/>
      <c r="IJ253" s="471"/>
      <c r="IK253" s="471"/>
      <c r="IL253" s="471"/>
      <c r="IM253" s="471"/>
      <c r="IN253" s="471"/>
      <c r="IO253" s="471"/>
      <c r="IP253" s="471"/>
      <c r="IQ253" s="471"/>
      <c r="IR253" s="471"/>
      <c r="IS253" s="471"/>
      <c r="IT253" s="471"/>
      <c r="IU253" s="471"/>
      <c r="IV253" s="471"/>
      <c r="IW253" s="471"/>
      <c r="IX253" s="471"/>
      <c r="IY253" s="471"/>
      <c r="IZ253" s="471"/>
      <c r="JA253" s="471"/>
      <c r="JB253" s="471"/>
      <c r="JC253" s="471"/>
      <c r="JD253" s="471"/>
      <c r="JE253" s="471"/>
      <c r="JF253" s="471"/>
      <c r="JG253" s="471"/>
      <c r="JH253" s="471"/>
      <c r="JI253" s="471"/>
      <c r="JJ253" s="471"/>
      <c r="JK253" s="471"/>
      <c r="JL253" s="471"/>
      <c r="JM253" s="471"/>
      <c r="JN253" s="471"/>
      <c r="JO253" s="471"/>
      <c r="JP253" s="471"/>
      <c r="JQ253" s="471"/>
      <c r="JR253" s="471"/>
      <c r="JS253" s="471"/>
      <c r="JT253" s="471"/>
      <c r="JU253" s="471"/>
      <c r="JV253" s="471"/>
      <c r="JW253" s="471"/>
      <c r="JX253" s="471"/>
      <c r="JY253" s="471"/>
      <c r="JZ253" s="471"/>
      <c r="KA253" s="471"/>
      <c r="KB253" s="471"/>
      <c r="KC253" s="471"/>
      <c r="KD253" s="471"/>
      <c r="KE253" s="471"/>
      <c r="KF253" s="471"/>
      <c r="KG253" s="471"/>
      <c r="KH253" s="471"/>
      <c r="KI253" s="471"/>
      <c r="KJ253" s="471"/>
      <c r="KK253" s="471"/>
      <c r="KL253" s="471"/>
      <c r="KM253" s="471"/>
      <c r="KN253" s="471"/>
      <c r="KO253" s="471"/>
      <c r="KP253" s="471"/>
      <c r="KQ253" s="471"/>
      <c r="KR253" s="471"/>
      <c r="KS253" s="471"/>
      <c r="KT253" s="471"/>
      <c r="KU253" s="471"/>
      <c r="KV253" s="471"/>
      <c r="KW253" s="471"/>
      <c r="KX253" s="471"/>
      <c r="KY253" s="471"/>
      <c r="KZ253" s="471"/>
      <c r="LA253" s="471"/>
      <c r="LB253" s="471"/>
      <c r="LC253" s="471"/>
      <c r="LD253" s="471"/>
      <c r="LE253" s="471"/>
      <c r="LF253" s="471"/>
      <c r="LG253" s="471"/>
      <c r="LH253" s="471"/>
      <c r="LI253" s="471"/>
      <c r="LJ253" s="471"/>
      <c r="LK253" s="471"/>
      <c r="LL253" s="471"/>
      <c r="LM253" s="471"/>
      <c r="LN253" s="471"/>
      <c r="LO253" s="471"/>
      <c r="LP253" s="471"/>
      <c r="LQ253" s="471"/>
      <c r="LR253" s="471"/>
      <c r="LS253" s="471"/>
      <c r="LT253" s="471"/>
      <c r="LU253" s="471"/>
      <c r="LV253" s="471"/>
      <c r="LW253" s="471"/>
      <c r="LX253" s="471"/>
      <c r="LY253" s="471"/>
      <c r="LZ253" s="471"/>
      <c r="MA253" s="471"/>
      <c r="MB253" s="471"/>
      <c r="MC253" s="471"/>
      <c r="MD253" s="471"/>
      <c r="ME253" s="471"/>
      <c r="MF253" s="471"/>
      <c r="MG253" s="471"/>
      <c r="MH253" s="471"/>
      <c r="MI253" s="471"/>
      <c r="MJ253" s="471"/>
      <c r="MK253" s="471"/>
      <c r="ML253" s="471"/>
      <c r="MM253" s="471"/>
      <c r="MN253" s="471"/>
      <c r="MO253" s="471"/>
      <c r="MP253" s="471"/>
      <c r="MQ253" s="471"/>
      <c r="MR253" s="471"/>
      <c r="MS253" s="471"/>
      <c r="MT253" s="471"/>
      <c r="MU253" s="471"/>
      <c r="MV253" s="471"/>
      <c r="MW253" s="471"/>
      <c r="MX253" s="471"/>
      <c r="MY253" s="471"/>
      <c r="MZ253" s="471"/>
      <c r="NA253" s="471"/>
      <c r="NB253" s="471"/>
      <c r="NC253" s="471"/>
      <c r="ND253" s="471"/>
      <c r="NE253" s="471"/>
      <c r="NF253" s="471"/>
      <c r="NG253" s="471"/>
      <c r="NH253" s="471"/>
      <c r="NI253" s="471"/>
      <c r="NJ253" s="471"/>
      <c r="NK253" s="471"/>
      <c r="NL253" s="471"/>
      <c r="NM253" s="471"/>
      <c r="NN253" s="471"/>
      <c r="NO253" s="471"/>
      <c r="NP253" s="471"/>
      <c r="NQ253" s="471"/>
      <c r="NR253" s="471"/>
      <c r="NS253" s="471"/>
      <c r="NT253" s="471"/>
      <c r="NU253" s="471"/>
      <c r="NV253" s="471"/>
      <c r="NW253" s="471"/>
      <c r="NX253" s="471"/>
      <c r="NY253" s="471"/>
      <c r="NZ253" s="471"/>
      <c r="OA253" s="471"/>
      <c r="OB253" s="471"/>
      <c r="OC253" s="471"/>
      <c r="OD253" s="471"/>
      <c r="OE253" s="471"/>
      <c r="OF253" s="471"/>
      <c r="OG253" s="471"/>
      <c r="OH253" s="471"/>
      <c r="OI253" s="471"/>
      <c r="OJ253" s="471"/>
      <c r="OK253" s="471"/>
      <c r="OL253" s="471"/>
      <c r="OM253" s="471"/>
      <c r="ON253" s="471"/>
      <c r="OO253" s="471"/>
      <c r="OP253" s="471"/>
      <c r="OQ253" s="471"/>
      <c r="OR253" s="471"/>
      <c r="OS253" s="471"/>
      <c r="OT253" s="471"/>
      <c r="OU253" s="471"/>
      <c r="OV253" s="471"/>
      <c r="OW253" s="471"/>
      <c r="OX253" s="471"/>
      <c r="OY253" s="471"/>
      <c r="OZ253" s="471"/>
      <c r="PA253" s="471"/>
      <c r="PB253" s="471"/>
      <c r="PC253" s="471"/>
      <c r="PD253" s="471"/>
      <c r="PE253" s="471"/>
      <c r="PF253" s="471"/>
      <c r="PG253" s="471"/>
      <c r="PH253" s="471"/>
      <c r="PI253" s="471"/>
      <c r="PJ253" s="471"/>
      <c r="PK253" s="471"/>
      <c r="PL253" s="471"/>
      <c r="PM253" s="471"/>
      <c r="PN253" s="471"/>
      <c r="PO253" s="471"/>
      <c r="PP253" s="471"/>
      <c r="PQ253" s="471"/>
      <c r="PR253" s="471"/>
      <c r="PS253" s="471"/>
      <c r="PT253" s="471"/>
      <c r="PU253" s="471"/>
      <c r="PV253" s="471"/>
      <c r="PW253" s="471"/>
      <c r="PX253" s="471"/>
      <c r="PY253" s="471"/>
      <c r="PZ253" s="471"/>
      <c r="QA253" s="471"/>
      <c r="QB253" s="471"/>
      <c r="QC253" s="471"/>
      <c r="QD253" s="471"/>
      <c r="QE253" s="471"/>
      <c r="QF253" s="471"/>
      <c r="QG253" s="471"/>
      <c r="QH253" s="471"/>
      <c r="QI253" s="471"/>
      <c r="QJ253" s="471"/>
      <c r="QK253" s="471"/>
      <c r="QL253" s="471"/>
      <c r="QM253" s="471"/>
      <c r="QN253" s="471"/>
      <c r="QO253" s="471"/>
      <c r="QP253" s="471"/>
      <c r="QQ253" s="471"/>
      <c r="QR253" s="471"/>
      <c r="QS253" s="471"/>
      <c r="QT253" s="471"/>
      <c r="QU253" s="471"/>
      <c r="QV253" s="471"/>
      <c r="QW253" s="471"/>
      <c r="QX253" s="471"/>
      <c r="QY253" s="471"/>
      <c r="QZ253" s="471"/>
      <c r="RA253" s="471"/>
      <c r="RB253" s="471"/>
      <c r="RC253" s="471"/>
      <c r="RD253" s="471"/>
      <c r="RE253" s="471"/>
      <c r="RF253" s="471"/>
      <c r="RG253" s="471"/>
      <c r="RH253" s="471"/>
      <c r="RI253" s="471"/>
      <c r="RJ253" s="471"/>
      <c r="RK253" s="471"/>
      <c r="RL253" s="471"/>
      <c r="RM253" s="471"/>
      <c r="RN253" s="471"/>
      <c r="RO253" s="471"/>
      <c r="RP253" s="471"/>
      <c r="RQ253" s="471"/>
      <c r="RR253" s="471"/>
      <c r="RS253" s="471"/>
      <c r="RT253" s="471"/>
      <c r="RU253" s="471"/>
      <c r="RV253" s="471"/>
      <c r="RW253" s="471"/>
      <c r="RX253" s="471"/>
      <c r="RY253" s="471"/>
      <c r="RZ253" s="471"/>
      <c r="SA253" s="471"/>
      <c r="SB253" s="471"/>
      <c r="SC253" s="471"/>
      <c r="SD253" s="471"/>
      <c r="SE253" s="471"/>
      <c r="SF253" s="471"/>
      <c r="SG253" s="471"/>
      <c r="SH253" s="471"/>
      <c r="SI253" s="471"/>
      <c r="SJ253" s="471"/>
      <c r="SK253" s="471"/>
      <c r="SL253" s="471"/>
      <c r="SM253" s="471"/>
      <c r="SN253" s="471"/>
      <c r="SO253" s="471"/>
      <c r="SP253" s="471"/>
      <c r="SQ253" s="471"/>
      <c r="SR253" s="471"/>
      <c r="SS253" s="471"/>
      <c r="ST253" s="471"/>
      <c r="SU253" s="471"/>
      <c r="SV253" s="471"/>
      <c r="SW253" s="471"/>
      <c r="SX253" s="471"/>
      <c r="SY253" s="471"/>
      <c r="SZ253" s="471"/>
      <c r="TA253" s="471"/>
      <c r="TB253" s="471"/>
      <c r="TC253" s="471"/>
      <c r="TD253" s="471"/>
      <c r="TE253" s="471"/>
      <c r="TF253" s="471"/>
      <c r="TG253" s="471"/>
      <c r="TH253" s="471"/>
      <c r="TI253" s="471"/>
      <c r="TJ253" s="471"/>
      <c r="TK253" s="471"/>
      <c r="TL253" s="471"/>
      <c r="TM253" s="471"/>
      <c r="TN253" s="471"/>
      <c r="TO253" s="471"/>
      <c r="TP253" s="471"/>
      <c r="TQ253" s="471"/>
      <c r="TR253" s="471"/>
      <c r="TS253" s="471"/>
      <c r="TT253" s="471"/>
      <c r="TU253" s="471"/>
      <c r="TV253" s="471"/>
      <c r="TW253" s="471"/>
      <c r="TX253" s="471"/>
      <c r="TY253" s="471"/>
      <c r="TZ253" s="471"/>
      <c r="UA253" s="471"/>
      <c r="UB253" s="471"/>
      <c r="UC253" s="471"/>
      <c r="UD253" s="471"/>
      <c r="UE253" s="471"/>
      <c r="UF253" s="471"/>
      <c r="UG253" s="471"/>
      <c r="UH253" s="471"/>
      <c r="UI253" s="471"/>
      <c r="UJ253" s="471"/>
      <c r="UK253" s="471"/>
      <c r="UL253" s="471"/>
      <c r="UM253" s="471"/>
      <c r="UN253" s="471"/>
      <c r="UO253" s="471"/>
      <c r="UP253" s="471"/>
      <c r="UQ253" s="471"/>
      <c r="UR253" s="471"/>
      <c r="US253" s="471"/>
      <c r="UT253" s="471"/>
      <c r="UU253" s="471"/>
      <c r="UV253" s="471"/>
      <c r="UW253" s="471"/>
      <c r="UX253" s="471"/>
      <c r="UY253" s="471"/>
      <c r="UZ253" s="471"/>
      <c r="VA253" s="471"/>
      <c r="VB253" s="471"/>
      <c r="VC253" s="471"/>
      <c r="VD253" s="471"/>
      <c r="VE253" s="471"/>
      <c r="VF253" s="471"/>
      <c r="VG253" s="471"/>
      <c r="VH253" s="471"/>
      <c r="VI253" s="471"/>
      <c r="VJ253" s="471"/>
      <c r="VK253" s="471"/>
      <c r="VL253" s="471"/>
      <c r="VM253" s="471"/>
      <c r="VN253" s="471"/>
      <c r="VO253" s="471"/>
      <c r="VP253" s="471"/>
      <c r="VQ253" s="471"/>
      <c r="VR253" s="471"/>
      <c r="VS253" s="471"/>
      <c r="VT253" s="471"/>
      <c r="VU253" s="471"/>
      <c r="VV253" s="471"/>
      <c r="VW253" s="471"/>
      <c r="VX253" s="471"/>
      <c r="VY253" s="471"/>
      <c r="VZ253" s="471"/>
      <c r="WA253" s="471"/>
      <c r="WB253" s="471"/>
      <c r="WC253" s="471"/>
      <c r="WD253" s="471"/>
      <c r="WE253" s="471"/>
      <c r="WF253" s="471"/>
      <c r="WG253" s="471"/>
      <c r="WH253" s="471"/>
      <c r="WI253" s="471"/>
      <c r="WJ253" s="471"/>
      <c r="WK253" s="471"/>
      <c r="WL253" s="471"/>
      <c r="WM253" s="471"/>
      <c r="WN253" s="471"/>
      <c r="WO253" s="471"/>
      <c r="WP253" s="471"/>
      <c r="WQ253" s="471"/>
      <c r="WR253" s="471"/>
      <c r="WS253" s="471"/>
      <c r="WT253" s="471"/>
      <c r="WU253" s="471"/>
      <c r="WV253" s="471"/>
      <c r="WW253" s="471"/>
      <c r="WX253" s="471"/>
      <c r="WY253" s="471"/>
      <c r="WZ253" s="471"/>
      <c r="XA253" s="471"/>
      <c r="XB253" s="471"/>
      <c r="XC253" s="471"/>
      <c r="XD253" s="471"/>
      <c r="XE253" s="471"/>
      <c r="XF253" s="471"/>
      <c r="XG253" s="471"/>
      <c r="XH253" s="471"/>
      <c r="XI253" s="471"/>
      <c r="XJ253" s="471"/>
      <c r="XK253" s="471"/>
      <c r="XL253" s="471"/>
      <c r="XM253" s="471"/>
      <c r="XN253" s="471"/>
      <c r="XO253" s="471"/>
      <c r="XP253" s="471"/>
      <c r="XQ253" s="471"/>
      <c r="XR253" s="471"/>
      <c r="XS253" s="471"/>
      <c r="XT253" s="471"/>
      <c r="XU253" s="471"/>
      <c r="XV253" s="471"/>
      <c r="XW253" s="471"/>
      <c r="XX253" s="471"/>
      <c r="XY253" s="471"/>
      <c r="XZ253" s="471"/>
      <c r="YA253" s="471"/>
      <c r="YB253" s="471"/>
      <c r="YC253" s="471"/>
      <c r="YD253" s="471"/>
      <c r="YE253" s="471"/>
      <c r="YF253" s="471"/>
      <c r="YG253" s="471"/>
      <c r="YH253" s="471"/>
      <c r="YI253" s="471"/>
      <c r="YJ253" s="471"/>
      <c r="YK253" s="471"/>
      <c r="YL253" s="471"/>
      <c r="YM253" s="471"/>
      <c r="YN253" s="471"/>
      <c r="YO253" s="471"/>
      <c r="YP253" s="471"/>
      <c r="YQ253" s="471"/>
      <c r="YR253" s="471"/>
      <c r="YS253" s="471"/>
      <c r="YT253" s="471"/>
      <c r="YU253" s="471"/>
      <c r="YV253" s="471"/>
      <c r="YW253" s="471"/>
      <c r="YX253" s="471"/>
      <c r="YY253" s="471"/>
      <c r="YZ253" s="471"/>
      <c r="ZA253" s="471"/>
      <c r="ZB253" s="471"/>
      <c r="ZC253" s="471"/>
      <c r="ZD253" s="471"/>
      <c r="ZE253" s="471"/>
      <c r="ZF253" s="471"/>
      <c r="ZG253" s="471"/>
      <c r="ZH253" s="471"/>
      <c r="ZI253" s="471"/>
      <c r="ZJ253" s="471"/>
      <c r="ZK253" s="471"/>
      <c r="ZL253" s="471"/>
      <c r="ZM253" s="471"/>
      <c r="ZN253" s="471"/>
      <c r="ZO253" s="471"/>
      <c r="ZP253" s="471"/>
      <c r="ZQ253" s="471"/>
      <c r="ZR253" s="471"/>
      <c r="ZS253" s="471"/>
      <c r="ZT253" s="471"/>
      <c r="ZU253" s="471"/>
      <c r="ZV253" s="471"/>
      <c r="ZW253" s="471"/>
      <c r="ZX253" s="471"/>
      <c r="ZY253" s="471"/>
      <c r="ZZ253" s="471"/>
      <c r="AAA253" s="471"/>
      <c r="AAB253" s="471"/>
      <c r="AAC253" s="471"/>
      <c r="AAD253" s="471"/>
      <c r="AAE253" s="471"/>
      <c r="AAF253" s="471"/>
      <c r="AAG253" s="471"/>
      <c r="AAH253" s="471"/>
      <c r="AAI253" s="471"/>
      <c r="AAJ253" s="471"/>
      <c r="AAK253" s="471"/>
      <c r="AAL253" s="471"/>
      <c r="AAM253" s="471"/>
      <c r="AAN253" s="471"/>
      <c r="AAO253" s="471"/>
      <c r="AAP253" s="471"/>
      <c r="AAQ253" s="471"/>
      <c r="AAR253" s="471"/>
      <c r="AAS253" s="471"/>
      <c r="AAT253" s="471"/>
      <c r="AAU253" s="471"/>
      <c r="AAV253" s="471"/>
      <c r="AAW253" s="471"/>
      <c r="AAX253" s="471"/>
      <c r="AAY253" s="471"/>
      <c r="AAZ253" s="471"/>
      <c r="ABA253" s="471"/>
      <c r="ABB253" s="471"/>
      <c r="ABC253" s="471"/>
      <c r="ABD253" s="471"/>
      <c r="ABE253" s="471"/>
      <c r="ABF253" s="471"/>
      <c r="ABG253" s="471"/>
      <c r="ABH253" s="471"/>
      <c r="ABI253" s="471"/>
      <c r="ABJ253" s="471"/>
      <c r="ABK253" s="471"/>
      <c r="ABL253" s="471"/>
      <c r="ABM253" s="471"/>
      <c r="ABN253" s="471"/>
      <c r="ABO253" s="471"/>
      <c r="ABP253" s="471"/>
      <c r="ABQ253" s="471"/>
      <c r="ABR253" s="471"/>
      <c r="ABS253" s="471"/>
      <c r="ABT253" s="471"/>
      <c r="ABU253" s="471"/>
      <c r="ABV253" s="471"/>
      <c r="ABW253" s="471"/>
      <c r="ABX253" s="471"/>
      <c r="ABY253" s="471"/>
      <c r="ABZ253" s="471"/>
      <c r="ACA253" s="471"/>
      <c r="ACB253" s="471"/>
      <c r="ACC253" s="471"/>
      <c r="ACD253" s="471"/>
      <c r="ACE253" s="471"/>
      <c r="ACF253" s="471"/>
      <c r="ACG253" s="471"/>
      <c r="ACH253" s="471"/>
      <c r="ACI253" s="471"/>
      <c r="ACJ253" s="471"/>
      <c r="ACK253" s="471"/>
      <c r="ACL253" s="471"/>
      <c r="ACM253" s="471"/>
      <c r="ACN253" s="471"/>
      <c r="ACO253" s="471"/>
      <c r="ACP253" s="471"/>
      <c r="ACQ253" s="471"/>
      <c r="ACR253" s="471"/>
      <c r="ACS253" s="471"/>
      <c r="ACT253" s="471"/>
      <c r="ACU253" s="471"/>
      <c r="ACV253" s="471"/>
      <c r="ACW253" s="471"/>
      <c r="ACX253" s="471"/>
      <c r="ACY253" s="471"/>
      <c r="ACZ253" s="471"/>
      <c r="ADA253" s="471"/>
      <c r="ADB253" s="471"/>
      <c r="ADC253" s="471"/>
      <c r="ADD253" s="471"/>
      <c r="ADE253" s="471"/>
      <c r="ADF253" s="471"/>
      <c r="ADG253" s="471"/>
      <c r="ADH253" s="471"/>
      <c r="ADI253" s="471"/>
      <c r="ADJ253" s="471"/>
      <c r="ADK253" s="471"/>
      <c r="ADL253" s="471"/>
      <c r="ADM253" s="471"/>
      <c r="ADN253" s="471"/>
      <c r="ADO253" s="471"/>
      <c r="ADP253" s="471"/>
      <c r="ADQ253" s="471"/>
      <c r="ADR253" s="471"/>
      <c r="ADS253" s="471"/>
      <c r="ADT253" s="471"/>
      <c r="ADU253" s="471"/>
      <c r="ADV253" s="471"/>
      <c r="ADW253" s="471"/>
      <c r="ADX253" s="471"/>
      <c r="ADY253" s="471"/>
      <c r="ADZ253" s="471"/>
      <c r="AEA253" s="471"/>
      <c r="AEB253" s="471"/>
      <c r="AEC253" s="471"/>
      <c r="AED253" s="471"/>
      <c r="AEE253" s="471"/>
      <c r="AEF253" s="471"/>
      <c r="AEG253" s="471"/>
      <c r="AEH253" s="471"/>
      <c r="AEI253" s="471"/>
      <c r="AEJ253" s="471"/>
      <c r="AEK253" s="471"/>
      <c r="AEL253" s="471"/>
      <c r="AEM253" s="471"/>
      <c r="AEN253" s="471"/>
      <c r="AEO253" s="471"/>
      <c r="AEP253" s="471"/>
      <c r="AEQ253" s="471"/>
      <c r="AER253" s="471"/>
      <c r="AES253" s="471"/>
      <c r="AET253" s="471"/>
      <c r="AEU253" s="471"/>
      <c r="AEV253" s="471"/>
      <c r="AEW253" s="471"/>
      <c r="AEX253" s="471"/>
      <c r="AEY253" s="471"/>
      <c r="AEZ253" s="471"/>
      <c r="AFA253" s="471"/>
      <c r="AFB253" s="471"/>
      <c r="AFC253" s="471"/>
      <c r="AFD253" s="471"/>
      <c r="AFE253" s="471"/>
      <c r="AFF253" s="471"/>
      <c r="AFG253" s="471"/>
      <c r="AFH253" s="471"/>
      <c r="AFI253" s="471"/>
      <c r="AFJ253" s="471"/>
      <c r="AFK253" s="471"/>
      <c r="AFL253" s="471"/>
      <c r="AFM253" s="471"/>
      <c r="AFN253" s="471"/>
      <c r="AFO253" s="471"/>
      <c r="AFP253" s="471"/>
      <c r="AFQ253" s="471"/>
      <c r="AFR253" s="471"/>
      <c r="AFS253" s="471"/>
      <c r="AFT253" s="471"/>
      <c r="AFU253" s="471"/>
      <c r="AFV253" s="471"/>
      <c r="AFW253" s="471"/>
      <c r="AFX253" s="471"/>
      <c r="AFY253" s="471"/>
      <c r="AFZ253" s="471"/>
      <c r="AGA253" s="471"/>
      <c r="AGB253" s="471"/>
      <c r="AGC253" s="471"/>
      <c r="AGD253" s="471"/>
      <c r="AGE253" s="471"/>
      <c r="AGF253" s="471"/>
      <c r="AGG253" s="471"/>
      <c r="AGH253" s="471"/>
      <c r="AGI253" s="471"/>
      <c r="AGJ253" s="471"/>
      <c r="AGK253" s="471"/>
      <c r="AGL253" s="471"/>
      <c r="AGM253" s="471"/>
      <c r="AGN253" s="471"/>
      <c r="AGO253" s="471"/>
      <c r="AGP253" s="471"/>
      <c r="AGQ253" s="471"/>
      <c r="AGR253" s="471"/>
      <c r="AGS253" s="471"/>
      <c r="AGT253" s="471"/>
      <c r="AGU253" s="471"/>
      <c r="AGV253" s="471"/>
      <c r="AGW253" s="471"/>
      <c r="AGX253" s="471"/>
      <c r="AGY253" s="471"/>
      <c r="AGZ253" s="471"/>
      <c r="AHA253" s="471"/>
      <c r="AHB253" s="471"/>
      <c r="AHC253" s="471"/>
      <c r="AHD253" s="471"/>
      <c r="AHE253" s="471"/>
      <c r="AHF253" s="471"/>
      <c r="AHG253" s="471"/>
      <c r="AHH253" s="471"/>
      <c r="AHI253" s="471"/>
      <c r="AHJ253" s="471"/>
      <c r="AHK253" s="471"/>
      <c r="AHL253" s="471"/>
      <c r="AHM253" s="471"/>
      <c r="AHN253" s="471"/>
      <c r="AHO253" s="471"/>
      <c r="AHP253" s="471"/>
      <c r="AHQ253" s="471"/>
      <c r="AHR253" s="471"/>
      <c r="AHS253" s="471"/>
      <c r="AHT253" s="471"/>
      <c r="AHU253" s="471"/>
      <c r="AHV253" s="471"/>
      <c r="AHW253" s="471"/>
      <c r="AHX253" s="471"/>
      <c r="AHY253" s="471"/>
      <c r="AHZ253" s="471"/>
      <c r="AIA253" s="471"/>
      <c r="AIB253" s="471"/>
      <c r="AIC253" s="471"/>
      <c r="AID253" s="471"/>
      <c r="AIE253" s="471"/>
      <c r="AIF253" s="471"/>
      <c r="AIG253" s="471"/>
      <c r="AIH253" s="471"/>
      <c r="AII253" s="471"/>
      <c r="AIJ253" s="471"/>
      <c r="AIK253" s="471"/>
      <c r="AIL253" s="471"/>
      <c r="AIM253" s="471"/>
      <c r="AIN253" s="471"/>
      <c r="AIO253" s="471"/>
      <c r="AIP253" s="471"/>
      <c r="AIQ253" s="471"/>
      <c r="AIR253" s="471"/>
      <c r="AIS253" s="471"/>
      <c r="AIT253" s="471"/>
      <c r="AIU253" s="471"/>
      <c r="AIV253" s="471"/>
      <c r="AIW253" s="471"/>
      <c r="AIX253" s="471"/>
      <c r="AIY253" s="471"/>
      <c r="AIZ253" s="471"/>
      <c r="AJA253" s="471"/>
      <c r="AJB253" s="471"/>
      <c r="AJC253" s="471"/>
      <c r="AJD253" s="471"/>
      <c r="AJE253" s="471"/>
      <c r="AJF253" s="471"/>
      <c r="AJG253" s="471"/>
      <c r="AJH253" s="471"/>
      <c r="AJI253" s="471"/>
      <c r="AJJ253" s="471"/>
      <c r="AJK253" s="471"/>
      <c r="AJL253" s="471"/>
      <c r="AJM253" s="471"/>
      <c r="AJN253" s="471"/>
      <c r="AJO253" s="471"/>
      <c r="AJP253" s="471"/>
      <c r="AJQ253" s="471"/>
      <c r="AJR253" s="471"/>
      <c r="AJS253" s="471"/>
      <c r="AJT253" s="471"/>
      <c r="AJU253" s="471"/>
      <c r="AJV253" s="471"/>
      <c r="AJW253" s="471"/>
      <c r="AJX253" s="471"/>
      <c r="AJY253" s="471"/>
      <c r="AJZ253" s="471"/>
      <c r="AKA253" s="471"/>
      <c r="AKB253" s="471"/>
      <c r="AKC253" s="471"/>
      <c r="AKD253" s="471"/>
      <c r="AKE253" s="471"/>
      <c r="AKF253" s="471"/>
      <c r="AKG253" s="471"/>
      <c r="AKH253" s="471"/>
      <c r="AKI253" s="471"/>
      <c r="AKJ253" s="471"/>
      <c r="AKK253" s="471"/>
      <c r="AKL253" s="471"/>
      <c r="AKM253" s="471"/>
      <c r="AKN253" s="471"/>
      <c r="AKO253" s="471"/>
      <c r="AKP253" s="471"/>
      <c r="AKQ253" s="471"/>
      <c r="AKR253" s="471"/>
      <c r="AKS253" s="471"/>
      <c r="AKT253" s="471"/>
      <c r="AKU253" s="471"/>
      <c r="AKV253" s="471"/>
      <c r="AKW253" s="471"/>
      <c r="AKX253" s="471"/>
      <c r="AKY253" s="471"/>
      <c r="AKZ253" s="471"/>
      <c r="ALA253" s="471"/>
      <c r="ALB253" s="471"/>
      <c r="ALC253" s="471"/>
      <c r="ALD253" s="471"/>
      <c r="ALE253" s="471"/>
      <c r="ALF253" s="471"/>
      <c r="ALG253" s="471"/>
      <c r="ALH253" s="471"/>
      <c r="ALI253" s="471"/>
      <c r="ALJ253" s="471"/>
      <c r="ALK253" s="471"/>
      <c r="ALL253" s="471"/>
      <c r="ALM253" s="471"/>
      <c r="ALN253" s="471"/>
      <c r="ALO253" s="471"/>
      <c r="ALP253" s="471"/>
      <c r="ALQ253" s="471"/>
      <c r="ALR253" s="471"/>
      <c r="ALS253" s="471"/>
      <c r="ALT253" s="471"/>
      <c r="ALU253" s="471"/>
      <c r="ALV253" s="471"/>
      <c r="ALW253" s="471"/>
      <c r="ALX253" s="471"/>
      <c r="ALY253" s="471"/>
      <c r="ALZ253" s="471"/>
      <c r="AMA253" s="471"/>
      <c r="AMB253" s="471"/>
      <c r="AMC253" s="471"/>
      <c r="AMD253" s="471"/>
      <c r="AME253" s="471"/>
      <c r="AMF253" s="471"/>
      <c r="AMG253" s="471"/>
      <c r="AMH253" s="471"/>
      <c r="AMI253" s="471"/>
      <c r="AMJ253" s="471"/>
      <c r="AMK253" s="471"/>
      <c r="AML253" s="471"/>
      <c r="AMM253" s="471"/>
      <c r="AMN253" s="471"/>
      <c r="AMO253" s="471"/>
      <c r="AMP253" s="471"/>
      <c r="AMQ253" s="471"/>
      <c r="AMR253" s="471"/>
      <c r="AMS253" s="471"/>
      <c r="AMT253" s="471"/>
      <c r="AMU253" s="471"/>
      <c r="AMV253" s="471"/>
      <c r="AMW253" s="471"/>
      <c r="AMX253" s="471"/>
      <c r="AMY253" s="471"/>
      <c r="AMZ253" s="471"/>
      <c r="ANA253" s="471"/>
      <c r="ANB253" s="471"/>
      <c r="ANC253" s="471"/>
      <c r="AND253" s="471"/>
      <c r="ANE253" s="471"/>
      <c r="ANF253" s="471"/>
      <c r="ANG253" s="471"/>
      <c r="ANH253" s="471"/>
      <c r="ANI253" s="471"/>
      <c r="ANJ253" s="471"/>
      <c r="ANK253" s="471"/>
      <c r="ANL253" s="471"/>
      <c r="ANM253" s="471"/>
      <c r="ANN253" s="471"/>
      <c r="ANO253" s="471"/>
      <c r="ANP253" s="471"/>
      <c r="ANQ253" s="471"/>
      <c r="ANR253" s="471"/>
      <c r="ANS253" s="471"/>
      <c r="ANT253" s="471"/>
      <c r="ANU253" s="471"/>
      <c r="ANV253" s="471"/>
      <c r="ANW253" s="471"/>
      <c r="ANX253" s="471"/>
      <c r="ANY253" s="471"/>
      <c r="ANZ253" s="471"/>
      <c r="AOA253" s="471"/>
      <c r="AOB253" s="471"/>
      <c r="AOC253" s="471"/>
      <c r="AOD253" s="471"/>
      <c r="AOE253" s="471"/>
      <c r="AOF253" s="471"/>
      <c r="AOG253" s="471"/>
      <c r="AOH253" s="471"/>
      <c r="AOI253" s="471"/>
      <c r="AOJ253" s="471"/>
      <c r="AOK253" s="471"/>
      <c r="AOL253" s="471"/>
      <c r="AOM253" s="471"/>
      <c r="AON253" s="471"/>
      <c r="AOO253" s="471"/>
      <c r="AOP253" s="471"/>
      <c r="AOQ253" s="471"/>
      <c r="AOR253" s="471"/>
      <c r="AOS253" s="471"/>
      <c r="AOT253" s="471"/>
      <c r="AOU253" s="471"/>
      <c r="AOV253" s="471"/>
      <c r="AOW253" s="471"/>
      <c r="AOX253" s="471"/>
      <c r="AOY253" s="471"/>
      <c r="AOZ253" s="471"/>
      <c r="APA253" s="471"/>
      <c r="APB253" s="471"/>
      <c r="APC253" s="471"/>
      <c r="APD253" s="471"/>
      <c r="APE253" s="471"/>
      <c r="APF253" s="471"/>
      <c r="APG253" s="471"/>
      <c r="APH253" s="471"/>
      <c r="API253" s="471"/>
      <c r="APJ253" s="471"/>
      <c r="APK253" s="471"/>
      <c r="APL253" s="471"/>
      <c r="APM253" s="471"/>
      <c r="APN253" s="471"/>
      <c r="APO253" s="471"/>
      <c r="APP253" s="471"/>
      <c r="APQ253" s="471"/>
      <c r="APR253" s="471"/>
      <c r="APS253" s="471"/>
      <c r="APT253" s="471"/>
      <c r="APU253" s="471"/>
      <c r="APV253" s="471"/>
      <c r="APW253" s="471"/>
      <c r="APX253" s="471"/>
      <c r="APY253" s="471"/>
      <c r="APZ253" s="471"/>
      <c r="AQA253" s="471"/>
      <c r="AQB253" s="471"/>
      <c r="AQC253" s="471"/>
      <c r="AQD253" s="471"/>
      <c r="AQE253" s="471"/>
      <c r="AQF253" s="471"/>
      <c r="AQG253" s="471"/>
      <c r="AQH253" s="471"/>
      <c r="AQI253" s="471"/>
      <c r="AQJ253" s="471"/>
      <c r="AQK253" s="471"/>
      <c r="AQL253" s="471"/>
      <c r="AQM253" s="471"/>
      <c r="AQN253" s="471"/>
      <c r="AQO253" s="471"/>
      <c r="AQP253" s="471"/>
      <c r="AQQ253" s="471"/>
      <c r="AQR253" s="471"/>
      <c r="AQS253" s="471"/>
      <c r="AQT253" s="471"/>
      <c r="AQU253" s="471"/>
      <c r="AQV253" s="471"/>
      <c r="AQW253" s="471"/>
      <c r="AQX253" s="471"/>
      <c r="AQY253" s="471"/>
      <c r="AQZ253" s="471"/>
      <c r="ARA253" s="471"/>
      <c r="ARB253" s="471"/>
      <c r="ARC253" s="471"/>
      <c r="ARD253" s="471"/>
      <c r="ARE253" s="471"/>
      <c r="ARF253" s="471"/>
      <c r="ARG253" s="471"/>
      <c r="ARH253" s="471"/>
      <c r="ARI253" s="471"/>
      <c r="ARJ253" s="471"/>
      <c r="ARK253" s="471"/>
      <c r="ARL253" s="471"/>
      <c r="ARM253" s="471"/>
      <c r="ARN253" s="471"/>
      <c r="ARO253" s="471"/>
      <c r="ARP253" s="471"/>
      <c r="ARQ253" s="471"/>
      <c r="ARR253" s="471"/>
      <c r="ARS253" s="471"/>
      <c r="ART253" s="471"/>
      <c r="ARU253" s="471"/>
      <c r="ARV253" s="471"/>
      <c r="ARW253" s="471"/>
      <c r="ARX253" s="471"/>
      <c r="ARY253" s="471"/>
      <c r="ARZ253" s="471"/>
      <c r="ASA253" s="471"/>
      <c r="ASB253" s="471"/>
      <c r="ASC253" s="471"/>
      <c r="ASD253" s="471"/>
      <c r="ASE253" s="471"/>
      <c r="ASF253" s="471"/>
      <c r="ASG253" s="471"/>
      <c r="ASH253" s="471"/>
      <c r="ASI253" s="471"/>
      <c r="ASJ253" s="471"/>
      <c r="ASK253" s="471"/>
      <c r="ASL253" s="471"/>
      <c r="ASM253" s="471"/>
      <c r="ASN253" s="471"/>
      <c r="ASO253" s="471"/>
      <c r="ASP253" s="471"/>
      <c r="ASQ253" s="471"/>
      <c r="ASR253" s="471"/>
      <c r="ASS253" s="471"/>
      <c r="AST253" s="471"/>
      <c r="ASU253" s="471"/>
      <c r="ASV253" s="471"/>
      <c r="ASW253" s="471"/>
      <c r="ASX253" s="471"/>
      <c r="ASY253" s="471"/>
      <c r="ASZ253" s="471"/>
      <c r="ATA253" s="471"/>
      <c r="ATB253" s="471"/>
      <c r="ATC253" s="471"/>
      <c r="ATD253" s="471"/>
      <c r="ATE253" s="471"/>
      <c r="ATF253" s="471"/>
      <c r="ATG253" s="471"/>
      <c r="ATH253" s="471"/>
      <c r="ATI253" s="471"/>
      <c r="ATJ253" s="471"/>
      <c r="ATK253" s="471"/>
      <c r="ATL253" s="471"/>
      <c r="ATM253" s="471"/>
      <c r="ATN253" s="471"/>
      <c r="ATO253" s="471"/>
      <c r="ATP253" s="471"/>
      <c r="ATQ253" s="471"/>
      <c r="ATR253" s="471"/>
      <c r="ATS253" s="471"/>
      <c r="ATT253" s="471"/>
      <c r="ATU253" s="471"/>
      <c r="ATV253" s="471"/>
      <c r="ATW253" s="471"/>
      <c r="ATX253" s="471"/>
      <c r="ATY253" s="471"/>
      <c r="ATZ253" s="471"/>
      <c r="AUA253" s="471"/>
      <c r="AUB253" s="471"/>
      <c r="AUC253" s="471"/>
      <c r="AUD253" s="471"/>
      <c r="AUE253" s="471"/>
      <c r="AUF253" s="471"/>
      <c r="AUG253" s="471"/>
      <c r="AUH253" s="471"/>
      <c r="AUI253" s="471"/>
      <c r="AUJ253" s="471"/>
      <c r="AUK253" s="471"/>
      <c r="AUL253" s="471"/>
      <c r="AUM253" s="471"/>
      <c r="AUN253" s="471"/>
      <c r="AUO253" s="471"/>
      <c r="AUP253" s="471"/>
      <c r="AUQ253" s="471"/>
      <c r="AUR253" s="471"/>
      <c r="AUS253" s="471"/>
      <c r="AUT253" s="471"/>
      <c r="AUU253" s="471"/>
      <c r="AUV253" s="471"/>
      <c r="AUW253" s="471"/>
      <c r="AUX253" s="471"/>
      <c r="AUY253" s="471"/>
      <c r="AUZ253" s="471"/>
      <c r="AVA253" s="471"/>
      <c r="AVB253" s="471"/>
      <c r="AVC253" s="471"/>
      <c r="AVD253" s="471"/>
      <c r="AVE253" s="471"/>
      <c r="AVF253" s="471"/>
      <c r="AVG253" s="471"/>
      <c r="AVH253" s="471"/>
      <c r="AVI253" s="471"/>
      <c r="AVJ253" s="471"/>
      <c r="AVK253" s="471"/>
      <c r="AVL253" s="471"/>
      <c r="AVM253" s="471"/>
      <c r="AVN253" s="471"/>
      <c r="AVO253" s="471"/>
      <c r="AVP253" s="471"/>
      <c r="AVQ253" s="471"/>
      <c r="AVR253" s="471"/>
      <c r="AVS253" s="471"/>
      <c r="AVT253" s="471"/>
      <c r="AVU253" s="471"/>
      <c r="AVV253" s="471"/>
      <c r="AVW253" s="471"/>
      <c r="AVX253" s="471"/>
      <c r="AVY253" s="471"/>
      <c r="AVZ253" s="471"/>
      <c r="AWA253" s="471"/>
      <c r="AWB253" s="471"/>
      <c r="AWC253" s="471"/>
      <c r="AWD253" s="471"/>
      <c r="AWE253" s="471"/>
      <c r="AWF253" s="471"/>
      <c r="AWG253" s="471"/>
      <c r="AWH253" s="471"/>
      <c r="AWI253" s="471"/>
      <c r="AWJ253" s="471"/>
      <c r="AWK253" s="471"/>
      <c r="AWL253" s="471"/>
      <c r="AWM253" s="471"/>
      <c r="AWN253" s="471"/>
      <c r="AWO253" s="471"/>
      <c r="AWP253" s="471"/>
      <c r="AWQ253" s="471"/>
      <c r="AWR253" s="471"/>
      <c r="AWS253" s="471"/>
      <c r="AWT253" s="471"/>
      <c r="AWU253" s="471"/>
      <c r="AWV253" s="471"/>
      <c r="AWW253" s="471"/>
      <c r="AWX253" s="471"/>
      <c r="AWY253" s="471"/>
      <c r="AWZ253" s="471"/>
      <c r="AXA253" s="471"/>
      <c r="AXB253" s="471"/>
      <c r="AXC253" s="471"/>
      <c r="AXD253" s="471"/>
      <c r="AXE253" s="471"/>
      <c r="AXF253" s="471"/>
      <c r="AXG253" s="471"/>
      <c r="AXH253" s="471"/>
      <c r="AXI253" s="471"/>
      <c r="AXJ253" s="471"/>
      <c r="AXK253" s="471"/>
      <c r="AXL253" s="471"/>
      <c r="AXM253" s="471"/>
      <c r="AXN253" s="471"/>
      <c r="AXO253" s="471"/>
      <c r="AXP253" s="471"/>
      <c r="AXQ253" s="471"/>
      <c r="AXR253" s="471"/>
      <c r="AXS253" s="471"/>
      <c r="AXT253" s="471"/>
      <c r="AXU253" s="471"/>
      <c r="AXV253" s="471"/>
      <c r="AXW253" s="471"/>
      <c r="AXX253" s="471"/>
      <c r="AXY253" s="471"/>
      <c r="AXZ253" s="471"/>
      <c r="AYA253" s="471"/>
      <c r="AYB253" s="471"/>
      <c r="AYC253" s="471"/>
      <c r="AYD253" s="471"/>
      <c r="AYE253" s="471"/>
      <c r="AYF253" s="471"/>
      <c r="AYG253" s="471"/>
      <c r="AYH253" s="471"/>
      <c r="AYI253" s="471"/>
      <c r="AYJ253" s="471"/>
      <c r="AYK253" s="471"/>
      <c r="AYL253" s="471"/>
      <c r="AYM253" s="471"/>
      <c r="AYN253" s="471"/>
      <c r="AYO253" s="471"/>
      <c r="AYP253" s="471"/>
      <c r="AYQ253" s="471"/>
      <c r="AYR253" s="471"/>
      <c r="AYS253" s="471"/>
      <c r="AYT253" s="471"/>
      <c r="AYU253" s="471"/>
      <c r="AYV253" s="471"/>
      <c r="AYW253" s="471"/>
      <c r="AYX253" s="471"/>
      <c r="AYY253" s="471"/>
      <c r="AYZ253" s="471"/>
      <c r="AZA253" s="471"/>
      <c r="AZB253" s="471"/>
      <c r="AZC253" s="471"/>
      <c r="AZD253" s="471"/>
      <c r="AZE253" s="471"/>
      <c r="AZF253" s="471"/>
      <c r="AZG253" s="471"/>
      <c r="AZH253" s="471"/>
      <c r="AZI253" s="471"/>
      <c r="AZJ253" s="471"/>
      <c r="AZK253" s="471"/>
      <c r="AZL253" s="471"/>
      <c r="AZM253" s="471"/>
      <c r="AZN253" s="471"/>
      <c r="AZO253" s="471"/>
      <c r="AZP253" s="471"/>
      <c r="AZQ253" s="471"/>
      <c r="AZR253" s="471"/>
      <c r="AZS253" s="471"/>
      <c r="AZT253" s="471"/>
      <c r="AZU253" s="471"/>
      <c r="AZV253" s="471"/>
      <c r="AZW253" s="471"/>
      <c r="AZX253" s="471"/>
      <c r="AZY253" s="471"/>
      <c r="AZZ253" s="471"/>
      <c r="BAA253" s="471"/>
      <c r="BAB253" s="471"/>
      <c r="BAC253" s="471"/>
      <c r="BAD253" s="471"/>
      <c r="BAE253" s="471"/>
      <c r="BAF253" s="471"/>
      <c r="BAG253" s="471"/>
      <c r="BAH253" s="471"/>
      <c r="BAI253" s="471"/>
      <c r="BAJ253" s="471"/>
      <c r="BAK253" s="471"/>
      <c r="BAL253" s="471"/>
      <c r="BAM253" s="471"/>
      <c r="BAN253" s="471"/>
      <c r="BAO253" s="471"/>
      <c r="BAP253" s="471"/>
      <c r="BAQ253" s="471"/>
      <c r="BAR253" s="471"/>
      <c r="BAS253" s="471"/>
      <c r="BAT253" s="471"/>
      <c r="BAU253" s="471"/>
      <c r="BAV253" s="471"/>
      <c r="BAW253" s="471"/>
      <c r="BAX253" s="471"/>
      <c r="BAY253" s="471"/>
      <c r="BAZ253" s="471"/>
      <c r="BBA253" s="471"/>
      <c r="BBB253" s="471"/>
      <c r="BBC253" s="471"/>
      <c r="BBD253" s="471"/>
      <c r="BBE253" s="471"/>
      <c r="BBF253" s="471"/>
      <c r="BBG253" s="471"/>
      <c r="BBH253" s="471"/>
      <c r="BBI253" s="471"/>
      <c r="BBJ253" s="471"/>
      <c r="BBK253" s="471"/>
      <c r="BBL253" s="471"/>
      <c r="BBM253" s="471"/>
      <c r="BBN253" s="471"/>
      <c r="BBO253" s="471"/>
      <c r="BBP253" s="471"/>
      <c r="BBQ253" s="471"/>
      <c r="BBR253" s="471"/>
      <c r="BBS253" s="471"/>
      <c r="BBT253" s="471"/>
      <c r="BBU253" s="471"/>
      <c r="BBV253" s="471"/>
      <c r="BBW253" s="471"/>
      <c r="BBX253" s="471"/>
      <c r="BBY253" s="471"/>
      <c r="BBZ253" s="471"/>
      <c r="BCA253" s="471"/>
      <c r="BCB253" s="471"/>
      <c r="BCC253" s="471"/>
      <c r="BCD253" s="471"/>
      <c r="BCE253" s="471"/>
      <c r="BCF253" s="471"/>
      <c r="BCG253" s="471"/>
      <c r="BCH253" s="471"/>
      <c r="BCI253" s="471"/>
      <c r="BCJ253" s="471"/>
      <c r="BCK253" s="471"/>
      <c r="BCL253" s="471"/>
      <c r="BCM253" s="471"/>
      <c r="BCN253" s="471"/>
      <c r="BCO253" s="471"/>
      <c r="BCP253" s="471"/>
      <c r="BCQ253" s="471"/>
      <c r="BCR253" s="471"/>
      <c r="BCS253" s="471"/>
      <c r="BCT253" s="471"/>
      <c r="BCU253" s="471"/>
      <c r="BCV253" s="471"/>
      <c r="BCW253" s="471"/>
      <c r="BCX253" s="471"/>
      <c r="BCY253" s="471"/>
      <c r="BCZ253" s="471"/>
      <c r="BDA253" s="471"/>
      <c r="BDB253" s="471"/>
      <c r="BDC253" s="471"/>
      <c r="BDD253" s="471"/>
      <c r="BDE253" s="471"/>
      <c r="BDF253" s="471"/>
      <c r="BDG253" s="471"/>
      <c r="BDH253" s="471"/>
      <c r="BDI253" s="471"/>
      <c r="BDJ253" s="471"/>
      <c r="BDK253" s="471"/>
      <c r="BDL253" s="471"/>
      <c r="BDM253" s="471"/>
      <c r="BDN253" s="471"/>
      <c r="BDO253" s="471"/>
      <c r="BDP253" s="471"/>
      <c r="BDQ253" s="471"/>
      <c r="BDR253" s="471"/>
      <c r="BDS253" s="471"/>
      <c r="BDT253" s="471"/>
      <c r="BDU253" s="471"/>
      <c r="BDV253" s="471"/>
      <c r="BDW253" s="471"/>
      <c r="BDX253" s="471"/>
      <c r="BDY253" s="471"/>
      <c r="BDZ253" s="471"/>
      <c r="BEA253" s="471"/>
      <c r="BEB253" s="471"/>
      <c r="BEC253" s="471"/>
      <c r="BED253" s="471"/>
      <c r="BEE253" s="471"/>
      <c r="BEF253" s="471"/>
      <c r="BEG253" s="471"/>
      <c r="BEH253" s="471"/>
      <c r="BEI253" s="471"/>
      <c r="BEJ253" s="471"/>
      <c r="BEK253" s="471"/>
      <c r="BEL253" s="471"/>
      <c r="BEM253" s="471"/>
      <c r="BEN253" s="471"/>
      <c r="BEO253" s="471"/>
      <c r="BEP253" s="471"/>
      <c r="BEQ253" s="471"/>
      <c r="BER253" s="471"/>
      <c r="BES253" s="471"/>
      <c r="BET253" s="471"/>
      <c r="BEU253" s="471"/>
      <c r="BEV253" s="471"/>
      <c r="BEW253" s="471"/>
      <c r="BEX253" s="471"/>
      <c r="BEY253" s="471"/>
      <c r="BEZ253" s="471"/>
      <c r="BFA253" s="471"/>
      <c r="BFB253" s="471"/>
      <c r="BFC253" s="471"/>
      <c r="BFD253" s="471"/>
      <c r="BFE253" s="471"/>
      <c r="BFF253" s="471"/>
      <c r="BFG253" s="471"/>
      <c r="BFH253" s="471"/>
      <c r="BFI253" s="471"/>
      <c r="BFJ253" s="471"/>
      <c r="BFK253" s="471"/>
      <c r="BFL253" s="471"/>
      <c r="BFM253" s="471"/>
      <c r="BFN253" s="471"/>
      <c r="BFO253" s="471"/>
      <c r="BFP253" s="471"/>
      <c r="BFQ253" s="471"/>
      <c r="BFR253" s="471"/>
      <c r="BFS253" s="471"/>
      <c r="BFT253" s="471"/>
      <c r="BFU253" s="471"/>
      <c r="BFV253" s="471"/>
      <c r="BFW253" s="471"/>
      <c r="BFX253" s="471"/>
      <c r="BFY253" s="471"/>
      <c r="BFZ253" s="471"/>
      <c r="BGA253" s="471"/>
      <c r="BGB253" s="471"/>
      <c r="BGC253" s="471"/>
      <c r="BGD253" s="471"/>
      <c r="BGE253" s="471"/>
      <c r="BGF253" s="471"/>
      <c r="BGG253" s="471"/>
      <c r="BGH253" s="471"/>
      <c r="BGI253" s="471"/>
      <c r="BGJ253" s="471"/>
      <c r="BGK253" s="471"/>
      <c r="BGL253" s="471"/>
      <c r="BGM253" s="471"/>
      <c r="BGN253" s="471"/>
      <c r="BGO253" s="471"/>
      <c r="BGP253" s="471"/>
      <c r="BGQ253" s="471"/>
      <c r="BGR253" s="471"/>
      <c r="BGS253" s="471"/>
      <c r="BGT253" s="471"/>
      <c r="BGU253" s="471"/>
      <c r="BGV253" s="471"/>
      <c r="BGW253" s="471"/>
      <c r="BGX253" s="471"/>
      <c r="BGY253" s="471"/>
      <c r="BGZ253" s="471"/>
      <c r="BHA253" s="471"/>
      <c r="BHB253" s="471"/>
      <c r="BHC253" s="471"/>
      <c r="BHD253" s="471"/>
      <c r="BHE253" s="471"/>
      <c r="BHF253" s="471"/>
      <c r="BHG253" s="471"/>
      <c r="BHH253" s="471"/>
      <c r="BHI253" s="471"/>
      <c r="BHJ253" s="471"/>
      <c r="BHK253" s="471"/>
      <c r="BHL253" s="471"/>
      <c r="BHM253" s="471"/>
      <c r="BHN253" s="471"/>
      <c r="BHO253" s="471"/>
      <c r="BHP253" s="471"/>
      <c r="BHQ253" s="471"/>
      <c r="BHR253" s="471"/>
      <c r="BHS253" s="471"/>
      <c r="BHT253" s="471"/>
      <c r="BHU253" s="471"/>
      <c r="BHV253" s="471"/>
      <c r="BHW253" s="471"/>
      <c r="BHX253" s="471"/>
      <c r="BHY253" s="471"/>
      <c r="BHZ253" s="471"/>
      <c r="BIA253" s="471"/>
      <c r="BIB253" s="471"/>
      <c r="BIC253" s="471"/>
      <c r="BID253" s="471"/>
      <c r="BIE253" s="471"/>
      <c r="BIF253" s="471"/>
      <c r="BIG253" s="471"/>
      <c r="BIH253" s="471"/>
      <c r="BII253" s="471"/>
      <c r="BIJ253" s="471"/>
      <c r="BIK253" s="471"/>
      <c r="BIL253" s="471"/>
      <c r="BIM253" s="471"/>
      <c r="BIN253" s="471"/>
      <c r="BIO253" s="471"/>
      <c r="BIP253" s="471"/>
      <c r="BIQ253" s="471"/>
      <c r="BIR253" s="471"/>
      <c r="BIS253" s="471"/>
      <c r="BIT253" s="471"/>
      <c r="BIU253" s="471"/>
      <c r="BIV253" s="471"/>
      <c r="BIW253" s="471"/>
      <c r="BIX253" s="471"/>
      <c r="BIY253" s="471"/>
      <c r="BIZ253" s="471"/>
      <c r="BJA253" s="471"/>
      <c r="BJB253" s="471"/>
      <c r="BJC253" s="471"/>
      <c r="BJD253" s="471"/>
      <c r="BJE253" s="471"/>
      <c r="BJF253" s="471"/>
      <c r="BJG253" s="471"/>
      <c r="BJH253" s="471"/>
      <c r="BJI253" s="471"/>
      <c r="BJJ253" s="471"/>
      <c r="BJK253" s="471"/>
      <c r="BJL253" s="471"/>
      <c r="BJM253" s="471"/>
      <c r="BJN253" s="471"/>
      <c r="BJO253" s="471"/>
      <c r="BJP253" s="471"/>
      <c r="BJQ253" s="471"/>
      <c r="BJR253" s="471"/>
      <c r="BJS253" s="471"/>
      <c r="BJT253" s="471"/>
      <c r="BJU253" s="471"/>
      <c r="BJV253" s="471"/>
      <c r="BJW253" s="471"/>
      <c r="BJX253" s="471"/>
      <c r="BJY253" s="471"/>
      <c r="BJZ253" s="471"/>
      <c r="BKA253" s="471"/>
      <c r="BKB253" s="471"/>
      <c r="BKC253" s="471"/>
      <c r="BKD253" s="471"/>
      <c r="BKE253" s="471"/>
      <c r="BKF253" s="471"/>
      <c r="BKG253" s="471"/>
      <c r="BKH253" s="471"/>
      <c r="BKI253" s="471"/>
      <c r="BKJ253" s="471"/>
      <c r="BKK253" s="471"/>
      <c r="BKL253" s="471"/>
      <c r="BKM253" s="471"/>
      <c r="BKN253" s="471"/>
      <c r="BKO253" s="471"/>
      <c r="BKP253" s="471"/>
      <c r="BKQ253" s="471"/>
      <c r="BKR253" s="471"/>
      <c r="BKS253" s="471"/>
      <c r="BKT253" s="471"/>
      <c r="BKU253" s="471"/>
      <c r="BKV253" s="471"/>
      <c r="BKW253" s="471"/>
      <c r="BKX253" s="471"/>
      <c r="BKY253" s="471"/>
      <c r="BKZ253" s="471"/>
      <c r="BLA253" s="471"/>
      <c r="BLB253" s="471"/>
      <c r="BLC253" s="471"/>
      <c r="BLD253" s="471"/>
      <c r="BLE253" s="471"/>
      <c r="BLF253" s="471"/>
      <c r="BLG253" s="471"/>
      <c r="BLH253" s="471"/>
      <c r="BLI253" s="471"/>
      <c r="BLJ253" s="471"/>
      <c r="BLK253" s="471"/>
      <c r="BLL253" s="471"/>
      <c r="BLM253" s="471"/>
      <c r="BLN253" s="471"/>
      <c r="BLO253" s="471"/>
      <c r="BLP253" s="471"/>
      <c r="BLQ253" s="471"/>
      <c r="BLR253" s="471"/>
      <c r="BLS253" s="471"/>
      <c r="BLT253" s="471"/>
      <c r="BLU253" s="471"/>
      <c r="BLV253" s="471"/>
      <c r="BLW253" s="471"/>
      <c r="BLX253" s="471"/>
      <c r="BLY253" s="471"/>
      <c r="BLZ253" s="471"/>
      <c r="BMA253" s="471"/>
      <c r="BMB253" s="471"/>
      <c r="BMC253" s="471"/>
      <c r="BMD253" s="471"/>
      <c r="BME253" s="471"/>
      <c r="BMF253" s="471"/>
      <c r="BMG253" s="471"/>
      <c r="BMH253" s="471"/>
      <c r="BMI253" s="471"/>
      <c r="BMJ253" s="471"/>
      <c r="BMK253" s="471"/>
      <c r="BML253" s="471"/>
      <c r="BMM253" s="471"/>
      <c r="BMN253" s="471"/>
      <c r="BMO253" s="471"/>
      <c r="BMP253" s="471"/>
      <c r="BMQ253" s="471"/>
      <c r="BMR253" s="471"/>
      <c r="BMS253" s="471"/>
      <c r="BMT253" s="471"/>
      <c r="BMU253" s="471"/>
      <c r="BMV253" s="471"/>
      <c r="BMW253" s="471"/>
      <c r="BMX253" s="471"/>
      <c r="BMY253" s="471"/>
      <c r="BMZ253" s="471"/>
      <c r="BNA253" s="471"/>
      <c r="BNB253" s="471"/>
      <c r="BNC253" s="471"/>
      <c r="BND253" s="471"/>
      <c r="BNE253" s="471"/>
      <c r="BNF253" s="471"/>
      <c r="BNG253" s="471"/>
      <c r="BNH253" s="471"/>
      <c r="BNI253" s="471"/>
      <c r="BNJ253" s="471"/>
      <c r="BNK253" s="471"/>
      <c r="BNL253" s="471"/>
      <c r="BNM253" s="471"/>
      <c r="BNN253" s="471"/>
      <c r="BNO253" s="471"/>
      <c r="BNP253" s="471"/>
      <c r="BNQ253" s="471"/>
      <c r="BNR253" s="471"/>
      <c r="BNS253" s="471"/>
      <c r="BNT253" s="471"/>
      <c r="BNU253" s="471"/>
      <c r="BNV253" s="471"/>
      <c r="BNW253" s="471"/>
      <c r="BNX253" s="471"/>
      <c r="BNY253" s="471"/>
      <c r="BNZ253" s="471"/>
      <c r="BOA253" s="471"/>
      <c r="BOB253" s="471"/>
      <c r="BOC253" s="471"/>
      <c r="BOD253" s="471"/>
      <c r="BOE253" s="471"/>
      <c r="BOF253" s="471"/>
      <c r="BOG253" s="471"/>
      <c r="BOH253" s="471"/>
      <c r="BOI253" s="471"/>
      <c r="BOJ253" s="471"/>
      <c r="BOK253" s="471"/>
      <c r="BOL253" s="471"/>
      <c r="BOM253" s="471"/>
      <c r="BON253" s="471"/>
      <c r="BOO253" s="471"/>
      <c r="BOP253" s="471"/>
      <c r="BOQ253" s="471"/>
      <c r="BOR253" s="471"/>
      <c r="BOS253" s="471"/>
      <c r="BOT253" s="471"/>
      <c r="BOU253" s="471"/>
      <c r="BOV253" s="471"/>
      <c r="BOW253" s="471"/>
      <c r="BOX253" s="471"/>
      <c r="BOY253" s="471"/>
      <c r="BOZ253" s="471"/>
      <c r="BPA253" s="471"/>
      <c r="BPB253" s="471"/>
      <c r="BPC253" s="471"/>
      <c r="BPD253" s="471"/>
      <c r="BPE253" s="471"/>
      <c r="BPF253" s="471"/>
      <c r="BPG253" s="471"/>
      <c r="BPH253" s="471"/>
      <c r="BPI253" s="471"/>
      <c r="BPJ253" s="471"/>
      <c r="BPK253" s="471"/>
      <c r="BPL253" s="471"/>
      <c r="BPM253" s="471"/>
      <c r="BPN253" s="471"/>
      <c r="BPO253" s="471"/>
      <c r="BPP253" s="471"/>
      <c r="BPQ253" s="471"/>
      <c r="BPR253" s="471"/>
      <c r="BPS253" s="471"/>
      <c r="BPT253" s="471"/>
      <c r="BPU253" s="471"/>
      <c r="BPV253" s="471"/>
      <c r="BPW253" s="471"/>
      <c r="BPX253" s="471"/>
      <c r="BPY253" s="471"/>
      <c r="BPZ253" s="471"/>
      <c r="BQA253" s="471"/>
      <c r="BQB253" s="471"/>
      <c r="BQC253" s="471"/>
      <c r="BQD253" s="471"/>
      <c r="BQE253" s="471"/>
      <c r="BQF253" s="471"/>
      <c r="BQG253" s="471"/>
      <c r="BQH253" s="471"/>
      <c r="BQI253" s="471"/>
      <c r="BQJ253" s="471"/>
      <c r="BQK253" s="471"/>
      <c r="BQL253" s="471"/>
      <c r="BQM253" s="471"/>
      <c r="BQN253" s="471"/>
      <c r="BQO253" s="471"/>
      <c r="BQP253" s="471"/>
      <c r="BQQ253" s="471"/>
      <c r="BQR253" s="471"/>
      <c r="BQS253" s="471"/>
      <c r="BQT253" s="471"/>
      <c r="BQU253" s="471"/>
      <c r="BQV253" s="471"/>
      <c r="BQW253" s="471"/>
      <c r="BQX253" s="471"/>
      <c r="BQY253" s="471"/>
      <c r="BQZ253" s="471"/>
      <c r="BRA253" s="471"/>
      <c r="BRB253" s="471"/>
      <c r="BRC253" s="471"/>
      <c r="BRD253" s="471"/>
      <c r="BRE253" s="471"/>
      <c r="BRF253" s="471"/>
      <c r="BRG253" s="471"/>
      <c r="BRH253" s="471"/>
      <c r="BRI253" s="471"/>
      <c r="BRJ253" s="471"/>
      <c r="BRK253" s="471"/>
      <c r="BRL253" s="471"/>
      <c r="BRM253" s="471"/>
      <c r="BRN253" s="471"/>
      <c r="BRO253" s="471"/>
      <c r="BRP253" s="471"/>
      <c r="BRQ253" s="471"/>
      <c r="BRR253" s="471"/>
      <c r="BRS253" s="471"/>
      <c r="BRT253" s="471"/>
      <c r="BRU253" s="471"/>
      <c r="BRV253" s="471"/>
      <c r="BRW253" s="471"/>
      <c r="BRX253" s="471"/>
      <c r="BRY253" s="471"/>
      <c r="BRZ253" s="471"/>
      <c r="BSA253" s="471"/>
      <c r="BSB253" s="471"/>
      <c r="BSC253" s="471"/>
      <c r="BSD253" s="471"/>
      <c r="BSE253" s="471"/>
      <c r="BSF253" s="471"/>
      <c r="BSG253" s="471"/>
      <c r="BSH253" s="471"/>
      <c r="BSI253" s="471"/>
      <c r="BSJ253" s="471"/>
      <c r="BSK253" s="471"/>
      <c r="BSL253" s="471"/>
      <c r="BSM253" s="471"/>
      <c r="BSN253" s="471"/>
      <c r="BSO253" s="471"/>
      <c r="BSP253" s="471"/>
      <c r="BSQ253" s="471"/>
      <c r="BSR253" s="471"/>
      <c r="BSS253" s="471"/>
      <c r="BST253" s="471"/>
      <c r="BSU253" s="471"/>
      <c r="BSV253" s="471"/>
      <c r="BSW253" s="471"/>
      <c r="BSX253" s="471"/>
      <c r="BSY253" s="471"/>
      <c r="BSZ253" s="471"/>
      <c r="BTA253" s="471"/>
      <c r="BTB253" s="471"/>
      <c r="BTC253" s="471"/>
      <c r="BTD253" s="471"/>
      <c r="BTE253" s="471"/>
      <c r="BTF253" s="471"/>
      <c r="BTG253" s="471"/>
      <c r="BTH253" s="471"/>
      <c r="BTI253" s="471"/>
    </row>
    <row r="254" spans="1:1881" s="470" customFormat="1" ht="30.75" customHeight="1" thickBot="1" x14ac:dyDescent="0.3">
      <c r="A254" s="743">
        <v>962</v>
      </c>
      <c r="B254" s="865" t="s">
        <v>759</v>
      </c>
      <c r="C254" s="866"/>
      <c r="D254" s="869"/>
      <c r="E254" s="870"/>
      <c r="F254" s="744" t="str">
        <f t="shared" ref="F254:F257" si="4">IF(ISBLANK($D254),"&lt;&lt;&lt;&lt;&lt;&lt;&lt;&lt;&lt;&lt;&lt;&lt;&lt;&lt;&lt;&lt;&lt;&lt;&lt;","")</f>
        <v>&lt;&lt;&lt;&lt;&lt;&lt;&lt;&lt;&lt;&lt;&lt;&lt;&lt;&lt;&lt;&lt;&lt;&lt;&lt;</v>
      </c>
      <c r="G254" s="814" t="str">
        <f t="shared" ref="G254:G257" si="5">IF(ISBLANK($D254),"Cell D253 must be completed.","")</f>
        <v>Cell D253 must be completed.</v>
      </c>
      <c r="H254" s="472"/>
      <c r="I254" s="398"/>
      <c r="J254" s="471"/>
      <c r="K254" s="471"/>
      <c r="L254" s="471"/>
      <c r="M254" s="471"/>
      <c r="N254"/>
      <c r="O254" s="471"/>
      <c r="P254" s="471"/>
      <c r="Q254" s="471"/>
      <c r="R254"/>
      <c r="S254" s="387"/>
      <c r="T254" s="471"/>
      <c r="U254" s="471"/>
      <c r="V254" s="471"/>
      <c r="W254" s="471"/>
      <c r="X254" s="682"/>
      <c r="Y254" s="471"/>
      <c r="Z254" s="471"/>
      <c r="AA254" s="471"/>
      <c r="AB254" s="471"/>
      <c r="AC254" s="471"/>
      <c r="AD254" s="471"/>
      <c r="AE254" s="471"/>
      <c r="AF254" s="471"/>
      <c r="AG254" s="471"/>
      <c r="AH254" s="471"/>
      <c r="AI254" s="471"/>
      <c r="AJ254" s="471"/>
      <c r="AK254" s="471"/>
      <c r="AL254" s="471"/>
      <c r="AM254" s="471"/>
      <c r="AN254" s="471"/>
      <c r="AO254" s="471"/>
      <c r="AP254" s="471"/>
      <c r="AQ254" s="471"/>
      <c r="AR254" s="471"/>
      <c r="AS254" s="471"/>
      <c r="AT254" s="471"/>
      <c r="AU254" s="471"/>
      <c r="AV254" s="471"/>
      <c r="AW254" s="471"/>
      <c r="AX254" s="471"/>
      <c r="AY254" s="471"/>
      <c r="AZ254" s="471"/>
      <c r="BA254" s="471"/>
      <c r="BB254" s="471"/>
      <c r="BC254" s="471"/>
      <c r="BD254" s="471"/>
      <c r="BE254" s="471"/>
      <c r="BF254" s="471"/>
      <c r="BG254" s="471"/>
      <c r="BH254" s="471"/>
      <c r="BI254" s="471"/>
      <c r="BJ254" s="471"/>
      <c r="BK254" s="471"/>
      <c r="BL254" s="471"/>
      <c r="BM254" s="471"/>
      <c r="BN254" s="471"/>
      <c r="BO254" s="471"/>
      <c r="BP254" s="471"/>
      <c r="BQ254" s="471"/>
      <c r="BR254" s="471"/>
      <c r="BS254" s="471"/>
      <c r="BT254" s="471"/>
      <c r="BU254" s="471"/>
      <c r="BV254" s="471"/>
      <c r="BW254" s="471"/>
      <c r="BX254" s="471"/>
      <c r="BY254" s="471"/>
      <c r="BZ254" s="471"/>
      <c r="CA254" s="471"/>
      <c r="CB254" s="471"/>
      <c r="CC254" s="471"/>
      <c r="CD254" s="471"/>
      <c r="CE254" s="471"/>
      <c r="CF254" s="471"/>
      <c r="CG254" s="471"/>
      <c r="CH254" s="471"/>
      <c r="CI254" s="471"/>
      <c r="CJ254" s="471"/>
      <c r="CK254" s="471"/>
      <c r="CL254" s="471"/>
      <c r="CM254" s="471"/>
      <c r="CN254" s="471"/>
      <c r="CO254" s="471"/>
      <c r="CP254" s="471"/>
      <c r="CQ254" s="471"/>
      <c r="CR254" s="471"/>
      <c r="CS254" s="471"/>
      <c r="CT254" s="471"/>
      <c r="CU254" s="471"/>
      <c r="CV254" s="471"/>
      <c r="CW254" s="471"/>
      <c r="CX254" s="471"/>
      <c r="CY254" s="471"/>
      <c r="CZ254" s="471"/>
      <c r="DA254" s="471"/>
      <c r="DB254" s="471"/>
      <c r="DC254" s="471"/>
      <c r="DD254" s="471"/>
      <c r="DE254" s="471"/>
      <c r="DF254" s="471"/>
      <c r="DG254" s="471"/>
      <c r="DH254" s="471"/>
      <c r="DI254" s="471"/>
      <c r="DJ254" s="471"/>
      <c r="DK254" s="471"/>
      <c r="DL254" s="471"/>
      <c r="DM254" s="471"/>
      <c r="DN254" s="471"/>
      <c r="DO254" s="471"/>
      <c r="DP254" s="471"/>
      <c r="DQ254" s="471"/>
      <c r="DR254" s="471"/>
      <c r="DS254" s="471"/>
      <c r="DT254" s="471"/>
      <c r="DU254" s="471"/>
      <c r="DV254" s="471"/>
      <c r="DW254" s="471"/>
      <c r="DX254" s="471"/>
      <c r="DY254" s="471"/>
      <c r="DZ254" s="471"/>
      <c r="EA254" s="471"/>
      <c r="EB254" s="471"/>
      <c r="EC254" s="471"/>
      <c r="ED254" s="471"/>
      <c r="EE254" s="471"/>
      <c r="EF254" s="471"/>
      <c r="EG254" s="471"/>
      <c r="EH254" s="471"/>
      <c r="EI254" s="471"/>
      <c r="EJ254" s="471"/>
      <c r="EK254" s="471"/>
      <c r="EL254" s="471"/>
      <c r="EM254" s="471"/>
      <c r="EN254" s="471"/>
      <c r="EO254" s="471"/>
      <c r="EP254" s="471"/>
      <c r="EQ254" s="471"/>
      <c r="ER254" s="471"/>
      <c r="ES254" s="471"/>
      <c r="ET254" s="471"/>
      <c r="EU254" s="471"/>
      <c r="EV254" s="471"/>
      <c r="EW254" s="471"/>
      <c r="EX254" s="471"/>
      <c r="EY254" s="471"/>
      <c r="EZ254" s="471"/>
      <c r="FA254" s="471"/>
      <c r="FB254" s="471"/>
      <c r="FC254" s="471"/>
      <c r="FD254" s="471"/>
      <c r="FE254" s="471"/>
      <c r="FF254" s="471"/>
      <c r="FG254" s="471"/>
      <c r="FH254" s="471"/>
      <c r="FI254" s="471"/>
      <c r="FJ254" s="471"/>
      <c r="FK254" s="471"/>
      <c r="FL254" s="471"/>
      <c r="FM254" s="471"/>
      <c r="FN254" s="471"/>
      <c r="FO254" s="471"/>
      <c r="FP254" s="471"/>
      <c r="FQ254" s="471"/>
      <c r="FR254" s="471"/>
      <c r="FS254" s="471"/>
      <c r="FT254" s="471"/>
      <c r="FU254" s="471"/>
      <c r="FV254" s="471"/>
      <c r="FW254" s="471"/>
      <c r="FX254" s="471"/>
      <c r="FY254" s="471"/>
      <c r="FZ254" s="471"/>
      <c r="GA254" s="471"/>
      <c r="GB254" s="471"/>
      <c r="GC254" s="471"/>
      <c r="GD254" s="471"/>
      <c r="GE254" s="471"/>
      <c r="GF254" s="471"/>
      <c r="GG254" s="471"/>
      <c r="GH254" s="471"/>
      <c r="GI254" s="471"/>
      <c r="GJ254" s="471"/>
      <c r="GK254" s="471"/>
      <c r="GL254" s="471"/>
      <c r="GM254" s="471"/>
      <c r="GN254" s="471"/>
      <c r="GO254" s="471"/>
      <c r="GP254" s="471"/>
      <c r="GQ254" s="471"/>
      <c r="GR254" s="471"/>
      <c r="GS254" s="471"/>
      <c r="GT254" s="471"/>
      <c r="GU254" s="471"/>
      <c r="GV254" s="471"/>
      <c r="GW254" s="471"/>
      <c r="GX254" s="471"/>
      <c r="GY254" s="471"/>
      <c r="GZ254" s="471"/>
      <c r="HA254" s="471"/>
      <c r="HB254" s="471"/>
      <c r="HC254" s="471"/>
      <c r="HD254" s="471"/>
      <c r="HE254" s="471"/>
      <c r="HF254" s="471"/>
      <c r="HG254" s="471"/>
      <c r="HH254" s="471"/>
      <c r="HI254" s="471"/>
      <c r="HJ254" s="471"/>
      <c r="HK254" s="471"/>
      <c r="HL254" s="471"/>
      <c r="HM254" s="471"/>
      <c r="HN254" s="471"/>
      <c r="HO254" s="471"/>
      <c r="HP254" s="471"/>
      <c r="HQ254" s="471"/>
      <c r="HR254" s="471"/>
      <c r="HS254" s="471"/>
      <c r="HT254" s="471"/>
      <c r="HU254" s="471"/>
      <c r="HV254" s="471"/>
      <c r="HW254" s="471"/>
      <c r="HX254" s="471"/>
      <c r="HY254" s="471"/>
      <c r="HZ254" s="471"/>
      <c r="IA254" s="471"/>
      <c r="IB254" s="471"/>
      <c r="IC254" s="471"/>
      <c r="ID254" s="471"/>
      <c r="IE254" s="471"/>
      <c r="IF254" s="471"/>
      <c r="IG254" s="471"/>
      <c r="IH254" s="471"/>
      <c r="II254" s="471"/>
      <c r="IJ254" s="471"/>
      <c r="IK254" s="471"/>
      <c r="IL254" s="471"/>
      <c r="IM254" s="471"/>
      <c r="IN254" s="471"/>
      <c r="IO254" s="471"/>
      <c r="IP254" s="471"/>
      <c r="IQ254" s="471"/>
      <c r="IR254" s="471"/>
      <c r="IS254" s="471"/>
      <c r="IT254" s="471"/>
      <c r="IU254" s="471"/>
      <c r="IV254" s="471"/>
      <c r="IW254" s="471"/>
      <c r="IX254" s="471"/>
      <c r="IY254" s="471"/>
      <c r="IZ254" s="471"/>
      <c r="JA254" s="471"/>
      <c r="JB254" s="471"/>
      <c r="JC254" s="471"/>
      <c r="JD254" s="471"/>
      <c r="JE254" s="471"/>
      <c r="JF254" s="471"/>
      <c r="JG254" s="471"/>
      <c r="JH254" s="471"/>
      <c r="JI254" s="471"/>
      <c r="JJ254" s="471"/>
      <c r="JK254" s="471"/>
      <c r="JL254" s="471"/>
      <c r="JM254" s="471"/>
      <c r="JN254" s="471"/>
      <c r="JO254" s="471"/>
      <c r="JP254" s="471"/>
      <c r="JQ254" s="471"/>
      <c r="JR254" s="471"/>
      <c r="JS254" s="471"/>
      <c r="JT254" s="471"/>
      <c r="JU254" s="471"/>
      <c r="JV254" s="471"/>
      <c r="JW254" s="471"/>
      <c r="JX254" s="471"/>
      <c r="JY254" s="471"/>
      <c r="JZ254" s="471"/>
      <c r="KA254" s="471"/>
      <c r="KB254" s="471"/>
      <c r="KC254" s="471"/>
      <c r="KD254" s="471"/>
      <c r="KE254" s="471"/>
      <c r="KF254" s="471"/>
      <c r="KG254" s="471"/>
      <c r="KH254" s="471"/>
      <c r="KI254" s="471"/>
      <c r="KJ254" s="471"/>
      <c r="KK254" s="471"/>
      <c r="KL254" s="471"/>
      <c r="KM254" s="471"/>
      <c r="KN254" s="471"/>
      <c r="KO254" s="471"/>
      <c r="KP254" s="471"/>
      <c r="KQ254" s="471"/>
      <c r="KR254" s="471"/>
      <c r="KS254" s="471"/>
      <c r="KT254" s="471"/>
      <c r="KU254" s="471"/>
      <c r="KV254" s="471"/>
      <c r="KW254" s="471"/>
      <c r="KX254" s="471"/>
      <c r="KY254" s="471"/>
      <c r="KZ254" s="471"/>
      <c r="LA254" s="471"/>
      <c r="LB254" s="471"/>
      <c r="LC254" s="471"/>
      <c r="LD254" s="471"/>
      <c r="LE254" s="471"/>
      <c r="LF254" s="471"/>
      <c r="LG254" s="471"/>
      <c r="LH254" s="471"/>
      <c r="LI254" s="471"/>
      <c r="LJ254" s="471"/>
      <c r="LK254" s="471"/>
      <c r="LL254" s="471"/>
      <c r="LM254" s="471"/>
      <c r="LN254" s="471"/>
      <c r="LO254" s="471"/>
      <c r="LP254" s="471"/>
      <c r="LQ254" s="471"/>
      <c r="LR254" s="471"/>
      <c r="LS254" s="471"/>
      <c r="LT254" s="471"/>
      <c r="LU254" s="471"/>
      <c r="LV254" s="471"/>
      <c r="LW254" s="471"/>
      <c r="LX254" s="471"/>
      <c r="LY254" s="471"/>
      <c r="LZ254" s="471"/>
      <c r="MA254" s="471"/>
      <c r="MB254" s="471"/>
      <c r="MC254" s="471"/>
      <c r="MD254" s="471"/>
      <c r="ME254" s="471"/>
      <c r="MF254" s="471"/>
      <c r="MG254" s="471"/>
      <c r="MH254" s="471"/>
      <c r="MI254" s="471"/>
      <c r="MJ254" s="471"/>
      <c r="MK254" s="471"/>
      <c r="ML254" s="471"/>
      <c r="MM254" s="471"/>
      <c r="MN254" s="471"/>
      <c r="MO254" s="471"/>
      <c r="MP254" s="471"/>
      <c r="MQ254" s="471"/>
      <c r="MR254" s="471"/>
      <c r="MS254" s="471"/>
      <c r="MT254" s="471"/>
      <c r="MU254" s="471"/>
      <c r="MV254" s="471"/>
      <c r="MW254" s="471"/>
      <c r="MX254" s="471"/>
      <c r="MY254" s="471"/>
      <c r="MZ254" s="471"/>
      <c r="NA254" s="471"/>
      <c r="NB254" s="471"/>
      <c r="NC254" s="471"/>
      <c r="ND254" s="471"/>
      <c r="NE254" s="471"/>
      <c r="NF254" s="471"/>
      <c r="NG254" s="471"/>
      <c r="NH254" s="471"/>
      <c r="NI254" s="471"/>
      <c r="NJ254" s="471"/>
      <c r="NK254" s="471"/>
      <c r="NL254" s="471"/>
      <c r="NM254" s="471"/>
      <c r="NN254" s="471"/>
      <c r="NO254" s="471"/>
      <c r="NP254" s="471"/>
      <c r="NQ254" s="471"/>
      <c r="NR254" s="471"/>
      <c r="NS254" s="471"/>
      <c r="NT254" s="471"/>
      <c r="NU254" s="471"/>
      <c r="NV254" s="471"/>
      <c r="NW254" s="471"/>
      <c r="NX254" s="471"/>
      <c r="NY254" s="471"/>
      <c r="NZ254" s="471"/>
      <c r="OA254" s="471"/>
      <c r="OB254" s="471"/>
      <c r="OC254" s="471"/>
      <c r="OD254" s="471"/>
      <c r="OE254" s="471"/>
      <c r="OF254" s="471"/>
      <c r="OG254" s="471"/>
      <c r="OH254" s="471"/>
      <c r="OI254" s="471"/>
      <c r="OJ254" s="471"/>
      <c r="OK254" s="471"/>
      <c r="OL254" s="471"/>
      <c r="OM254" s="471"/>
      <c r="ON254" s="471"/>
      <c r="OO254" s="471"/>
      <c r="OP254" s="471"/>
      <c r="OQ254" s="471"/>
      <c r="OR254" s="471"/>
      <c r="OS254" s="471"/>
      <c r="OT254" s="471"/>
      <c r="OU254" s="471"/>
      <c r="OV254" s="471"/>
      <c r="OW254" s="471"/>
      <c r="OX254" s="471"/>
      <c r="OY254" s="471"/>
      <c r="OZ254" s="471"/>
      <c r="PA254" s="471"/>
      <c r="PB254" s="471"/>
      <c r="PC254" s="471"/>
      <c r="PD254" s="471"/>
      <c r="PE254" s="471"/>
      <c r="PF254" s="471"/>
      <c r="PG254" s="471"/>
      <c r="PH254" s="471"/>
      <c r="PI254" s="471"/>
      <c r="PJ254" s="471"/>
      <c r="PK254" s="471"/>
      <c r="PL254" s="471"/>
      <c r="PM254" s="471"/>
      <c r="PN254" s="471"/>
      <c r="PO254" s="471"/>
      <c r="PP254" s="471"/>
      <c r="PQ254" s="471"/>
      <c r="PR254" s="471"/>
      <c r="PS254" s="471"/>
      <c r="PT254" s="471"/>
      <c r="PU254" s="471"/>
      <c r="PV254" s="471"/>
      <c r="PW254" s="471"/>
      <c r="PX254" s="471"/>
      <c r="PY254" s="471"/>
      <c r="PZ254" s="471"/>
      <c r="QA254" s="471"/>
      <c r="QB254" s="471"/>
      <c r="QC254" s="471"/>
      <c r="QD254" s="471"/>
      <c r="QE254" s="471"/>
      <c r="QF254" s="471"/>
      <c r="QG254" s="471"/>
      <c r="QH254" s="471"/>
      <c r="QI254" s="471"/>
      <c r="QJ254" s="471"/>
      <c r="QK254" s="471"/>
      <c r="QL254" s="471"/>
      <c r="QM254" s="471"/>
      <c r="QN254" s="471"/>
      <c r="QO254" s="471"/>
      <c r="QP254" s="471"/>
      <c r="QQ254" s="471"/>
      <c r="QR254" s="471"/>
      <c r="QS254" s="471"/>
      <c r="QT254" s="471"/>
      <c r="QU254" s="471"/>
      <c r="QV254" s="471"/>
      <c r="QW254" s="471"/>
      <c r="QX254" s="471"/>
      <c r="QY254" s="471"/>
      <c r="QZ254" s="471"/>
      <c r="RA254" s="471"/>
      <c r="RB254" s="471"/>
      <c r="RC254" s="471"/>
      <c r="RD254" s="471"/>
      <c r="RE254" s="471"/>
      <c r="RF254" s="471"/>
      <c r="RG254" s="471"/>
      <c r="RH254" s="471"/>
      <c r="RI254" s="471"/>
      <c r="RJ254" s="471"/>
      <c r="RK254" s="471"/>
      <c r="RL254" s="471"/>
      <c r="RM254" s="471"/>
      <c r="RN254" s="471"/>
      <c r="RO254" s="471"/>
      <c r="RP254" s="471"/>
      <c r="RQ254" s="471"/>
      <c r="RR254" s="471"/>
      <c r="RS254" s="471"/>
      <c r="RT254" s="471"/>
      <c r="RU254" s="471"/>
      <c r="RV254" s="471"/>
      <c r="RW254" s="471"/>
      <c r="RX254" s="471"/>
      <c r="RY254" s="471"/>
      <c r="RZ254" s="471"/>
      <c r="SA254" s="471"/>
      <c r="SB254" s="471"/>
      <c r="SC254" s="471"/>
      <c r="SD254" s="471"/>
      <c r="SE254" s="471"/>
      <c r="SF254" s="471"/>
      <c r="SG254" s="471"/>
      <c r="SH254" s="471"/>
      <c r="SI254" s="471"/>
      <c r="SJ254" s="471"/>
      <c r="SK254" s="471"/>
      <c r="SL254" s="471"/>
      <c r="SM254" s="471"/>
      <c r="SN254" s="471"/>
      <c r="SO254" s="471"/>
      <c r="SP254" s="471"/>
      <c r="SQ254" s="471"/>
      <c r="SR254" s="471"/>
      <c r="SS254" s="471"/>
      <c r="ST254" s="471"/>
      <c r="SU254" s="471"/>
      <c r="SV254" s="471"/>
      <c r="SW254" s="471"/>
      <c r="SX254" s="471"/>
      <c r="SY254" s="471"/>
      <c r="SZ254" s="471"/>
      <c r="TA254" s="471"/>
      <c r="TB254" s="471"/>
      <c r="TC254" s="471"/>
      <c r="TD254" s="471"/>
      <c r="TE254" s="471"/>
      <c r="TF254" s="471"/>
      <c r="TG254" s="471"/>
      <c r="TH254" s="471"/>
      <c r="TI254" s="471"/>
      <c r="TJ254" s="471"/>
      <c r="TK254" s="471"/>
      <c r="TL254" s="471"/>
      <c r="TM254" s="471"/>
      <c r="TN254" s="471"/>
      <c r="TO254" s="471"/>
      <c r="TP254" s="471"/>
      <c r="TQ254" s="471"/>
      <c r="TR254" s="471"/>
      <c r="TS254" s="471"/>
      <c r="TT254" s="471"/>
      <c r="TU254" s="471"/>
      <c r="TV254" s="471"/>
      <c r="TW254" s="471"/>
      <c r="TX254" s="471"/>
      <c r="TY254" s="471"/>
      <c r="TZ254" s="471"/>
      <c r="UA254" s="471"/>
      <c r="UB254" s="471"/>
      <c r="UC254" s="471"/>
      <c r="UD254" s="471"/>
      <c r="UE254" s="471"/>
      <c r="UF254" s="471"/>
      <c r="UG254" s="471"/>
      <c r="UH254" s="471"/>
      <c r="UI254" s="471"/>
      <c r="UJ254" s="471"/>
      <c r="UK254" s="471"/>
      <c r="UL254" s="471"/>
      <c r="UM254" s="471"/>
      <c r="UN254" s="471"/>
      <c r="UO254" s="471"/>
      <c r="UP254" s="471"/>
      <c r="UQ254" s="471"/>
      <c r="UR254" s="471"/>
      <c r="US254" s="471"/>
      <c r="UT254" s="471"/>
      <c r="UU254" s="471"/>
      <c r="UV254" s="471"/>
      <c r="UW254" s="471"/>
      <c r="UX254" s="471"/>
      <c r="UY254" s="471"/>
      <c r="UZ254" s="471"/>
      <c r="VA254" s="471"/>
      <c r="VB254" s="471"/>
      <c r="VC254" s="471"/>
      <c r="VD254" s="471"/>
      <c r="VE254" s="471"/>
      <c r="VF254" s="471"/>
      <c r="VG254" s="471"/>
      <c r="VH254" s="471"/>
      <c r="VI254" s="471"/>
      <c r="VJ254" s="471"/>
      <c r="VK254" s="471"/>
      <c r="VL254" s="471"/>
      <c r="VM254" s="471"/>
      <c r="VN254" s="471"/>
      <c r="VO254" s="471"/>
      <c r="VP254" s="471"/>
      <c r="VQ254" s="471"/>
      <c r="VR254" s="471"/>
      <c r="VS254" s="471"/>
      <c r="VT254" s="471"/>
      <c r="VU254" s="471"/>
      <c r="VV254" s="471"/>
      <c r="VW254" s="471"/>
      <c r="VX254" s="471"/>
      <c r="VY254" s="471"/>
      <c r="VZ254" s="471"/>
      <c r="WA254" s="471"/>
      <c r="WB254" s="471"/>
      <c r="WC254" s="471"/>
      <c r="WD254" s="471"/>
      <c r="WE254" s="471"/>
      <c r="WF254" s="471"/>
      <c r="WG254" s="471"/>
      <c r="WH254" s="471"/>
      <c r="WI254" s="471"/>
      <c r="WJ254" s="471"/>
      <c r="WK254" s="471"/>
      <c r="WL254" s="471"/>
      <c r="WM254" s="471"/>
      <c r="WN254" s="471"/>
      <c r="WO254" s="471"/>
      <c r="WP254" s="471"/>
      <c r="WQ254" s="471"/>
      <c r="WR254" s="471"/>
      <c r="WS254" s="471"/>
      <c r="WT254" s="471"/>
      <c r="WU254" s="471"/>
      <c r="WV254" s="471"/>
      <c r="WW254" s="471"/>
      <c r="WX254" s="471"/>
      <c r="WY254" s="471"/>
      <c r="WZ254" s="471"/>
      <c r="XA254" s="471"/>
      <c r="XB254" s="471"/>
      <c r="XC254" s="471"/>
      <c r="XD254" s="471"/>
      <c r="XE254" s="471"/>
      <c r="XF254" s="471"/>
      <c r="XG254" s="471"/>
      <c r="XH254" s="471"/>
      <c r="XI254" s="471"/>
      <c r="XJ254" s="471"/>
      <c r="XK254" s="471"/>
      <c r="XL254" s="471"/>
      <c r="XM254" s="471"/>
      <c r="XN254" s="471"/>
      <c r="XO254" s="471"/>
      <c r="XP254" s="471"/>
      <c r="XQ254" s="471"/>
      <c r="XR254" s="471"/>
      <c r="XS254" s="471"/>
      <c r="XT254" s="471"/>
      <c r="XU254" s="471"/>
      <c r="XV254" s="471"/>
      <c r="XW254" s="471"/>
      <c r="XX254" s="471"/>
      <c r="XY254" s="471"/>
      <c r="XZ254" s="471"/>
      <c r="YA254" s="471"/>
      <c r="YB254" s="471"/>
      <c r="YC254" s="471"/>
      <c r="YD254" s="471"/>
      <c r="YE254" s="471"/>
      <c r="YF254" s="471"/>
      <c r="YG254" s="471"/>
      <c r="YH254" s="471"/>
      <c r="YI254" s="471"/>
      <c r="YJ254" s="471"/>
      <c r="YK254" s="471"/>
      <c r="YL254" s="471"/>
      <c r="YM254" s="471"/>
      <c r="YN254" s="471"/>
      <c r="YO254" s="471"/>
      <c r="YP254" s="471"/>
      <c r="YQ254" s="471"/>
      <c r="YR254" s="471"/>
      <c r="YS254" s="471"/>
      <c r="YT254" s="471"/>
      <c r="YU254" s="471"/>
      <c r="YV254" s="471"/>
      <c r="YW254" s="471"/>
      <c r="YX254" s="471"/>
      <c r="YY254" s="471"/>
      <c r="YZ254" s="471"/>
      <c r="ZA254" s="471"/>
      <c r="ZB254" s="471"/>
      <c r="ZC254" s="471"/>
      <c r="ZD254" s="471"/>
      <c r="ZE254" s="471"/>
      <c r="ZF254" s="471"/>
      <c r="ZG254" s="471"/>
      <c r="ZH254" s="471"/>
      <c r="ZI254" s="471"/>
      <c r="ZJ254" s="471"/>
      <c r="ZK254" s="471"/>
      <c r="ZL254" s="471"/>
      <c r="ZM254" s="471"/>
      <c r="ZN254" s="471"/>
      <c r="ZO254" s="471"/>
      <c r="ZP254" s="471"/>
      <c r="ZQ254" s="471"/>
      <c r="ZR254" s="471"/>
      <c r="ZS254" s="471"/>
      <c r="ZT254" s="471"/>
      <c r="ZU254" s="471"/>
      <c r="ZV254" s="471"/>
      <c r="ZW254" s="471"/>
      <c r="ZX254" s="471"/>
      <c r="ZY254" s="471"/>
      <c r="ZZ254" s="471"/>
      <c r="AAA254" s="471"/>
      <c r="AAB254" s="471"/>
      <c r="AAC254" s="471"/>
      <c r="AAD254" s="471"/>
      <c r="AAE254" s="471"/>
      <c r="AAF254" s="471"/>
      <c r="AAG254" s="471"/>
      <c r="AAH254" s="471"/>
      <c r="AAI254" s="471"/>
      <c r="AAJ254" s="471"/>
      <c r="AAK254" s="471"/>
      <c r="AAL254" s="471"/>
      <c r="AAM254" s="471"/>
      <c r="AAN254" s="471"/>
      <c r="AAO254" s="471"/>
      <c r="AAP254" s="471"/>
      <c r="AAQ254" s="471"/>
      <c r="AAR254" s="471"/>
      <c r="AAS254" s="471"/>
      <c r="AAT254" s="471"/>
      <c r="AAU254" s="471"/>
      <c r="AAV254" s="471"/>
      <c r="AAW254" s="471"/>
      <c r="AAX254" s="471"/>
      <c r="AAY254" s="471"/>
      <c r="AAZ254" s="471"/>
      <c r="ABA254" s="471"/>
      <c r="ABB254" s="471"/>
      <c r="ABC254" s="471"/>
      <c r="ABD254" s="471"/>
      <c r="ABE254" s="471"/>
      <c r="ABF254" s="471"/>
      <c r="ABG254" s="471"/>
      <c r="ABH254" s="471"/>
      <c r="ABI254" s="471"/>
      <c r="ABJ254" s="471"/>
      <c r="ABK254" s="471"/>
      <c r="ABL254" s="471"/>
      <c r="ABM254" s="471"/>
      <c r="ABN254" s="471"/>
      <c r="ABO254" s="471"/>
      <c r="ABP254" s="471"/>
      <c r="ABQ254" s="471"/>
      <c r="ABR254" s="471"/>
      <c r="ABS254" s="471"/>
      <c r="ABT254" s="471"/>
      <c r="ABU254" s="471"/>
      <c r="ABV254" s="471"/>
      <c r="ABW254" s="471"/>
      <c r="ABX254" s="471"/>
      <c r="ABY254" s="471"/>
      <c r="ABZ254" s="471"/>
      <c r="ACA254" s="471"/>
      <c r="ACB254" s="471"/>
      <c r="ACC254" s="471"/>
      <c r="ACD254" s="471"/>
      <c r="ACE254" s="471"/>
      <c r="ACF254" s="471"/>
      <c r="ACG254" s="471"/>
      <c r="ACH254" s="471"/>
      <c r="ACI254" s="471"/>
      <c r="ACJ254" s="471"/>
      <c r="ACK254" s="471"/>
      <c r="ACL254" s="471"/>
      <c r="ACM254" s="471"/>
      <c r="ACN254" s="471"/>
      <c r="ACO254" s="471"/>
      <c r="ACP254" s="471"/>
      <c r="ACQ254" s="471"/>
      <c r="ACR254" s="471"/>
      <c r="ACS254" s="471"/>
      <c r="ACT254" s="471"/>
      <c r="ACU254" s="471"/>
      <c r="ACV254" s="471"/>
      <c r="ACW254" s="471"/>
      <c r="ACX254" s="471"/>
      <c r="ACY254" s="471"/>
      <c r="ACZ254" s="471"/>
      <c r="ADA254" s="471"/>
      <c r="ADB254" s="471"/>
      <c r="ADC254" s="471"/>
      <c r="ADD254" s="471"/>
      <c r="ADE254" s="471"/>
      <c r="ADF254" s="471"/>
      <c r="ADG254" s="471"/>
      <c r="ADH254" s="471"/>
      <c r="ADI254" s="471"/>
      <c r="ADJ254" s="471"/>
      <c r="ADK254" s="471"/>
      <c r="ADL254" s="471"/>
      <c r="ADM254" s="471"/>
      <c r="ADN254" s="471"/>
      <c r="ADO254" s="471"/>
      <c r="ADP254" s="471"/>
      <c r="ADQ254" s="471"/>
      <c r="ADR254" s="471"/>
      <c r="ADS254" s="471"/>
      <c r="ADT254" s="471"/>
      <c r="ADU254" s="471"/>
      <c r="ADV254" s="471"/>
      <c r="ADW254" s="471"/>
      <c r="ADX254" s="471"/>
      <c r="ADY254" s="471"/>
      <c r="ADZ254" s="471"/>
      <c r="AEA254" s="471"/>
      <c r="AEB254" s="471"/>
      <c r="AEC254" s="471"/>
      <c r="AED254" s="471"/>
      <c r="AEE254" s="471"/>
      <c r="AEF254" s="471"/>
      <c r="AEG254" s="471"/>
      <c r="AEH254" s="471"/>
      <c r="AEI254" s="471"/>
      <c r="AEJ254" s="471"/>
      <c r="AEK254" s="471"/>
      <c r="AEL254" s="471"/>
      <c r="AEM254" s="471"/>
      <c r="AEN254" s="471"/>
      <c r="AEO254" s="471"/>
      <c r="AEP254" s="471"/>
      <c r="AEQ254" s="471"/>
      <c r="AER254" s="471"/>
      <c r="AES254" s="471"/>
      <c r="AET254" s="471"/>
      <c r="AEU254" s="471"/>
      <c r="AEV254" s="471"/>
      <c r="AEW254" s="471"/>
      <c r="AEX254" s="471"/>
      <c r="AEY254" s="471"/>
      <c r="AEZ254" s="471"/>
      <c r="AFA254" s="471"/>
      <c r="AFB254" s="471"/>
      <c r="AFC254" s="471"/>
      <c r="AFD254" s="471"/>
      <c r="AFE254" s="471"/>
      <c r="AFF254" s="471"/>
      <c r="AFG254" s="471"/>
      <c r="AFH254" s="471"/>
      <c r="AFI254" s="471"/>
      <c r="AFJ254" s="471"/>
      <c r="AFK254" s="471"/>
      <c r="AFL254" s="471"/>
      <c r="AFM254" s="471"/>
      <c r="AFN254" s="471"/>
      <c r="AFO254" s="471"/>
      <c r="AFP254" s="471"/>
      <c r="AFQ254" s="471"/>
      <c r="AFR254" s="471"/>
      <c r="AFS254" s="471"/>
      <c r="AFT254" s="471"/>
      <c r="AFU254" s="471"/>
      <c r="AFV254" s="471"/>
      <c r="AFW254" s="471"/>
      <c r="AFX254" s="471"/>
      <c r="AFY254" s="471"/>
      <c r="AFZ254" s="471"/>
      <c r="AGA254" s="471"/>
      <c r="AGB254" s="471"/>
      <c r="AGC254" s="471"/>
      <c r="AGD254" s="471"/>
      <c r="AGE254" s="471"/>
      <c r="AGF254" s="471"/>
      <c r="AGG254" s="471"/>
      <c r="AGH254" s="471"/>
      <c r="AGI254" s="471"/>
      <c r="AGJ254" s="471"/>
      <c r="AGK254" s="471"/>
      <c r="AGL254" s="471"/>
      <c r="AGM254" s="471"/>
      <c r="AGN254" s="471"/>
      <c r="AGO254" s="471"/>
      <c r="AGP254" s="471"/>
      <c r="AGQ254" s="471"/>
      <c r="AGR254" s="471"/>
      <c r="AGS254" s="471"/>
      <c r="AGT254" s="471"/>
      <c r="AGU254" s="471"/>
      <c r="AGV254" s="471"/>
      <c r="AGW254" s="471"/>
      <c r="AGX254" s="471"/>
      <c r="AGY254" s="471"/>
      <c r="AGZ254" s="471"/>
      <c r="AHA254" s="471"/>
      <c r="AHB254" s="471"/>
      <c r="AHC254" s="471"/>
      <c r="AHD254" s="471"/>
      <c r="AHE254" s="471"/>
      <c r="AHF254" s="471"/>
      <c r="AHG254" s="471"/>
      <c r="AHH254" s="471"/>
      <c r="AHI254" s="471"/>
      <c r="AHJ254" s="471"/>
      <c r="AHK254" s="471"/>
      <c r="AHL254" s="471"/>
      <c r="AHM254" s="471"/>
      <c r="AHN254" s="471"/>
      <c r="AHO254" s="471"/>
      <c r="AHP254" s="471"/>
      <c r="AHQ254" s="471"/>
      <c r="AHR254" s="471"/>
      <c r="AHS254" s="471"/>
      <c r="AHT254" s="471"/>
      <c r="AHU254" s="471"/>
      <c r="AHV254" s="471"/>
      <c r="AHW254" s="471"/>
      <c r="AHX254" s="471"/>
      <c r="AHY254" s="471"/>
      <c r="AHZ254" s="471"/>
      <c r="AIA254" s="471"/>
      <c r="AIB254" s="471"/>
      <c r="AIC254" s="471"/>
      <c r="AID254" s="471"/>
      <c r="AIE254" s="471"/>
      <c r="AIF254" s="471"/>
      <c r="AIG254" s="471"/>
      <c r="AIH254" s="471"/>
      <c r="AII254" s="471"/>
      <c r="AIJ254" s="471"/>
      <c r="AIK254" s="471"/>
      <c r="AIL254" s="471"/>
      <c r="AIM254" s="471"/>
      <c r="AIN254" s="471"/>
      <c r="AIO254" s="471"/>
      <c r="AIP254" s="471"/>
      <c r="AIQ254" s="471"/>
      <c r="AIR254" s="471"/>
      <c r="AIS254" s="471"/>
      <c r="AIT254" s="471"/>
      <c r="AIU254" s="471"/>
      <c r="AIV254" s="471"/>
      <c r="AIW254" s="471"/>
      <c r="AIX254" s="471"/>
      <c r="AIY254" s="471"/>
      <c r="AIZ254" s="471"/>
      <c r="AJA254" s="471"/>
      <c r="AJB254" s="471"/>
      <c r="AJC254" s="471"/>
      <c r="AJD254" s="471"/>
      <c r="AJE254" s="471"/>
      <c r="AJF254" s="471"/>
      <c r="AJG254" s="471"/>
      <c r="AJH254" s="471"/>
      <c r="AJI254" s="471"/>
      <c r="AJJ254" s="471"/>
      <c r="AJK254" s="471"/>
      <c r="AJL254" s="471"/>
      <c r="AJM254" s="471"/>
      <c r="AJN254" s="471"/>
      <c r="AJO254" s="471"/>
      <c r="AJP254" s="471"/>
      <c r="AJQ254" s="471"/>
      <c r="AJR254" s="471"/>
      <c r="AJS254" s="471"/>
      <c r="AJT254" s="471"/>
      <c r="AJU254" s="471"/>
      <c r="AJV254" s="471"/>
      <c r="AJW254" s="471"/>
      <c r="AJX254" s="471"/>
      <c r="AJY254" s="471"/>
      <c r="AJZ254" s="471"/>
      <c r="AKA254" s="471"/>
      <c r="AKB254" s="471"/>
      <c r="AKC254" s="471"/>
      <c r="AKD254" s="471"/>
      <c r="AKE254" s="471"/>
      <c r="AKF254" s="471"/>
      <c r="AKG254" s="471"/>
      <c r="AKH254" s="471"/>
      <c r="AKI254" s="471"/>
      <c r="AKJ254" s="471"/>
      <c r="AKK254" s="471"/>
      <c r="AKL254" s="471"/>
      <c r="AKM254" s="471"/>
      <c r="AKN254" s="471"/>
      <c r="AKO254" s="471"/>
      <c r="AKP254" s="471"/>
      <c r="AKQ254" s="471"/>
      <c r="AKR254" s="471"/>
      <c r="AKS254" s="471"/>
      <c r="AKT254" s="471"/>
      <c r="AKU254" s="471"/>
      <c r="AKV254" s="471"/>
      <c r="AKW254" s="471"/>
      <c r="AKX254" s="471"/>
      <c r="AKY254" s="471"/>
      <c r="AKZ254" s="471"/>
      <c r="ALA254" s="471"/>
      <c r="ALB254" s="471"/>
      <c r="ALC254" s="471"/>
      <c r="ALD254" s="471"/>
      <c r="ALE254" s="471"/>
      <c r="ALF254" s="471"/>
      <c r="ALG254" s="471"/>
      <c r="ALH254" s="471"/>
      <c r="ALI254" s="471"/>
      <c r="ALJ254" s="471"/>
      <c r="ALK254" s="471"/>
      <c r="ALL254" s="471"/>
      <c r="ALM254" s="471"/>
      <c r="ALN254" s="471"/>
      <c r="ALO254" s="471"/>
      <c r="ALP254" s="471"/>
      <c r="ALQ254" s="471"/>
      <c r="ALR254" s="471"/>
      <c r="ALS254" s="471"/>
      <c r="ALT254" s="471"/>
      <c r="ALU254" s="471"/>
      <c r="ALV254" s="471"/>
      <c r="ALW254" s="471"/>
      <c r="ALX254" s="471"/>
      <c r="ALY254" s="471"/>
      <c r="ALZ254" s="471"/>
      <c r="AMA254" s="471"/>
      <c r="AMB254" s="471"/>
      <c r="AMC254" s="471"/>
      <c r="AMD254" s="471"/>
      <c r="AME254" s="471"/>
      <c r="AMF254" s="471"/>
      <c r="AMG254" s="471"/>
      <c r="AMH254" s="471"/>
      <c r="AMI254" s="471"/>
      <c r="AMJ254" s="471"/>
      <c r="AMK254" s="471"/>
      <c r="AML254" s="471"/>
      <c r="AMM254" s="471"/>
      <c r="AMN254" s="471"/>
      <c r="AMO254" s="471"/>
      <c r="AMP254" s="471"/>
      <c r="AMQ254" s="471"/>
      <c r="AMR254" s="471"/>
      <c r="AMS254" s="471"/>
      <c r="AMT254" s="471"/>
      <c r="AMU254" s="471"/>
      <c r="AMV254" s="471"/>
      <c r="AMW254" s="471"/>
      <c r="AMX254" s="471"/>
      <c r="AMY254" s="471"/>
      <c r="AMZ254" s="471"/>
      <c r="ANA254" s="471"/>
      <c r="ANB254" s="471"/>
      <c r="ANC254" s="471"/>
      <c r="AND254" s="471"/>
      <c r="ANE254" s="471"/>
      <c r="ANF254" s="471"/>
      <c r="ANG254" s="471"/>
      <c r="ANH254" s="471"/>
      <c r="ANI254" s="471"/>
      <c r="ANJ254" s="471"/>
      <c r="ANK254" s="471"/>
      <c r="ANL254" s="471"/>
      <c r="ANM254" s="471"/>
      <c r="ANN254" s="471"/>
      <c r="ANO254" s="471"/>
      <c r="ANP254" s="471"/>
      <c r="ANQ254" s="471"/>
      <c r="ANR254" s="471"/>
      <c r="ANS254" s="471"/>
      <c r="ANT254" s="471"/>
      <c r="ANU254" s="471"/>
      <c r="ANV254" s="471"/>
      <c r="ANW254" s="471"/>
      <c r="ANX254" s="471"/>
      <c r="ANY254" s="471"/>
      <c r="ANZ254" s="471"/>
      <c r="AOA254" s="471"/>
      <c r="AOB254" s="471"/>
      <c r="AOC254" s="471"/>
      <c r="AOD254" s="471"/>
      <c r="AOE254" s="471"/>
      <c r="AOF254" s="471"/>
      <c r="AOG254" s="471"/>
      <c r="AOH254" s="471"/>
      <c r="AOI254" s="471"/>
      <c r="AOJ254" s="471"/>
      <c r="AOK254" s="471"/>
      <c r="AOL254" s="471"/>
      <c r="AOM254" s="471"/>
      <c r="AON254" s="471"/>
      <c r="AOO254" s="471"/>
      <c r="AOP254" s="471"/>
      <c r="AOQ254" s="471"/>
      <c r="AOR254" s="471"/>
      <c r="AOS254" s="471"/>
      <c r="AOT254" s="471"/>
      <c r="AOU254" s="471"/>
      <c r="AOV254" s="471"/>
      <c r="AOW254" s="471"/>
      <c r="AOX254" s="471"/>
      <c r="AOY254" s="471"/>
      <c r="AOZ254" s="471"/>
      <c r="APA254" s="471"/>
      <c r="APB254" s="471"/>
      <c r="APC254" s="471"/>
      <c r="APD254" s="471"/>
      <c r="APE254" s="471"/>
      <c r="APF254" s="471"/>
      <c r="APG254" s="471"/>
      <c r="APH254" s="471"/>
      <c r="API254" s="471"/>
      <c r="APJ254" s="471"/>
      <c r="APK254" s="471"/>
      <c r="APL254" s="471"/>
      <c r="APM254" s="471"/>
      <c r="APN254" s="471"/>
      <c r="APO254" s="471"/>
      <c r="APP254" s="471"/>
      <c r="APQ254" s="471"/>
      <c r="APR254" s="471"/>
      <c r="APS254" s="471"/>
      <c r="APT254" s="471"/>
      <c r="APU254" s="471"/>
      <c r="APV254" s="471"/>
      <c r="APW254" s="471"/>
      <c r="APX254" s="471"/>
      <c r="APY254" s="471"/>
      <c r="APZ254" s="471"/>
      <c r="AQA254" s="471"/>
      <c r="AQB254" s="471"/>
      <c r="AQC254" s="471"/>
      <c r="AQD254" s="471"/>
      <c r="AQE254" s="471"/>
      <c r="AQF254" s="471"/>
      <c r="AQG254" s="471"/>
      <c r="AQH254" s="471"/>
      <c r="AQI254" s="471"/>
      <c r="AQJ254" s="471"/>
      <c r="AQK254" s="471"/>
      <c r="AQL254" s="471"/>
      <c r="AQM254" s="471"/>
      <c r="AQN254" s="471"/>
      <c r="AQO254" s="471"/>
      <c r="AQP254" s="471"/>
      <c r="AQQ254" s="471"/>
      <c r="AQR254" s="471"/>
      <c r="AQS254" s="471"/>
      <c r="AQT254" s="471"/>
      <c r="AQU254" s="471"/>
      <c r="AQV254" s="471"/>
      <c r="AQW254" s="471"/>
      <c r="AQX254" s="471"/>
      <c r="AQY254" s="471"/>
      <c r="AQZ254" s="471"/>
      <c r="ARA254" s="471"/>
      <c r="ARB254" s="471"/>
      <c r="ARC254" s="471"/>
      <c r="ARD254" s="471"/>
      <c r="ARE254" s="471"/>
      <c r="ARF254" s="471"/>
      <c r="ARG254" s="471"/>
      <c r="ARH254" s="471"/>
      <c r="ARI254" s="471"/>
      <c r="ARJ254" s="471"/>
      <c r="ARK254" s="471"/>
      <c r="ARL254" s="471"/>
      <c r="ARM254" s="471"/>
      <c r="ARN254" s="471"/>
      <c r="ARO254" s="471"/>
      <c r="ARP254" s="471"/>
      <c r="ARQ254" s="471"/>
      <c r="ARR254" s="471"/>
      <c r="ARS254" s="471"/>
      <c r="ART254" s="471"/>
      <c r="ARU254" s="471"/>
      <c r="ARV254" s="471"/>
      <c r="ARW254" s="471"/>
      <c r="ARX254" s="471"/>
      <c r="ARY254" s="471"/>
      <c r="ARZ254" s="471"/>
      <c r="ASA254" s="471"/>
      <c r="ASB254" s="471"/>
      <c r="ASC254" s="471"/>
      <c r="ASD254" s="471"/>
      <c r="ASE254" s="471"/>
      <c r="ASF254" s="471"/>
      <c r="ASG254" s="471"/>
      <c r="ASH254" s="471"/>
      <c r="ASI254" s="471"/>
      <c r="ASJ254" s="471"/>
      <c r="ASK254" s="471"/>
      <c r="ASL254" s="471"/>
      <c r="ASM254" s="471"/>
      <c r="ASN254" s="471"/>
      <c r="ASO254" s="471"/>
      <c r="ASP254" s="471"/>
      <c r="ASQ254" s="471"/>
      <c r="ASR254" s="471"/>
      <c r="ASS254" s="471"/>
      <c r="AST254" s="471"/>
      <c r="ASU254" s="471"/>
      <c r="ASV254" s="471"/>
      <c r="ASW254" s="471"/>
      <c r="ASX254" s="471"/>
      <c r="ASY254" s="471"/>
      <c r="ASZ254" s="471"/>
      <c r="ATA254" s="471"/>
      <c r="ATB254" s="471"/>
      <c r="ATC254" s="471"/>
      <c r="ATD254" s="471"/>
      <c r="ATE254" s="471"/>
      <c r="ATF254" s="471"/>
      <c r="ATG254" s="471"/>
      <c r="ATH254" s="471"/>
      <c r="ATI254" s="471"/>
      <c r="ATJ254" s="471"/>
      <c r="ATK254" s="471"/>
      <c r="ATL254" s="471"/>
      <c r="ATM254" s="471"/>
      <c r="ATN254" s="471"/>
      <c r="ATO254" s="471"/>
      <c r="ATP254" s="471"/>
      <c r="ATQ254" s="471"/>
      <c r="ATR254" s="471"/>
      <c r="ATS254" s="471"/>
      <c r="ATT254" s="471"/>
      <c r="ATU254" s="471"/>
      <c r="ATV254" s="471"/>
      <c r="ATW254" s="471"/>
      <c r="ATX254" s="471"/>
      <c r="ATY254" s="471"/>
      <c r="ATZ254" s="471"/>
      <c r="AUA254" s="471"/>
      <c r="AUB254" s="471"/>
      <c r="AUC254" s="471"/>
      <c r="AUD254" s="471"/>
      <c r="AUE254" s="471"/>
      <c r="AUF254" s="471"/>
      <c r="AUG254" s="471"/>
      <c r="AUH254" s="471"/>
      <c r="AUI254" s="471"/>
      <c r="AUJ254" s="471"/>
      <c r="AUK254" s="471"/>
      <c r="AUL254" s="471"/>
      <c r="AUM254" s="471"/>
      <c r="AUN254" s="471"/>
      <c r="AUO254" s="471"/>
      <c r="AUP254" s="471"/>
      <c r="AUQ254" s="471"/>
      <c r="AUR254" s="471"/>
      <c r="AUS254" s="471"/>
      <c r="AUT254" s="471"/>
      <c r="AUU254" s="471"/>
      <c r="AUV254" s="471"/>
      <c r="AUW254" s="471"/>
      <c r="AUX254" s="471"/>
      <c r="AUY254" s="471"/>
      <c r="AUZ254" s="471"/>
      <c r="AVA254" s="471"/>
      <c r="AVB254" s="471"/>
      <c r="AVC254" s="471"/>
      <c r="AVD254" s="471"/>
      <c r="AVE254" s="471"/>
      <c r="AVF254" s="471"/>
      <c r="AVG254" s="471"/>
      <c r="AVH254" s="471"/>
      <c r="AVI254" s="471"/>
      <c r="AVJ254" s="471"/>
      <c r="AVK254" s="471"/>
      <c r="AVL254" s="471"/>
      <c r="AVM254" s="471"/>
      <c r="AVN254" s="471"/>
      <c r="AVO254" s="471"/>
      <c r="AVP254" s="471"/>
      <c r="AVQ254" s="471"/>
      <c r="AVR254" s="471"/>
      <c r="AVS254" s="471"/>
      <c r="AVT254" s="471"/>
      <c r="AVU254" s="471"/>
      <c r="AVV254" s="471"/>
      <c r="AVW254" s="471"/>
      <c r="AVX254" s="471"/>
      <c r="AVY254" s="471"/>
      <c r="AVZ254" s="471"/>
      <c r="AWA254" s="471"/>
      <c r="AWB254" s="471"/>
      <c r="AWC254" s="471"/>
      <c r="AWD254" s="471"/>
      <c r="AWE254" s="471"/>
      <c r="AWF254" s="471"/>
      <c r="AWG254" s="471"/>
      <c r="AWH254" s="471"/>
      <c r="AWI254" s="471"/>
      <c r="AWJ254" s="471"/>
      <c r="AWK254" s="471"/>
      <c r="AWL254" s="471"/>
      <c r="AWM254" s="471"/>
      <c r="AWN254" s="471"/>
      <c r="AWO254" s="471"/>
      <c r="AWP254" s="471"/>
      <c r="AWQ254" s="471"/>
      <c r="AWR254" s="471"/>
      <c r="AWS254" s="471"/>
      <c r="AWT254" s="471"/>
      <c r="AWU254" s="471"/>
      <c r="AWV254" s="471"/>
      <c r="AWW254" s="471"/>
      <c r="AWX254" s="471"/>
      <c r="AWY254" s="471"/>
      <c r="AWZ254" s="471"/>
      <c r="AXA254" s="471"/>
      <c r="AXB254" s="471"/>
      <c r="AXC254" s="471"/>
      <c r="AXD254" s="471"/>
      <c r="AXE254" s="471"/>
      <c r="AXF254" s="471"/>
      <c r="AXG254" s="471"/>
      <c r="AXH254" s="471"/>
      <c r="AXI254" s="471"/>
      <c r="AXJ254" s="471"/>
      <c r="AXK254" s="471"/>
      <c r="AXL254" s="471"/>
      <c r="AXM254" s="471"/>
      <c r="AXN254" s="471"/>
      <c r="AXO254" s="471"/>
      <c r="AXP254" s="471"/>
      <c r="AXQ254" s="471"/>
      <c r="AXR254" s="471"/>
      <c r="AXS254" s="471"/>
      <c r="AXT254" s="471"/>
      <c r="AXU254" s="471"/>
      <c r="AXV254" s="471"/>
      <c r="AXW254" s="471"/>
      <c r="AXX254" s="471"/>
      <c r="AXY254" s="471"/>
      <c r="AXZ254" s="471"/>
      <c r="AYA254" s="471"/>
      <c r="AYB254" s="471"/>
      <c r="AYC254" s="471"/>
      <c r="AYD254" s="471"/>
      <c r="AYE254" s="471"/>
      <c r="AYF254" s="471"/>
      <c r="AYG254" s="471"/>
      <c r="AYH254" s="471"/>
      <c r="AYI254" s="471"/>
      <c r="AYJ254" s="471"/>
      <c r="AYK254" s="471"/>
      <c r="AYL254" s="471"/>
      <c r="AYM254" s="471"/>
      <c r="AYN254" s="471"/>
      <c r="AYO254" s="471"/>
      <c r="AYP254" s="471"/>
      <c r="AYQ254" s="471"/>
      <c r="AYR254" s="471"/>
      <c r="AYS254" s="471"/>
      <c r="AYT254" s="471"/>
      <c r="AYU254" s="471"/>
      <c r="AYV254" s="471"/>
      <c r="AYW254" s="471"/>
      <c r="AYX254" s="471"/>
      <c r="AYY254" s="471"/>
      <c r="AYZ254" s="471"/>
      <c r="AZA254" s="471"/>
      <c r="AZB254" s="471"/>
      <c r="AZC254" s="471"/>
      <c r="AZD254" s="471"/>
      <c r="AZE254" s="471"/>
      <c r="AZF254" s="471"/>
      <c r="AZG254" s="471"/>
      <c r="AZH254" s="471"/>
      <c r="AZI254" s="471"/>
      <c r="AZJ254" s="471"/>
      <c r="AZK254" s="471"/>
      <c r="AZL254" s="471"/>
      <c r="AZM254" s="471"/>
      <c r="AZN254" s="471"/>
      <c r="AZO254" s="471"/>
      <c r="AZP254" s="471"/>
      <c r="AZQ254" s="471"/>
      <c r="AZR254" s="471"/>
      <c r="AZS254" s="471"/>
      <c r="AZT254" s="471"/>
      <c r="AZU254" s="471"/>
      <c r="AZV254" s="471"/>
      <c r="AZW254" s="471"/>
      <c r="AZX254" s="471"/>
      <c r="AZY254" s="471"/>
      <c r="AZZ254" s="471"/>
      <c r="BAA254" s="471"/>
      <c r="BAB254" s="471"/>
      <c r="BAC254" s="471"/>
      <c r="BAD254" s="471"/>
      <c r="BAE254" s="471"/>
      <c r="BAF254" s="471"/>
      <c r="BAG254" s="471"/>
      <c r="BAH254" s="471"/>
      <c r="BAI254" s="471"/>
      <c r="BAJ254" s="471"/>
      <c r="BAK254" s="471"/>
      <c r="BAL254" s="471"/>
      <c r="BAM254" s="471"/>
      <c r="BAN254" s="471"/>
      <c r="BAO254" s="471"/>
      <c r="BAP254" s="471"/>
      <c r="BAQ254" s="471"/>
      <c r="BAR254" s="471"/>
      <c r="BAS254" s="471"/>
      <c r="BAT254" s="471"/>
      <c r="BAU254" s="471"/>
      <c r="BAV254" s="471"/>
      <c r="BAW254" s="471"/>
      <c r="BAX254" s="471"/>
      <c r="BAY254" s="471"/>
      <c r="BAZ254" s="471"/>
      <c r="BBA254" s="471"/>
      <c r="BBB254" s="471"/>
      <c r="BBC254" s="471"/>
      <c r="BBD254" s="471"/>
      <c r="BBE254" s="471"/>
      <c r="BBF254" s="471"/>
      <c r="BBG254" s="471"/>
      <c r="BBH254" s="471"/>
      <c r="BBI254" s="471"/>
      <c r="BBJ254" s="471"/>
      <c r="BBK254" s="471"/>
      <c r="BBL254" s="471"/>
      <c r="BBM254" s="471"/>
      <c r="BBN254" s="471"/>
      <c r="BBO254" s="471"/>
      <c r="BBP254" s="471"/>
      <c r="BBQ254" s="471"/>
      <c r="BBR254" s="471"/>
      <c r="BBS254" s="471"/>
      <c r="BBT254" s="471"/>
      <c r="BBU254" s="471"/>
      <c r="BBV254" s="471"/>
      <c r="BBW254" s="471"/>
      <c r="BBX254" s="471"/>
      <c r="BBY254" s="471"/>
      <c r="BBZ254" s="471"/>
      <c r="BCA254" s="471"/>
      <c r="BCB254" s="471"/>
      <c r="BCC254" s="471"/>
      <c r="BCD254" s="471"/>
      <c r="BCE254" s="471"/>
      <c r="BCF254" s="471"/>
      <c r="BCG254" s="471"/>
      <c r="BCH254" s="471"/>
      <c r="BCI254" s="471"/>
      <c r="BCJ254" s="471"/>
      <c r="BCK254" s="471"/>
      <c r="BCL254" s="471"/>
      <c r="BCM254" s="471"/>
      <c r="BCN254" s="471"/>
      <c r="BCO254" s="471"/>
      <c r="BCP254" s="471"/>
      <c r="BCQ254" s="471"/>
      <c r="BCR254" s="471"/>
      <c r="BCS254" s="471"/>
      <c r="BCT254" s="471"/>
      <c r="BCU254" s="471"/>
      <c r="BCV254" s="471"/>
      <c r="BCW254" s="471"/>
      <c r="BCX254" s="471"/>
      <c r="BCY254" s="471"/>
      <c r="BCZ254" s="471"/>
      <c r="BDA254" s="471"/>
      <c r="BDB254" s="471"/>
      <c r="BDC254" s="471"/>
      <c r="BDD254" s="471"/>
      <c r="BDE254" s="471"/>
      <c r="BDF254" s="471"/>
      <c r="BDG254" s="471"/>
      <c r="BDH254" s="471"/>
      <c r="BDI254" s="471"/>
      <c r="BDJ254" s="471"/>
      <c r="BDK254" s="471"/>
      <c r="BDL254" s="471"/>
      <c r="BDM254" s="471"/>
      <c r="BDN254" s="471"/>
      <c r="BDO254" s="471"/>
      <c r="BDP254" s="471"/>
      <c r="BDQ254" s="471"/>
      <c r="BDR254" s="471"/>
      <c r="BDS254" s="471"/>
      <c r="BDT254" s="471"/>
      <c r="BDU254" s="471"/>
      <c r="BDV254" s="471"/>
      <c r="BDW254" s="471"/>
      <c r="BDX254" s="471"/>
      <c r="BDY254" s="471"/>
      <c r="BDZ254" s="471"/>
      <c r="BEA254" s="471"/>
      <c r="BEB254" s="471"/>
      <c r="BEC254" s="471"/>
      <c r="BED254" s="471"/>
      <c r="BEE254" s="471"/>
      <c r="BEF254" s="471"/>
      <c r="BEG254" s="471"/>
      <c r="BEH254" s="471"/>
      <c r="BEI254" s="471"/>
      <c r="BEJ254" s="471"/>
      <c r="BEK254" s="471"/>
      <c r="BEL254" s="471"/>
      <c r="BEM254" s="471"/>
      <c r="BEN254" s="471"/>
      <c r="BEO254" s="471"/>
      <c r="BEP254" s="471"/>
      <c r="BEQ254" s="471"/>
      <c r="BER254" s="471"/>
      <c r="BES254" s="471"/>
      <c r="BET254" s="471"/>
      <c r="BEU254" s="471"/>
      <c r="BEV254" s="471"/>
      <c r="BEW254" s="471"/>
      <c r="BEX254" s="471"/>
      <c r="BEY254" s="471"/>
      <c r="BEZ254" s="471"/>
      <c r="BFA254" s="471"/>
      <c r="BFB254" s="471"/>
      <c r="BFC254" s="471"/>
      <c r="BFD254" s="471"/>
      <c r="BFE254" s="471"/>
      <c r="BFF254" s="471"/>
      <c r="BFG254" s="471"/>
      <c r="BFH254" s="471"/>
      <c r="BFI254" s="471"/>
      <c r="BFJ254" s="471"/>
      <c r="BFK254" s="471"/>
      <c r="BFL254" s="471"/>
      <c r="BFM254" s="471"/>
      <c r="BFN254" s="471"/>
      <c r="BFO254" s="471"/>
      <c r="BFP254" s="471"/>
      <c r="BFQ254" s="471"/>
      <c r="BFR254" s="471"/>
      <c r="BFS254" s="471"/>
      <c r="BFT254" s="471"/>
      <c r="BFU254" s="471"/>
      <c r="BFV254" s="471"/>
      <c r="BFW254" s="471"/>
      <c r="BFX254" s="471"/>
      <c r="BFY254" s="471"/>
      <c r="BFZ254" s="471"/>
      <c r="BGA254" s="471"/>
      <c r="BGB254" s="471"/>
      <c r="BGC254" s="471"/>
      <c r="BGD254" s="471"/>
      <c r="BGE254" s="471"/>
      <c r="BGF254" s="471"/>
      <c r="BGG254" s="471"/>
      <c r="BGH254" s="471"/>
      <c r="BGI254" s="471"/>
      <c r="BGJ254" s="471"/>
      <c r="BGK254" s="471"/>
      <c r="BGL254" s="471"/>
      <c r="BGM254" s="471"/>
      <c r="BGN254" s="471"/>
      <c r="BGO254" s="471"/>
      <c r="BGP254" s="471"/>
      <c r="BGQ254" s="471"/>
      <c r="BGR254" s="471"/>
      <c r="BGS254" s="471"/>
      <c r="BGT254" s="471"/>
      <c r="BGU254" s="471"/>
      <c r="BGV254" s="471"/>
      <c r="BGW254" s="471"/>
      <c r="BGX254" s="471"/>
      <c r="BGY254" s="471"/>
      <c r="BGZ254" s="471"/>
      <c r="BHA254" s="471"/>
      <c r="BHB254" s="471"/>
      <c r="BHC254" s="471"/>
      <c r="BHD254" s="471"/>
      <c r="BHE254" s="471"/>
      <c r="BHF254" s="471"/>
      <c r="BHG254" s="471"/>
      <c r="BHH254" s="471"/>
      <c r="BHI254" s="471"/>
      <c r="BHJ254" s="471"/>
      <c r="BHK254" s="471"/>
      <c r="BHL254" s="471"/>
      <c r="BHM254" s="471"/>
      <c r="BHN254" s="471"/>
      <c r="BHO254" s="471"/>
      <c r="BHP254" s="471"/>
      <c r="BHQ254" s="471"/>
      <c r="BHR254" s="471"/>
      <c r="BHS254" s="471"/>
      <c r="BHT254" s="471"/>
      <c r="BHU254" s="471"/>
      <c r="BHV254" s="471"/>
      <c r="BHW254" s="471"/>
      <c r="BHX254" s="471"/>
      <c r="BHY254" s="471"/>
      <c r="BHZ254" s="471"/>
      <c r="BIA254" s="471"/>
      <c r="BIB254" s="471"/>
      <c r="BIC254" s="471"/>
      <c r="BID254" s="471"/>
      <c r="BIE254" s="471"/>
      <c r="BIF254" s="471"/>
      <c r="BIG254" s="471"/>
      <c r="BIH254" s="471"/>
      <c r="BII254" s="471"/>
      <c r="BIJ254" s="471"/>
      <c r="BIK254" s="471"/>
      <c r="BIL254" s="471"/>
      <c r="BIM254" s="471"/>
      <c r="BIN254" s="471"/>
      <c r="BIO254" s="471"/>
      <c r="BIP254" s="471"/>
      <c r="BIQ254" s="471"/>
      <c r="BIR254" s="471"/>
      <c r="BIS254" s="471"/>
      <c r="BIT254" s="471"/>
      <c r="BIU254" s="471"/>
      <c r="BIV254" s="471"/>
      <c r="BIW254" s="471"/>
      <c r="BIX254" s="471"/>
      <c r="BIY254" s="471"/>
      <c r="BIZ254" s="471"/>
      <c r="BJA254" s="471"/>
      <c r="BJB254" s="471"/>
      <c r="BJC254" s="471"/>
      <c r="BJD254" s="471"/>
      <c r="BJE254" s="471"/>
      <c r="BJF254" s="471"/>
      <c r="BJG254" s="471"/>
      <c r="BJH254" s="471"/>
      <c r="BJI254" s="471"/>
      <c r="BJJ254" s="471"/>
      <c r="BJK254" s="471"/>
      <c r="BJL254" s="471"/>
      <c r="BJM254" s="471"/>
      <c r="BJN254" s="471"/>
      <c r="BJO254" s="471"/>
      <c r="BJP254" s="471"/>
      <c r="BJQ254" s="471"/>
      <c r="BJR254" s="471"/>
      <c r="BJS254" s="471"/>
      <c r="BJT254" s="471"/>
      <c r="BJU254" s="471"/>
      <c r="BJV254" s="471"/>
      <c r="BJW254" s="471"/>
      <c r="BJX254" s="471"/>
      <c r="BJY254" s="471"/>
      <c r="BJZ254" s="471"/>
      <c r="BKA254" s="471"/>
      <c r="BKB254" s="471"/>
      <c r="BKC254" s="471"/>
      <c r="BKD254" s="471"/>
      <c r="BKE254" s="471"/>
      <c r="BKF254" s="471"/>
      <c r="BKG254" s="471"/>
      <c r="BKH254" s="471"/>
      <c r="BKI254" s="471"/>
      <c r="BKJ254" s="471"/>
      <c r="BKK254" s="471"/>
      <c r="BKL254" s="471"/>
      <c r="BKM254" s="471"/>
      <c r="BKN254" s="471"/>
      <c r="BKO254" s="471"/>
      <c r="BKP254" s="471"/>
      <c r="BKQ254" s="471"/>
      <c r="BKR254" s="471"/>
      <c r="BKS254" s="471"/>
      <c r="BKT254" s="471"/>
      <c r="BKU254" s="471"/>
      <c r="BKV254" s="471"/>
      <c r="BKW254" s="471"/>
      <c r="BKX254" s="471"/>
      <c r="BKY254" s="471"/>
      <c r="BKZ254" s="471"/>
      <c r="BLA254" s="471"/>
      <c r="BLB254" s="471"/>
      <c r="BLC254" s="471"/>
      <c r="BLD254" s="471"/>
      <c r="BLE254" s="471"/>
      <c r="BLF254" s="471"/>
      <c r="BLG254" s="471"/>
      <c r="BLH254" s="471"/>
      <c r="BLI254" s="471"/>
      <c r="BLJ254" s="471"/>
      <c r="BLK254" s="471"/>
      <c r="BLL254" s="471"/>
      <c r="BLM254" s="471"/>
      <c r="BLN254" s="471"/>
      <c r="BLO254" s="471"/>
      <c r="BLP254" s="471"/>
      <c r="BLQ254" s="471"/>
      <c r="BLR254" s="471"/>
      <c r="BLS254" s="471"/>
      <c r="BLT254" s="471"/>
      <c r="BLU254" s="471"/>
      <c r="BLV254" s="471"/>
      <c r="BLW254" s="471"/>
      <c r="BLX254" s="471"/>
      <c r="BLY254" s="471"/>
      <c r="BLZ254" s="471"/>
      <c r="BMA254" s="471"/>
      <c r="BMB254" s="471"/>
      <c r="BMC254" s="471"/>
      <c r="BMD254" s="471"/>
      <c r="BME254" s="471"/>
      <c r="BMF254" s="471"/>
      <c r="BMG254" s="471"/>
      <c r="BMH254" s="471"/>
      <c r="BMI254" s="471"/>
      <c r="BMJ254" s="471"/>
      <c r="BMK254" s="471"/>
      <c r="BML254" s="471"/>
      <c r="BMM254" s="471"/>
      <c r="BMN254" s="471"/>
      <c r="BMO254" s="471"/>
      <c r="BMP254" s="471"/>
      <c r="BMQ254" s="471"/>
      <c r="BMR254" s="471"/>
      <c r="BMS254" s="471"/>
      <c r="BMT254" s="471"/>
      <c r="BMU254" s="471"/>
      <c r="BMV254" s="471"/>
      <c r="BMW254" s="471"/>
      <c r="BMX254" s="471"/>
      <c r="BMY254" s="471"/>
      <c r="BMZ254" s="471"/>
      <c r="BNA254" s="471"/>
      <c r="BNB254" s="471"/>
      <c r="BNC254" s="471"/>
      <c r="BND254" s="471"/>
      <c r="BNE254" s="471"/>
      <c r="BNF254" s="471"/>
      <c r="BNG254" s="471"/>
      <c r="BNH254" s="471"/>
      <c r="BNI254" s="471"/>
      <c r="BNJ254" s="471"/>
      <c r="BNK254" s="471"/>
      <c r="BNL254" s="471"/>
      <c r="BNM254" s="471"/>
      <c r="BNN254" s="471"/>
      <c r="BNO254" s="471"/>
      <c r="BNP254" s="471"/>
      <c r="BNQ254" s="471"/>
      <c r="BNR254" s="471"/>
      <c r="BNS254" s="471"/>
      <c r="BNT254" s="471"/>
      <c r="BNU254" s="471"/>
      <c r="BNV254" s="471"/>
      <c r="BNW254" s="471"/>
      <c r="BNX254" s="471"/>
      <c r="BNY254" s="471"/>
      <c r="BNZ254" s="471"/>
      <c r="BOA254" s="471"/>
      <c r="BOB254" s="471"/>
      <c r="BOC254" s="471"/>
      <c r="BOD254" s="471"/>
      <c r="BOE254" s="471"/>
      <c r="BOF254" s="471"/>
      <c r="BOG254" s="471"/>
      <c r="BOH254" s="471"/>
      <c r="BOI254" s="471"/>
      <c r="BOJ254" s="471"/>
      <c r="BOK254" s="471"/>
      <c r="BOL254" s="471"/>
      <c r="BOM254" s="471"/>
      <c r="BON254" s="471"/>
      <c r="BOO254" s="471"/>
      <c r="BOP254" s="471"/>
      <c r="BOQ254" s="471"/>
      <c r="BOR254" s="471"/>
      <c r="BOS254" s="471"/>
      <c r="BOT254" s="471"/>
      <c r="BOU254" s="471"/>
      <c r="BOV254" s="471"/>
      <c r="BOW254" s="471"/>
      <c r="BOX254" s="471"/>
      <c r="BOY254" s="471"/>
      <c r="BOZ254" s="471"/>
      <c r="BPA254" s="471"/>
      <c r="BPB254" s="471"/>
      <c r="BPC254" s="471"/>
      <c r="BPD254" s="471"/>
      <c r="BPE254" s="471"/>
      <c r="BPF254" s="471"/>
      <c r="BPG254" s="471"/>
      <c r="BPH254" s="471"/>
      <c r="BPI254" s="471"/>
      <c r="BPJ254" s="471"/>
      <c r="BPK254" s="471"/>
      <c r="BPL254" s="471"/>
      <c r="BPM254" s="471"/>
      <c r="BPN254" s="471"/>
      <c r="BPO254" s="471"/>
      <c r="BPP254" s="471"/>
      <c r="BPQ254" s="471"/>
      <c r="BPR254" s="471"/>
      <c r="BPS254" s="471"/>
      <c r="BPT254" s="471"/>
      <c r="BPU254" s="471"/>
      <c r="BPV254" s="471"/>
      <c r="BPW254" s="471"/>
      <c r="BPX254" s="471"/>
      <c r="BPY254" s="471"/>
      <c r="BPZ254" s="471"/>
      <c r="BQA254" s="471"/>
      <c r="BQB254" s="471"/>
      <c r="BQC254" s="471"/>
      <c r="BQD254" s="471"/>
      <c r="BQE254" s="471"/>
      <c r="BQF254" s="471"/>
      <c r="BQG254" s="471"/>
      <c r="BQH254" s="471"/>
      <c r="BQI254" s="471"/>
      <c r="BQJ254" s="471"/>
      <c r="BQK254" s="471"/>
      <c r="BQL254" s="471"/>
      <c r="BQM254" s="471"/>
      <c r="BQN254" s="471"/>
      <c r="BQO254" s="471"/>
      <c r="BQP254" s="471"/>
      <c r="BQQ254" s="471"/>
      <c r="BQR254" s="471"/>
      <c r="BQS254" s="471"/>
      <c r="BQT254" s="471"/>
      <c r="BQU254" s="471"/>
      <c r="BQV254" s="471"/>
      <c r="BQW254" s="471"/>
      <c r="BQX254" s="471"/>
      <c r="BQY254" s="471"/>
      <c r="BQZ254" s="471"/>
      <c r="BRA254" s="471"/>
      <c r="BRB254" s="471"/>
      <c r="BRC254" s="471"/>
      <c r="BRD254" s="471"/>
      <c r="BRE254" s="471"/>
      <c r="BRF254" s="471"/>
      <c r="BRG254" s="471"/>
      <c r="BRH254" s="471"/>
      <c r="BRI254" s="471"/>
      <c r="BRJ254" s="471"/>
      <c r="BRK254" s="471"/>
      <c r="BRL254" s="471"/>
      <c r="BRM254" s="471"/>
      <c r="BRN254" s="471"/>
      <c r="BRO254" s="471"/>
      <c r="BRP254" s="471"/>
      <c r="BRQ254" s="471"/>
      <c r="BRR254" s="471"/>
      <c r="BRS254" s="471"/>
      <c r="BRT254" s="471"/>
      <c r="BRU254" s="471"/>
      <c r="BRV254" s="471"/>
      <c r="BRW254" s="471"/>
      <c r="BRX254" s="471"/>
      <c r="BRY254" s="471"/>
      <c r="BRZ254" s="471"/>
      <c r="BSA254" s="471"/>
      <c r="BSB254" s="471"/>
      <c r="BSC254" s="471"/>
      <c r="BSD254" s="471"/>
      <c r="BSE254" s="471"/>
      <c r="BSF254" s="471"/>
      <c r="BSG254" s="471"/>
      <c r="BSH254" s="471"/>
      <c r="BSI254" s="471"/>
      <c r="BSJ254" s="471"/>
      <c r="BSK254" s="471"/>
      <c r="BSL254" s="471"/>
      <c r="BSM254" s="471"/>
      <c r="BSN254" s="471"/>
      <c r="BSO254" s="471"/>
      <c r="BSP254" s="471"/>
      <c r="BSQ254" s="471"/>
      <c r="BSR254" s="471"/>
      <c r="BSS254" s="471"/>
      <c r="BST254" s="471"/>
      <c r="BSU254" s="471"/>
      <c r="BSV254" s="471"/>
      <c r="BSW254" s="471"/>
      <c r="BSX254" s="471"/>
      <c r="BSY254" s="471"/>
      <c r="BSZ254" s="471"/>
      <c r="BTA254" s="471"/>
      <c r="BTB254" s="471"/>
      <c r="BTC254" s="471"/>
      <c r="BTD254" s="471"/>
      <c r="BTE254" s="471"/>
      <c r="BTF254" s="471"/>
      <c r="BTG254" s="471"/>
      <c r="BTH254" s="471"/>
      <c r="BTI254" s="471"/>
    </row>
    <row r="255" spans="1:1881" s="470" customFormat="1" ht="30.75" customHeight="1" thickBot="1" x14ac:dyDescent="0.3">
      <c r="A255" s="743">
        <v>964</v>
      </c>
      <c r="B255" s="865" t="s">
        <v>760</v>
      </c>
      <c r="C255" s="866"/>
      <c r="D255" s="872"/>
      <c r="E255" s="873"/>
      <c r="F255" s="744" t="str">
        <f t="shared" si="4"/>
        <v>&lt;&lt;&lt;&lt;&lt;&lt;&lt;&lt;&lt;&lt;&lt;&lt;&lt;&lt;&lt;&lt;&lt;&lt;&lt;</v>
      </c>
      <c r="G255" s="814" t="str">
        <f t="shared" si="5"/>
        <v>Cell D253 must be completed.</v>
      </c>
      <c r="H255" s="472"/>
      <c r="I255" s="398"/>
      <c r="J255" s="471"/>
      <c r="K255" s="471"/>
      <c r="L255" s="471"/>
      <c r="M255" s="471"/>
      <c r="N255"/>
      <c r="O255" s="471"/>
      <c r="P255" s="471"/>
      <c r="Q255" s="471"/>
      <c r="R255"/>
      <c r="S255" s="387"/>
      <c r="T255" s="471"/>
      <c r="U255" s="471"/>
      <c r="V255" s="471"/>
      <c r="W255" s="471"/>
      <c r="X255" s="682"/>
      <c r="Y255" s="471"/>
      <c r="Z255" s="471"/>
      <c r="AA255" s="471"/>
      <c r="AB255" s="471"/>
      <c r="AC255" s="471"/>
      <c r="AD255" s="471"/>
      <c r="AE255" s="471"/>
      <c r="AF255" s="471"/>
      <c r="AG255" s="471"/>
      <c r="AH255" s="471"/>
      <c r="AI255" s="471"/>
      <c r="AJ255" s="471"/>
      <c r="AK255" s="471"/>
      <c r="AL255" s="471"/>
      <c r="AM255" s="471"/>
      <c r="AN255" s="471"/>
      <c r="AO255" s="471"/>
      <c r="AP255" s="471"/>
      <c r="AQ255" s="471"/>
      <c r="AR255" s="471"/>
      <c r="AS255" s="471"/>
      <c r="AT255" s="471"/>
      <c r="AU255" s="471"/>
      <c r="AV255" s="471"/>
      <c r="AW255" s="471"/>
      <c r="AX255" s="471"/>
      <c r="AY255" s="471"/>
      <c r="AZ255" s="471"/>
      <c r="BA255" s="471"/>
      <c r="BB255" s="471"/>
      <c r="BC255" s="471"/>
      <c r="BD255" s="471"/>
      <c r="BE255" s="471"/>
      <c r="BF255" s="471"/>
      <c r="BG255" s="471"/>
      <c r="BH255" s="471"/>
      <c r="BI255" s="471"/>
      <c r="BJ255" s="471"/>
      <c r="BK255" s="471"/>
      <c r="BL255" s="471"/>
      <c r="BM255" s="471"/>
      <c r="BN255" s="471"/>
      <c r="BO255" s="471"/>
      <c r="BP255" s="471"/>
      <c r="BQ255" s="471"/>
      <c r="BR255" s="471"/>
      <c r="BS255" s="471"/>
      <c r="BT255" s="471"/>
      <c r="BU255" s="471"/>
      <c r="BV255" s="471"/>
      <c r="BW255" s="471"/>
      <c r="BX255" s="471"/>
      <c r="BY255" s="471"/>
      <c r="BZ255" s="471"/>
      <c r="CA255" s="471"/>
      <c r="CB255" s="471"/>
      <c r="CC255" s="471"/>
      <c r="CD255" s="471"/>
      <c r="CE255" s="471"/>
      <c r="CF255" s="471"/>
      <c r="CG255" s="471"/>
      <c r="CH255" s="471"/>
      <c r="CI255" s="471"/>
      <c r="CJ255" s="471"/>
      <c r="CK255" s="471"/>
      <c r="CL255" s="471"/>
      <c r="CM255" s="471"/>
      <c r="CN255" s="471"/>
      <c r="CO255" s="471"/>
      <c r="CP255" s="471"/>
      <c r="CQ255" s="471"/>
      <c r="CR255" s="471"/>
      <c r="CS255" s="471"/>
      <c r="CT255" s="471"/>
      <c r="CU255" s="471"/>
      <c r="CV255" s="471"/>
      <c r="CW255" s="471"/>
      <c r="CX255" s="471"/>
      <c r="CY255" s="471"/>
      <c r="CZ255" s="471"/>
      <c r="DA255" s="471"/>
      <c r="DB255" s="471"/>
      <c r="DC255" s="471"/>
      <c r="DD255" s="471"/>
      <c r="DE255" s="471"/>
      <c r="DF255" s="471"/>
      <c r="DG255" s="471"/>
      <c r="DH255" s="471"/>
      <c r="DI255" s="471"/>
      <c r="DJ255" s="471"/>
      <c r="DK255" s="471"/>
      <c r="DL255" s="471"/>
      <c r="DM255" s="471"/>
      <c r="DN255" s="471"/>
      <c r="DO255" s="471"/>
      <c r="DP255" s="471"/>
      <c r="DQ255" s="471"/>
      <c r="DR255" s="471"/>
      <c r="DS255" s="471"/>
      <c r="DT255" s="471"/>
      <c r="DU255" s="471"/>
      <c r="DV255" s="471"/>
      <c r="DW255" s="471"/>
      <c r="DX255" s="471"/>
      <c r="DY255" s="471"/>
      <c r="DZ255" s="471"/>
      <c r="EA255" s="471"/>
      <c r="EB255" s="471"/>
      <c r="EC255" s="471"/>
      <c r="ED255" s="471"/>
      <c r="EE255" s="471"/>
      <c r="EF255" s="471"/>
      <c r="EG255" s="471"/>
      <c r="EH255" s="471"/>
      <c r="EI255" s="471"/>
      <c r="EJ255" s="471"/>
      <c r="EK255" s="471"/>
      <c r="EL255" s="471"/>
      <c r="EM255" s="471"/>
      <c r="EN255" s="471"/>
      <c r="EO255" s="471"/>
      <c r="EP255" s="471"/>
      <c r="EQ255" s="471"/>
      <c r="ER255" s="471"/>
      <c r="ES255" s="471"/>
      <c r="ET255" s="471"/>
      <c r="EU255" s="471"/>
      <c r="EV255" s="471"/>
      <c r="EW255" s="471"/>
      <c r="EX255" s="471"/>
      <c r="EY255" s="471"/>
      <c r="EZ255" s="471"/>
      <c r="FA255" s="471"/>
      <c r="FB255" s="471"/>
      <c r="FC255" s="471"/>
      <c r="FD255" s="471"/>
      <c r="FE255" s="471"/>
      <c r="FF255" s="471"/>
      <c r="FG255" s="471"/>
      <c r="FH255" s="471"/>
      <c r="FI255" s="471"/>
      <c r="FJ255" s="471"/>
      <c r="FK255" s="471"/>
      <c r="FL255" s="471"/>
      <c r="FM255" s="471"/>
      <c r="FN255" s="471"/>
      <c r="FO255" s="471"/>
      <c r="FP255" s="471"/>
      <c r="FQ255" s="471"/>
      <c r="FR255" s="471"/>
      <c r="FS255" s="471"/>
      <c r="FT255" s="471"/>
      <c r="FU255" s="471"/>
      <c r="FV255" s="471"/>
      <c r="FW255" s="471"/>
      <c r="FX255" s="471"/>
      <c r="FY255" s="471"/>
      <c r="FZ255" s="471"/>
      <c r="GA255" s="471"/>
      <c r="GB255" s="471"/>
      <c r="GC255" s="471"/>
      <c r="GD255" s="471"/>
      <c r="GE255" s="471"/>
      <c r="GF255" s="471"/>
      <c r="GG255" s="471"/>
      <c r="GH255" s="471"/>
      <c r="GI255" s="471"/>
      <c r="GJ255" s="471"/>
      <c r="GK255" s="471"/>
      <c r="GL255" s="471"/>
      <c r="GM255" s="471"/>
      <c r="GN255" s="471"/>
      <c r="GO255" s="471"/>
      <c r="GP255" s="471"/>
      <c r="GQ255" s="471"/>
      <c r="GR255" s="471"/>
      <c r="GS255" s="471"/>
      <c r="GT255" s="471"/>
      <c r="GU255" s="471"/>
      <c r="GV255" s="471"/>
      <c r="GW255" s="471"/>
      <c r="GX255" s="471"/>
      <c r="GY255" s="471"/>
      <c r="GZ255" s="471"/>
      <c r="HA255" s="471"/>
      <c r="HB255" s="471"/>
      <c r="HC255" s="471"/>
      <c r="HD255" s="471"/>
      <c r="HE255" s="471"/>
      <c r="HF255" s="471"/>
      <c r="HG255" s="471"/>
      <c r="HH255" s="471"/>
      <c r="HI255" s="471"/>
      <c r="HJ255" s="471"/>
      <c r="HK255" s="471"/>
      <c r="HL255" s="471"/>
      <c r="HM255" s="471"/>
      <c r="HN255" s="471"/>
      <c r="HO255" s="471"/>
      <c r="HP255" s="471"/>
      <c r="HQ255" s="471"/>
      <c r="HR255" s="471"/>
      <c r="HS255" s="471"/>
      <c r="HT255" s="471"/>
      <c r="HU255" s="471"/>
      <c r="HV255" s="471"/>
      <c r="HW255" s="471"/>
      <c r="HX255" s="471"/>
      <c r="HY255" s="471"/>
      <c r="HZ255" s="471"/>
      <c r="IA255" s="471"/>
      <c r="IB255" s="471"/>
      <c r="IC255" s="471"/>
      <c r="ID255" s="471"/>
      <c r="IE255" s="471"/>
      <c r="IF255" s="471"/>
      <c r="IG255" s="471"/>
      <c r="IH255" s="471"/>
      <c r="II255" s="471"/>
      <c r="IJ255" s="471"/>
      <c r="IK255" s="471"/>
      <c r="IL255" s="471"/>
      <c r="IM255" s="471"/>
      <c r="IN255" s="471"/>
      <c r="IO255" s="471"/>
      <c r="IP255" s="471"/>
      <c r="IQ255" s="471"/>
      <c r="IR255" s="471"/>
      <c r="IS255" s="471"/>
      <c r="IT255" s="471"/>
      <c r="IU255" s="471"/>
      <c r="IV255" s="471"/>
      <c r="IW255" s="471"/>
      <c r="IX255" s="471"/>
      <c r="IY255" s="471"/>
      <c r="IZ255" s="471"/>
      <c r="JA255" s="471"/>
      <c r="JB255" s="471"/>
      <c r="JC255" s="471"/>
      <c r="JD255" s="471"/>
      <c r="JE255" s="471"/>
      <c r="JF255" s="471"/>
      <c r="JG255" s="471"/>
      <c r="JH255" s="471"/>
      <c r="JI255" s="471"/>
      <c r="JJ255" s="471"/>
      <c r="JK255" s="471"/>
      <c r="JL255" s="471"/>
      <c r="JM255" s="471"/>
      <c r="JN255" s="471"/>
      <c r="JO255" s="471"/>
      <c r="JP255" s="471"/>
      <c r="JQ255" s="471"/>
      <c r="JR255" s="471"/>
      <c r="JS255" s="471"/>
      <c r="JT255" s="471"/>
      <c r="JU255" s="471"/>
      <c r="JV255" s="471"/>
      <c r="JW255" s="471"/>
      <c r="JX255" s="471"/>
      <c r="JY255" s="471"/>
      <c r="JZ255" s="471"/>
      <c r="KA255" s="471"/>
      <c r="KB255" s="471"/>
      <c r="KC255" s="471"/>
      <c r="KD255" s="471"/>
      <c r="KE255" s="471"/>
      <c r="KF255" s="471"/>
      <c r="KG255" s="471"/>
      <c r="KH255" s="471"/>
      <c r="KI255" s="471"/>
      <c r="KJ255" s="471"/>
      <c r="KK255" s="471"/>
      <c r="KL255" s="471"/>
      <c r="KM255" s="471"/>
      <c r="KN255" s="471"/>
      <c r="KO255" s="471"/>
      <c r="KP255" s="471"/>
      <c r="KQ255" s="471"/>
      <c r="KR255" s="471"/>
      <c r="KS255" s="471"/>
      <c r="KT255" s="471"/>
      <c r="KU255" s="471"/>
      <c r="KV255" s="471"/>
      <c r="KW255" s="471"/>
      <c r="KX255" s="471"/>
      <c r="KY255" s="471"/>
      <c r="KZ255" s="471"/>
      <c r="LA255" s="471"/>
      <c r="LB255" s="471"/>
      <c r="LC255" s="471"/>
      <c r="LD255" s="471"/>
      <c r="LE255" s="471"/>
      <c r="LF255" s="471"/>
      <c r="LG255" s="471"/>
      <c r="LH255" s="471"/>
      <c r="LI255" s="471"/>
      <c r="LJ255" s="471"/>
      <c r="LK255" s="471"/>
      <c r="LL255" s="471"/>
      <c r="LM255" s="471"/>
      <c r="LN255" s="471"/>
      <c r="LO255" s="471"/>
      <c r="LP255" s="471"/>
      <c r="LQ255" s="471"/>
      <c r="LR255" s="471"/>
      <c r="LS255" s="471"/>
      <c r="LT255" s="471"/>
      <c r="LU255" s="471"/>
      <c r="LV255" s="471"/>
      <c r="LW255" s="471"/>
      <c r="LX255" s="471"/>
      <c r="LY255" s="471"/>
      <c r="LZ255" s="471"/>
      <c r="MA255" s="471"/>
      <c r="MB255" s="471"/>
      <c r="MC255" s="471"/>
      <c r="MD255" s="471"/>
      <c r="ME255" s="471"/>
      <c r="MF255" s="471"/>
      <c r="MG255" s="471"/>
      <c r="MH255" s="471"/>
      <c r="MI255" s="471"/>
      <c r="MJ255" s="471"/>
      <c r="MK255" s="471"/>
      <c r="ML255" s="471"/>
      <c r="MM255" s="471"/>
      <c r="MN255" s="471"/>
      <c r="MO255" s="471"/>
      <c r="MP255" s="471"/>
      <c r="MQ255" s="471"/>
      <c r="MR255" s="471"/>
      <c r="MS255" s="471"/>
      <c r="MT255" s="471"/>
      <c r="MU255" s="471"/>
      <c r="MV255" s="471"/>
      <c r="MW255" s="471"/>
      <c r="MX255" s="471"/>
      <c r="MY255" s="471"/>
      <c r="MZ255" s="471"/>
      <c r="NA255" s="471"/>
      <c r="NB255" s="471"/>
      <c r="NC255" s="471"/>
      <c r="ND255" s="471"/>
      <c r="NE255" s="471"/>
      <c r="NF255" s="471"/>
      <c r="NG255" s="471"/>
      <c r="NH255" s="471"/>
      <c r="NI255" s="471"/>
      <c r="NJ255" s="471"/>
      <c r="NK255" s="471"/>
      <c r="NL255" s="471"/>
      <c r="NM255" s="471"/>
      <c r="NN255" s="471"/>
      <c r="NO255" s="471"/>
      <c r="NP255" s="471"/>
      <c r="NQ255" s="471"/>
      <c r="NR255" s="471"/>
      <c r="NS255" s="471"/>
      <c r="NT255" s="471"/>
      <c r="NU255" s="471"/>
      <c r="NV255" s="471"/>
      <c r="NW255" s="471"/>
      <c r="NX255" s="471"/>
      <c r="NY255" s="471"/>
      <c r="NZ255" s="471"/>
      <c r="OA255" s="471"/>
      <c r="OB255" s="471"/>
      <c r="OC255" s="471"/>
      <c r="OD255" s="471"/>
      <c r="OE255" s="471"/>
      <c r="OF255" s="471"/>
      <c r="OG255" s="471"/>
      <c r="OH255" s="471"/>
      <c r="OI255" s="471"/>
      <c r="OJ255" s="471"/>
      <c r="OK255" s="471"/>
      <c r="OL255" s="471"/>
      <c r="OM255" s="471"/>
      <c r="ON255" s="471"/>
      <c r="OO255" s="471"/>
      <c r="OP255" s="471"/>
      <c r="OQ255" s="471"/>
      <c r="OR255" s="471"/>
      <c r="OS255" s="471"/>
      <c r="OT255" s="471"/>
      <c r="OU255" s="471"/>
      <c r="OV255" s="471"/>
      <c r="OW255" s="471"/>
      <c r="OX255" s="471"/>
      <c r="OY255" s="471"/>
      <c r="OZ255" s="471"/>
      <c r="PA255" s="471"/>
      <c r="PB255" s="471"/>
      <c r="PC255" s="471"/>
      <c r="PD255" s="471"/>
      <c r="PE255" s="471"/>
      <c r="PF255" s="471"/>
      <c r="PG255" s="471"/>
      <c r="PH255" s="471"/>
      <c r="PI255" s="471"/>
      <c r="PJ255" s="471"/>
      <c r="PK255" s="471"/>
      <c r="PL255" s="471"/>
      <c r="PM255" s="471"/>
      <c r="PN255" s="471"/>
      <c r="PO255" s="471"/>
      <c r="PP255" s="471"/>
      <c r="PQ255" s="471"/>
      <c r="PR255" s="471"/>
      <c r="PS255" s="471"/>
      <c r="PT255" s="471"/>
      <c r="PU255" s="471"/>
      <c r="PV255" s="471"/>
      <c r="PW255" s="471"/>
      <c r="PX255" s="471"/>
      <c r="PY255" s="471"/>
      <c r="PZ255" s="471"/>
      <c r="QA255" s="471"/>
      <c r="QB255" s="471"/>
      <c r="QC255" s="471"/>
      <c r="QD255" s="471"/>
      <c r="QE255" s="471"/>
      <c r="QF255" s="471"/>
      <c r="QG255" s="471"/>
      <c r="QH255" s="471"/>
      <c r="QI255" s="471"/>
      <c r="QJ255" s="471"/>
      <c r="QK255" s="471"/>
      <c r="QL255" s="471"/>
      <c r="QM255" s="471"/>
      <c r="QN255" s="471"/>
      <c r="QO255" s="471"/>
      <c r="QP255" s="471"/>
      <c r="QQ255" s="471"/>
      <c r="QR255" s="471"/>
      <c r="QS255" s="471"/>
      <c r="QT255" s="471"/>
      <c r="QU255" s="471"/>
      <c r="QV255" s="471"/>
      <c r="QW255" s="471"/>
      <c r="QX255" s="471"/>
      <c r="QY255" s="471"/>
      <c r="QZ255" s="471"/>
      <c r="RA255" s="471"/>
      <c r="RB255" s="471"/>
      <c r="RC255" s="471"/>
      <c r="RD255" s="471"/>
      <c r="RE255" s="471"/>
      <c r="RF255" s="471"/>
      <c r="RG255" s="471"/>
      <c r="RH255" s="471"/>
      <c r="RI255" s="471"/>
      <c r="RJ255" s="471"/>
      <c r="RK255" s="471"/>
      <c r="RL255" s="471"/>
      <c r="RM255" s="471"/>
      <c r="RN255" s="471"/>
      <c r="RO255" s="471"/>
      <c r="RP255" s="471"/>
      <c r="RQ255" s="471"/>
      <c r="RR255" s="471"/>
      <c r="RS255" s="471"/>
      <c r="RT255" s="471"/>
      <c r="RU255" s="471"/>
      <c r="RV255" s="471"/>
      <c r="RW255" s="471"/>
      <c r="RX255" s="471"/>
      <c r="RY255" s="471"/>
      <c r="RZ255" s="471"/>
      <c r="SA255" s="471"/>
      <c r="SB255" s="471"/>
      <c r="SC255" s="471"/>
      <c r="SD255" s="471"/>
      <c r="SE255" s="471"/>
      <c r="SF255" s="471"/>
      <c r="SG255" s="471"/>
      <c r="SH255" s="471"/>
      <c r="SI255" s="471"/>
      <c r="SJ255" s="471"/>
      <c r="SK255" s="471"/>
      <c r="SL255" s="471"/>
      <c r="SM255" s="471"/>
      <c r="SN255" s="471"/>
      <c r="SO255" s="471"/>
      <c r="SP255" s="471"/>
      <c r="SQ255" s="471"/>
      <c r="SR255" s="471"/>
      <c r="SS255" s="471"/>
      <c r="ST255" s="471"/>
      <c r="SU255" s="471"/>
      <c r="SV255" s="471"/>
      <c r="SW255" s="471"/>
      <c r="SX255" s="471"/>
      <c r="SY255" s="471"/>
      <c r="SZ255" s="471"/>
      <c r="TA255" s="471"/>
      <c r="TB255" s="471"/>
      <c r="TC255" s="471"/>
      <c r="TD255" s="471"/>
      <c r="TE255" s="471"/>
      <c r="TF255" s="471"/>
      <c r="TG255" s="471"/>
      <c r="TH255" s="471"/>
      <c r="TI255" s="471"/>
      <c r="TJ255" s="471"/>
      <c r="TK255" s="471"/>
      <c r="TL255" s="471"/>
      <c r="TM255" s="471"/>
      <c r="TN255" s="471"/>
      <c r="TO255" s="471"/>
      <c r="TP255" s="471"/>
      <c r="TQ255" s="471"/>
      <c r="TR255" s="471"/>
      <c r="TS255" s="471"/>
      <c r="TT255" s="471"/>
      <c r="TU255" s="471"/>
      <c r="TV255" s="471"/>
      <c r="TW255" s="471"/>
      <c r="TX255" s="471"/>
      <c r="TY255" s="471"/>
      <c r="TZ255" s="471"/>
      <c r="UA255" s="471"/>
      <c r="UB255" s="471"/>
      <c r="UC255" s="471"/>
      <c r="UD255" s="471"/>
      <c r="UE255" s="471"/>
      <c r="UF255" s="471"/>
      <c r="UG255" s="471"/>
      <c r="UH255" s="471"/>
      <c r="UI255" s="471"/>
      <c r="UJ255" s="471"/>
      <c r="UK255" s="471"/>
      <c r="UL255" s="471"/>
      <c r="UM255" s="471"/>
      <c r="UN255" s="471"/>
      <c r="UO255" s="471"/>
      <c r="UP255" s="471"/>
      <c r="UQ255" s="471"/>
      <c r="UR255" s="471"/>
      <c r="US255" s="471"/>
      <c r="UT255" s="471"/>
      <c r="UU255" s="471"/>
      <c r="UV255" s="471"/>
      <c r="UW255" s="471"/>
      <c r="UX255" s="471"/>
      <c r="UY255" s="471"/>
      <c r="UZ255" s="471"/>
      <c r="VA255" s="471"/>
      <c r="VB255" s="471"/>
      <c r="VC255" s="471"/>
      <c r="VD255" s="471"/>
      <c r="VE255" s="471"/>
      <c r="VF255" s="471"/>
      <c r="VG255" s="471"/>
      <c r="VH255" s="471"/>
      <c r="VI255" s="471"/>
      <c r="VJ255" s="471"/>
      <c r="VK255" s="471"/>
      <c r="VL255" s="471"/>
      <c r="VM255" s="471"/>
      <c r="VN255" s="471"/>
      <c r="VO255" s="471"/>
      <c r="VP255" s="471"/>
      <c r="VQ255" s="471"/>
      <c r="VR255" s="471"/>
      <c r="VS255" s="471"/>
      <c r="VT255" s="471"/>
      <c r="VU255" s="471"/>
      <c r="VV255" s="471"/>
      <c r="VW255" s="471"/>
      <c r="VX255" s="471"/>
      <c r="VY255" s="471"/>
      <c r="VZ255" s="471"/>
      <c r="WA255" s="471"/>
      <c r="WB255" s="471"/>
      <c r="WC255" s="471"/>
      <c r="WD255" s="471"/>
      <c r="WE255" s="471"/>
      <c r="WF255" s="471"/>
      <c r="WG255" s="471"/>
      <c r="WH255" s="471"/>
      <c r="WI255" s="471"/>
      <c r="WJ255" s="471"/>
      <c r="WK255" s="471"/>
      <c r="WL255" s="471"/>
      <c r="WM255" s="471"/>
      <c r="WN255" s="471"/>
      <c r="WO255" s="471"/>
      <c r="WP255" s="471"/>
      <c r="WQ255" s="471"/>
      <c r="WR255" s="471"/>
      <c r="WS255" s="471"/>
      <c r="WT255" s="471"/>
      <c r="WU255" s="471"/>
      <c r="WV255" s="471"/>
      <c r="WW255" s="471"/>
      <c r="WX255" s="471"/>
      <c r="WY255" s="471"/>
      <c r="WZ255" s="471"/>
      <c r="XA255" s="471"/>
      <c r="XB255" s="471"/>
      <c r="XC255" s="471"/>
      <c r="XD255" s="471"/>
      <c r="XE255" s="471"/>
      <c r="XF255" s="471"/>
      <c r="XG255" s="471"/>
      <c r="XH255" s="471"/>
      <c r="XI255" s="471"/>
      <c r="XJ255" s="471"/>
      <c r="XK255" s="471"/>
      <c r="XL255" s="471"/>
      <c r="XM255" s="471"/>
      <c r="XN255" s="471"/>
      <c r="XO255" s="471"/>
      <c r="XP255" s="471"/>
      <c r="XQ255" s="471"/>
      <c r="XR255" s="471"/>
      <c r="XS255" s="471"/>
      <c r="XT255" s="471"/>
      <c r="XU255" s="471"/>
      <c r="XV255" s="471"/>
      <c r="XW255" s="471"/>
      <c r="XX255" s="471"/>
      <c r="XY255" s="471"/>
      <c r="XZ255" s="471"/>
      <c r="YA255" s="471"/>
      <c r="YB255" s="471"/>
      <c r="YC255" s="471"/>
      <c r="YD255" s="471"/>
      <c r="YE255" s="471"/>
      <c r="YF255" s="471"/>
      <c r="YG255" s="471"/>
      <c r="YH255" s="471"/>
      <c r="YI255" s="471"/>
      <c r="YJ255" s="471"/>
      <c r="YK255" s="471"/>
      <c r="YL255" s="471"/>
      <c r="YM255" s="471"/>
      <c r="YN255" s="471"/>
      <c r="YO255" s="471"/>
      <c r="YP255" s="471"/>
      <c r="YQ255" s="471"/>
      <c r="YR255" s="471"/>
      <c r="YS255" s="471"/>
      <c r="YT255" s="471"/>
      <c r="YU255" s="471"/>
      <c r="YV255" s="471"/>
      <c r="YW255" s="471"/>
      <c r="YX255" s="471"/>
      <c r="YY255" s="471"/>
      <c r="YZ255" s="471"/>
      <c r="ZA255" s="471"/>
      <c r="ZB255" s="471"/>
      <c r="ZC255" s="471"/>
      <c r="ZD255" s="471"/>
      <c r="ZE255" s="471"/>
      <c r="ZF255" s="471"/>
      <c r="ZG255" s="471"/>
      <c r="ZH255" s="471"/>
      <c r="ZI255" s="471"/>
      <c r="ZJ255" s="471"/>
      <c r="ZK255" s="471"/>
      <c r="ZL255" s="471"/>
      <c r="ZM255" s="471"/>
      <c r="ZN255" s="471"/>
      <c r="ZO255" s="471"/>
      <c r="ZP255" s="471"/>
      <c r="ZQ255" s="471"/>
      <c r="ZR255" s="471"/>
      <c r="ZS255" s="471"/>
      <c r="ZT255" s="471"/>
      <c r="ZU255" s="471"/>
      <c r="ZV255" s="471"/>
      <c r="ZW255" s="471"/>
      <c r="ZX255" s="471"/>
      <c r="ZY255" s="471"/>
      <c r="ZZ255" s="471"/>
      <c r="AAA255" s="471"/>
      <c r="AAB255" s="471"/>
      <c r="AAC255" s="471"/>
      <c r="AAD255" s="471"/>
      <c r="AAE255" s="471"/>
      <c r="AAF255" s="471"/>
      <c r="AAG255" s="471"/>
      <c r="AAH255" s="471"/>
      <c r="AAI255" s="471"/>
      <c r="AAJ255" s="471"/>
      <c r="AAK255" s="471"/>
      <c r="AAL255" s="471"/>
      <c r="AAM255" s="471"/>
      <c r="AAN255" s="471"/>
      <c r="AAO255" s="471"/>
      <c r="AAP255" s="471"/>
      <c r="AAQ255" s="471"/>
      <c r="AAR255" s="471"/>
      <c r="AAS255" s="471"/>
      <c r="AAT255" s="471"/>
      <c r="AAU255" s="471"/>
      <c r="AAV255" s="471"/>
      <c r="AAW255" s="471"/>
      <c r="AAX255" s="471"/>
      <c r="AAY255" s="471"/>
      <c r="AAZ255" s="471"/>
      <c r="ABA255" s="471"/>
      <c r="ABB255" s="471"/>
      <c r="ABC255" s="471"/>
      <c r="ABD255" s="471"/>
      <c r="ABE255" s="471"/>
      <c r="ABF255" s="471"/>
      <c r="ABG255" s="471"/>
      <c r="ABH255" s="471"/>
      <c r="ABI255" s="471"/>
      <c r="ABJ255" s="471"/>
      <c r="ABK255" s="471"/>
      <c r="ABL255" s="471"/>
      <c r="ABM255" s="471"/>
      <c r="ABN255" s="471"/>
      <c r="ABO255" s="471"/>
      <c r="ABP255" s="471"/>
      <c r="ABQ255" s="471"/>
      <c r="ABR255" s="471"/>
      <c r="ABS255" s="471"/>
      <c r="ABT255" s="471"/>
      <c r="ABU255" s="471"/>
      <c r="ABV255" s="471"/>
      <c r="ABW255" s="471"/>
      <c r="ABX255" s="471"/>
      <c r="ABY255" s="471"/>
      <c r="ABZ255" s="471"/>
      <c r="ACA255" s="471"/>
      <c r="ACB255" s="471"/>
      <c r="ACC255" s="471"/>
      <c r="ACD255" s="471"/>
      <c r="ACE255" s="471"/>
      <c r="ACF255" s="471"/>
      <c r="ACG255" s="471"/>
      <c r="ACH255" s="471"/>
      <c r="ACI255" s="471"/>
      <c r="ACJ255" s="471"/>
      <c r="ACK255" s="471"/>
      <c r="ACL255" s="471"/>
      <c r="ACM255" s="471"/>
      <c r="ACN255" s="471"/>
      <c r="ACO255" s="471"/>
      <c r="ACP255" s="471"/>
      <c r="ACQ255" s="471"/>
      <c r="ACR255" s="471"/>
      <c r="ACS255" s="471"/>
      <c r="ACT255" s="471"/>
      <c r="ACU255" s="471"/>
      <c r="ACV255" s="471"/>
      <c r="ACW255" s="471"/>
      <c r="ACX255" s="471"/>
      <c r="ACY255" s="471"/>
      <c r="ACZ255" s="471"/>
      <c r="ADA255" s="471"/>
      <c r="ADB255" s="471"/>
      <c r="ADC255" s="471"/>
      <c r="ADD255" s="471"/>
      <c r="ADE255" s="471"/>
      <c r="ADF255" s="471"/>
      <c r="ADG255" s="471"/>
      <c r="ADH255" s="471"/>
      <c r="ADI255" s="471"/>
      <c r="ADJ255" s="471"/>
      <c r="ADK255" s="471"/>
      <c r="ADL255" s="471"/>
      <c r="ADM255" s="471"/>
      <c r="ADN255" s="471"/>
      <c r="ADO255" s="471"/>
      <c r="ADP255" s="471"/>
      <c r="ADQ255" s="471"/>
      <c r="ADR255" s="471"/>
      <c r="ADS255" s="471"/>
      <c r="ADT255" s="471"/>
      <c r="ADU255" s="471"/>
      <c r="ADV255" s="471"/>
      <c r="ADW255" s="471"/>
      <c r="ADX255" s="471"/>
      <c r="ADY255" s="471"/>
      <c r="ADZ255" s="471"/>
      <c r="AEA255" s="471"/>
      <c r="AEB255" s="471"/>
      <c r="AEC255" s="471"/>
      <c r="AED255" s="471"/>
      <c r="AEE255" s="471"/>
      <c r="AEF255" s="471"/>
      <c r="AEG255" s="471"/>
      <c r="AEH255" s="471"/>
      <c r="AEI255" s="471"/>
      <c r="AEJ255" s="471"/>
      <c r="AEK255" s="471"/>
      <c r="AEL255" s="471"/>
      <c r="AEM255" s="471"/>
      <c r="AEN255" s="471"/>
      <c r="AEO255" s="471"/>
      <c r="AEP255" s="471"/>
      <c r="AEQ255" s="471"/>
      <c r="AER255" s="471"/>
      <c r="AES255" s="471"/>
      <c r="AET255" s="471"/>
      <c r="AEU255" s="471"/>
      <c r="AEV255" s="471"/>
      <c r="AEW255" s="471"/>
      <c r="AEX255" s="471"/>
      <c r="AEY255" s="471"/>
      <c r="AEZ255" s="471"/>
      <c r="AFA255" s="471"/>
      <c r="AFB255" s="471"/>
      <c r="AFC255" s="471"/>
      <c r="AFD255" s="471"/>
      <c r="AFE255" s="471"/>
      <c r="AFF255" s="471"/>
      <c r="AFG255" s="471"/>
      <c r="AFH255" s="471"/>
      <c r="AFI255" s="471"/>
      <c r="AFJ255" s="471"/>
      <c r="AFK255" s="471"/>
      <c r="AFL255" s="471"/>
      <c r="AFM255" s="471"/>
      <c r="AFN255" s="471"/>
      <c r="AFO255" s="471"/>
      <c r="AFP255" s="471"/>
      <c r="AFQ255" s="471"/>
      <c r="AFR255" s="471"/>
      <c r="AFS255" s="471"/>
      <c r="AFT255" s="471"/>
      <c r="AFU255" s="471"/>
      <c r="AFV255" s="471"/>
      <c r="AFW255" s="471"/>
      <c r="AFX255" s="471"/>
      <c r="AFY255" s="471"/>
      <c r="AFZ255" s="471"/>
      <c r="AGA255" s="471"/>
      <c r="AGB255" s="471"/>
      <c r="AGC255" s="471"/>
      <c r="AGD255" s="471"/>
      <c r="AGE255" s="471"/>
      <c r="AGF255" s="471"/>
      <c r="AGG255" s="471"/>
      <c r="AGH255" s="471"/>
      <c r="AGI255" s="471"/>
      <c r="AGJ255" s="471"/>
      <c r="AGK255" s="471"/>
      <c r="AGL255" s="471"/>
      <c r="AGM255" s="471"/>
      <c r="AGN255" s="471"/>
      <c r="AGO255" s="471"/>
      <c r="AGP255" s="471"/>
      <c r="AGQ255" s="471"/>
      <c r="AGR255" s="471"/>
      <c r="AGS255" s="471"/>
      <c r="AGT255" s="471"/>
      <c r="AGU255" s="471"/>
      <c r="AGV255" s="471"/>
      <c r="AGW255" s="471"/>
      <c r="AGX255" s="471"/>
      <c r="AGY255" s="471"/>
      <c r="AGZ255" s="471"/>
      <c r="AHA255" s="471"/>
      <c r="AHB255" s="471"/>
      <c r="AHC255" s="471"/>
      <c r="AHD255" s="471"/>
      <c r="AHE255" s="471"/>
      <c r="AHF255" s="471"/>
      <c r="AHG255" s="471"/>
      <c r="AHH255" s="471"/>
      <c r="AHI255" s="471"/>
      <c r="AHJ255" s="471"/>
      <c r="AHK255" s="471"/>
      <c r="AHL255" s="471"/>
      <c r="AHM255" s="471"/>
      <c r="AHN255" s="471"/>
      <c r="AHO255" s="471"/>
      <c r="AHP255" s="471"/>
      <c r="AHQ255" s="471"/>
      <c r="AHR255" s="471"/>
      <c r="AHS255" s="471"/>
      <c r="AHT255" s="471"/>
      <c r="AHU255" s="471"/>
      <c r="AHV255" s="471"/>
      <c r="AHW255" s="471"/>
      <c r="AHX255" s="471"/>
      <c r="AHY255" s="471"/>
      <c r="AHZ255" s="471"/>
      <c r="AIA255" s="471"/>
      <c r="AIB255" s="471"/>
      <c r="AIC255" s="471"/>
      <c r="AID255" s="471"/>
      <c r="AIE255" s="471"/>
      <c r="AIF255" s="471"/>
      <c r="AIG255" s="471"/>
      <c r="AIH255" s="471"/>
      <c r="AII255" s="471"/>
      <c r="AIJ255" s="471"/>
      <c r="AIK255" s="471"/>
      <c r="AIL255" s="471"/>
      <c r="AIM255" s="471"/>
      <c r="AIN255" s="471"/>
      <c r="AIO255" s="471"/>
      <c r="AIP255" s="471"/>
      <c r="AIQ255" s="471"/>
      <c r="AIR255" s="471"/>
      <c r="AIS255" s="471"/>
      <c r="AIT255" s="471"/>
      <c r="AIU255" s="471"/>
      <c r="AIV255" s="471"/>
      <c r="AIW255" s="471"/>
      <c r="AIX255" s="471"/>
      <c r="AIY255" s="471"/>
      <c r="AIZ255" s="471"/>
      <c r="AJA255" s="471"/>
      <c r="AJB255" s="471"/>
      <c r="AJC255" s="471"/>
      <c r="AJD255" s="471"/>
      <c r="AJE255" s="471"/>
      <c r="AJF255" s="471"/>
      <c r="AJG255" s="471"/>
      <c r="AJH255" s="471"/>
      <c r="AJI255" s="471"/>
      <c r="AJJ255" s="471"/>
      <c r="AJK255" s="471"/>
      <c r="AJL255" s="471"/>
      <c r="AJM255" s="471"/>
      <c r="AJN255" s="471"/>
      <c r="AJO255" s="471"/>
      <c r="AJP255" s="471"/>
      <c r="AJQ255" s="471"/>
      <c r="AJR255" s="471"/>
      <c r="AJS255" s="471"/>
      <c r="AJT255" s="471"/>
      <c r="AJU255" s="471"/>
      <c r="AJV255" s="471"/>
      <c r="AJW255" s="471"/>
      <c r="AJX255" s="471"/>
      <c r="AJY255" s="471"/>
      <c r="AJZ255" s="471"/>
      <c r="AKA255" s="471"/>
      <c r="AKB255" s="471"/>
      <c r="AKC255" s="471"/>
      <c r="AKD255" s="471"/>
      <c r="AKE255" s="471"/>
      <c r="AKF255" s="471"/>
      <c r="AKG255" s="471"/>
      <c r="AKH255" s="471"/>
      <c r="AKI255" s="471"/>
      <c r="AKJ255" s="471"/>
      <c r="AKK255" s="471"/>
      <c r="AKL255" s="471"/>
      <c r="AKM255" s="471"/>
      <c r="AKN255" s="471"/>
      <c r="AKO255" s="471"/>
      <c r="AKP255" s="471"/>
      <c r="AKQ255" s="471"/>
      <c r="AKR255" s="471"/>
      <c r="AKS255" s="471"/>
      <c r="AKT255" s="471"/>
      <c r="AKU255" s="471"/>
      <c r="AKV255" s="471"/>
      <c r="AKW255" s="471"/>
      <c r="AKX255" s="471"/>
      <c r="AKY255" s="471"/>
      <c r="AKZ255" s="471"/>
      <c r="ALA255" s="471"/>
      <c r="ALB255" s="471"/>
      <c r="ALC255" s="471"/>
      <c r="ALD255" s="471"/>
      <c r="ALE255" s="471"/>
      <c r="ALF255" s="471"/>
      <c r="ALG255" s="471"/>
      <c r="ALH255" s="471"/>
      <c r="ALI255" s="471"/>
      <c r="ALJ255" s="471"/>
      <c r="ALK255" s="471"/>
      <c r="ALL255" s="471"/>
      <c r="ALM255" s="471"/>
      <c r="ALN255" s="471"/>
      <c r="ALO255" s="471"/>
      <c r="ALP255" s="471"/>
      <c r="ALQ255" s="471"/>
      <c r="ALR255" s="471"/>
      <c r="ALS255" s="471"/>
      <c r="ALT255" s="471"/>
      <c r="ALU255" s="471"/>
      <c r="ALV255" s="471"/>
      <c r="ALW255" s="471"/>
      <c r="ALX255" s="471"/>
      <c r="ALY255" s="471"/>
      <c r="ALZ255" s="471"/>
      <c r="AMA255" s="471"/>
      <c r="AMB255" s="471"/>
      <c r="AMC255" s="471"/>
      <c r="AMD255" s="471"/>
      <c r="AME255" s="471"/>
      <c r="AMF255" s="471"/>
      <c r="AMG255" s="471"/>
      <c r="AMH255" s="471"/>
      <c r="AMI255" s="471"/>
      <c r="AMJ255" s="471"/>
      <c r="AMK255" s="471"/>
      <c r="AML255" s="471"/>
      <c r="AMM255" s="471"/>
      <c r="AMN255" s="471"/>
      <c r="AMO255" s="471"/>
      <c r="AMP255" s="471"/>
      <c r="AMQ255" s="471"/>
      <c r="AMR255" s="471"/>
      <c r="AMS255" s="471"/>
      <c r="AMT255" s="471"/>
      <c r="AMU255" s="471"/>
      <c r="AMV255" s="471"/>
      <c r="AMW255" s="471"/>
      <c r="AMX255" s="471"/>
      <c r="AMY255" s="471"/>
      <c r="AMZ255" s="471"/>
      <c r="ANA255" s="471"/>
      <c r="ANB255" s="471"/>
      <c r="ANC255" s="471"/>
      <c r="AND255" s="471"/>
      <c r="ANE255" s="471"/>
      <c r="ANF255" s="471"/>
      <c r="ANG255" s="471"/>
      <c r="ANH255" s="471"/>
      <c r="ANI255" s="471"/>
      <c r="ANJ255" s="471"/>
      <c r="ANK255" s="471"/>
      <c r="ANL255" s="471"/>
      <c r="ANM255" s="471"/>
      <c r="ANN255" s="471"/>
      <c r="ANO255" s="471"/>
      <c r="ANP255" s="471"/>
      <c r="ANQ255" s="471"/>
      <c r="ANR255" s="471"/>
      <c r="ANS255" s="471"/>
      <c r="ANT255" s="471"/>
      <c r="ANU255" s="471"/>
      <c r="ANV255" s="471"/>
      <c r="ANW255" s="471"/>
      <c r="ANX255" s="471"/>
      <c r="ANY255" s="471"/>
      <c r="ANZ255" s="471"/>
      <c r="AOA255" s="471"/>
      <c r="AOB255" s="471"/>
      <c r="AOC255" s="471"/>
      <c r="AOD255" s="471"/>
      <c r="AOE255" s="471"/>
      <c r="AOF255" s="471"/>
      <c r="AOG255" s="471"/>
      <c r="AOH255" s="471"/>
      <c r="AOI255" s="471"/>
      <c r="AOJ255" s="471"/>
      <c r="AOK255" s="471"/>
      <c r="AOL255" s="471"/>
      <c r="AOM255" s="471"/>
      <c r="AON255" s="471"/>
      <c r="AOO255" s="471"/>
      <c r="AOP255" s="471"/>
      <c r="AOQ255" s="471"/>
      <c r="AOR255" s="471"/>
      <c r="AOS255" s="471"/>
      <c r="AOT255" s="471"/>
      <c r="AOU255" s="471"/>
      <c r="AOV255" s="471"/>
      <c r="AOW255" s="471"/>
      <c r="AOX255" s="471"/>
      <c r="AOY255" s="471"/>
      <c r="AOZ255" s="471"/>
      <c r="APA255" s="471"/>
      <c r="APB255" s="471"/>
      <c r="APC255" s="471"/>
      <c r="APD255" s="471"/>
      <c r="APE255" s="471"/>
      <c r="APF255" s="471"/>
      <c r="APG255" s="471"/>
      <c r="APH255" s="471"/>
      <c r="API255" s="471"/>
      <c r="APJ255" s="471"/>
      <c r="APK255" s="471"/>
      <c r="APL255" s="471"/>
      <c r="APM255" s="471"/>
      <c r="APN255" s="471"/>
      <c r="APO255" s="471"/>
      <c r="APP255" s="471"/>
      <c r="APQ255" s="471"/>
      <c r="APR255" s="471"/>
      <c r="APS255" s="471"/>
      <c r="APT255" s="471"/>
      <c r="APU255" s="471"/>
      <c r="APV255" s="471"/>
      <c r="APW255" s="471"/>
      <c r="APX255" s="471"/>
      <c r="APY255" s="471"/>
      <c r="APZ255" s="471"/>
      <c r="AQA255" s="471"/>
      <c r="AQB255" s="471"/>
      <c r="AQC255" s="471"/>
      <c r="AQD255" s="471"/>
      <c r="AQE255" s="471"/>
      <c r="AQF255" s="471"/>
      <c r="AQG255" s="471"/>
      <c r="AQH255" s="471"/>
      <c r="AQI255" s="471"/>
      <c r="AQJ255" s="471"/>
      <c r="AQK255" s="471"/>
      <c r="AQL255" s="471"/>
      <c r="AQM255" s="471"/>
      <c r="AQN255" s="471"/>
      <c r="AQO255" s="471"/>
      <c r="AQP255" s="471"/>
      <c r="AQQ255" s="471"/>
      <c r="AQR255" s="471"/>
      <c r="AQS255" s="471"/>
      <c r="AQT255" s="471"/>
      <c r="AQU255" s="471"/>
      <c r="AQV255" s="471"/>
      <c r="AQW255" s="471"/>
      <c r="AQX255" s="471"/>
      <c r="AQY255" s="471"/>
      <c r="AQZ255" s="471"/>
      <c r="ARA255" s="471"/>
      <c r="ARB255" s="471"/>
      <c r="ARC255" s="471"/>
      <c r="ARD255" s="471"/>
      <c r="ARE255" s="471"/>
      <c r="ARF255" s="471"/>
      <c r="ARG255" s="471"/>
      <c r="ARH255" s="471"/>
      <c r="ARI255" s="471"/>
      <c r="ARJ255" s="471"/>
      <c r="ARK255" s="471"/>
      <c r="ARL255" s="471"/>
      <c r="ARM255" s="471"/>
      <c r="ARN255" s="471"/>
      <c r="ARO255" s="471"/>
      <c r="ARP255" s="471"/>
      <c r="ARQ255" s="471"/>
      <c r="ARR255" s="471"/>
      <c r="ARS255" s="471"/>
      <c r="ART255" s="471"/>
      <c r="ARU255" s="471"/>
      <c r="ARV255" s="471"/>
      <c r="ARW255" s="471"/>
      <c r="ARX255" s="471"/>
      <c r="ARY255" s="471"/>
      <c r="ARZ255" s="471"/>
      <c r="ASA255" s="471"/>
      <c r="ASB255" s="471"/>
      <c r="ASC255" s="471"/>
      <c r="ASD255" s="471"/>
      <c r="ASE255" s="471"/>
      <c r="ASF255" s="471"/>
      <c r="ASG255" s="471"/>
      <c r="ASH255" s="471"/>
      <c r="ASI255" s="471"/>
      <c r="ASJ255" s="471"/>
      <c r="ASK255" s="471"/>
      <c r="ASL255" s="471"/>
      <c r="ASM255" s="471"/>
      <c r="ASN255" s="471"/>
      <c r="ASO255" s="471"/>
      <c r="ASP255" s="471"/>
      <c r="ASQ255" s="471"/>
      <c r="ASR255" s="471"/>
      <c r="ASS255" s="471"/>
      <c r="AST255" s="471"/>
      <c r="ASU255" s="471"/>
      <c r="ASV255" s="471"/>
      <c r="ASW255" s="471"/>
      <c r="ASX255" s="471"/>
      <c r="ASY255" s="471"/>
      <c r="ASZ255" s="471"/>
      <c r="ATA255" s="471"/>
      <c r="ATB255" s="471"/>
      <c r="ATC255" s="471"/>
      <c r="ATD255" s="471"/>
      <c r="ATE255" s="471"/>
      <c r="ATF255" s="471"/>
      <c r="ATG255" s="471"/>
      <c r="ATH255" s="471"/>
      <c r="ATI255" s="471"/>
      <c r="ATJ255" s="471"/>
      <c r="ATK255" s="471"/>
      <c r="ATL255" s="471"/>
      <c r="ATM255" s="471"/>
      <c r="ATN255" s="471"/>
      <c r="ATO255" s="471"/>
      <c r="ATP255" s="471"/>
      <c r="ATQ255" s="471"/>
      <c r="ATR255" s="471"/>
      <c r="ATS255" s="471"/>
      <c r="ATT255" s="471"/>
      <c r="ATU255" s="471"/>
      <c r="ATV255" s="471"/>
      <c r="ATW255" s="471"/>
      <c r="ATX255" s="471"/>
      <c r="ATY255" s="471"/>
      <c r="ATZ255" s="471"/>
      <c r="AUA255" s="471"/>
      <c r="AUB255" s="471"/>
      <c r="AUC255" s="471"/>
      <c r="AUD255" s="471"/>
      <c r="AUE255" s="471"/>
      <c r="AUF255" s="471"/>
      <c r="AUG255" s="471"/>
      <c r="AUH255" s="471"/>
      <c r="AUI255" s="471"/>
      <c r="AUJ255" s="471"/>
      <c r="AUK255" s="471"/>
      <c r="AUL255" s="471"/>
      <c r="AUM255" s="471"/>
      <c r="AUN255" s="471"/>
      <c r="AUO255" s="471"/>
      <c r="AUP255" s="471"/>
      <c r="AUQ255" s="471"/>
      <c r="AUR255" s="471"/>
      <c r="AUS255" s="471"/>
      <c r="AUT255" s="471"/>
      <c r="AUU255" s="471"/>
      <c r="AUV255" s="471"/>
      <c r="AUW255" s="471"/>
      <c r="AUX255" s="471"/>
      <c r="AUY255" s="471"/>
      <c r="AUZ255" s="471"/>
      <c r="AVA255" s="471"/>
      <c r="AVB255" s="471"/>
      <c r="AVC255" s="471"/>
      <c r="AVD255" s="471"/>
      <c r="AVE255" s="471"/>
      <c r="AVF255" s="471"/>
      <c r="AVG255" s="471"/>
      <c r="AVH255" s="471"/>
      <c r="AVI255" s="471"/>
      <c r="AVJ255" s="471"/>
      <c r="AVK255" s="471"/>
      <c r="AVL255" s="471"/>
      <c r="AVM255" s="471"/>
      <c r="AVN255" s="471"/>
      <c r="AVO255" s="471"/>
      <c r="AVP255" s="471"/>
      <c r="AVQ255" s="471"/>
      <c r="AVR255" s="471"/>
      <c r="AVS255" s="471"/>
      <c r="AVT255" s="471"/>
      <c r="AVU255" s="471"/>
      <c r="AVV255" s="471"/>
      <c r="AVW255" s="471"/>
      <c r="AVX255" s="471"/>
      <c r="AVY255" s="471"/>
      <c r="AVZ255" s="471"/>
      <c r="AWA255" s="471"/>
      <c r="AWB255" s="471"/>
      <c r="AWC255" s="471"/>
      <c r="AWD255" s="471"/>
      <c r="AWE255" s="471"/>
      <c r="AWF255" s="471"/>
      <c r="AWG255" s="471"/>
      <c r="AWH255" s="471"/>
      <c r="AWI255" s="471"/>
      <c r="AWJ255" s="471"/>
      <c r="AWK255" s="471"/>
      <c r="AWL255" s="471"/>
      <c r="AWM255" s="471"/>
      <c r="AWN255" s="471"/>
      <c r="AWO255" s="471"/>
      <c r="AWP255" s="471"/>
      <c r="AWQ255" s="471"/>
      <c r="AWR255" s="471"/>
      <c r="AWS255" s="471"/>
      <c r="AWT255" s="471"/>
      <c r="AWU255" s="471"/>
      <c r="AWV255" s="471"/>
      <c r="AWW255" s="471"/>
      <c r="AWX255" s="471"/>
      <c r="AWY255" s="471"/>
      <c r="AWZ255" s="471"/>
      <c r="AXA255" s="471"/>
      <c r="AXB255" s="471"/>
      <c r="AXC255" s="471"/>
      <c r="AXD255" s="471"/>
      <c r="AXE255" s="471"/>
      <c r="AXF255" s="471"/>
      <c r="AXG255" s="471"/>
      <c r="AXH255" s="471"/>
      <c r="AXI255" s="471"/>
      <c r="AXJ255" s="471"/>
      <c r="AXK255" s="471"/>
      <c r="AXL255" s="471"/>
      <c r="AXM255" s="471"/>
      <c r="AXN255" s="471"/>
      <c r="AXO255" s="471"/>
      <c r="AXP255" s="471"/>
      <c r="AXQ255" s="471"/>
      <c r="AXR255" s="471"/>
      <c r="AXS255" s="471"/>
      <c r="AXT255" s="471"/>
      <c r="AXU255" s="471"/>
      <c r="AXV255" s="471"/>
      <c r="AXW255" s="471"/>
      <c r="AXX255" s="471"/>
      <c r="AXY255" s="471"/>
      <c r="AXZ255" s="471"/>
      <c r="AYA255" s="471"/>
      <c r="AYB255" s="471"/>
      <c r="AYC255" s="471"/>
      <c r="AYD255" s="471"/>
      <c r="AYE255" s="471"/>
      <c r="AYF255" s="471"/>
      <c r="AYG255" s="471"/>
      <c r="AYH255" s="471"/>
      <c r="AYI255" s="471"/>
      <c r="AYJ255" s="471"/>
      <c r="AYK255" s="471"/>
      <c r="AYL255" s="471"/>
      <c r="AYM255" s="471"/>
      <c r="AYN255" s="471"/>
      <c r="AYO255" s="471"/>
      <c r="AYP255" s="471"/>
      <c r="AYQ255" s="471"/>
      <c r="AYR255" s="471"/>
      <c r="AYS255" s="471"/>
      <c r="AYT255" s="471"/>
      <c r="AYU255" s="471"/>
      <c r="AYV255" s="471"/>
      <c r="AYW255" s="471"/>
      <c r="AYX255" s="471"/>
      <c r="AYY255" s="471"/>
      <c r="AYZ255" s="471"/>
      <c r="AZA255" s="471"/>
      <c r="AZB255" s="471"/>
      <c r="AZC255" s="471"/>
      <c r="AZD255" s="471"/>
      <c r="AZE255" s="471"/>
      <c r="AZF255" s="471"/>
      <c r="AZG255" s="471"/>
      <c r="AZH255" s="471"/>
      <c r="AZI255" s="471"/>
      <c r="AZJ255" s="471"/>
      <c r="AZK255" s="471"/>
      <c r="AZL255" s="471"/>
      <c r="AZM255" s="471"/>
      <c r="AZN255" s="471"/>
      <c r="AZO255" s="471"/>
      <c r="AZP255" s="471"/>
      <c r="AZQ255" s="471"/>
      <c r="AZR255" s="471"/>
      <c r="AZS255" s="471"/>
      <c r="AZT255" s="471"/>
      <c r="AZU255" s="471"/>
      <c r="AZV255" s="471"/>
      <c r="AZW255" s="471"/>
      <c r="AZX255" s="471"/>
      <c r="AZY255" s="471"/>
      <c r="AZZ255" s="471"/>
      <c r="BAA255" s="471"/>
      <c r="BAB255" s="471"/>
      <c r="BAC255" s="471"/>
      <c r="BAD255" s="471"/>
      <c r="BAE255" s="471"/>
      <c r="BAF255" s="471"/>
      <c r="BAG255" s="471"/>
      <c r="BAH255" s="471"/>
      <c r="BAI255" s="471"/>
      <c r="BAJ255" s="471"/>
      <c r="BAK255" s="471"/>
      <c r="BAL255" s="471"/>
      <c r="BAM255" s="471"/>
      <c r="BAN255" s="471"/>
      <c r="BAO255" s="471"/>
      <c r="BAP255" s="471"/>
      <c r="BAQ255" s="471"/>
      <c r="BAR255" s="471"/>
      <c r="BAS255" s="471"/>
      <c r="BAT255" s="471"/>
      <c r="BAU255" s="471"/>
      <c r="BAV255" s="471"/>
      <c r="BAW255" s="471"/>
      <c r="BAX255" s="471"/>
      <c r="BAY255" s="471"/>
      <c r="BAZ255" s="471"/>
      <c r="BBA255" s="471"/>
      <c r="BBB255" s="471"/>
      <c r="BBC255" s="471"/>
      <c r="BBD255" s="471"/>
      <c r="BBE255" s="471"/>
      <c r="BBF255" s="471"/>
      <c r="BBG255" s="471"/>
      <c r="BBH255" s="471"/>
      <c r="BBI255" s="471"/>
      <c r="BBJ255" s="471"/>
      <c r="BBK255" s="471"/>
      <c r="BBL255" s="471"/>
      <c r="BBM255" s="471"/>
      <c r="BBN255" s="471"/>
      <c r="BBO255" s="471"/>
      <c r="BBP255" s="471"/>
      <c r="BBQ255" s="471"/>
      <c r="BBR255" s="471"/>
      <c r="BBS255" s="471"/>
      <c r="BBT255" s="471"/>
      <c r="BBU255" s="471"/>
      <c r="BBV255" s="471"/>
      <c r="BBW255" s="471"/>
      <c r="BBX255" s="471"/>
      <c r="BBY255" s="471"/>
      <c r="BBZ255" s="471"/>
      <c r="BCA255" s="471"/>
      <c r="BCB255" s="471"/>
      <c r="BCC255" s="471"/>
      <c r="BCD255" s="471"/>
      <c r="BCE255" s="471"/>
      <c r="BCF255" s="471"/>
      <c r="BCG255" s="471"/>
      <c r="BCH255" s="471"/>
      <c r="BCI255" s="471"/>
      <c r="BCJ255" s="471"/>
      <c r="BCK255" s="471"/>
      <c r="BCL255" s="471"/>
      <c r="BCM255" s="471"/>
      <c r="BCN255" s="471"/>
      <c r="BCO255" s="471"/>
      <c r="BCP255" s="471"/>
      <c r="BCQ255" s="471"/>
      <c r="BCR255" s="471"/>
      <c r="BCS255" s="471"/>
      <c r="BCT255" s="471"/>
      <c r="BCU255" s="471"/>
      <c r="BCV255" s="471"/>
      <c r="BCW255" s="471"/>
      <c r="BCX255" s="471"/>
      <c r="BCY255" s="471"/>
      <c r="BCZ255" s="471"/>
      <c r="BDA255" s="471"/>
      <c r="BDB255" s="471"/>
      <c r="BDC255" s="471"/>
      <c r="BDD255" s="471"/>
      <c r="BDE255" s="471"/>
      <c r="BDF255" s="471"/>
      <c r="BDG255" s="471"/>
      <c r="BDH255" s="471"/>
      <c r="BDI255" s="471"/>
      <c r="BDJ255" s="471"/>
      <c r="BDK255" s="471"/>
      <c r="BDL255" s="471"/>
      <c r="BDM255" s="471"/>
      <c r="BDN255" s="471"/>
      <c r="BDO255" s="471"/>
      <c r="BDP255" s="471"/>
      <c r="BDQ255" s="471"/>
      <c r="BDR255" s="471"/>
      <c r="BDS255" s="471"/>
      <c r="BDT255" s="471"/>
      <c r="BDU255" s="471"/>
      <c r="BDV255" s="471"/>
      <c r="BDW255" s="471"/>
      <c r="BDX255" s="471"/>
      <c r="BDY255" s="471"/>
      <c r="BDZ255" s="471"/>
      <c r="BEA255" s="471"/>
      <c r="BEB255" s="471"/>
      <c r="BEC255" s="471"/>
      <c r="BED255" s="471"/>
      <c r="BEE255" s="471"/>
      <c r="BEF255" s="471"/>
      <c r="BEG255" s="471"/>
      <c r="BEH255" s="471"/>
      <c r="BEI255" s="471"/>
      <c r="BEJ255" s="471"/>
      <c r="BEK255" s="471"/>
      <c r="BEL255" s="471"/>
      <c r="BEM255" s="471"/>
      <c r="BEN255" s="471"/>
      <c r="BEO255" s="471"/>
      <c r="BEP255" s="471"/>
      <c r="BEQ255" s="471"/>
      <c r="BER255" s="471"/>
      <c r="BES255" s="471"/>
      <c r="BET255" s="471"/>
      <c r="BEU255" s="471"/>
      <c r="BEV255" s="471"/>
      <c r="BEW255" s="471"/>
      <c r="BEX255" s="471"/>
      <c r="BEY255" s="471"/>
      <c r="BEZ255" s="471"/>
      <c r="BFA255" s="471"/>
      <c r="BFB255" s="471"/>
      <c r="BFC255" s="471"/>
      <c r="BFD255" s="471"/>
      <c r="BFE255" s="471"/>
      <c r="BFF255" s="471"/>
      <c r="BFG255" s="471"/>
      <c r="BFH255" s="471"/>
      <c r="BFI255" s="471"/>
      <c r="BFJ255" s="471"/>
      <c r="BFK255" s="471"/>
      <c r="BFL255" s="471"/>
      <c r="BFM255" s="471"/>
      <c r="BFN255" s="471"/>
      <c r="BFO255" s="471"/>
      <c r="BFP255" s="471"/>
      <c r="BFQ255" s="471"/>
      <c r="BFR255" s="471"/>
      <c r="BFS255" s="471"/>
      <c r="BFT255" s="471"/>
      <c r="BFU255" s="471"/>
      <c r="BFV255" s="471"/>
      <c r="BFW255" s="471"/>
      <c r="BFX255" s="471"/>
      <c r="BFY255" s="471"/>
      <c r="BFZ255" s="471"/>
      <c r="BGA255" s="471"/>
      <c r="BGB255" s="471"/>
      <c r="BGC255" s="471"/>
      <c r="BGD255" s="471"/>
      <c r="BGE255" s="471"/>
      <c r="BGF255" s="471"/>
      <c r="BGG255" s="471"/>
      <c r="BGH255" s="471"/>
      <c r="BGI255" s="471"/>
      <c r="BGJ255" s="471"/>
      <c r="BGK255" s="471"/>
      <c r="BGL255" s="471"/>
      <c r="BGM255" s="471"/>
      <c r="BGN255" s="471"/>
      <c r="BGO255" s="471"/>
      <c r="BGP255" s="471"/>
      <c r="BGQ255" s="471"/>
      <c r="BGR255" s="471"/>
      <c r="BGS255" s="471"/>
      <c r="BGT255" s="471"/>
      <c r="BGU255" s="471"/>
      <c r="BGV255" s="471"/>
      <c r="BGW255" s="471"/>
      <c r="BGX255" s="471"/>
      <c r="BGY255" s="471"/>
      <c r="BGZ255" s="471"/>
      <c r="BHA255" s="471"/>
      <c r="BHB255" s="471"/>
      <c r="BHC255" s="471"/>
      <c r="BHD255" s="471"/>
      <c r="BHE255" s="471"/>
      <c r="BHF255" s="471"/>
      <c r="BHG255" s="471"/>
      <c r="BHH255" s="471"/>
      <c r="BHI255" s="471"/>
      <c r="BHJ255" s="471"/>
      <c r="BHK255" s="471"/>
      <c r="BHL255" s="471"/>
      <c r="BHM255" s="471"/>
      <c r="BHN255" s="471"/>
      <c r="BHO255" s="471"/>
      <c r="BHP255" s="471"/>
      <c r="BHQ255" s="471"/>
      <c r="BHR255" s="471"/>
      <c r="BHS255" s="471"/>
      <c r="BHT255" s="471"/>
      <c r="BHU255" s="471"/>
      <c r="BHV255" s="471"/>
      <c r="BHW255" s="471"/>
      <c r="BHX255" s="471"/>
      <c r="BHY255" s="471"/>
      <c r="BHZ255" s="471"/>
      <c r="BIA255" s="471"/>
      <c r="BIB255" s="471"/>
      <c r="BIC255" s="471"/>
      <c r="BID255" s="471"/>
      <c r="BIE255" s="471"/>
      <c r="BIF255" s="471"/>
      <c r="BIG255" s="471"/>
      <c r="BIH255" s="471"/>
      <c r="BII255" s="471"/>
      <c r="BIJ255" s="471"/>
      <c r="BIK255" s="471"/>
      <c r="BIL255" s="471"/>
      <c r="BIM255" s="471"/>
      <c r="BIN255" s="471"/>
      <c r="BIO255" s="471"/>
      <c r="BIP255" s="471"/>
      <c r="BIQ255" s="471"/>
      <c r="BIR255" s="471"/>
      <c r="BIS255" s="471"/>
      <c r="BIT255" s="471"/>
      <c r="BIU255" s="471"/>
      <c r="BIV255" s="471"/>
      <c r="BIW255" s="471"/>
      <c r="BIX255" s="471"/>
      <c r="BIY255" s="471"/>
      <c r="BIZ255" s="471"/>
      <c r="BJA255" s="471"/>
      <c r="BJB255" s="471"/>
      <c r="BJC255" s="471"/>
      <c r="BJD255" s="471"/>
      <c r="BJE255" s="471"/>
      <c r="BJF255" s="471"/>
      <c r="BJG255" s="471"/>
      <c r="BJH255" s="471"/>
      <c r="BJI255" s="471"/>
      <c r="BJJ255" s="471"/>
      <c r="BJK255" s="471"/>
      <c r="BJL255" s="471"/>
      <c r="BJM255" s="471"/>
      <c r="BJN255" s="471"/>
      <c r="BJO255" s="471"/>
      <c r="BJP255" s="471"/>
      <c r="BJQ255" s="471"/>
      <c r="BJR255" s="471"/>
      <c r="BJS255" s="471"/>
      <c r="BJT255" s="471"/>
      <c r="BJU255" s="471"/>
      <c r="BJV255" s="471"/>
      <c r="BJW255" s="471"/>
      <c r="BJX255" s="471"/>
      <c r="BJY255" s="471"/>
      <c r="BJZ255" s="471"/>
      <c r="BKA255" s="471"/>
      <c r="BKB255" s="471"/>
      <c r="BKC255" s="471"/>
      <c r="BKD255" s="471"/>
      <c r="BKE255" s="471"/>
      <c r="BKF255" s="471"/>
      <c r="BKG255" s="471"/>
      <c r="BKH255" s="471"/>
      <c r="BKI255" s="471"/>
      <c r="BKJ255" s="471"/>
      <c r="BKK255" s="471"/>
      <c r="BKL255" s="471"/>
      <c r="BKM255" s="471"/>
      <c r="BKN255" s="471"/>
      <c r="BKO255" s="471"/>
      <c r="BKP255" s="471"/>
      <c r="BKQ255" s="471"/>
      <c r="BKR255" s="471"/>
      <c r="BKS255" s="471"/>
      <c r="BKT255" s="471"/>
      <c r="BKU255" s="471"/>
      <c r="BKV255" s="471"/>
      <c r="BKW255" s="471"/>
      <c r="BKX255" s="471"/>
      <c r="BKY255" s="471"/>
      <c r="BKZ255" s="471"/>
      <c r="BLA255" s="471"/>
      <c r="BLB255" s="471"/>
      <c r="BLC255" s="471"/>
      <c r="BLD255" s="471"/>
      <c r="BLE255" s="471"/>
      <c r="BLF255" s="471"/>
      <c r="BLG255" s="471"/>
      <c r="BLH255" s="471"/>
      <c r="BLI255" s="471"/>
      <c r="BLJ255" s="471"/>
      <c r="BLK255" s="471"/>
      <c r="BLL255" s="471"/>
      <c r="BLM255" s="471"/>
      <c r="BLN255" s="471"/>
      <c r="BLO255" s="471"/>
      <c r="BLP255" s="471"/>
      <c r="BLQ255" s="471"/>
      <c r="BLR255" s="471"/>
      <c r="BLS255" s="471"/>
      <c r="BLT255" s="471"/>
      <c r="BLU255" s="471"/>
      <c r="BLV255" s="471"/>
      <c r="BLW255" s="471"/>
      <c r="BLX255" s="471"/>
      <c r="BLY255" s="471"/>
      <c r="BLZ255" s="471"/>
      <c r="BMA255" s="471"/>
      <c r="BMB255" s="471"/>
      <c r="BMC255" s="471"/>
      <c r="BMD255" s="471"/>
      <c r="BME255" s="471"/>
      <c r="BMF255" s="471"/>
      <c r="BMG255" s="471"/>
      <c r="BMH255" s="471"/>
      <c r="BMI255" s="471"/>
      <c r="BMJ255" s="471"/>
      <c r="BMK255" s="471"/>
      <c r="BML255" s="471"/>
      <c r="BMM255" s="471"/>
      <c r="BMN255" s="471"/>
      <c r="BMO255" s="471"/>
      <c r="BMP255" s="471"/>
      <c r="BMQ255" s="471"/>
      <c r="BMR255" s="471"/>
      <c r="BMS255" s="471"/>
      <c r="BMT255" s="471"/>
      <c r="BMU255" s="471"/>
      <c r="BMV255" s="471"/>
      <c r="BMW255" s="471"/>
      <c r="BMX255" s="471"/>
      <c r="BMY255" s="471"/>
      <c r="BMZ255" s="471"/>
      <c r="BNA255" s="471"/>
      <c r="BNB255" s="471"/>
      <c r="BNC255" s="471"/>
      <c r="BND255" s="471"/>
      <c r="BNE255" s="471"/>
      <c r="BNF255" s="471"/>
      <c r="BNG255" s="471"/>
      <c r="BNH255" s="471"/>
      <c r="BNI255" s="471"/>
      <c r="BNJ255" s="471"/>
      <c r="BNK255" s="471"/>
      <c r="BNL255" s="471"/>
      <c r="BNM255" s="471"/>
      <c r="BNN255" s="471"/>
      <c r="BNO255" s="471"/>
      <c r="BNP255" s="471"/>
      <c r="BNQ255" s="471"/>
      <c r="BNR255" s="471"/>
      <c r="BNS255" s="471"/>
      <c r="BNT255" s="471"/>
      <c r="BNU255" s="471"/>
      <c r="BNV255" s="471"/>
      <c r="BNW255" s="471"/>
      <c r="BNX255" s="471"/>
      <c r="BNY255" s="471"/>
      <c r="BNZ255" s="471"/>
      <c r="BOA255" s="471"/>
      <c r="BOB255" s="471"/>
      <c r="BOC255" s="471"/>
      <c r="BOD255" s="471"/>
      <c r="BOE255" s="471"/>
      <c r="BOF255" s="471"/>
      <c r="BOG255" s="471"/>
      <c r="BOH255" s="471"/>
      <c r="BOI255" s="471"/>
      <c r="BOJ255" s="471"/>
      <c r="BOK255" s="471"/>
      <c r="BOL255" s="471"/>
      <c r="BOM255" s="471"/>
      <c r="BON255" s="471"/>
      <c r="BOO255" s="471"/>
      <c r="BOP255" s="471"/>
      <c r="BOQ255" s="471"/>
      <c r="BOR255" s="471"/>
      <c r="BOS255" s="471"/>
      <c r="BOT255" s="471"/>
      <c r="BOU255" s="471"/>
      <c r="BOV255" s="471"/>
      <c r="BOW255" s="471"/>
      <c r="BOX255" s="471"/>
      <c r="BOY255" s="471"/>
      <c r="BOZ255" s="471"/>
      <c r="BPA255" s="471"/>
      <c r="BPB255" s="471"/>
      <c r="BPC255" s="471"/>
      <c r="BPD255" s="471"/>
      <c r="BPE255" s="471"/>
      <c r="BPF255" s="471"/>
      <c r="BPG255" s="471"/>
      <c r="BPH255" s="471"/>
      <c r="BPI255" s="471"/>
      <c r="BPJ255" s="471"/>
      <c r="BPK255" s="471"/>
      <c r="BPL255" s="471"/>
      <c r="BPM255" s="471"/>
      <c r="BPN255" s="471"/>
      <c r="BPO255" s="471"/>
      <c r="BPP255" s="471"/>
      <c r="BPQ255" s="471"/>
      <c r="BPR255" s="471"/>
      <c r="BPS255" s="471"/>
      <c r="BPT255" s="471"/>
      <c r="BPU255" s="471"/>
      <c r="BPV255" s="471"/>
      <c r="BPW255" s="471"/>
      <c r="BPX255" s="471"/>
      <c r="BPY255" s="471"/>
      <c r="BPZ255" s="471"/>
      <c r="BQA255" s="471"/>
      <c r="BQB255" s="471"/>
      <c r="BQC255" s="471"/>
      <c r="BQD255" s="471"/>
      <c r="BQE255" s="471"/>
      <c r="BQF255" s="471"/>
      <c r="BQG255" s="471"/>
      <c r="BQH255" s="471"/>
      <c r="BQI255" s="471"/>
      <c r="BQJ255" s="471"/>
      <c r="BQK255" s="471"/>
      <c r="BQL255" s="471"/>
      <c r="BQM255" s="471"/>
      <c r="BQN255" s="471"/>
      <c r="BQO255" s="471"/>
      <c r="BQP255" s="471"/>
      <c r="BQQ255" s="471"/>
      <c r="BQR255" s="471"/>
      <c r="BQS255" s="471"/>
      <c r="BQT255" s="471"/>
      <c r="BQU255" s="471"/>
      <c r="BQV255" s="471"/>
      <c r="BQW255" s="471"/>
      <c r="BQX255" s="471"/>
      <c r="BQY255" s="471"/>
      <c r="BQZ255" s="471"/>
      <c r="BRA255" s="471"/>
      <c r="BRB255" s="471"/>
      <c r="BRC255" s="471"/>
      <c r="BRD255" s="471"/>
      <c r="BRE255" s="471"/>
      <c r="BRF255" s="471"/>
      <c r="BRG255" s="471"/>
      <c r="BRH255" s="471"/>
      <c r="BRI255" s="471"/>
      <c r="BRJ255" s="471"/>
      <c r="BRK255" s="471"/>
      <c r="BRL255" s="471"/>
      <c r="BRM255" s="471"/>
      <c r="BRN255" s="471"/>
      <c r="BRO255" s="471"/>
      <c r="BRP255" s="471"/>
      <c r="BRQ255" s="471"/>
      <c r="BRR255" s="471"/>
      <c r="BRS255" s="471"/>
      <c r="BRT255" s="471"/>
      <c r="BRU255" s="471"/>
      <c r="BRV255" s="471"/>
      <c r="BRW255" s="471"/>
      <c r="BRX255" s="471"/>
      <c r="BRY255" s="471"/>
      <c r="BRZ255" s="471"/>
      <c r="BSA255" s="471"/>
      <c r="BSB255" s="471"/>
      <c r="BSC255" s="471"/>
      <c r="BSD255" s="471"/>
      <c r="BSE255" s="471"/>
      <c r="BSF255" s="471"/>
      <c r="BSG255" s="471"/>
      <c r="BSH255" s="471"/>
      <c r="BSI255" s="471"/>
      <c r="BSJ255" s="471"/>
      <c r="BSK255" s="471"/>
      <c r="BSL255" s="471"/>
      <c r="BSM255" s="471"/>
      <c r="BSN255" s="471"/>
      <c r="BSO255" s="471"/>
      <c r="BSP255" s="471"/>
      <c r="BSQ255" s="471"/>
      <c r="BSR255" s="471"/>
      <c r="BSS255" s="471"/>
      <c r="BST255" s="471"/>
      <c r="BSU255" s="471"/>
      <c r="BSV255" s="471"/>
      <c r="BSW255" s="471"/>
      <c r="BSX255" s="471"/>
      <c r="BSY255" s="471"/>
      <c r="BSZ255" s="471"/>
      <c r="BTA255" s="471"/>
      <c r="BTB255" s="471"/>
      <c r="BTC255" s="471"/>
      <c r="BTD255" s="471"/>
      <c r="BTE255" s="471"/>
      <c r="BTF255" s="471"/>
      <c r="BTG255" s="471"/>
      <c r="BTH255" s="471"/>
      <c r="BTI255" s="471"/>
    </row>
    <row r="256" spans="1:1881" s="386" customFormat="1" ht="30.75" customHeight="1" thickBot="1" x14ac:dyDescent="0.3">
      <c r="A256" s="743">
        <v>966</v>
      </c>
      <c r="B256" s="865" t="s">
        <v>761</v>
      </c>
      <c r="C256" s="866"/>
      <c r="D256" s="869"/>
      <c r="E256" s="870"/>
      <c r="F256" s="744" t="str">
        <f t="shared" si="4"/>
        <v>&lt;&lt;&lt;&lt;&lt;&lt;&lt;&lt;&lt;&lt;&lt;&lt;&lt;&lt;&lt;&lt;&lt;&lt;&lt;</v>
      </c>
      <c r="G256" s="814" t="str">
        <f t="shared" si="5"/>
        <v>Cell D253 must be completed.</v>
      </c>
      <c r="H256" s="389"/>
      <c r="I256" s="398"/>
      <c r="J256" s="387"/>
      <c r="K256" s="387"/>
      <c r="L256" s="387"/>
      <c r="M256" s="387"/>
      <c r="N256"/>
      <c r="O256" s="387"/>
      <c r="P256" s="387"/>
      <c r="Q256" s="387"/>
      <c r="R256"/>
      <c r="S256" s="387"/>
      <c r="T256" s="387"/>
      <c r="U256" s="387"/>
      <c r="V256" s="387"/>
      <c r="W256" s="387"/>
      <c r="X256" s="682"/>
      <c r="Y256" s="387"/>
      <c r="Z256" s="387"/>
      <c r="AA256" s="387"/>
      <c r="AB256" s="387"/>
      <c r="AC256" s="387"/>
      <c r="AD256" s="387"/>
      <c r="AE256" s="387"/>
      <c r="AF256" s="387"/>
      <c r="AG256" s="387"/>
      <c r="AH256" s="387"/>
      <c r="AI256" s="387"/>
      <c r="AJ256" s="387"/>
      <c r="AK256" s="387"/>
      <c r="AL256" s="387"/>
      <c r="AM256" s="387"/>
      <c r="AN256" s="387"/>
      <c r="AO256" s="387"/>
      <c r="AP256" s="387"/>
      <c r="AQ256" s="387"/>
      <c r="AR256" s="387"/>
      <c r="AS256" s="387"/>
      <c r="AT256" s="387"/>
      <c r="AU256" s="387"/>
      <c r="AV256" s="387"/>
      <c r="AW256" s="387"/>
      <c r="AX256" s="387"/>
      <c r="AY256" s="387"/>
      <c r="AZ256" s="387"/>
      <c r="BA256" s="387"/>
      <c r="BB256" s="387"/>
      <c r="BC256" s="387"/>
      <c r="BD256" s="387"/>
      <c r="BE256" s="387"/>
      <c r="BF256" s="387"/>
      <c r="BG256" s="387"/>
      <c r="BH256" s="387"/>
      <c r="BI256" s="387"/>
      <c r="BJ256" s="387"/>
      <c r="BK256" s="387"/>
      <c r="BL256" s="387"/>
      <c r="BM256" s="387"/>
      <c r="BN256" s="387"/>
      <c r="BO256" s="387"/>
      <c r="BP256" s="387"/>
      <c r="BQ256" s="387"/>
      <c r="BR256" s="387"/>
      <c r="BS256" s="387"/>
      <c r="BT256" s="387"/>
      <c r="BU256" s="387"/>
      <c r="BV256" s="387"/>
      <c r="BW256" s="387"/>
      <c r="BX256" s="387"/>
      <c r="BY256" s="387"/>
      <c r="BZ256" s="387"/>
      <c r="CA256" s="387"/>
      <c r="CB256" s="387"/>
      <c r="CC256" s="387"/>
      <c r="CD256" s="387"/>
      <c r="CE256" s="387"/>
      <c r="CF256" s="387"/>
      <c r="CG256" s="387"/>
      <c r="CH256" s="387"/>
      <c r="CI256" s="387"/>
      <c r="CJ256" s="387"/>
      <c r="CK256" s="387"/>
      <c r="CL256" s="387"/>
      <c r="CM256" s="387"/>
      <c r="CN256" s="387"/>
      <c r="CO256" s="387"/>
      <c r="CP256" s="387"/>
      <c r="CQ256" s="387"/>
      <c r="CR256" s="387"/>
      <c r="CS256" s="387"/>
      <c r="CT256" s="387"/>
      <c r="CU256" s="387"/>
      <c r="CV256" s="387"/>
      <c r="CW256" s="387"/>
      <c r="CX256" s="387"/>
      <c r="CY256" s="387"/>
      <c r="CZ256" s="387"/>
      <c r="DA256" s="387"/>
      <c r="DB256" s="387"/>
      <c r="DC256" s="387"/>
      <c r="DD256" s="387"/>
      <c r="DE256" s="387"/>
      <c r="DF256" s="387"/>
      <c r="DG256" s="387"/>
      <c r="DH256" s="387"/>
      <c r="DI256" s="387"/>
      <c r="DJ256" s="387"/>
      <c r="DK256" s="387"/>
      <c r="DL256" s="387"/>
      <c r="DM256" s="387"/>
      <c r="DN256" s="387"/>
      <c r="DO256" s="387"/>
      <c r="DP256" s="387"/>
      <c r="DQ256" s="387"/>
      <c r="DR256" s="387"/>
      <c r="DS256" s="387"/>
      <c r="DT256" s="387"/>
      <c r="DU256" s="387"/>
      <c r="DV256" s="387"/>
      <c r="DW256" s="387"/>
      <c r="DX256" s="387"/>
      <c r="DY256" s="387"/>
      <c r="DZ256" s="387"/>
      <c r="EA256" s="387"/>
      <c r="EB256" s="387"/>
      <c r="EC256" s="387"/>
      <c r="ED256" s="387"/>
      <c r="EE256" s="387"/>
      <c r="EF256" s="387"/>
      <c r="EG256" s="387"/>
      <c r="EH256" s="387"/>
      <c r="EI256" s="387"/>
      <c r="EJ256" s="387"/>
      <c r="EK256" s="387"/>
      <c r="EL256" s="387"/>
      <c r="EM256" s="387"/>
      <c r="EN256" s="387"/>
      <c r="EO256" s="387"/>
      <c r="EP256" s="387"/>
      <c r="EQ256" s="387"/>
      <c r="ER256" s="387"/>
      <c r="ES256" s="387"/>
      <c r="ET256" s="387"/>
      <c r="EU256" s="387"/>
      <c r="EV256" s="387"/>
      <c r="EW256" s="387"/>
      <c r="EX256" s="387"/>
      <c r="EY256" s="387"/>
      <c r="EZ256" s="387"/>
      <c r="FA256" s="387"/>
      <c r="FB256" s="387"/>
      <c r="FC256" s="387"/>
      <c r="FD256" s="387"/>
      <c r="FE256" s="387"/>
      <c r="FF256" s="387"/>
      <c r="FG256" s="387"/>
      <c r="FH256" s="387"/>
      <c r="FI256" s="387"/>
      <c r="FJ256" s="387"/>
      <c r="FK256" s="387"/>
      <c r="FL256" s="387"/>
      <c r="FM256" s="387"/>
      <c r="FN256" s="387"/>
      <c r="FO256" s="387"/>
      <c r="FP256" s="387"/>
      <c r="FQ256" s="387"/>
      <c r="FR256" s="387"/>
      <c r="FS256" s="387"/>
      <c r="FT256" s="387"/>
      <c r="FU256" s="387"/>
      <c r="FV256" s="387"/>
      <c r="FW256" s="387"/>
      <c r="FX256" s="387"/>
      <c r="FY256" s="387"/>
      <c r="FZ256" s="387"/>
      <c r="GA256" s="387"/>
      <c r="GB256" s="387"/>
      <c r="GC256" s="387"/>
      <c r="GD256" s="387"/>
      <c r="GE256" s="387"/>
      <c r="GF256" s="387"/>
      <c r="GG256" s="387"/>
      <c r="GH256" s="387"/>
      <c r="GI256" s="387"/>
      <c r="GJ256" s="387"/>
      <c r="GK256" s="387"/>
      <c r="GL256" s="387"/>
      <c r="GM256" s="387"/>
      <c r="GN256" s="387"/>
      <c r="GO256" s="387"/>
      <c r="GP256" s="387"/>
      <c r="GQ256" s="387"/>
      <c r="GR256" s="387"/>
      <c r="GS256" s="387"/>
      <c r="GT256" s="387"/>
      <c r="GU256" s="387"/>
      <c r="GV256" s="387"/>
      <c r="GW256" s="387"/>
      <c r="GX256" s="387"/>
      <c r="GY256" s="387"/>
      <c r="GZ256" s="387"/>
      <c r="HA256" s="387"/>
      <c r="HB256" s="387"/>
      <c r="HC256" s="387"/>
      <c r="HD256" s="387"/>
      <c r="HE256" s="387"/>
      <c r="HF256" s="387"/>
      <c r="HG256" s="387"/>
      <c r="HH256" s="387"/>
      <c r="HI256" s="387"/>
      <c r="HJ256" s="387"/>
      <c r="HK256" s="387"/>
      <c r="HL256" s="387"/>
      <c r="HM256" s="387"/>
      <c r="HN256" s="387"/>
      <c r="HO256" s="387"/>
      <c r="HP256" s="387"/>
      <c r="HQ256" s="387"/>
      <c r="HR256" s="387"/>
      <c r="HS256" s="387"/>
      <c r="HT256" s="387"/>
      <c r="HU256" s="387"/>
      <c r="HV256" s="387"/>
      <c r="HW256" s="387"/>
      <c r="HX256" s="387"/>
      <c r="HY256" s="387"/>
      <c r="HZ256" s="387"/>
      <c r="IA256" s="387"/>
      <c r="IB256" s="387"/>
      <c r="IC256" s="387"/>
      <c r="ID256" s="387"/>
      <c r="IE256" s="387"/>
      <c r="IF256" s="387"/>
      <c r="IG256" s="387"/>
      <c r="IH256" s="387"/>
      <c r="II256" s="387"/>
      <c r="IJ256" s="387"/>
      <c r="IK256" s="387"/>
      <c r="IL256" s="387"/>
      <c r="IM256" s="387"/>
      <c r="IN256" s="387"/>
      <c r="IO256" s="387"/>
      <c r="IP256" s="387"/>
      <c r="IQ256" s="387"/>
      <c r="IR256" s="387"/>
      <c r="IS256" s="387"/>
      <c r="IT256" s="387"/>
      <c r="IU256" s="387"/>
      <c r="IV256" s="387"/>
      <c r="IW256" s="387"/>
      <c r="IX256" s="387"/>
      <c r="IY256" s="387"/>
      <c r="IZ256" s="387"/>
      <c r="JA256" s="387"/>
      <c r="JB256" s="387"/>
      <c r="JC256" s="387"/>
      <c r="JD256" s="387"/>
      <c r="JE256" s="387"/>
      <c r="JF256" s="387"/>
      <c r="JG256" s="387"/>
      <c r="JH256" s="387"/>
      <c r="JI256" s="387"/>
      <c r="JJ256" s="387"/>
      <c r="JK256" s="387"/>
      <c r="JL256" s="387"/>
      <c r="JM256" s="387"/>
      <c r="JN256" s="387"/>
      <c r="JO256" s="387"/>
      <c r="JP256" s="387"/>
      <c r="JQ256" s="387"/>
      <c r="JR256" s="387"/>
      <c r="JS256" s="387"/>
      <c r="JT256" s="387"/>
      <c r="JU256" s="387"/>
      <c r="JV256" s="387"/>
      <c r="JW256" s="387"/>
      <c r="JX256" s="387"/>
      <c r="JY256" s="387"/>
      <c r="JZ256" s="387"/>
      <c r="KA256" s="387"/>
      <c r="KB256" s="387"/>
      <c r="KC256" s="387"/>
      <c r="KD256" s="387"/>
      <c r="KE256" s="387"/>
      <c r="KF256" s="387"/>
      <c r="KG256" s="387"/>
      <c r="KH256" s="387"/>
      <c r="KI256" s="387"/>
      <c r="KJ256" s="387"/>
      <c r="KK256" s="387"/>
      <c r="KL256" s="387"/>
      <c r="KM256" s="387"/>
      <c r="KN256" s="387"/>
      <c r="KO256" s="387"/>
      <c r="KP256" s="387"/>
      <c r="KQ256" s="387"/>
      <c r="KR256" s="387"/>
      <c r="KS256" s="387"/>
      <c r="KT256" s="387"/>
      <c r="KU256" s="387"/>
      <c r="KV256" s="387"/>
      <c r="KW256" s="387"/>
      <c r="KX256" s="387"/>
      <c r="KY256" s="387"/>
      <c r="KZ256" s="387"/>
      <c r="LA256" s="387"/>
      <c r="LB256" s="387"/>
      <c r="LC256" s="387"/>
      <c r="LD256" s="387"/>
      <c r="LE256" s="387"/>
      <c r="LF256" s="387"/>
      <c r="LG256" s="387"/>
      <c r="LH256" s="387"/>
      <c r="LI256" s="387"/>
      <c r="LJ256" s="387"/>
      <c r="LK256" s="387"/>
      <c r="LL256" s="387"/>
      <c r="LM256" s="387"/>
      <c r="LN256" s="387"/>
      <c r="LO256" s="387"/>
      <c r="LP256" s="387"/>
      <c r="LQ256" s="387"/>
      <c r="LR256" s="387"/>
      <c r="LS256" s="387"/>
      <c r="LT256" s="387"/>
      <c r="LU256" s="387"/>
      <c r="LV256" s="387"/>
      <c r="LW256" s="387"/>
      <c r="LX256" s="387"/>
      <c r="LY256" s="387"/>
      <c r="LZ256" s="387"/>
      <c r="MA256" s="387"/>
      <c r="MB256" s="387"/>
      <c r="MC256" s="387"/>
      <c r="MD256" s="387"/>
      <c r="ME256" s="387"/>
      <c r="MF256" s="387"/>
      <c r="MG256" s="387"/>
      <c r="MH256" s="387"/>
      <c r="MI256" s="387"/>
      <c r="MJ256" s="387"/>
      <c r="MK256" s="387"/>
      <c r="ML256" s="387"/>
      <c r="MM256" s="387"/>
      <c r="MN256" s="387"/>
      <c r="MO256" s="387"/>
      <c r="MP256" s="387"/>
      <c r="MQ256" s="387"/>
      <c r="MR256" s="387"/>
      <c r="MS256" s="387"/>
      <c r="MT256" s="387"/>
      <c r="MU256" s="387"/>
      <c r="MV256" s="387"/>
      <c r="MW256" s="387"/>
      <c r="MX256" s="387"/>
      <c r="MY256" s="387"/>
      <c r="MZ256" s="387"/>
      <c r="NA256" s="387"/>
      <c r="NB256" s="387"/>
      <c r="NC256" s="387"/>
      <c r="ND256" s="387"/>
      <c r="NE256" s="387"/>
      <c r="NF256" s="387"/>
      <c r="NG256" s="387"/>
      <c r="NH256" s="387"/>
      <c r="NI256" s="387"/>
      <c r="NJ256" s="387"/>
      <c r="NK256" s="387"/>
      <c r="NL256" s="387"/>
      <c r="NM256" s="387"/>
      <c r="NN256" s="387"/>
      <c r="NO256" s="387"/>
      <c r="NP256" s="387"/>
      <c r="NQ256" s="387"/>
      <c r="NR256" s="387"/>
      <c r="NS256" s="387"/>
      <c r="NT256" s="387"/>
      <c r="NU256" s="387"/>
      <c r="NV256" s="387"/>
      <c r="NW256" s="387"/>
      <c r="NX256" s="387"/>
      <c r="NY256" s="387"/>
      <c r="NZ256" s="387"/>
      <c r="OA256" s="387"/>
      <c r="OB256" s="387"/>
      <c r="OC256" s="387"/>
      <c r="OD256" s="387"/>
      <c r="OE256" s="387"/>
      <c r="OF256" s="387"/>
      <c r="OG256" s="387"/>
      <c r="OH256" s="387"/>
      <c r="OI256" s="387"/>
      <c r="OJ256" s="387"/>
      <c r="OK256" s="387"/>
      <c r="OL256" s="387"/>
      <c r="OM256" s="387"/>
      <c r="ON256" s="387"/>
      <c r="OO256" s="387"/>
      <c r="OP256" s="387"/>
      <c r="OQ256" s="387"/>
      <c r="OR256" s="387"/>
      <c r="OS256" s="387"/>
      <c r="OT256" s="387"/>
      <c r="OU256" s="387"/>
      <c r="OV256" s="387"/>
      <c r="OW256" s="387"/>
      <c r="OX256" s="387"/>
      <c r="OY256" s="387"/>
      <c r="OZ256" s="387"/>
      <c r="PA256" s="387"/>
      <c r="PB256" s="387"/>
      <c r="PC256" s="387"/>
      <c r="PD256" s="387"/>
      <c r="PE256" s="387"/>
      <c r="PF256" s="387"/>
      <c r="PG256" s="387"/>
      <c r="PH256" s="387"/>
      <c r="PI256" s="387"/>
      <c r="PJ256" s="387"/>
      <c r="PK256" s="387"/>
      <c r="PL256" s="387"/>
      <c r="PM256" s="387"/>
      <c r="PN256" s="387"/>
      <c r="PO256" s="387"/>
      <c r="PP256" s="387"/>
      <c r="PQ256" s="387"/>
      <c r="PR256" s="387"/>
      <c r="PS256" s="387"/>
      <c r="PT256" s="387"/>
      <c r="PU256" s="387"/>
      <c r="PV256" s="387"/>
      <c r="PW256" s="387"/>
      <c r="PX256" s="387"/>
      <c r="PY256" s="387"/>
      <c r="PZ256" s="387"/>
      <c r="QA256" s="387"/>
      <c r="QB256" s="387"/>
      <c r="QC256" s="387"/>
      <c r="QD256" s="387"/>
      <c r="QE256" s="387"/>
      <c r="QF256" s="387"/>
      <c r="QG256" s="387"/>
      <c r="QH256" s="387"/>
      <c r="QI256" s="387"/>
      <c r="QJ256" s="387"/>
      <c r="QK256" s="387"/>
      <c r="QL256" s="387"/>
      <c r="QM256" s="387"/>
      <c r="QN256" s="387"/>
      <c r="QO256" s="387"/>
      <c r="QP256" s="387"/>
      <c r="QQ256" s="387"/>
      <c r="QR256" s="387"/>
      <c r="QS256" s="387"/>
      <c r="QT256" s="387"/>
      <c r="QU256" s="387"/>
      <c r="QV256" s="387"/>
      <c r="QW256" s="387"/>
      <c r="QX256" s="387"/>
      <c r="QY256" s="387"/>
      <c r="QZ256" s="387"/>
      <c r="RA256" s="387"/>
      <c r="RB256" s="387"/>
      <c r="RC256" s="387"/>
      <c r="RD256" s="387"/>
      <c r="RE256" s="387"/>
      <c r="RF256" s="387"/>
      <c r="RG256" s="387"/>
      <c r="RH256" s="387"/>
      <c r="RI256" s="387"/>
      <c r="RJ256" s="387"/>
      <c r="RK256" s="387"/>
      <c r="RL256" s="387"/>
      <c r="RM256" s="387"/>
      <c r="RN256" s="387"/>
      <c r="RO256" s="387"/>
      <c r="RP256" s="387"/>
      <c r="RQ256" s="387"/>
      <c r="RR256" s="387"/>
      <c r="RS256" s="387"/>
      <c r="RT256" s="387"/>
      <c r="RU256" s="387"/>
      <c r="RV256" s="387"/>
      <c r="RW256" s="387"/>
      <c r="RX256" s="387"/>
      <c r="RY256" s="387"/>
      <c r="RZ256" s="387"/>
      <c r="SA256" s="387"/>
      <c r="SB256" s="387"/>
      <c r="SC256" s="387"/>
      <c r="SD256" s="387"/>
      <c r="SE256" s="387"/>
      <c r="SF256" s="387"/>
      <c r="SG256" s="387"/>
      <c r="SH256" s="387"/>
      <c r="SI256" s="387"/>
      <c r="SJ256" s="387"/>
      <c r="SK256" s="387"/>
      <c r="SL256" s="387"/>
      <c r="SM256" s="387"/>
      <c r="SN256" s="387"/>
      <c r="SO256" s="387"/>
      <c r="SP256" s="387"/>
      <c r="SQ256" s="387"/>
      <c r="SR256" s="387"/>
      <c r="SS256" s="387"/>
      <c r="ST256" s="387"/>
      <c r="SU256" s="387"/>
      <c r="SV256" s="387"/>
      <c r="SW256" s="387"/>
      <c r="SX256" s="387"/>
      <c r="SY256" s="387"/>
      <c r="SZ256" s="387"/>
      <c r="TA256" s="387"/>
      <c r="TB256" s="387"/>
      <c r="TC256" s="387"/>
      <c r="TD256" s="387"/>
      <c r="TE256" s="387"/>
      <c r="TF256" s="387"/>
      <c r="TG256" s="387"/>
      <c r="TH256" s="387"/>
      <c r="TI256" s="387"/>
      <c r="TJ256" s="387"/>
      <c r="TK256" s="387"/>
      <c r="TL256" s="387"/>
      <c r="TM256" s="387"/>
      <c r="TN256" s="387"/>
      <c r="TO256" s="387"/>
      <c r="TP256" s="387"/>
      <c r="TQ256" s="387"/>
      <c r="TR256" s="387"/>
      <c r="TS256" s="387"/>
      <c r="TT256" s="387"/>
      <c r="TU256" s="387"/>
      <c r="TV256" s="387"/>
      <c r="TW256" s="387"/>
      <c r="TX256" s="387"/>
      <c r="TY256" s="387"/>
      <c r="TZ256" s="387"/>
      <c r="UA256" s="387"/>
      <c r="UB256" s="387"/>
      <c r="UC256" s="387"/>
      <c r="UD256" s="387"/>
      <c r="UE256" s="387"/>
      <c r="UF256" s="387"/>
      <c r="UG256" s="387"/>
      <c r="UH256" s="387"/>
      <c r="UI256" s="387"/>
      <c r="UJ256" s="387"/>
      <c r="UK256" s="387"/>
      <c r="UL256" s="387"/>
      <c r="UM256" s="387"/>
      <c r="UN256" s="387"/>
      <c r="UO256" s="387"/>
      <c r="UP256" s="387"/>
      <c r="UQ256" s="387"/>
      <c r="UR256" s="387"/>
      <c r="US256" s="387"/>
      <c r="UT256" s="387"/>
      <c r="UU256" s="387"/>
      <c r="UV256" s="387"/>
      <c r="UW256" s="387"/>
      <c r="UX256" s="387"/>
      <c r="UY256" s="387"/>
      <c r="UZ256" s="387"/>
      <c r="VA256" s="387"/>
      <c r="VB256" s="387"/>
      <c r="VC256" s="387"/>
      <c r="VD256" s="387"/>
      <c r="VE256" s="387"/>
      <c r="VF256" s="387"/>
      <c r="VG256" s="387"/>
      <c r="VH256" s="387"/>
      <c r="VI256" s="387"/>
      <c r="VJ256" s="387"/>
      <c r="VK256" s="387"/>
      <c r="VL256" s="387"/>
      <c r="VM256" s="387"/>
      <c r="VN256" s="387"/>
      <c r="VO256" s="387"/>
      <c r="VP256" s="387"/>
      <c r="VQ256" s="387"/>
      <c r="VR256" s="387"/>
      <c r="VS256" s="387"/>
      <c r="VT256" s="387"/>
      <c r="VU256" s="387"/>
      <c r="VV256" s="387"/>
      <c r="VW256" s="387"/>
      <c r="VX256" s="387"/>
      <c r="VY256" s="387"/>
      <c r="VZ256" s="387"/>
      <c r="WA256" s="387"/>
      <c r="WB256" s="387"/>
      <c r="WC256" s="387"/>
      <c r="WD256" s="387"/>
      <c r="WE256" s="387"/>
      <c r="WF256" s="387"/>
      <c r="WG256" s="387"/>
      <c r="WH256" s="387"/>
      <c r="WI256" s="387"/>
      <c r="WJ256" s="387"/>
      <c r="WK256" s="387"/>
      <c r="WL256" s="387"/>
      <c r="WM256" s="387"/>
      <c r="WN256" s="387"/>
      <c r="WO256" s="387"/>
      <c r="WP256" s="387"/>
      <c r="WQ256" s="387"/>
      <c r="WR256" s="387"/>
      <c r="WS256" s="387"/>
      <c r="WT256" s="387"/>
      <c r="WU256" s="387"/>
      <c r="WV256" s="387"/>
      <c r="WW256" s="387"/>
      <c r="WX256" s="387"/>
      <c r="WY256" s="387"/>
      <c r="WZ256" s="387"/>
      <c r="XA256" s="387"/>
      <c r="XB256" s="387"/>
      <c r="XC256" s="387"/>
      <c r="XD256" s="387"/>
      <c r="XE256" s="387"/>
      <c r="XF256" s="387"/>
      <c r="XG256" s="387"/>
      <c r="XH256" s="387"/>
      <c r="XI256" s="387"/>
      <c r="XJ256" s="387"/>
      <c r="XK256" s="387"/>
      <c r="XL256" s="387"/>
      <c r="XM256" s="387"/>
      <c r="XN256" s="387"/>
      <c r="XO256" s="387"/>
      <c r="XP256" s="387"/>
      <c r="XQ256" s="387"/>
      <c r="XR256" s="387"/>
      <c r="XS256" s="387"/>
      <c r="XT256" s="387"/>
      <c r="XU256" s="387"/>
      <c r="XV256" s="387"/>
      <c r="XW256" s="387"/>
      <c r="XX256" s="387"/>
      <c r="XY256" s="387"/>
      <c r="XZ256" s="387"/>
      <c r="YA256" s="387"/>
      <c r="YB256" s="387"/>
      <c r="YC256" s="387"/>
      <c r="YD256" s="387"/>
      <c r="YE256" s="387"/>
      <c r="YF256" s="387"/>
      <c r="YG256" s="387"/>
      <c r="YH256" s="387"/>
      <c r="YI256" s="387"/>
      <c r="YJ256" s="387"/>
      <c r="YK256" s="387"/>
      <c r="YL256" s="387"/>
      <c r="YM256" s="387"/>
      <c r="YN256" s="387"/>
      <c r="YO256" s="387"/>
      <c r="YP256" s="387"/>
      <c r="YQ256" s="387"/>
      <c r="YR256" s="387"/>
      <c r="YS256" s="387"/>
      <c r="YT256" s="387"/>
      <c r="YU256" s="387"/>
      <c r="YV256" s="387"/>
      <c r="YW256" s="387"/>
      <c r="YX256" s="387"/>
      <c r="YY256" s="387"/>
      <c r="YZ256" s="387"/>
      <c r="ZA256" s="387"/>
      <c r="ZB256" s="387"/>
      <c r="ZC256" s="387"/>
      <c r="ZD256" s="387"/>
      <c r="ZE256" s="387"/>
      <c r="ZF256" s="387"/>
      <c r="ZG256" s="387"/>
      <c r="ZH256" s="387"/>
      <c r="ZI256" s="387"/>
      <c r="ZJ256" s="387"/>
      <c r="ZK256" s="387"/>
      <c r="ZL256" s="387"/>
      <c r="ZM256" s="387"/>
      <c r="ZN256" s="387"/>
      <c r="ZO256" s="387"/>
      <c r="ZP256" s="387"/>
      <c r="ZQ256" s="387"/>
      <c r="ZR256" s="387"/>
      <c r="ZS256" s="387"/>
      <c r="ZT256" s="387"/>
      <c r="ZU256" s="387"/>
      <c r="ZV256" s="387"/>
      <c r="ZW256" s="387"/>
      <c r="ZX256" s="387"/>
      <c r="ZY256" s="387"/>
      <c r="ZZ256" s="387"/>
      <c r="AAA256" s="387"/>
      <c r="AAB256" s="387"/>
      <c r="AAC256" s="387"/>
      <c r="AAD256" s="387"/>
      <c r="AAE256" s="387"/>
      <c r="AAF256" s="387"/>
      <c r="AAG256" s="387"/>
      <c r="AAH256" s="387"/>
      <c r="AAI256" s="387"/>
      <c r="AAJ256" s="387"/>
      <c r="AAK256" s="387"/>
      <c r="AAL256" s="387"/>
      <c r="AAM256" s="387"/>
      <c r="AAN256" s="387"/>
      <c r="AAO256" s="387"/>
      <c r="AAP256" s="387"/>
      <c r="AAQ256" s="387"/>
      <c r="AAR256" s="387"/>
      <c r="AAS256" s="387"/>
      <c r="AAT256" s="387"/>
      <c r="AAU256" s="387"/>
      <c r="AAV256" s="387"/>
      <c r="AAW256" s="387"/>
      <c r="AAX256" s="387"/>
      <c r="AAY256" s="387"/>
      <c r="AAZ256" s="387"/>
      <c r="ABA256" s="387"/>
      <c r="ABB256" s="387"/>
      <c r="ABC256" s="387"/>
      <c r="ABD256" s="387"/>
      <c r="ABE256" s="387"/>
      <c r="ABF256" s="387"/>
      <c r="ABG256" s="387"/>
      <c r="ABH256" s="387"/>
      <c r="ABI256" s="387"/>
      <c r="ABJ256" s="387"/>
      <c r="ABK256" s="387"/>
      <c r="ABL256" s="387"/>
      <c r="ABM256" s="387"/>
      <c r="ABN256" s="387"/>
      <c r="ABO256" s="387"/>
      <c r="ABP256" s="387"/>
      <c r="ABQ256" s="387"/>
      <c r="ABR256" s="387"/>
      <c r="ABS256" s="387"/>
      <c r="ABT256" s="387"/>
      <c r="ABU256" s="387"/>
      <c r="ABV256" s="387"/>
      <c r="ABW256" s="387"/>
      <c r="ABX256" s="387"/>
      <c r="ABY256" s="387"/>
      <c r="ABZ256" s="387"/>
      <c r="ACA256" s="387"/>
      <c r="ACB256" s="387"/>
      <c r="ACC256" s="387"/>
      <c r="ACD256" s="387"/>
      <c r="ACE256" s="387"/>
      <c r="ACF256" s="387"/>
      <c r="ACG256" s="387"/>
      <c r="ACH256" s="387"/>
      <c r="ACI256" s="387"/>
      <c r="ACJ256" s="387"/>
      <c r="ACK256" s="387"/>
      <c r="ACL256" s="387"/>
      <c r="ACM256" s="387"/>
      <c r="ACN256" s="387"/>
      <c r="ACO256" s="387"/>
      <c r="ACP256" s="387"/>
      <c r="ACQ256" s="387"/>
      <c r="ACR256" s="387"/>
      <c r="ACS256" s="387"/>
      <c r="ACT256" s="387"/>
      <c r="ACU256" s="387"/>
      <c r="ACV256" s="387"/>
      <c r="ACW256" s="387"/>
      <c r="ACX256" s="387"/>
      <c r="ACY256" s="387"/>
      <c r="ACZ256" s="387"/>
      <c r="ADA256" s="387"/>
      <c r="ADB256" s="387"/>
      <c r="ADC256" s="387"/>
      <c r="ADD256" s="387"/>
      <c r="ADE256" s="387"/>
      <c r="ADF256" s="387"/>
      <c r="ADG256" s="387"/>
      <c r="ADH256" s="387"/>
      <c r="ADI256" s="387"/>
      <c r="ADJ256" s="387"/>
      <c r="ADK256" s="387"/>
      <c r="ADL256" s="387"/>
      <c r="ADM256" s="387"/>
      <c r="ADN256" s="387"/>
      <c r="ADO256" s="387"/>
      <c r="ADP256" s="387"/>
      <c r="ADQ256" s="387"/>
      <c r="ADR256" s="387"/>
      <c r="ADS256" s="387"/>
      <c r="ADT256" s="387"/>
      <c r="ADU256" s="387"/>
      <c r="ADV256" s="387"/>
      <c r="ADW256" s="387"/>
      <c r="ADX256" s="387"/>
      <c r="ADY256" s="387"/>
      <c r="ADZ256" s="387"/>
      <c r="AEA256" s="387"/>
      <c r="AEB256" s="387"/>
      <c r="AEC256" s="387"/>
      <c r="AED256" s="387"/>
      <c r="AEE256" s="387"/>
      <c r="AEF256" s="387"/>
      <c r="AEG256" s="387"/>
      <c r="AEH256" s="387"/>
      <c r="AEI256" s="387"/>
      <c r="AEJ256" s="387"/>
      <c r="AEK256" s="387"/>
      <c r="AEL256" s="387"/>
      <c r="AEM256" s="387"/>
      <c r="AEN256" s="387"/>
      <c r="AEO256" s="387"/>
      <c r="AEP256" s="387"/>
      <c r="AEQ256" s="387"/>
      <c r="AER256" s="387"/>
      <c r="AES256" s="387"/>
      <c r="AET256" s="387"/>
      <c r="AEU256" s="387"/>
      <c r="AEV256" s="387"/>
      <c r="AEW256" s="387"/>
      <c r="AEX256" s="387"/>
      <c r="AEY256" s="387"/>
      <c r="AEZ256" s="387"/>
      <c r="AFA256" s="387"/>
      <c r="AFB256" s="387"/>
      <c r="AFC256" s="387"/>
      <c r="AFD256" s="387"/>
      <c r="AFE256" s="387"/>
      <c r="AFF256" s="387"/>
      <c r="AFG256" s="387"/>
      <c r="AFH256" s="387"/>
      <c r="AFI256" s="387"/>
      <c r="AFJ256" s="387"/>
      <c r="AFK256" s="387"/>
      <c r="AFL256" s="387"/>
      <c r="AFM256" s="387"/>
      <c r="AFN256" s="387"/>
      <c r="AFO256" s="387"/>
      <c r="AFP256" s="387"/>
      <c r="AFQ256" s="387"/>
      <c r="AFR256" s="387"/>
      <c r="AFS256" s="387"/>
      <c r="AFT256" s="387"/>
      <c r="AFU256" s="387"/>
      <c r="AFV256" s="387"/>
      <c r="AFW256" s="387"/>
      <c r="AFX256" s="387"/>
      <c r="AFY256" s="387"/>
      <c r="AFZ256" s="387"/>
      <c r="AGA256" s="387"/>
      <c r="AGB256" s="387"/>
      <c r="AGC256" s="387"/>
      <c r="AGD256" s="387"/>
      <c r="AGE256" s="387"/>
      <c r="AGF256" s="387"/>
      <c r="AGG256" s="387"/>
      <c r="AGH256" s="387"/>
      <c r="AGI256" s="387"/>
      <c r="AGJ256" s="387"/>
      <c r="AGK256" s="387"/>
      <c r="AGL256" s="387"/>
      <c r="AGM256" s="387"/>
      <c r="AGN256" s="387"/>
      <c r="AGO256" s="387"/>
      <c r="AGP256" s="387"/>
      <c r="AGQ256" s="387"/>
      <c r="AGR256" s="387"/>
      <c r="AGS256" s="387"/>
      <c r="AGT256" s="387"/>
      <c r="AGU256" s="387"/>
      <c r="AGV256" s="387"/>
      <c r="AGW256" s="387"/>
      <c r="AGX256" s="387"/>
      <c r="AGY256" s="387"/>
      <c r="AGZ256" s="387"/>
      <c r="AHA256" s="387"/>
      <c r="AHB256" s="387"/>
      <c r="AHC256" s="387"/>
      <c r="AHD256" s="387"/>
      <c r="AHE256" s="387"/>
      <c r="AHF256" s="387"/>
      <c r="AHG256" s="387"/>
      <c r="AHH256" s="387"/>
      <c r="AHI256" s="387"/>
      <c r="AHJ256" s="387"/>
      <c r="AHK256" s="387"/>
      <c r="AHL256" s="387"/>
      <c r="AHM256" s="387"/>
      <c r="AHN256" s="387"/>
      <c r="AHO256" s="387"/>
      <c r="AHP256" s="387"/>
      <c r="AHQ256" s="387"/>
      <c r="AHR256" s="387"/>
      <c r="AHS256" s="387"/>
      <c r="AHT256" s="387"/>
      <c r="AHU256" s="387"/>
      <c r="AHV256" s="387"/>
      <c r="AHW256" s="387"/>
      <c r="AHX256" s="387"/>
      <c r="AHY256" s="387"/>
      <c r="AHZ256" s="387"/>
      <c r="AIA256" s="387"/>
      <c r="AIB256" s="387"/>
      <c r="AIC256" s="387"/>
      <c r="AID256" s="387"/>
      <c r="AIE256" s="387"/>
      <c r="AIF256" s="387"/>
      <c r="AIG256" s="387"/>
      <c r="AIH256" s="387"/>
      <c r="AII256" s="387"/>
      <c r="AIJ256" s="387"/>
      <c r="AIK256" s="387"/>
      <c r="AIL256" s="387"/>
      <c r="AIM256" s="387"/>
      <c r="AIN256" s="387"/>
      <c r="AIO256" s="387"/>
      <c r="AIP256" s="387"/>
      <c r="AIQ256" s="387"/>
      <c r="AIR256" s="387"/>
      <c r="AIS256" s="387"/>
      <c r="AIT256" s="387"/>
      <c r="AIU256" s="387"/>
      <c r="AIV256" s="387"/>
      <c r="AIW256" s="387"/>
      <c r="AIX256" s="387"/>
      <c r="AIY256" s="387"/>
      <c r="AIZ256" s="387"/>
      <c r="AJA256" s="387"/>
      <c r="AJB256" s="387"/>
      <c r="AJC256" s="387"/>
      <c r="AJD256" s="387"/>
      <c r="AJE256" s="387"/>
      <c r="AJF256" s="387"/>
      <c r="AJG256" s="387"/>
      <c r="AJH256" s="387"/>
      <c r="AJI256" s="387"/>
      <c r="AJJ256" s="387"/>
      <c r="AJK256" s="387"/>
      <c r="AJL256" s="387"/>
      <c r="AJM256" s="387"/>
      <c r="AJN256" s="387"/>
      <c r="AJO256" s="387"/>
      <c r="AJP256" s="387"/>
      <c r="AJQ256" s="387"/>
      <c r="AJR256" s="387"/>
      <c r="AJS256" s="387"/>
      <c r="AJT256" s="387"/>
      <c r="AJU256" s="387"/>
      <c r="AJV256" s="387"/>
      <c r="AJW256" s="387"/>
      <c r="AJX256" s="387"/>
      <c r="AJY256" s="387"/>
      <c r="AJZ256" s="387"/>
      <c r="AKA256" s="387"/>
      <c r="AKB256" s="387"/>
      <c r="AKC256" s="387"/>
      <c r="AKD256" s="387"/>
      <c r="AKE256" s="387"/>
      <c r="AKF256" s="387"/>
      <c r="AKG256" s="387"/>
      <c r="AKH256" s="387"/>
      <c r="AKI256" s="387"/>
      <c r="AKJ256" s="387"/>
      <c r="AKK256" s="387"/>
      <c r="AKL256" s="387"/>
      <c r="AKM256" s="387"/>
      <c r="AKN256" s="387"/>
      <c r="AKO256" s="387"/>
      <c r="AKP256" s="387"/>
      <c r="AKQ256" s="387"/>
      <c r="AKR256" s="387"/>
      <c r="AKS256" s="387"/>
      <c r="AKT256" s="387"/>
      <c r="AKU256" s="387"/>
      <c r="AKV256" s="387"/>
      <c r="AKW256" s="387"/>
      <c r="AKX256" s="387"/>
      <c r="AKY256" s="387"/>
      <c r="AKZ256" s="387"/>
      <c r="ALA256" s="387"/>
      <c r="ALB256" s="387"/>
      <c r="ALC256" s="387"/>
      <c r="ALD256" s="387"/>
      <c r="ALE256" s="387"/>
      <c r="ALF256" s="387"/>
      <c r="ALG256" s="387"/>
      <c r="ALH256" s="387"/>
      <c r="ALI256" s="387"/>
      <c r="ALJ256" s="387"/>
      <c r="ALK256" s="387"/>
      <c r="ALL256" s="387"/>
      <c r="ALM256" s="387"/>
      <c r="ALN256" s="387"/>
      <c r="ALO256" s="387"/>
      <c r="ALP256" s="387"/>
      <c r="ALQ256" s="387"/>
      <c r="ALR256" s="387"/>
      <c r="ALS256" s="387"/>
      <c r="ALT256" s="387"/>
      <c r="ALU256" s="387"/>
      <c r="ALV256" s="387"/>
      <c r="ALW256" s="387"/>
      <c r="ALX256" s="387"/>
      <c r="ALY256" s="387"/>
      <c r="ALZ256" s="387"/>
      <c r="AMA256" s="387"/>
      <c r="AMB256" s="387"/>
      <c r="AMC256" s="387"/>
      <c r="AMD256" s="387"/>
      <c r="AME256" s="387"/>
      <c r="AMF256" s="387"/>
      <c r="AMG256" s="387"/>
      <c r="AMH256" s="387"/>
      <c r="AMI256" s="387"/>
      <c r="AMJ256" s="387"/>
      <c r="AMK256" s="387"/>
      <c r="AML256" s="387"/>
      <c r="AMM256" s="387"/>
      <c r="AMN256" s="387"/>
      <c r="AMO256" s="387"/>
      <c r="AMP256" s="387"/>
      <c r="AMQ256" s="387"/>
      <c r="AMR256" s="387"/>
      <c r="AMS256" s="387"/>
      <c r="AMT256" s="387"/>
      <c r="AMU256" s="387"/>
      <c r="AMV256" s="387"/>
      <c r="AMW256" s="387"/>
      <c r="AMX256" s="387"/>
      <c r="AMY256" s="387"/>
      <c r="AMZ256" s="387"/>
      <c r="ANA256" s="387"/>
      <c r="ANB256" s="387"/>
      <c r="ANC256" s="387"/>
      <c r="AND256" s="387"/>
      <c r="ANE256" s="387"/>
      <c r="ANF256" s="387"/>
      <c r="ANG256" s="387"/>
      <c r="ANH256" s="387"/>
      <c r="ANI256" s="387"/>
      <c r="ANJ256" s="387"/>
      <c r="ANK256" s="387"/>
      <c r="ANL256" s="387"/>
      <c r="ANM256" s="387"/>
      <c r="ANN256" s="387"/>
      <c r="ANO256" s="387"/>
      <c r="ANP256" s="387"/>
      <c r="ANQ256" s="387"/>
      <c r="ANR256" s="387"/>
      <c r="ANS256" s="387"/>
      <c r="ANT256" s="387"/>
      <c r="ANU256" s="387"/>
      <c r="ANV256" s="387"/>
      <c r="ANW256" s="387"/>
      <c r="ANX256" s="387"/>
      <c r="ANY256" s="387"/>
      <c r="ANZ256" s="387"/>
      <c r="AOA256" s="387"/>
      <c r="AOB256" s="387"/>
      <c r="AOC256" s="387"/>
      <c r="AOD256" s="387"/>
      <c r="AOE256" s="387"/>
      <c r="AOF256" s="387"/>
      <c r="AOG256" s="387"/>
      <c r="AOH256" s="387"/>
      <c r="AOI256" s="387"/>
      <c r="AOJ256" s="387"/>
      <c r="AOK256" s="387"/>
      <c r="AOL256" s="387"/>
      <c r="AOM256" s="387"/>
      <c r="AON256" s="387"/>
      <c r="AOO256" s="387"/>
      <c r="AOP256" s="387"/>
      <c r="AOQ256" s="387"/>
      <c r="AOR256" s="387"/>
      <c r="AOS256" s="387"/>
      <c r="AOT256" s="387"/>
      <c r="AOU256" s="387"/>
      <c r="AOV256" s="387"/>
      <c r="AOW256" s="387"/>
      <c r="AOX256" s="387"/>
      <c r="AOY256" s="387"/>
      <c r="AOZ256" s="387"/>
      <c r="APA256" s="387"/>
      <c r="APB256" s="387"/>
      <c r="APC256" s="387"/>
      <c r="APD256" s="387"/>
      <c r="APE256" s="387"/>
      <c r="APF256" s="387"/>
      <c r="APG256" s="387"/>
      <c r="APH256" s="387"/>
      <c r="API256" s="387"/>
      <c r="APJ256" s="387"/>
      <c r="APK256" s="387"/>
      <c r="APL256" s="387"/>
      <c r="APM256" s="387"/>
      <c r="APN256" s="387"/>
      <c r="APO256" s="387"/>
      <c r="APP256" s="387"/>
      <c r="APQ256" s="387"/>
      <c r="APR256" s="387"/>
      <c r="APS256" s="387"/>
      <c r="APT256" s="387"/>
      <c r="APU256" s="387"/>
      <c r="APV256" s="387"/>
      <c r="APW256" s="387"/>
      <c r="APX256" s="387"/>
      <c r="APY256" s="387"/>
      <c r="APZ256" s="387"/>
      <c r="AQA256" s="387"/>
      <c r="AQB256" s="387"/>
      <c r="AQC256" s="387"/>
      <c r="AQD256" s="387"/>
      <c r="AQE256" s="387"/>
      <c r="AQF256" s="387"/>
      <c r="AQG256" s="387"/>
      <c r="AQH256" s="387"/>
      <c r="AQI256" s="387"/>
      <c r="AQJ256" s="387"/>
      <c r="AQK256" s="387"/>
      <c r="AQL256" s="387"/>
      <c r="AQM256" s="387"/>
      <c r="AQN256" s="387"/>
      <c r="AQO256" s="387"/>
      <c r="AQP256" s="387"/>
      <c r="AQQ256" s="387"/>
      <c r="AQR256" s="387"/>
      <c r="AQS256" s="387"/>
      <c r="AQT256" s="387"/>
      <c r="AQU256" s="387"/>
      <c r="AQV256" s="387"/>
      <c r="AQW256" s="387"/>
      <c r="AQX256" s="387"/>
      <c r="AQY256" s="387"/>
      <c r="AQZ256" s="387"/>
      <c r="ARA256" s="387"/>
      <c r="ARB256" s="387"/>
      <c r="ARC256" s="387"/>
      <c r="ARD256" s="387"/>
      <c r="ARE256" s="387"/>
      <c r="ARF256" s="387"/>
      <c r="ARG256" s="387"/>
      <c r="ARH256" s="387"/>
      <c r="ARI256" s="387"/>
      <c r="ARJ256" s="387"/>
      <c r="ARK256" s="387"/>
      <c r="ARL256" s="387"/>
      <c r="ARM256" s="387"/>
      <c r="ARN256" s="387"/>
      <c r="ARO256" s="387"/>
      <c r="ARP256" s="387"/>
      <c r="ARQ256" s="387"/>
      <c r="ARR256" s="387"/>
      <c r="ARS256" s="387"/>
      <c r="ART256" s="387"/>
      <c r="ARU256" s="387"/>
      <c r="ARV256" s="387"/>
      <c r="ARW256" s="387"/>
      <c r="ARX256" s="387"/>
      <c r="ARY256" s="387"/>
      <c r="ARZ256" s="387"/>
      <c r="ASA256" s="387"/>
      <c r="ASB256" s="387"/>
      <c r="ASC256" s="387"/>
      <c r="ASD256" s="387"/>
      <c r="ASE256" s="387"/>
      <c r="ASF256" s="387"/>
      <c r="ASG256" s="387"/>
      <c r="ASH256" s="387"/>
      <c r="ASI256" s="387"/>
      <c r="ASJ256" s="387"/>
      <c r="ASK256" s="387"/>
      <c r="ASL256" s="387"/>
      <c r="ASM256" s="387"/>
      <c r="ASN256" s="387"/>
      <c r="ASO256" s="387"/>
      <c r="ASP256" s="387"/>
      <c r="ASQ256" s="387"/>
      <c r="ASR256" s="387"/>
      <c r="ASS256" s="387"/>
      <c r="AST256" s="387"/>
      <c r="ASU256" s="387"/>
      <c r="ASV256" s="387"/>
      <c r="ASW256" s="387"/>
      <c r="ASX256" s="387"/>
      <c r="ASY256" s="387"/>
      <c r="ASZ256" s="387"/>
      <c r="ATA256" s="387"/>
      <c r="ATB256" s="387"/>
      <c r="ATC256" s="387"/>
      <c r="ATD256" s="387"/>
      <c r="ATE256" s="387"/>
      <c r="ATF256" s="387"/>
      <c r="ATG256" s="387"/>
      <c r="ATH256" s="387"/>
      <c r="ATI256" s="387"/>
      <c r="ATJ256" s="387"/>
      <c r="ATK256" s="387"/>
      <c r="ATL256" s="387"/>
      <c r="ATM256" s="387"/>
      <c r="ATN256" s="387"/>
      <c r="ATO256" s="387"/>
      <c r="ATP256" s="387"/>
      <c r="ATQ256" s="387"/>
      <c r="ATR256" s="387"/>
      <c r="ATS256" s="387"/>
      <c r="ATT256" s="387"/>
      <c r="ATU256" s="387"/>
      <c r="ATV256" s="387"/>
      <c r="ATW256" s="387"/>
      <c r="ATX256" s="387"/>
      <c r="ATY256" s="387"/>
      <c r="ATZ256" s="387"/>
      <c r="AUA256" s="387"/>
      <c r="AUB256" s="387"/>
      <c r="AUC256" s="387"/>
      <c r="AUD256" s="387"/>
      <c r="AUE256" s="387"/>
      <c r="AUF256" s="387"/>
      <c r="AUG256" s="387"/>
      <c r="AUH256" s="387"/>
      <c r="AUI256" s="387"/>
      <c r="AUJ256" s="387"/>
      <c r="AUK256" s="387"/>
      <c r="AUL256" s="387"/>
      <c r="AUM256" s="387"/>
      <c r="AUN256" s="387"/>
      <c r="AUO256" s="387"/>
      <c r="AUP256" s="387"/>
      <c r="AUQ256" s="387"/>
      <c r="AUR256" s="387"/>
      <c r="AUS256" s="387"/>
      <c r="AUT256" s="387"/>
      <c r="AUU256" s="387"/>
      <c r="AUV256" s="387"/>
      <c r="AUW256" s="387"/>
      <c r="AUX256" s="387"/>
      <c r="AUY256" s="387"/>
      <c r="AUZ256" s="387"/>
      <c r="AVA256" s="387"/>
      <c r="AVB256" s="387"/>
      <c r="AVC256" s="387"/>
      <c r="AVD256" s="387"/>
      <c r="AVE256" s="387"/>
      <c r="AVF256" s="387"/>
      <c r="AVG256" s="387"/>
      <c r="AVH256" s="387"/>
      <c r="AVI256" s="387"/>
      <c r="AVJ256" s="387"/>
      <c r="AVK256" s="387"/>
      <c r="AVL256" s="387"/>
      <c r="AVM256" s="387"/>
      <c r="AVN256" s="387"/>
      <c r="AVO256" s="387"/>
      <c r="AVP256" s="387"/>
      <c r="AVQ256" s="387"/>
      <c r="AVR256" s="387"/>
      <c r="AVS256" s="387"/>
      <c r="AVT256" s="387"/>
      <c r="AVU256" s="387"/>
      <c r="AVV256" s="387"/>
      <c r="AVW256" s="387"/>
      <c r="AVX256" s="387"/>
      <c r="AVY256" s="387"/>
      <c r="AVZ256" s="387"/>
      <c r="AWA256" s="387"/>
      <c r="AWB256" s="387"/>
      <c r="AWC256" s="387"/>
      <c r="AWD256" s="387"/>
      <c r="AWE256" s="387"/>
      <c r="AWF256" s="387"/>
      <c r="AWG256" s="387"/>
      <c r="AWH256" s="387"/>
      <c r="AWI256" s="387"/>
      <c r="AWJ256" s="387"/>
      <c r="AWK256" s="387"/>
      <c r="AWL256" s="387"/>
      <c r="AWM256" s="387"/>
      <c r="AWN256" s="387"/>
      <c r="AWO256" s="387"/>
      <c r="AWP256" s="387"/>
      <c r="AWQ256" s="387"/>
      <c r="AWR256" s="387"/>
      <c r="AWS256" s="387"/>
      <c r="AWT256" s="387"/>
      <c r="AWU256" s="387"/>
      <c r="AWV256" s="387"/>
      <c r="AWW256" s="387"/>
      <c r="AWX256" s="387"/>
      <c r="AWY256" s="387"/>
      <c r="AWZ256" s="387"/>
      <c r="AXA256" s="387"/>
      <c r="AXB256" s="387"/>
      <c r="AXC256" s="387"/>
      <c r="AXD256" s="387"/>
      <c r="AXE256" s="387"/>
      <c r="AXF256" s="387"/>
      <c r="AXG256" s="387"/>
      <c r="AXH256" s="387"/>
      <c r="AXI256" s="387"/>
      <c r="AXJ256" s="387"/>
      <c r="AXK256" s="387"/>
      <c r="AXL256" s="387"/>
      <c r="AXM256" s="387"/>
      <c r="AXN256" s="387"/>
      <c r="AXO256" s="387"/>
      <c r="AXP256" s="387"/>
      <c r="AXQ256" s="387"/>
      <c r="AXR256" s="387"/>
      <c r="AXS256" s="387"/>
      <c r="AXT256" s="387"/>
      <c r="AXU256" s="387"/>
      <c r="AXV256" s="387"/>
      <c r="AXW256" s="387"/>
      <c r="AXX256" s="387"/>
      <c r="AXY256" s="387"/>
      <c r="AXZ256" s="387"/>
      <c r="AYA256" s="387"/>
      <c r="AYB256" s="387"/>
      <c r="AYC256" s="387"/>
      <c r="AYD256" s="387"/>
      <c r="AYE256" s="387"/>
      <c r="AYF256" s="387"/>
      <c r="AYG256" s="387"/>
      <c r="AYH256" s="387"/>
      <c r="AYI256" s="387"/>
      <c r="AYJ256" s="387"/>
      <c r="AYK256" s="387"/>
      <c r="AYL256" s="387"/>
      <c r="AYM256" s="387"/>
      <c r="AYN256" s="387"/>
      <c r="AYO256" s="387"/>
      <c r="AYP256" s="387"/>
      <c r="AYQ256" s="387"/>
      <c r="AYR256" s="387"/>
      <c r="AYS256" s="387"/>
      <c r="AYT256" s="387"/>
      <c r="AYU256" s="387"/>
      <c r="AYV256" s="387"/>
      <c r="AYW256" s="387"/>
      <c r="AYX256" s="387"/>
      <c r="AYY256" s="387"/>
      <c r="AYZ256" s="387"/>
      <c r="AZA256" s="387"/>
      <c r="AZB256" s="387"/>
      <c r="AZC256" s="387"/>
      <c r="AZD256" s="387"/>
      <c r="AZE256" s="387"/>
      <c r="AZF256" s="387"/>
      <c r="AZG256" s="387"/>
      <c r="AZH256" s="387"/>
      <c r="AZI256" s="387"/>
      <c r="AZJ256" s="387"/>
      <c r="AZK256" s="387"/>
      <c r="AZL256" s="387"/>
      <c r="AZM256" s="387"/>
      <c r="AZN256" s="387"/>
      <c r="AZO256" s="387"/>
      <c r="AZP256" s="387"/>
      <c r="AZQ256" s="387"/>
      <c r="AZR256" s="387"/>
      <c r="AZS256" s="387"/>
      <c r="AZT256" s="387"/>
      <c r="AZU256" s="387"/>
      <c r="AZV256" s="387"/>
      <c r="AZW256" s="387"/>
      <c r="AZX256" s="387"/>
      <c r="AZY256" s="387"/>
      <c r="AZZ256" s="387"/>
      <c r="BAA256" s="387"/>
      <c r="BAB256" s="387"/>
      <c r="BAC256" s="387"/>
      <c r="BAD256" s="387"/>
      <c r="BAE256" s="387"/>
      <c r="BAF256" s="387"/>
      <c r="BAG256" s="387"/>
      <c r="BAH256" s="387"/>
      <c r="BAI256" s="387"/>
      <c r="BAJ256" s="387"/>
      <c r="BAK256" s="387"/>
      <c r="BAL256" s="387"/>
      <c r="BAM256" s="387"/>
      <c r="BAN256" s="387"/>
      <c r="BAO256" s="387"/>
      <c r="BAP256" s="387"/>
      <c r="BAQ256" s="387"/>
      <c r="BAR256" s="387"/>
      <c r="BAS256" s="387"/>
      <c r="BAT256" s="387"/>
      <c r="BAU256" s="387"/>
      <c r="BAV256" s="387"/>
      <c r="BAW256" s="387"/>
      <c r="BAX256" s="387"/>
      <c r="BAY256" s="387"/>
      <c r="BAZ256" s="387"/>
      <c r="BBA256" s="387"/>
      <c r="BBB256" s="387"/>
      <c r="BBC256" s="387"/>
      <c r="BBD256" s="387"/>
      <c r="BBE256" s="387"/>
      <c r="BBF256" s="387"/>
      <c r="BBG256" s="387"/>
      <c r="BBH256" s="387"/>
      <c r="BBI256" s="387"/>
      <c r="BBJ256" s="387"/>
      <c r="BBK256" s="387"/>
      <c r="BBL256" s="387"/>
      <c r="BBM256" s="387"/>
      <c r="BBN256" s="387"/>
      <c r="BBO256" s="387"/>
      <c r="BBP256" s="387"/>
      <c r="BBQ256" s="387"/>
      <c r="BBR256" s="387"/>
      <c r="BBS256" s="387"/>
      <c r="BBT256" s="387"/>
      <c r="BBU256" s="387"/>
      <c r="BBV256" s="387"/>
      <c r="BBW256" s="387"/>
      <c r="BBX256" s="387"/>
      <c r="BBY256" s="387"/>
      <c r="BBZ256" s="387"/>
      <c r="BCA256" s="387"/>
      <c r="BCB256" s="387"/>
      <c r="BCC256" s="387"/>
      <c r="BCD256" s="387"/>
      <c r="BCE256" s="387"/>
      <c r="BCF256" s="387"/>
      <c r="BCG256" s="387"/>
      <c r="BCH256" s="387"/>
      <c r="BCI256" s="387"/>
      <c r="BCJ256" s="387"/>
      <c r="BCK256" s="387"/>
      <c r="BCL256" s="387"/>
      <c r="BCM256" s="387"/>
      <c r="BCN256" s="387"/>
      <c r="BCO256" s="387"/>
      <c r="BCP256" s="387"/>
      <c r="BCQ256" s="387"/>
      <c r="BCR256" s="387"/>
      <c r="BCS256" s="387"/>
      <c r="BCT256" s="387"/>
      <c r="BCU256" s="387"/>
      <c r="BCV256" s="387"/>
      <c r="BCW256" s="387"/>
      <c r="BCX256" s="387"/>
      <c r="BCY256" s="387"/>
      <c r="BCZ256" s="387"/>
      <c r="BDA256" s="387"/>
      <c r="BDB256" s="387"/>
      <c r="BDC256" s="387"/>
      <c r="BDD256" s="387"/>
      <c r="BDE256" s="387"/>
      <c r="BDF256" s="387"/>
      <c r="BDG256" s="387"/>
      <c r="BDH256" s="387"/>
      <c r="BDI256" s="387"/>
      <c r="BDJ256" s="387"/>
      <c r="BDK256" s="387"/>
      <c r="BDL256" s="387"/>
      <c r="BDM256" s="387"/>
      <c r="BDN256" s="387"/>
      <c r="BDO256" s="387"/>
      <c r="BDP256" s="387"/>
      <c r="BDQ256" s="387"/>
      <c r="BDR256" s="387"/>
      <c r="BDS256" s="387"/>
      <c r="BDT256" s="387"/>
      <c r="BDU256" s="387"/>
      <c r="BDV256" s="387"/>
      <c r="BDW256" s="387"/>
      <c r="BDX256" s="387"/>
      <c r="BDY256" s="387"/>
      <c r="BDZ256" s="387"/>
      <c r="BEA256" s="387"/>
      <c r="BEB256" s="387"/>
      <c r="BEC256" s="387"/>
      <c r="BED256" s="387"/>
      <c r="BEE256" s="387"/>
      <c r="BEF256" s="387"/>
      <c r="BEG256" s="387"/>
      <c r="BEH256" s="387"/>
      <c r="BEI256" s="387"/>
      <c r="BEJ256" s="387"/>
      <c r="BEK256" s="387"/>
      <c r="BEL256" s="387"/>
      <c r="BEM256" s="387"/>
      <c r="BEN256" s="387"/>
      <c r="BEO256" s="387"/>
      <c r="BEP256" s="387"/>
      <c r="BEQ256" s="387"/>
      <c r="BER256" s="387"/>
      <c r="BES256" s="387"/>
      <c r="BET256" s="387"/>
      <c r="BEU256" s="387"/>
      <c r="BEV256" s="387"/>
      <c r="BEW256" s="387"/>
      <c r="BEX256" s="387"/>
      <c r="BEY256" s="387"/>
      <c r="BEZ256" s="387"/>
      <c r="BFA256" s="387"/>
      <c r="BFB256" s="387"/>
      <c r="BFC256" s="387"/>
      <c r="BFD256" s="387"/>
      <c r="BFE256" s="387"/>
      <c r="BFF256" s="387"/>
      <c r="BFG256" s="387"/>
      <c r="BFH256" s="387"/>
      <c r="BFI256" s="387"/>
      <c r="BFJ256" s="387"/>
      <c r="BFK256" s="387"/>
      <c r="BFL256" s="387"/>
      <c r="BFM256" s="387"/>
      <c r="BFN256" s="387"/>
      <c r="BFO256" s="387"/>
      <c r="BFP256" s="387"/>
      <c r="BFQ256" s="387"/>
      <c r="BFR256" s="387"/>
      <c r="BFS256" s="387"/>
      <c r="BFT256" s="387"/>
      <c r="BFU256" s="387"/>
      <c r="BFV256" s="387"/>
      <c r="BFW256" s="387"/>
      <c r="BFX256" s="387"/>
      <c r="BFY256" s="387"/>
      <c r="BFZ256" s="387"/>
      <c r="BGA256" s="387"/>
      <c r="BGB256" s="387"/>
      <c r="BGC256" s="387"/>
      <c r="BGD256" s="387"/>
      <c r="BGE256" s="387"/>
      <c r="BGF256" s="387"/>
      <c r="BGG256" s="387"/>
      <c r="BGH256" s="387"/>
      <c r="BGI256" s="387"/>
      <c r="BGJ256" s="387"/>
      <c r="BGK256" s="387"/>
      <c r="BGL256" s="387"/>
      <c r="BGM256" s="387"/>
      <c r="BGN256" s="387"/>
      <c r="BGO256" s="387"/>
      <c r="BGP256" s="387"/>
      <c r="BGQ256" s="387"/>
      <c r="BGR256" s="387"/>
      <c r="BGS256" s="387"/>
      <c r="BGT256" s="387"/>
      <c r="BGU256" s="387"/>
      <c r="BGV256" s="387"/>
      <c r="BGW256" s="387"/>
      <c r="BGX256" s="387"/>
      <c r="BGY256" s="387"/>
      <c r="BGZ256" s="387"/>
      <c r="BHA256" s="387"/>
      <c r="BHB256" s="387"/>
      <c r="BHC256" s="387"/>
      <c r="BHD256" s="387"/>
      <c r="BHE256" s="387"/>
      <c r="BHF256" s="387"/>
      <c r="BHG256" s="387"/>
      <c r="BHH256" s="387"/>
      <c r="BHI256" s="387"/>
      <c r="BHJ256" s="387"/>
      <c r="BHK256" s="387"/>
      <c r="BHL256" s="387"/>
      <c r="BHM256" s="387"/>
      <c r="BHN256" s="387"/>
      <c r="BHO256" s="387"/>
      <c r="BHP256" s="387"/>
      <c r="BHQ256" s="387"/>
      <c r="BHR256" s="387"/>
      <c r="BHS256" s="387"/>
      <c r="BHT256" s="387"/>
      <c r="BHU256" s="387"/>
      <c r="BHV256" s="387"/>
      <c r="BHW256" s="387"/>
      <c r="BHX256" s="387"/>
      <c r="BHY256" s="387"/>
      <c r="BHZ256" s="387"/>
      <c r="BIA256" s="387"/>
      <c r="BIB256" s="387"/>
      <c r="BIC256" s="387"/>
      <c r="BID256" s="387"/>
      <c r="BIE256" s="387"/>
      <c r="BIF256" s="387"/>
      <c r="BIG256" s="387"/>
      <c r="BIH256" s="387"/>
      <c r="BII256" s="387"/>
      <c r="BIJ256" s="387"/>
      <c r="BIK256" s="387"/>
      <c r="BIL256" s="387"/>
      <c r="BIM256" s="387"/>
      <c r="BIN256" s="387"/>
      <c r="BIO256" s="387"/>
      <c r="BIP256" s="387"/>
      <c r="BIQ256" s="387"/>
      <c r="BIR256" s="387"/>
      <c r="BIS256" s="387"/>
      <c r="BIT256" s="387"/>
      <c r="BIU256" s="387"/>
      <c r="BIV256" s="387"/>
      <c r="BIW256" s="387"/>
      <c r="BIX256" s="387"/>
      <c r="BIY256" s="387"/>
      <c r="BIZ256" s="387"/>
      <c r="BJA256" s="387"/>
      <c r="BJB256" s="387"/>
      <c r="BJC256" s="387"/>
      <c r="BJD256" s="387"/>
      <c r="BJE256" s="387"/>
      <c r="BJF256" s="387"/>
      <c r="BJG256" s="387"/>
      <c r="BJH256" s="387"/>
      <c r="BJI256" s="387"/>
      <c r="BJJ256" s="387"/>
      <c r="BJK256" s="387"/>
      <c r="BJL256" s="387"/>
      <c r="BJM256" s="387"/>
      <c r="BJN256" s="387"/>
      <c r="BJO256" s="387"/>
      <c r="BJP256" s="387"/>
      <c r="BJQ256" s="387"/>
      <c r="BJR256" s="387"/>
      <c r="BJS256" s="387"/>
      <c r="BJT256" s="387"/>
      <c r="BJU256" s="387"/>
      <c r="BJV256" s="387"/>
      <c r="BJW256" s="387"/>
      <c r="BJX256" s="387"/>
      <c r="BJY256" s="387"/>
      <c r="BJZ256" s="387"/>
      <c r="BKA256" s="387"/>
      <c r="BKB256" s="387"/>
      <c r="BKC256" s="387"/>
      <c r="BKD256" s="387"/>
      <c r="BKE256" s="387"/>
      <c r="BKF256" s="387"/>
      <c r="BKG256" s="387"/>
      <c r="BKH256" s="387"/>
      <c r="BKI256" s="387"/>
      <c r="BKJ256" s="387"/>
      <c r="BKK256" s="387"/>
      <c r="BKL256" s="387"/>
      <c r="BKM256" s="387"/>
      <c r="BKN256" s="387"/>
      <c r="BKO256" s="387"/>
      <c r="BKP256" s="387"/>
      <c r="BKQ256" s="387"/>
      <c r="BKR256" s="387"/>
      <c r="BKS256" s="387"/>
      <c r="BKT256" s="387"/>
      <c r="BKU256" s="387"/>
      <c r="BKV256" s="387"/>
      <c r="BKW256" s="387"/>
      <c r="BKX256" s="387"/>
      <c r="BKY256" s="387"/>
      <c r="BKZ256" s="387"/>
      <c r="BLA256" s="387"/>
      <c r="BLB256" s="387"/>
      <c r="BLC256" s="387"/>
      <c r="BLD256" s="387"/>
      <c r="BLE256" s="387"/>
      <c r="BLF256" s="387"/>
      <c r="BLG256" s="387"/>
      <c r="BLH256" s="387"/>
      <c r="BLI256" s="387"/>
      <c r="BLJ256" s="387"/>
      <c r="BLK256" s="387"/>
      <c r="BLL256" s="387"/>
      <c r="BLM256" s="387"/>
      <c r="BLN256" s="387"/>
      <c r="BLO256" s="387"/>
      <c r="BLP256" s="387"/>
      <c r="BLQ256" s="387"/>
      <c r="BLR256" s="387"/>
      <c r="BLS256" s="387"/>
      <c r="BLT256" s="387"/>
      <c r="BLU256" s="387"/>
      <c r="BLV256" s="387"/>
      <c r="BLW256" s="387"/>
      <c r="BLX256" s="387"/>
      <c r="BLY256" s="387"/>
      <c r="BLZ256" s="387"/>
      <c r="BMA256" s="387"/>
      <c r="BMB256" s="387"/>
      <c r="BMC256" s="387"/>
      <c r="BMD256" s="387"/>
      <c r="BME256" s="387"/>
      <c r="BMF256" s="387"/>
      <c r="BMG256" s="387"/>
      <c r="BMH256" s="387"/>
      <c r="BMI256" s="387"/>
      <c r="BMJ256" s="387"/>
      <c r="BMK256" s="387"/>
      <c r="BML256" s="387"/>
      <c r="BMM256" s="387"/>
      <c r="BMN256" s="387"/>
      <c r="BMO256" s="387"/>
      <c r="BMP256" s="387"/>
      <c r="BMQ256" s="387"/>
      <c r="BMR256" s="387"/>
      <c r="BMS256" s="387"/>
      <c r="BMT256" s="387"/>
      <c r="BMU256" s="387"/>
      <c r="BMV256" s="387"/>
      <c r="BMW256" s="387"/>
      <c r="BMX256" s="387"/>
      <c r="BMY256" s="387"/>
      <c r="BMZ256" s="387"/>
      <c r="BNA256" s="387"/>
      <c r="BNB256" s="387"/>
      <c r="BNC256" s="387"/>
      <c r="BND256" s="387"/>
      <c r="BNE256" s="387"/>
      <c r="BNF256" s="387"/>
      <c r="BNG256" s="387"/>
      <c r="BNH256" s="387"/>
      <c r="BNI256" s="387"/>
      <c r="BNJ256" s="387"/>
      <c r="BNK256" s="387"/>
      <c r="BNL256" s="387"/>
      <c r="BNM256" s="387"/>
      <c r="BNN256" s="387"/>
      <c r="BNO256" s="387"/>
      <c r="BNP256" s="387"/>
      <c r="BNQ256" s="387"/>
      <c r="BNR256" s="387"/>
      <c r="BNS256" s="387"/>
      <c r="BNT256" s="387"/>
      <c r="BNU256" s="387"/>
      <c r="BNV256" s="387"/>
      <c r="BNW256" s="387"/>
      <c r="BNX256" s="387"/>
      <c r="BNY256" s="387"/>
      <c r="BNZ256" s="387"/>
      <c r="BOA256" s="387"/>
      <c r="BOB256" s="387"/>
      <c r="BOC256" s="387"/>
      <c r="BOD256" s="387"/>
      <c r="BOE256" s="387"/>
      <c r="BOF256" s="387"/>
      <c r="BOG256" s="387"/>
      <c r="BOH256" s="387"/>
      <c r="BOI256" s="387"/>
      <c r="BOJ256" s="387"/>
      <c r="BOK256" s="387"/>
      <c r="BOL256" s="387"/>
      <c r="BOM256" s="387"/>
      <c r="BON256" s="387"/>
      <c r="BOO256" s="387"/>
      <c r="BOP256" s="387"/>
      <c r="BOQ256" s="387"/>
      <c r="BOR256" s="387"/>
      <c r="BOS256" s="387"/>
      <c r="BOT256" s="387"/>
      <c r="BOU256" s="387"/>
      <c r="BOV256" s="387"/>
      <c r="BOW256" s="387"/>
      <c r="BOX256" s="387"/>
      <c r="BOY256" s="387"/>
      <c r="BOZ256" s="387"/>
      <c r="BPA256" s="387"/>
      <c r="BPB256" s="387"/>
      <c r="BPC256" s="387"/>
      <c r="BPD256" s="387"/>
      <c r="BPE256" s="387"/>
      <c r="BPF256" s="387"/>
      <c r="BPG256" s="387"/>
      <c r="BPH256" s="387"/>
      <c r="BPI256" s="387"/>
      <c r="BPJ256" s="387"/>
      <c r="BPK256" s="387"/>
      <c r="BPL256" s="387"/>
      <c r="BPM256" s="387"/>
      <c r="BPN256" s="387"/>
      <c r="BPO256" s="387"/>
      <c r="BPP256" s="387"/>
      <c r="BPQ256" s="387"/>
      <c r="BPR256" s="387"/>
      <c r="BPS256" s="387"/>
      <c r="BPT256" s="387"/>
      <c r="BPU256" s="387"/>
      <c r="BPV256" s="387"/>
      <c r="BPW256" s="387"/>
      <c r="BPX256" s="387"/>
      <c r="BPY256" s="387"/>
      <c r="BPZ256" s="387"/>
      <c r="BQA256" s="387"/>
      <c r="BQB256" s="387"/>
      <c r="BQC256" s="387"/>
      <c r="BQD256" s="387"/>
      <c r="BQE256" s="387"/>
      <c r="BQF256" s="387"/>
      <c r="BQG256" s="387"/>
      <c r="BQH256" s="387"/>
      <c r="BQI256" s="387"/>
      <c r="BQJ256" s="387"/>
      <c r="BQK256" s="387"/>
      <c r="BQL256" s="387"/>
      <c r="BQM256" s="387"/>
      <c r="BQN256" s="387"/>
      <c r="BQO256" s="387"/>
      <c r="BQP256" s="387"/>
      <c r="BQQ256" s="387"/>
      <c r="BQR256" s="387"/>
      <c r="BQS256" s="387"/>
      <c r="BQT256" s="387"/>
      <c r="BQU256" s="387"/>
      <c r="BQV256" s="387"/>
      <c r="BQW256" s="387"/>
      <c r="BQX256" s="387"/>
      <c r="BQY256" s="387"/>
      <c r="BQZ256" s="387"/>
      <c r="BRA256" s="387"/>
      <c r="BRB256" s="387"/>
      <c r="BRC256" s="387"/>
      <c r="BRD256" s="387"/>
      <c r="BRE256" s="387"/>
      <c r="BRF256" s="387"/>
      <c r="BRG256" s="387"/>
      <c r="BRH256" s="387"/>
      <c r="BRI256" s="387"/>
      <c r="BRJ256" s="387"/>
      <c r="BRK256" s="387"/>
      <c r="BRL256" s="387"/>
      <c r="BRM256" s="387"/>
      <c r="BRN256" s="387"/>
      <c r="BRO256" s="387"/>
      <c r="BRP256" s="387"/>
      <c r="BRQ256" s="387"/>
      <c r="BRR256" s="387"/>
      <c r="BRS256" s="387"/>
      <c r="BRT256" s="387"/>
      <c r="BRU256" s="387"/>
      <c r="BRV256" s="387"/>
      <c r="BRW256" s="387"/>
      <c r="BRX256" s="387"/>
      <c r="BRY256" s="387"/>
      <c r="BRZ256" s="387"/>
      <c r="BSA256" s="387"/>
      <c r="BSB256" s="387"/>
      <c r="BSC256" s="387"/>
      <c r="BSD256" s="387"/>
      <c r="BSE256" s="387"/>
      <c r="BSF256" s="387"/>
      <c r="BSG256" s="387"/>
      <c r="BSH256" s="387"/>
      <c r="BSI256" s="387"/>
      <c r="BSJ256" s="387"/>
      <c r="BSK256" s="387"/>
      <c r="BSL256" s="387"/>
      <c r="BSM256" s="387"/>
      <c r="BSN256" s="387"/>
      <c r="BSO256" s="387"/>
      <c r="BSP256" s="387"/>
      <c r="BSQ256" s="387"/>
      <c r="BSR256" s="387"/>
      <c r="BSS256" s="387"/>
      <c r="BST256" s="387"/>
      <c r="BSU256" s="387"/>
      <c r="BSV256" s="387"/>
      <c r="BSW256" s="387"/>
      <c r="BSX256" s="387"/>
      <c r="BSY256" s="387"/>
      <c r="BSZ256" s="387"/>
      <c r="BTA256" s="387"/>
      <c r="BTB256" s="387"/>
      <c r="BTC256" s="387"/>
      <c r="BTD256" s="387"/>
      <c r="BTE256" s="387"/>
      <c r="BTF256" s="387"/>
      <c r="BTG256" s="387"/>
      <c r="BTH256" s="387"/>
      <c r="BTI256" s="387"/>
    </row>
    <row r="257" spans="1:1881" s="386" customFormat="1" ht="30.75" customHeight="1" thickBot="1" x14ac:dyDescent="0.3">
      <c r="A257" s="743">
        <v>968</v>
      </c>
      <c r="B257" s="867" t="s">
        <v>762</v>
      </c>
      <c r="C257" s="868"/>
      <c r="D257" s="871"/>
      <c r="E257" s="870"/>
      <c r="F257" s="744" t="str">
        <f t="shared" si="4"/>
        <v>&lt;&lt;&lt;&lt;&lt;&lt;&lt;&lt;&lt;&lt;&lt;&lt;&lt;&lt;&lt;&lt;&lt;&lt;&lt;</v>
      </c>
      <c r="G257" s="814" t="str">
        <f t="shared" si="5"/>
        <v>Cell D253 must be completed.</v>
      </c>
      <c r="H257" s="389"/>
      <c r="I257" s="398"/>
      <c r="J257" s="387"/>
      <c r="K257" s="387"/>
      <c r="L257" s="387"/>
      <c r="M257" s="387"/>
      <c r="N257"/>
      <c r="O257" s="387"/>
      <c r="P257" s="387"/>
      <c r="Q257" s="387"/>
      <c r="R257"/>
      <c r="S257" s="387"/>
      <c r="T257" s="387"/>
      <c r="U257" s="387"/>
      <c r="V257" s="387"/>
      <c r="W257" s="387"/>
      <c r="X257" s="682"/>
      <c r="Y257" s="387"/>
      <c r="Z257" s="387"/>
      <c r="AA257" s="387"/>
      <c r="AB257" s="387"/>
      <c r="AC257" s="387"/>
      <c r="AD257" s="387"/>
      <c r="AE257" s="387"/>
      <c r="AF257" s="387"/>
      <c r="AG257" s="387"/>
      <c r="AH257" s="387"/>
      <c r="AI257" s="387"/>
      <c r="AJ257" s="387"/>
      <c r="AK257" s="387"/>
      <c r="AL257" s="387"/>
      <c r="AM257" s="387"/>
      <c r="AN257" s="387"/>
      <c r="AO257" s="387"/>
      <c r="AP257" s="387"/>
      <c r="AQ257" s="387"/>
      <c r="AR257" s="387"/>
      <c r="AS257" s="387"/>
      <c r="AT257" s="387"/>
      <c r="AU257" s="387"/>
      <c r="AV257" s="387"/>
      <c r="AW257" s="387"/>
      <c r="AX257" s="387"/>
      <c r="AY257" s="387"/>
      <c r="AZ257" s="387"/>
      <c r="BA257" s="387"/>
      <c r="BB257" s="387"/>
      <c r="BC257" s="387"/>
      <c r="BD257" s="387"/>
      <c r="BE257" s="387"/>
      <c r="BF257" s="387"/>
      <c r="BG257" s="387"/>
      <c r="BH257" s="387"/>
      <c r="BI257" s="387"/>
      <c r="BJ257" s="387"/>
      <c r="BK257" s="387"/>
      <c r="BL257" s="387"/>
      <c r="BM257" s="387"/>
      <c r="BN257" s="387"/>
      <c r="BO257" s="387"/>
      <c r="BP257" s="387"/>
      <c r="BQ257" s="387"/>
      <c r="BR257" s="387"/>
      <c r="BS257" s="387"/>
      <c r="BT257" s="387"/>
      <c r="BU257" s="387"/>
      <c r="BV257" s="387"/>
      <c r="BW257" s="387"/>
      <c r="BX257" s="387"/>
      <c r="BY257" s="387"/>
      <c r="BZ257" s="387"/>
      <c r="CA257" s="387"/>
      <c r="CB257" s="387"/>
      <c r="CC257" s="387"/>
      <c r="CD257" s="387"/>
      <c r="CE257" s="387"/>
      <c r="CF257" s="387"/>
      <c r="CG257" s="387"/>
      <c r="CH257" s="387"/>
      <c r="CI257" s="387"/>
      <c r="CJ257" s="387"/>
      <c r="CK257" s="387"/>
      <c r="CL257" s="387"/>
      <c r="CM257" s="387"/>
      <c r="CN257" s="387"/>
      <c r="CO257" s="387"/>
      <c r="CP257" s="387"/>
      <c r="CQ257" s="387"/>
      <c r="CR257" s="387"/>
      <c r="CS257" s="387"/>
      <c r="CT257" s="387"/>
      <c r="CU257" s="387"/>
      <c r="CV257" s="387"/>
      <c r="CW257" s="387"/>
      <c r="CX257" s="387"/>
      <c r="CY257" s="387"/>
      <c r="CZ257" s="387"/>
      <c r="DA257" s="387"/>
      <c r="DB257" s="387"/>
      <c r="DC257" s="387"/>
      <c r="DD257" s="387"/>
      <c r="DE257" s="387"/>
      <c r="DF257" s="387"/>
      <c r="DG257" s="387"/>
      <c r="DH257" s="387"/>
      <c r="DI257" s="387"/>
      <c r="DJ257" s="387"/>
      <c r="DK257" s="387"/>
      <c r="DL257" s="387"/>
      <c r="DM257" s="387"/>
      <c r="DN257" s="387"/>
      <c r="DO257" s="387"/>
      <c r="DP257" s="387"/>
      <c r="DQ257" s="387"/>
      <c r="DR257" s="387"/>
      <c r="DS257" s="387"/>
      <c r="DT257" s="387"/>
      <c r="DU257" s="387"/>
      <c r="DV257" s="387"/>
      <c r="DW257" s="387"/>
      <c r="DX257" s="387"/>
      <c r="DY257" s="387"/>
      <c r="DZ257" s="387"/>
      <c r="EA257" s="387"/>
      <c r="EB257" s="387"/>
      <c r="EC257" s="387"/>
      <c r="ED257" s="387"/>
      <c r="EE257" s="387"/>
      <c r="EF257" s="387"/>
      <c r="EG257" s="387"/>
      <c r="EH257" s="387"/>
      <c r="EI257" s="387"/>
      <c r="EJ257" s="387"/>
      <c r="EK257" s="387"/>
      <c r="EL257" s="387"/>
      <c r="EM257" s="387"/>
      <c r="EN257" s="387"/>
      <c r="EO257" s="387"/>
      <c r="EP257" s="387"/>
      <c r="EQ257" s="387"/>
      <c r="ER257" s="387"/>
      <c r="ES257" s="387"/>
      <c r="ET257" s="387"/>
      <c r="EU257" s="387"/>
      <c r="EV257" s="387"/>
      <c r="EW257" s="387"/>
      <c r="EX257" s="387"/>
      <c r="EY257" s="387"/>
      <c r="EZ257" s="387"/>
      <c r="FA257" s="387"/>
      <c r="FB257" s="387"/>
      <c r="FC257" s="387"/>
      <c r="FD257" s="387"/>
      <c r="FE257" s="387"/>
      <c r="FF257" s="387"/>
      <c r="FG257" s="387"/>
      <c r="FH257" s="387"/>
      <c r="FI257" s="387"/>
      <c r="FJ257" s="387"/>
      <c r="FK257" s="387"/>
      <c r="FL257" s="387"/>
      <c r="FM257" s="387"/>
      <c r="FN257" s="387"/>
      <c r="FO257" s="387"/>
      <c r="FP257" s="387"/>
      <c r="FQ257" s="387"/>
      <c r="FR257" s="387"/>
      <c r="FS257" s="387"/>
      <c r="FT257" s="387"/>
      <c r="FU257" s="387"/>
      <c r="FV257" s="387"/>
      <c r="FW257" s="387"/>
      <c r="FX257" s="387"/>
      <c r="FY257" s="387"/>
      <c r="FZ257" s="387"/>
      <c r="GA257" s="387"/>
      <c r="GB257" s="387"/>
      <c r="GC257" s="387"/>
      <c r="GD257" s="387"/>
      <c r="GE257" s="387"/>
      <c r="GF257" s="387"/>
      <c r="GG257" s="387"/>
      <c r="GH257" s="387"/>
      <c r="GI257" s="387"/>
      <c r="GJ257" s="387"/>
      <c r="GK257" s="387"/>
      <c r="GL257" s="387"/>
      <c r="GM257" s="387"/>
      <c r="GN257" s="387"/>
      <c r="GO257" s="387"/>
      <c r="GP257" s="387"/>
      <c r="GQ257" s="387"/>
      <c r="GR257" s="387"/>
      <c r="GS257" s="387"/>
      <c r="GT257" s="387"/>
      <c r="GU257" s="387"/>
      <c r="GV257" s="387"/>
      <c r="GW257" s="387"/>
      <c r="GX257" s="387"/>
      <c r="GY257" s="387"/>
      <c r="GZ257" s="387"/>
      <c r="HA257" s="387"/>
      <c r="HB257" s="387"/>
      <c r="HC257" s="387"/>
      <c r="HD257" s="387"/>
      <c r="HE257" s="387"/>
      <c r="HF257" s="387"/>
      <c r="HG257" s="387"/>
      <c r="HH257" s="387"/>
      <c r="HI257" s="387"/>
      <c r="HJ257" s="387"/>
      <c r="HK257" s="387"/>
      <c r="HL257" s="387"/>
      <c r="HM257" s="387"/>
      <c r="HN257" s="387"/>
      <c r="HO257" s="387"/>
      <c r="HP257" s="387"/>
      <c r="HQ257" s="387"/>
      <c r="HR257" s="387"/>
      <c r="HS257" s="387"/>
      <c r="HT257" s="387"/>
      <c r="HU257" s="387"/>
      <c r="HV257" s="387"/>
      <c r="HW257" s="387"/>
      <c r="HX257" s="387"/>
      <c r="HY257" s="387"/>
      <c r="HZ257" s="387"/>
      <c r="IA257" s="387"/>
      <c r="IB257" s="387"/>
      <c r="IC257" s="387"/>
      <c r="ID257" s="387"/>
      <c r="IE257" s="387"/>
      <c r="IF257" s="387"/>
      <c r="IG257" s="387"/>
      <c r="IH257" s="387"/>
      <c r="II257" s="387"/>
      <c r="IJ257" s="387"/>
      <c r="IK257" s="387"/>
      <c r="IL257" s="387"/>
      <c r="IM257" s="387"/>
      <c r="IN257" s="387"/>
      <c r="IO257" s="387"/>
      <c r="IP257" s="387"/>
      <c r="IQ257" s="387"/>
      <c r="IR257" s="387"/>
      <c r="IS257" s="387"/>
      <c r="IT257" s="387"/>
      <c r="IU257" s="387"/>
      <c r="IV257" s="387"/>
      <c r="IW257" s="387"/>
      <c r="IX257" s="387"/>
      <c r="IY257" s="387"/>
      <c r="IZ257" s="387"/>
      <c r="JA257" s="387"/>
      <c r="JB257" s="387"/>
      <c r="JC257" s="387"/>
      <c r="JD257" s="387"/>
      <c r="JE257" s="387"/>
      <c r="JF257" s="387"/>
      <c r="JG257" s="387"/>
      <c r="JH257" s="387"/>
      <c r="JI257" s="387"/>
      <c r="JJ257" s="387"/>
      <c r="JK257" s="387"/>
      <c r="JL257" s="387"/>
      <c r="JM257" s="387"/>
      <c r="JN257" s="387"/>
      <c r="JO257" s="387"/>
      <c r="JP257" s="387"/>
      <c r="JQ257" s="387"/>
      <c r="JR257" s="387"/>
      <c r="JS257" s="387"/>
      <c r="JT257" s="387"/>
      <c r="JU257" s="387"/>
      <c r="JV257" s="387"/>
      <c r="JW257" s="387"/>
      <c r="JX257" s="387"/>
      <c r="JY257" s="387"/>
      <c r="JZ257" s="387"/>
      <c r="KA257" s="387"/>
      <c r="KB257" s="387"/>
      <c r="KC257" s="387"/>
      <c r="KD257" s="387"/>
      <c r="KE257" s="387"/>
      <c r="KF257" s="387"/>
      <c r="KG257" s="387"/>
      <c r="KH257" s="387"/>
      <c r="KI257" s="387"/>
      <c r="KJ257" s="387"/>
      <c r="KK257" s="387"/>
      <c r="KL257" s="387"/>
      <c r="KM257" s="387"/>
      <c r="KN257" s="387"/>
      <c r="KO257" s="387"/>
      <c r="KP257" s="387"/>
      <c r="KQ257" s="387"/>
      <c r="KR257" s="387"/>
      <c r="KS257" s="387"/>
      <c r="KT257" s="387"/>
      <c r="KU257" s="387"/>
      <c r="KV257" s="387"/>
      <c r="KW257" s="387"/>
      <c r="KX257" s="387"/>
      <c r="KY257" s="387"/>
      <c r="KZ257" s="387"/>
      <c r="LA257" s="387"/>
      <c r="LB257" s="387"/>
      <c r="LC257" s="387"/>
      <c r="LD257" s="387"/>
      <c r="LE257" s="387"/>
      <c r="LF257" s="387"/>
      <c r="LG257" s="387"/>
      <c r="LH257" s="387"/>
      <c r="LI257" s="387"/>
      <c r="LJ257" s="387"/>
      <c r="LK257" s="387"/>
      <c r="LL257" s="387"/>
      <c r="LM257" s="387"/>
      <c r="LN257" s="387"/>
      <c r="LO257" s="387"/>
      <c r="LP257" s="387"/>
      <c r="LQ257" s="387"/>
      <c r="LR257" s="387"/>
      <c r="LS257" s="387"/>
      <c r="LT257" s="387"/>
      <c r="LU257" s="387"/>
      <c r="LV257" s="387"/>
      <c r="LW257" s="387"/>
      <c r="LX257" s="387"/>
      <c r="LY257" s="387"/>
      <c r="LZ257" s="387"/>
      <c r="MA257" s="387"/>
      <c r="MB257" s="387"/>
      <c r="MC257" s="387"/>
      <c r="MD257" s="387"/>
      <c r="ME257" s="387"/>
      <c r="MF257" s="387"/>
      <c r="MG257" s="387"/>
      <c r="MH257" s="387"/>
      <c r="MI257" s="387"/>
      <c r="MJ257" s="387"/>
      <c r="MK257" s="387"/>
      <c r="ML257" s="387"/>
      <c r="MM257" s="387"/>
      <c r="MN257" s="387"/>
      <c r="MO257" s="387"/>
      <c r="MP257" s="387"/>
      <c r="MQ257" s="387"/>
      <c r="MR257" s="387"/>
      <c r="MS257" s="387"/>
      <c r="MT257" s="387"/>
      <c r="MU257" s="387"/>
      <c r="MV257" s="387"/>
      <c r="MW257" s="387"/>
      <c r="MX257" s="387"/>
      <c r="MY257" s="387"/>
      <c r="MZ257" s="387"/>
      <c r="NA257" s="387"/>
      <c r="NB257" s="387"/>
      <c r="NC257" s="387"/>
      <c r="ND257" s="387"/>
      <c r="NE257" s="387"/>
      <c r="NF257" s="387"/>
      <c r="NG257" s="387"/>
      <c r="NH257" s="387"/>
      <c r="NI257" s="387"/>
      <c r="NJ257" s="387"/>
      <c r="NK257" s="387"/>
      <c r="NL257" s="387"/>
      <c r="NM257" s="387"/>
      <c r="NN257" s="387"/>
      <c r="NO257" s="387"/>
      <c r="NP257" s="387"/>
      <c r="NQ257" s="387"/>
      <c r="NR257" s="387"/>
      <c r="NS257" s="387"/>
      <c r="NT257" s="387"/>
      <c r="NU257" s="387"/>
      <c r="NV257" s="387"/>
      <c r="NW257" s="387"/>
      <c r="NX257" s="387"/>
      <c r="NY257" s="387"/>
      <c r="NZ257" s="387"/>
      <c r="OA257" s="387"/>
      <c r="OB257" s="387"/>
      <c r="OC257" s="387"/>
      <c r="OD257" s="387"/>
      <c r="OE257" s="387"/>
      <c r="OF257" s="387"/>
      <c r="OG257" s="387"/>
      <c r="OH257" s="387"/>
      <c r="OI257" s="387"/>
      <c r="OJ257" s="387"/>
      <c r="OK257" s="387"/>
      <c r="OL257" s="387"/>
      <c r="OM257" s="387"/>
      <c r="ON257" s="387"/>
      <c r="OO257" s="387"/>
      <c r="OP257" s="387"/>
      <c r="OQ257" s="387"/>
      <c r="OR257" s="387"/>
      <c r="OS257" s="387"/>
      <c r="OT257" s="387"/>
      <c r="OU257" s="387"/>
      <c r="OV257" s="387"/>
      <c r="OW257" s="387"/>
      <c r="OX257" s="387"/>
      <c r="OY257" s="387"/>
      <c r="OZ257" s="387"/>
      <c r="PA257" s="387"/>
      <c r="PB257" s="387"/>
      <c r="PC257" s="387"/>
      <c r="PD257" s="387"/>
      <c r="PE257" s="387"/>
      <c r="PF257" s="387"/>
      <c r="PG257" s="387"/>
      <c r="PH257" s="387"/>
      <c r="PI257" s="387"/>
      <c r="PJ257" s="387"/>
      <c r="PK257" s="387"/>
      <c r="PL257" s="387"/>
      <c r="PM257" s="387"/>
      <c r="PN257" s="387"/>
      <c r="PO257" s="387"/>
      <c r="PP257" s="387"/>
      <c r="PQ257" s="387"/>
      <c r="PR257" s="387"/>
      <c r="PS257" s="387"/>
      <c r="PT257" s="387"/>
      <c r="PU257" s="387"/>
      <c r="PV257" s="387"/>
      <c r="PW257" s="387"/>
      <c r="PX257" s="387"/>
      <c r="PY257" s="387"/>
      <c r="PZ257" s="387"/>
      <c r="QA257" s="387"/>
      <c r="QB257" s="387"/>
      <c r="QC257" s="387"/>
      <c r="QD257" s="387"/>
      <c r="QE257" s="387"/>
      <c r="QF257" s="387"/>
      <c r="QG257" s="387"/>
      <c r="QH257" s="387"/>
      <c r="QI257" s="387"/>
      <c r="QJ257" s="387"/>
      <c r="QK257" s="387"/>
      <c r="QL257" s="387"/>
      <c r="QM257" s="387"/>
      <c r="QN257" s="387"/>
      <c r="QO257" s="387"/>
      <c r="QP257" s="387"/>
      <c r="QQ257" s="387"/>
      <c r="QR257" s="387"/>
      <c r="QS257" s="387"/>
      <c r="QT257" s="387"/>
      <c r="QU257" s="387"/>
      <c r="QV257" s="387"/>
      <c r="QW257" s="387"/>
      <c r="QX257" s="387"/>
      <c r="QY257" s="387"/>
      <c r="QZ257" s="387"/>
      <c r="RA257" s="387"/>
      <c r="RB257" s="387"/>
      <c r="RC257" s="387"/>
      <c r="RD257" s="387"/>
      <c r="RE257" s="387"/>
      <c r="RF257" s="387"/>
      <c r="RG257" s="387"/>
      <c r="RH257" s="387"/>
      <c r="RI257" s="387"/>
      <c r="RJ257" s="387"/>
      <c r="RK257" s="387"/>
      <c r="RL257" s="387"/>
      <c r="RM257" s="387"/>
      <c r="RN257" s="387"/>
      <c r="RO257" s="387"/>
      <c r="RP257" s="387"/>
      <c r="RQ257" s="387"/>
      <c r="RR257" s="387"/>
      <c r="RS257" s="387"/>
      <c r="RT257" s="387"/>
      <c r="RU257" s="387"/>
      <c r="RV257" s="387"/>
      <c r="RW257" s="387"/>
      <c r="RX257" s="387"/>
      <c r="RY257" s="387"/>
      <c r="RZ257" s="387"/>
      <c r="SA257" s="387"/>
      <c r="SB257" s="387"/>
      <c r="SC257" s="387"/>
      <c r="SD257" s="387"/>
      <c r="SE257" s="387"/>
      <c r="SF257" s="387"/>
      <c r="SG257" s="387"/>
      <c r="SH257" s="387"/>
      <c r="SI257" s="387"/>
      <c r="SJ257" s="387"/>
      <c r="SK257" s="387"/>
      <c r="SL257" s="387"/>
      <c r="SM257" s="387"/>
      <c r="SN257" s="387"/>
      <c r="SO257" s="387"/>
      <c r="SP257" s="387"/>
      <c r="SQ257" s="387"/>
      <c r="SR257" s="387"/>
      <c r="SS257" s="387"/>
      <c r="ST257" s="387"/>
      <c r="SU257" s="387"/>
      <c r="SV257" s="387"/>
      <c r="SW257" s="387"/>
      <c r="SX257" s="387"/>
      <c r="SY257" s="387"/>
      <c r="SZ257" s="387"/>
      <c r="TA257" s="387"/>
      <c r="TB257" s="387"/>
      <c r="TC257" s="387"/>
      <c r="TD257" s="387"/>
      <c r="TE257" s="387"/>
      <c r="TF257" s="387"/>
      <c r="TG257" s="387"/>
      <c r="TH257" s="387"/>
      <c r="TI257" s="387"/>
      <c r="TJ257" s="387"/>
      <c r="TK257" s="387"/>
      <c r="TL257" s="387"/>
      <c r="TM257" s="387"/>
      <c r="TN257" s="387"/>
      <c r="TO257" s="387"/>
      <c r="TP257" s="387"/>
      <c r="TQ257" s="387"/>
      <c r="TR257" s="387"/>
      <c r="TS257" s="387"/>
      <c r="TT257" s="387"/>
      <c r="TU257" s="387"/>
      <c r="TV257" s="387"/>
      <c r="TW257" s="387"/>
      <c r="TX257" s="387"/>
      <c r="TY257" s="387"/>
      <c r="TZ257" s="387"/>
      <c r="UA257" s="387"/>
      <c r="UB257" s="387"/>
      <c r="UC257" s="387"/>
      <c r="UD257" s="387"/>
      <c r="UE257" s="387"/>
      <c r="UF257" s="387"/>
      <c r="UG257" s="387"/>
      <c r="UH257" s="387"/>
      <c r="UI257" s="387"/>
      <c r="UJ257" s="387"/>
      <c r="UK257" s="387"/>
      <c r="UL257" s="387"/>
      <c r="UM257" s="387"/>
      <c r="UN257" s="387"/>
      <c r="UO257" s="387"/>
      <c r="UP257" s="387"/>
      <c r="UQ257" s="387"/>
      <c r="UR257" s="387"/>
      <c r="US257" s="387"/>
      <c r="UT257" s="387"/>
      <c r="UU257" s="387"/>
      <c r="UV257" s="387"/>
      <c r="UW257" s="387"/>
      <c r="UX257" s="387"/>
      <c r="UY257" s="387"/>
      <c r="UZ257" s="387"/>
      <c r="VA257" s="387"/>
      <c r="VB257" s="387"/>
      <c r="VC257" s="387"/>
      <c r="VD257" s="387"/>
      <c r="VE257" s="387"/>
      <c r="VF257" s="387"/>
      <c r="VG257" s="387"/>
      <c r="VH257" s="387"/>
      <c r="VI257" s="387"/>
      <c r="VJ257" s="387"/>
      <c r="VK257" s="387"/>
      <c r="VL257" s="387"/>
      <c r="VM257" s="387"/>
      <c r="VN257" s="387"/>
      <c r="VO257" s="387"/>
      <c r="VP257" s="387"/>
      <c r="VQ257" s="387"/>
      <c r="VR257" s="387"/>
      <c r="VS257" s="387"/>
      <c r="VT257" s="387"/>
      <c r="VU257" s="387"/>
      <c r="VV257" s="387"/>
      <c r="VW257" s="387"/>
      <c r="VX257" s="387"/>
      <c r="VY257" s="387"/>
      <c r="VZ257" s="387"/>
      <c r="WA257" s="387"/>
      <c r="WB257" s="387"/>
      <c r="WC257" s="387"/>
      <c r="WD257" s="387"/>
      <c r="WE257" s="387"/>
      <c r="WF257" s="387"/>
      <c r="WG257" s="387"/>
      <c r="WH257" s="387"/>
      <c r="WI257" s="387"/>
      <c r="WJ257" s="387"/>
      <c r="WK257" s="387"/>
      <c r="WL257" s="387"/>
      <c r="WM257" s="387"/>
      <c r="WN257" s="387"/>
      <c r="WO257" s="387"/>
      <c r="WP257" s="387"/>
      <c r="WQ257" s="387"/>
      <c r="WR257" s="387"/>
      <c r="WS257" s="387"/>
      <c r="WT257" s="387"/>
      <c r="WU257" s="387"/>
      <c r="WV257" s="387"/>
      <c r="WW257" s="387"/>
      <c r="WX257" s="387"/>
      <c r="WY257" s="387"/>
      <c r="WZ257" s="387"/>
      <c r="XA257" s="387"/>
      <c r="XB257" s="387"/>
      <c r="XC257" s="387"/>
      <c r="XD257" s="387"/>
      <c r="XE257" s="387"/>
      <c r="XF257" s="387"/>
      <c r="XG257" s="387"/>
      <c r="XH257" s="387"/>
      <c r="XI257" s="387"/>
      <c r="XJ257" s="387"/>
      <c r="XK257" s="387"/>
      <c r="XL257" s="387"/>
      <c r="XM257" s="387"/>
      <c r="XN257" s="387"/>
      <c r="XO257" s="387"/>
      <c r="XP257" s="387"/>
      <c r="XQ257" s="387"/>
      <c r="XR257" s="387"/>
      <c r="XS257" s="387"/>
      <c r="XT257" s="387"/>
      <c r="XU257" s="387"/>
      <c r="XV257" s="387"/>
      <c r="XW257" s="387"/>
      <c r="XX257" s="387"/>
      <c r="XY257" s="387"/>
      <c r="XZ257" s="387"/>
      <c r="YA257" s="387"/>
      <c r="YB257" s="387"/>
      <c r="YC257" s="387"/>
      <c r="YD257" s="387"/>
      <c r="YE257" s="387"/>
      <c r="YF257" s="387"/>
      <c r="YG257" s="387"/>
      <c r="YH257" s="387"/>
      <c r="YI257" s="387"/>
      <c r="YJ257" s="387"/>
      <c r="YK257" s="387"/>
      <c r="YL257" s="387"/>
      <c r="YM257" s="387"/>
      <c r="YN257" s="387"/>
      <c r="YO257" s="387"/>
      <c r="YP257" s="387"/>
      <c r="YQ257" s="387"/>
      <c r="YR257" s="387"/>
      <c r="YS257" s="387"/>
      <c r="YT257" s="387"/>
      <c r="YU257" s="387"/>
      <c r="YV257" s="387"/>
      <c r="YW257" s="387"/>
      <c r="YX257" s="387"/>
      <c r="YY257" s="387"/>
      <c r="YZ257" s="387"/>
      <c r="ZA257" s="387"/>
      <c r="ZB257" s="387"/>
      <c r="ZC257" s="387"/>
      <c r="ZD257" s="387"/>
      <c r="ZE257" s="387"/>
      <c r="ZF257" s="387"/>
      <c r="ZG257" s="387"/>
      <c r="ZH257" s="387"/>
      <c r="ZI257" s="387"/>
      <c r="ZJ257" s="387"/>
      <c r="ZK257" s="387"/>
      <c r="ZL257" s="387"/>
      <c r="ZM257" s="387"/>
      <c r="ZN257" s="387"/>
      <c r="ZO257" s="387"/>
      <c r="ZP257" s="387"/>
      <c r="ZQ257" s="387"/>
      <c r="ZR257" s="387"/>
      <c r="ZS257" s="387"/>
      <c r="ZT257" s="387"/>
      <c r="ZU257" s="387"/>
      <c r="ZV257" s="387"/>
      <c r="ZW257" s="387"/>
      <c r="ZX257" s="387"/>
      <c r="ZY257" s="387"/>
      <c r="ZZ257" s="387"/>
      <c r="AAA257" s="387"/>
      <c r="AAB257" s="387"/>
      <c r="AAC257" s="387"/>
      <c r="AAD257" s="387"/>
      <c r="AAE257" s="387"/>
      <c r="AAF257" s="387"/>
      <c r="AAG257" s="387"/>
      <c r="AAH257" s="387"/>
      <c r="AAI257" s="387"/>
      <c r="AAJ257" s="387"/>
      <c r="AAK257" s="387"/>
      <c r="AAL257" s="387"/>
      <c r="AAM257" s="387"/>
      <c r="AAN257" s="387"/>
      <c r="AAO257" s="387"/>
      <c r="AAP257" s="387"/>
      <c r="AAQ257" s="387"/>
      <c r="AAR257" s="387"/>
      <c r="AAS257" s="387"/>
      <c r="AAT257" s="387"/>
      <c r="AAU257" s="387"/>
      <c r="AAV257" s="387"/>
      <c r="AAW257" s="387"/>
      <c r="AAX257" s="387"/>
      <c r="AAY257" s="387"/>
      <c r="AAZ257" s="387"/>
      <c r="ABA257" s="387"/>
      <c r="ABB257" s="387"/>
      <c r="ABC257" s="387"/>
      <c r="ABD257" s="387"/>
      <c r="ABE257" s="387"/>
      <c r="ABF257" s="387"/>
      <c r="ABG257" s="387"/>
      <c r="ABH257" s="387"/>
      <c r="ABI257" s="387"/>
      <c r="ABJ257" s="387"/>
      <c r="ABK257" s="387"/>
      <c r="ABL257" s="387"/>
      <c r="ABM257" s="387"/>
      <c r="ABN257" s="387"/>
      <c r="ABO257" s="387"/>
      <c r="ABP257" s="387"/>
      <c r="ABQ257" s="387"/>
      <c r="ABR257" s="387"/>
      <c r="ABS257" s="387"/>
      <c r="ABT257" s="387"/>
      <c r="ABU257" s="387"/>
      <c r="ABV257" s="387"/>
      <c r="ABW257" s="387"/>
      <c r="ABX257" s="387"/>
      <c r="ABY257" s="387"/>
      <c r="ABZ257" s="387"/>
      <c r="ACA257" s="387"/>
      <c r="ACB257" s="387"/>
      <c r="ACC257" s="387"/>
      <c r="ACD257" s="387"/>
      <c r="ACE257" s="387"/>
      <c r="ACF257" s="387"/>
      <c r="ACG257" s="387"/>
      <c r="ACH257" s="387"/>
      <c r="ACI257" s="387"/>
      <c r="ACJ257" s="387"/>
      <c r="ACK257" s="387"/>
      <c r="ACL257" s="387"/>
      <c r="ACM257" s="387"/>
      <c r="ACN257" s="387"/>
      <c r="ACO257" s="387"/>
      <c r="ACP257" s="387"/>
      <c r="ACQ257" s="387"/>
      <c r="ACR257" s="387"/>
      <c r="ACS257" s="387"/>
      <c r="ACT257" s="387"/>
      <c r="ACU257" s="387"/>
      <c r="ACV257" s="387"/>
      <c r="ACW257" s="387"/>
      <c r="ACX257" s="387"/>
      <c r="ACY257" s="387"/>
      <c r="ACZ257" s="387"/>
      <c r="ADA257" s="387"/>
      <c r="ADB257" s="387"/>
      <c r="ADC257" s="387"/>
      <c r="ADD257" s="387"/>
      <c r="ADE257" s="387"/>
      <c r="ADF257" s="387"/>
      <c r="ADG257" s="387"/>
      <c r="ADH257" s="387"/>
      <c r="ADI257" s="387"/>
      <c r="ADJ257" s="387"/>
      <c r="ADK257" s="387"/>
      <c r="ADL257" s="387"/>
      <c r="ADM257" s="387"/>
      <c r="ADN257" s="387"/>
      <c r="ADO257" s="387"/>
      <c r="ADP257" s="387"/>
      <c r="ADQ257" s="387"/>
      <c r="ADR257" s="387"/>
      <c r="ADS257" s="387"/>
      <c r="ADT257" s="387"/>
      <c r="ADU257" s="387"/>
      <c r="ADV257" s="387"/>
      <c r="ADW257" s="387"/>
      <c r="ADX257" s="387"/>
      <c r="ADY257" s="387"/>
      <c r="ADZ257" s="387"/>
      <c r="AEA257" s="387"/>
      <c r="AEB257" s="387"/>
      <c r="AEC257" s="387"/>
      <c r="AED257" s="387"/>
      <c r="AEE257" s="387"/>
      <c r="AEF257" s="387"/>
      <c r="AEG257" s="387"/>
      <c r="AEH257" s="387"/>
      <c r="AEI257" s="387"/>
      <c r="AEJ257" s="387"/>
      <c r="AEK257" s="387"/>
      <c r="AEL257" s="387"/>
      <c r="AEM257" s="387"/>
      <c r="AEN257" s="387"/>
      <c r="AEO257" s="387"/>
      <c r="AEP257" s="387"/>
      <c r="AEQ257" s="387"/>
      <c r="AER257" s="387"/>
      <c r="AES257" s="387"/>
      <c r="AET257" s="387"/>
      <c r="AEU257" s="387"/>
      <c r="AEV257" s="387"/>
      <c r="AEW257" s="387"/>
      <c r="AEX257" s="387"/>
      <c r="AEY257" s="387"/>
      <c r="AEZ257" s="387"/>
      <c r="AFA257" s="387"/>
      <c r="AFB257" s="387"/>
      <c r="AFC257" s="387"/>
      <c r="AFD257" s="387"/>
      <c r="AFE257" s="387"/>
      <c r="AFF257" s="387"/>
      <c r="AFG257" s="387"/>
      <c r="AFH257" s="387"/>
      <c r="AFI257" s="387"/>
      <c r="AFJ257" s="387"/>
      <c r="AFK257" s="387"/>
      <c r="AFL257" s="387"/>
      <c r="AFM257" s="387"/>
      <c r="AFN257" s="387"/>
      <c r="AFO257" s="387"/>
      <c r="AFP257" s="387"/>
      <c r="AFQ257" s="387"/>
      <c r="AFR257" s="387"/>
      <c r="AFS257" s="387"/>
      <c r="AFT257" s="387"/>
      <c r="AFU257" s="387"/>
      <c r="AFV257" s="387"/>
      <c r="AFW257" s="387"/>
      <c r="AFX257" s="387"/>
      <c r="AFY257" s="387"/>
      <c r="AFZ257" s="387"/>
      <c r="AGA257" s="387"/>
      <c r="AGB257" s="387"/>
      <c r="AGC257" s="387"/>
      <c r="AGD257" s="387"/>
      <c r="AGE257" s="387"/>
      <c r="AGF257" s="387"/>
      <c r="AGG257" s="387"/>
      <c r="AGH257" s="387"/>
      <c r="AGI257" s="387"/>
      <c r="AGJ257" s="387"/>
      <c r="AGK257" s="387"/>
      <c r="AGL257" s="387"/>
      <c r="AGM257" s="387"/>
      <c r="AGN257" s="387"/>
      <c r="AGO257" s="387"/>
      <c r="AGP257" s="387"/>
      <c r="AGQ257" s="387"/>
      <c r="AGR257" s="387"/>
      <c r="AGS257" s="387"/>
      <c r="AGT257" s="387"/>
      <c r="AGU257" s="387"/>
      <c r="AGV257" s="387"/>
      <c r="AGW257" s="387"/>
      <c r="AGX257" s="387"/>
      <c r="AGY257" s="387"/>
      <c r="AGZ257" s="387"/>
      <c r="AHA257" s="387"/>
      <c r="AHB257" s="387"/>
      <c r="AHC257" s="387"/>
      <c r="AHD257" s="387"/>
      <c r="AHE257" s="387"/>
      <c r="AHF257" s="387"/>
      <c r="AHG257" s="387"/>
      <c r="AHH257" s="387"/>
      <c r="AHI257" s="387"/>
      <c r="AHJ257" s="387"/>
      <c r="AHK257" s="387"/>
      <c r="AHL257" s="387"/>
      <c r="AHM257" s="387"/>
      <c r="AHN257" s="387"/>
      <c r="AHO257" s="387"/>
      <c r="AHP257" s="387"/>
      <c r="AHQ257" s="387"/>
      <c r="AHR257" s="387"/>
      <c r="AHS257" s="387"/>
      <c r="AHT257" s="387"/>
      <c r="AHU257" s="387"/>
      <c r="AHV257" s="387"/>
      <c r="AHW257" s="387"/>
      <c r="AHX257" s="387"/>
      <c r="AHY257" s="387"/>
      <c r="AHZ257" s="387"/>
      <c r="AIA257" s="387"/>
      <c r="AIB257" s="387"/>
      <c r="AIC257" s="387"/>
      <c r="AID257" s="387"/>
      <c r="AIE257" s="387"/>
      <c r="AIF257" s="387"/>
      <c r="AIG257" s="387"/>
      <c r="AIH257" s="387"/>
      <c r="AII257" s="387"/>
      <c r="AIJ257" s="387"/>
      <c r="AIK257" s="387"/>
      <c r="AIL257" s="387"/>
      <c r="AIM257" s="387"/>
      <c r="AIN257" s="387"/>
      <c r="AIO257" s="387"/>
      <c r="AIP257" s="387"/>
      <c r="AIQ257" s="387"/>
      <c r="AIR257" s="387"/>
      <c r="AIS257" s="387"/>
      <c r="AIT257" s="387"/>
      <c r="AIU257" s="387"/>
      <c r="AIV257" s="387"/>
      <c r="AIW257" s="387"/>
      <c r="AIX257" s="387"/>
      <c r="AIY257" s="387"/>
      <c r="AIZ257" s="387"/>
      <c r="AJA257" s="387"/>
      <c r="AJB257" s="387"/>
      <c r="AJC257" s="387"/>
      <c r="AJD257" s="387"/>
      <c r="AJE257" s="387"/>
      <c r="AJF257" s="387"/>
      <c r="AJG257" s="387"/>
      <c r="AJH257" s="387"/>
      <c r="AJI257" s="387"/>
      <c r="AJJ257" s="387"/>
      <c r="AJK257" s="387"/>
      <c r="AJL257" s="387"/>
      <c r="AJM257" s="387"/>
      <c r="AJN257" s="387"/>
      <c r="AJO257" s="387"/>
      <c r="AJP257" s="387"/>
      <c r="AJQ257" s="387"/>
      <c r="AJR257" s="387"/>
      <c r="AJS257" s="387"/>
      <c r="AJT257" s="387"/>
      <c r="AJU257" s="387"/>
      <c r="AJV257" s="387"/>
      <c r="AJW257" s="387"/>
      <c r="AJX257" s="387"/>
      <c r="AJY257" s="387"/>
      <c r="AJZ257" s="387"/>
      <c r="AKA257" s="387"/>
      <c r="AKB257" s="387"/>
      <c r="AKC257" s="387"/>
      <c r="AKD257" s="387"/>
      <c r="AKE257" s="387"/>
      <c r="AKF257" s="387"/>
      <c r="AKG257" s="387"/>
      <c r="AKH257" s="387"/>
      <c r="AKI257" s="387"/>
      <c r="AKJ257" s="387"/>
      <c r="AKK257" s="387"/>
      <c r="AKL257" s="387"/>
      <c r="AKM257" s="387"/>
      <c r="AKN257" s="387"/>
      <c r="AKO257" s="387"/>
      <c r="AKP257" s="387"/>
      <c r="AKQ257" s="387"/>
      <c r="AKR257" s="387"/>
      <c r="AKS257" s="387"/>
      <c r="AKT257" s="387"/>
      <c r="AKU257" s="387"/>
      <c r="AKV257" s="387"/>
      <c r="AKW257" s="387"/>
      <c r="AKX257" s="387"/>
      <c r="AKY257" s="387"/>
      <c r="AKZ257" s="387"/>
      <c r="ALA257" s="387"/>
      <c r="ALB257" s="387"/>
      <c r="ALC257" s="387"/>
      <c r="ALD257" s="387"/>
      <c r="ALE257" s="387"/>
      <c r="ALF257" s="387"/>
      <c r="ALG257" s="387"/>
      <c r="ALH257" s="387"/>
      <c r="ALI257" s="387"/>
      <c r="ALJ257" s="387"/>
      <c r="ALK257" s="387"/>
      <c r="ALL257" s="387"/>
      <c r="ALM257" s="387"/>
      <c r="ALN257" s="387"/>
      <c r="ALO257" s="387"/>
      <c r="ALP257" s="387"/>
      <c r="ALQ257" s="387"/>
      <c r="ALR257" s="387"/>
      <c r="ALS257" s="387"/>
      <c r="ALT257" s="387"/>
      <c r="ALU257" s="387"/>
      <c r="ALV257" s="387"/>
      <c r="ALW257" s="387"/>
      <c r="ALX257" s="387"/>
      <c r="ALY257" s="387"/>
      <c r="ALZ257" s="387"/>
      <c r="AMA257" s="387"/>
      <c r="AMB257" s="387"/>
      <c r="AMC257" s="387"/>
      <c r="AMD257" s="387"/>
      <c r="AME257" s="387"/>
      <c r="AMF257" s="387"/>
      <c r="AMG257" s="387"/>
      <c r="AMH257" s="387"/>
      <c r="AMI257" s="387"/>
      <c r="AMJ257" s="387"/>
      <c r="AMK257" s="387"/>
      <c r="AML257" s="387"/>
      <c r="AMM257" s="387"/>
      <c r="AMN257" s="387"/>
      <c r="AMO257" s="387"/>
      <c r="AMP257" s="387"/>
      <c r="AMQ257" s="387"/>
      <c r="AMR257" s="387"/>
      <c r="AMS257" s="387"/>
      <c r="AMT257" s="387"/>
      <c r="AMU257" s="387"/>
      <c r="AMV257" s="387"/>
      <c r="AMW257" s="387"/>
      <c r="AMX257" s="387"/>
      <c r="AMY257" s="387"/>
      <c r="AMZ257" s="387"/>
      <c r="ANA257" s="387"/>
      <c r="ANB257" s="387"/>
      <c r="ANC257" s="387"/>
      <c r="AND257" s="387"/>
      <c r="ANE257" s="387"/>
      <c r="ANF257" s="387"/>
      <c r="ANG257" s="387"/>
      <c r="ANH257" s="387"/>
      <c r="ANI257" s="387"/>
      <c r="ANJ257" s="387"/>
      <c r="ANK257" s="387"/>
      <c r="ANL257" s="387"/>
      <c r="ANM257" s="387"/>
      <c r="ANN257" s="387"/>
      <c r="ANO257" s="387"/>
      <c r="ANP257" s="387"/>
      <c r="ANQ257" s="387"/>
      <c r="ANR257" s="387"/>
      <c r="ANS257" s="387"/>
      <c r="ANT257" s="387"/>
      <c r="ANU257" s="387"/>
      <c r="ANV257" s="387"/>
      <c r="ANW257" s="387"/>
      <c r="ANX257" s="387"/>
      <c r="ANY257" s="387"/>
      <c r="ANZ257" s="387"/>
      <c r="AOA257" s="387"/>
      <c r="AOB257" s="387"/>
      <c r="AOC257" s="387"/>
      <c r="AOD257" s="387"/>
      <c r="AOE257" s="387"/>
      <c r="AOF257" s="387"/>
      <c r="AOG257" s="387"/>
      <c r="AOH257" s="387"/>
      <c r="AOI257" s="387"/>
      <c r="AOJ257" s="387"/>
      <c r="AOK257" s="387"/>
      <c r="AOL257" s="387"/>
      <c r="AOM257" s="387"/>
      <c r="AON257" s="387"/>
      <c r="AOO257" s="387"/>
      <c r="AOP257" s="387"/>
      <c r="AOQ257" s="387"/>
      <c r="AOR257" s="387"/>
      <c r="AOS257" s="387"/>
      <c r="AOT257" s="387"/>
      <c r="AOU257" s="387"/>
      <c r="AOV257" s="387"/>
      <c r="AOW257" s="387"/>
      <c r="AOX257" s="387"/>
      <c r="AOY257" s="387"/>
      <c r="AOZ257" s="387"/>
      <c r="APA257" s="387"/>
      <c r="APB257" s="387"/>
      <c r="APC257" s="387"/>
      <c r="APD257" s="387"/>
      <c r="APE257" s="387"/>
      <c r="APF257" s="387"/>
      <c r="APG257" s="387"/>
      <c r="APH257" s="387"/>
      <c r="API257" s="387"/>
      <c r="APJ257" s="387"/>
      <c r="APK257" s="387"/>
      <c r="APL257" s="387"/>
      <c r="APM257" s="387"/>
      <c r="APN257" s="387"/>
      <c r="APO257" s="387"/>
      <c r="APP257" s="387"/>
      <c r="APQ257" s="387"/>
      <c r="APR257" s="387"/>
      <c r="APS257" s="387"/>
      <c r="APT257" s="387"/>
      <c r="APU257" s="387"/>
      <c r="APV257" s="387"/>
      <c r="APW257" s="387"/>
      <c r="APX257" s="387"/>
      <c r="APY257" s="387"/>
      <c r="APZ257" s="387"/>
      <c r="AQA257" s="387"/>
      <c r="AQB257" s="387"/>
      <c r="AQC257" s="387"/>
      <c r="AQD257" s="387"/>
      <c r="AQE257" s="387"/>
      <c r="AQF257" s="387"/>
      <c r="AQG257" s="387"/>
      <c r="AQH257" s="387"/>
      <c r="AQI257" s="387"/>
      <c r="AQJ257" s="387"/>
      <c r="AQK257" s="387"/>
      <c r="AQL257" s="387"/>
      <c r="AQM257" s="387"/>
      <c r="AQN257" s="387"/>
      <c r="AQO257" s="387"/>
      <c r="AQP257" s="387"/>
      <c r="AQQ257" s="387"/>
      <c r="AQR257" s="387"/>
      <c r="AQS257" s="387"/>
      <c r="AQT257" s="387"/>
      <c r="AQU257" s="387"/>
      <c r="AQV257" s="387"/>
      <c r="AQW257" s="387"/>
      <c r="AQX257" s="387"/>
      <c r="AQY257" s="387"/>
      <c r="AQZ257" s="387"/>
      <c r="ARA257" s="387"/>
      <c r="ARB257" s="387"/>
      <c r="ARC257" s="387"/>
      <c r="ARD257" s="387"/>
      <c r="ARE257" s="387"/>
      <c r="ARF257" s="387"/>
      <c r="ARG257" s="387"/>
      <c r="ARH257" s="387"/>
      <c r="ARI257" s="387"/>
      <c r="ARJ257" s="387"/>
      <c r="ARK257" s="387"/>
      <c r="ARL257" s="387"/>
      <c r="ARM257" s="387"/>
      <c r="ARN257" s="387"/>
      <c r="ARO257" s="387"/>
      <c r="ARP257" s="387"/>
      <c r="ARQ257" s="387"/>
      <c r="ARR257" s="387"/>
      <c r="ARS257" s="387"/>
      <c r="ART257" s="387"/>
      <c r="ARU257" s="387"/>
      <c r="ARV257" s="387"/>
      <c r="ARW257" s="387"/>
      <c r="ARX257" s="387"/>
      <c r="ARY257" s="387"/>
      <c r="ARZ257" s="387"/>
      <c r="ASA257" s="387"/>
      <c r="ASB257" s="387"/>
      <c r="ASC257" s="387"/>
      <c r="ASD257" s="387"/>
      <c r="ASE257" s="387"/>
      <c r="ASF257" s="387"/>
      <c r="ASG257" s="387"/>
      <c r="ASH257" s="387"/>
      <c r="ASI257" s="387"/>
      <c r="ASJ257" s="387"/>
      <c r="ASK257" s="387"/>
      <c r="ASL257" s="387"/>
      <c r="ASM257" s="387"/>
      <c r="ASN257" s="387"/>
      <c r="ASO257" s="387"/>
      <c r="ASP257" s="387"/>
      <c r="ASQ257" s="387"/>
      <c r="ASR257" s="387"/>
      <c r="ASS257" s="387"/>
      <c r="AST257" s="387"/>
      <c r="ASU257" s="387"/>
      <c r="ASV257" s="387"/>
      <c r="ASW257" s="387"/>
      <c r="ASX257" s="387"/>
      <c r="ASY257" s="387"/>
      <c r="ASZ257" s="387"/>
      <c r="ATA257" s="387"/>
      <c r="ATB257" s="387"/>
      <c r="ATC257" s="387"/>
      <c r="ATD257" s="387"/>
      <c r="ATE257" s="387"/>
      <c r="ATF257" s="387"/>
      <c r="ATG257" s="387"/>
      <c r="ATH257" s="387"/>
      <c r="ATI257" s="387"/>
      <c r="ATJ257" s="387"/>
      <c r="ATK257" s="387"/>
      <c r="ATL257" s="387"/>
      <c r="ATM257" s="387"/>
      <c r="ATN257" s="387"/>
      <c r="ATO257" s="387"/>
      <c r="ATP257" s="387"/>
      <c r="ATQ257" s="387"/>
      <c r="ATR257" s="387"/>
      <c r="ATS257" s="387"/>
      <c r="ATT257" s="387"/>
      <c r="ATU257" s="387"/>
      <c r="ATV257" s="387"/>
      <c r="ATW257" s="387"/>
      <c r="ATX257" s="387"/>
      <c r="ATY257" s="387"/>
      <c r="ATZ257" s="387"/>
      <c r="AUA257" s="387"/>
      <c r="AUB257" s="387"/>
      <c r="AUC257" s="387"/>
      <c r="AUD257" s="387"/>
      <c r="AUE257" s="387"/>
      <c r="AUF257" s="387"/>
      <c r="AUG257" s="387"/>
      <c r="AUH257" s="387"/>
      <c r="AUI257" s="387"/>
      <c r="AUJ257" s="387"/>
      <c r="AUK257" s="387"/>
      <c r="AUL257" s="387"/>
      <c r="AUM257" s="387"/>
      <c r="AUN257" s="387"/>
      <c r="AUO257" s="387"/>
      <c r="AUP257" s="387"/>
      <c r="AUQ257" s="387"/>
      <c r="AUR257" s="387"/>
      <c r="AUS257" s="387"/>
      <c r="AUT257" s="387"/>
      <c r="AUU257" s="387"/>
      <c r="AUV257" s="387"/>
      <c r="AUW257" s="387"/>
      <c r="AUX257" s="387"/>
      <c r="AUY257" s="387"/>
      <c r="AUZ257" s="387"/>
      <c r="AVA257" s="387"/>
      <c r="AVB257" s="387"/>
      <c r="AVC257" s="387"/>
      <c r="AVD257" s="387"/>
      <c r="AVE257" s="387"/>
      <c r="AVF257" s="387"/>
      <c r="AVG257" s="387"/>
      <c r="AVH257" s="387"/>
      <c r="AVI257" s="387"/>
      <c r="AVJ257" s="387"/>
      <c r="AVK257" s="387"/>
      <c r="AVL257" s="387"/>
      <c r="AVM257" s="387"/>
      <c r="AVN257" s="387"/>
      <c r="AVO257" s="387"/>
      <c r="AVP257" s="387"/>
      <c r="AVQ257" s="387"/>
      <c r="AVR257" s="387"/>
      <c r="AVS257" s="387"/>
      <c r="AVT257" s="387"/>
      <c r="AVU257" s="387"/>
      <c r="AVV257" s="387"/>
      <c r="AVW257" s="387"/>
      <c r="AVX257" s="387"/>
      <c r="AVY257" s="387"/>
      <c r="AVZ257" s="387"/>
      <c r="AWA257" s="387"/>
      <c r="AWB257" s="387"/>
      <c r="AWC257" s="387"/>
      <c r="AWD257" s="387"/>
      <c r="AWE257" s="387"/>
      <c r="AWF257" s="387"/>
      <c r="AWG257" s="387"/>
      <c r="AWH257" s="387"/>
      <c r="AWI257" s="387"/>
      <c r="AWJ257" s="387"/>
      <c r="AWK257" s="387"/>
      <c r="AWL257" s="387"/>
      <c r="AWM257" s="387"/>
      <c r="AWN257" s="387"/>
      <c r="AWO257" s="387"/>
      <c r="AWP257" s="387"/>
      <c r="AWQ257" s="387"/>
      <c r="AWR257" s="387"/>
      <c r="AWS257" s="387"/>
      <c r="AWT257" s="387"/>
      <c r="AWU257" s="387"/>
      <c r="AWV257" s="387"/>
      <c r="AWW257" s="387"/>
      <c r="AWX257" s="387"/>
      <c r="AWY257" s="387"/>
      <c r="AWZ257" s="387"/>
      <c r="AXA257" s="387"/>
      <c r="AXB257" s="387"/>
      <c r="AXC257" s="387"/>
      <c r="AXD257" s="387"/>
      <c r="AXE257" s="387"/>
      <c r="AXF257" s="387"/>
      <c r="AXG257" s="387"/>
      <c r="AXH257" s="387"/>
      <c r="AXI257" s="387"/>
      <c r="AXJ257" s="387"/>
      <c r="AXK257" s="387"/>
      <c r="AXL257" s="387"/>
      <c r="AXM257" s="387"/>
      <c r="AXN257" s="387"/>
      <c r="AXO257" s="387"/>
      <c r="AXP257" s="387"/>
      <c r="AXQ257" s="387"/>
      <c r="AXR257" s="387"/>
      <c r="AXS257" s="387"/>
      <c r="AXT257" s="387"/>
      <c r="AXU257" s="387"/>
      <c r="AXV257" s="387"/>
      <c r="AXW257" s="387"/>
      <c r="AXX257" s="387"/>
      <c r="AXY257" s="387"/>
      <c r="AXZ257" s="387"/>
      <c r="AYA257" s="387"/>
      <c r="AYB257" s="387"/>
      <c r="AYC257" s="387"/>
      <c r="AYD257" s="387"/>
      <c r="AYE257" s="387"/>
      <c r="AYF257" s="387"/>
      <c r="AYG257" s="387"/>
      <c r="AYH257" s="387"/>
      <c r="AYI257" s="387"/>
      <c r="AYJ257" s="387"/>
      <c r="AYK257" s="387"/>
      <c r="AYL257" s="387"/>
      <c r="AYM257" s="387"/>
      <c r="AYN257" s="387"/>
      <c r="AYO257" s="387"/>
      <c r="AYP257" s="387"/>
      <c r="AYQ257" s="387"/>
      <c r="AYR257" s="387"/>
      <c r="AYS257" s="387"/>
      <c r="AYT257" s="387"/>
      <c r="AYU257" s="387"/>
      <c r="AYV257" s="387"/>
      <c r="AYW257" s="387"/>
      <c r="AYX257" s="387"/>
      <c r="AYY257" s="387"/>
      <c r="AYZ257" s="387"/>
      <c r="AZA257" s="387"/>
      <c r="AZB257" s="387"/>
      <c r="AZC257" s="387"/>
      <c r="AZD257" s="387"/>
      <c r="AZE257" s="387"/>
      <c r="AZF257" s="387"/>
      <c r="AZG257" s="387"/>
      <c r="AZH257" s="387"/>
      <c r="AZI257" s="387"/>
      <c r="AZJ257" s="387"/>
      <c r="AZK257" s="387"/>
      <c r="AZL257" s="387"/>
      <c r="AZM257" s="387"/>
      <c r="AZN257" s="387"/>
      <c r="AZO257" s="387"/>
      <c r="AZP257" s="387"/>
      <c r="AZQ257" s="387"/>
      <c r="AZR257" s="387"/>
      <c r="AZS257" s="387"/>
      <c r="AZT257" s="387"/>
      <c r="AZU257" s="387"/>
      <c r="AZV257" s="387"/>
      <c r="AZW257" s="387"/>
      <c r="AZX257" s="387"/>
      <c r="AZY257" s="387"/>
      <c r="AZZ257" s="387"/>
      <c r="BAA257" s="387"/>
      <c r="BAB257" s="387"/>
      <c r="BAC257" s="387"/>
      <c r="BAD257" s="387"/>
      <c r="BAE257" s="387"/>
      <c r="BAF257" s="387"/>
      <c r="BAG257" s="387"/>
      <c r="BAH257" s="387"/>
      <c r="BAI257" s="387"/>
      <c r="BAJ257" s="387"/>
      <c r="BAK257" s="387"/>
      <c r="BAL257" s="387"/>
      <c r="BAM257" s="387"/>
      <c r="BAN257" s="387"/>
      <c r="BAO257" s="387"/>
      <c r="BAP257" s="387"/>
      <c r="BAQ257" s="387"/>
      <c r="BAR257" s="387"/>
      <c r="BAS257" s="387"/>
      <c r="BAT257" s="387"/>
      <c r="BAU257" s="387"/>
      <c r="BAV257" s="387"/>
      <c r="BAW257" s="387"/>
      <c r="BAX257" s="387"/>
      <c r="BAY257" s="387"/>
      <c r="BAZ257" s="387"/>
      <c r="BBA257" s="387"/>
      <c r="BBB257" s="387"/>
      <c r="BBC257" s="387"/>
      <c r="BBD257" s="387"/>
      <c r="BBE257" s="387"/>
      <c r="BBF257" s="387"/>
      <c r="BBG257" s="387"/>
      <c r="BBH257" s="387"/>
      <c r="BBI257" s="387"/>
      <c r="BBJ257" s="387"/>
      <c r="BBK257" s="387"/>
      <c r="BBL257" s="387"/>
      <c r="BBM257" s="387"/>
      <c r="BBN257" s="387"/>
      <c r="BBO257" s="387"/>
      <c r="BBP257" s="387"/>
      <c r="BBQ257" s="387"/>
      <c r="BBR257" s="387"/>
      <c r="BBS257" s="387"/>
      <c r="BBT257" s="387"/>
      <c r="BBU257" s="387"/>
      <c r="BBV257" s="387"/>
      <c r="BBW257" s="387"/>
      <c r="BBX257" s="387"/>
      <c r="BBY257" s="387"/>
      <c r="BBZ257" s="387"/>
      <c r="BCA257" s="387"/>
      <c r="BCB257" s="387"/>
      <c r="BCC257" s="387"/>
      <c r="BCD257" s="387"/>
      <c r="BCE257" s="387"/>
      <c r="BCF257" s="387"/>
      <c r="BCG257" s="387"/>
      <c r="BCH257" s="387"/>
      <c r="BCI257" s="387"/>
      <c r="BCJ257" s="387"/>
      <c r="BCK257" s="387"/>
      <c r="BCL257" s="387"/>
      <c r="BCM257" s="387"/>
      <c r="BCN257" s="387"/>
      <c r="BCO257" s="387"/>
      <c r="BCP257" s="387"/>
      <c r="BCQ257" s="387"/>
      <c r="BCR257" s="387"/>
      <c r="BCS257" s="387"/>
      <c r="BCT257" s="387"/>
      <c r="BCU257" s="387"/>
      <c r="BCV257" s="387"/>
      <c r="BCW257" s="387"/>
      <c r="BCX257" s="387"/>
      <c r="BCY257" s="387"/>
      <c r="BCZ257" s="387"/>
      <c r="BDA257" s="387"/>
      <c r="BDB257" s="387"/>
      <c r="BDC257" s="387"/>
      <c r="BDD257" s="387"/>
      <c r="BDE257" s="387"/>
      <c r="BDF257" s="387"/>
      <c r="BDG257" s="387"/>
      <c r="BDH257" s="387"/>
      <c r="BDI257" s="387"/>
      <c r="BDJ257" s="387"/>
      <c r="BDK257" s="387"/>
      <c r="BDL257" s="387"/>
      <c r="BDM257" s="387"/>
      <c r="BDN257" s="387"/>
      <c r="BDO257" s="387"/>
      <c r="BDP257" s="387"/>
      <c r="BDQ257" s="387"/>
      <c r="BDR257" s="387"/>
      <c r="BDS257" s="387"/>
      <c r="BDT257" s="387"/>
      <c r="BDU257" s="387"/>
      <c r="BDV257" s="387"/>
      <c r="BDW257" s="387"/>
      <c r="BDX257" s="387"/>
      <c r="BDY257" s="387"/>
      <c r="BDZ257" s="387"/>
      <c r="BEA257" s="387"/>
      <c r="BEB257" s="387"/>
      <c r="BEC257" s="387"/>
      <c r="BED257" s="387"/>
      <c r="BEE257" s="387"/>
      <c r="BEF257" s="387"/>
      <c r="BEG257" s="387"/>
      <c r="BEH257" s="387"/>
      <c r="BEI257" s="387"/>
      <c r="BEJ257" s="387"/>
      <c r="BEK257" s="387"/>
      <c r="BEL257" s="387"/>
      <c r="BEM257" s="387"/>
      <c r="BEN257" s="387"/>
      <c r="BEO257" s="387"/>
      <c r="BEP257" s="387"/>
      <c r="BEQ257" s="387"/>
      <c r="BER257" s="387"/>
      <c r="BES257" s="387"/>
      <c r="BET257" s="387"/>
      <c r="BEU257" s="387"/>
      <c r="BEV257" s="387"/>
      <c r="BEW257" s="387"/>
      <c r="BEX257" s="387"/>
      <c r="BEY257" s="387"/>
      <c r="BEZ257" s="387"/>
      <c r="BFA257" s="387"/>
      <c r="BFB257" s="387"/>
      <c r="BFC257" s="387"/>
      <c r="BFD257" s="387"/>
      <c r="BFE257" s="387"/>
      <c r="BFF257" s="387"/>
      <c r="BFG257" s="387"/>
      <c r="BFH257" s="387"/>
      <c r="BFI257" s="387"/>
      <c r="BFJ257" s="387"/>
      <c r="BFK257" s="387"/>
      <c r="BFL257" s="387"/>
      <c r="BFM257" s="387"/>
      <c r="BFN257" s="387"/>
      <c r="BFO257" s="387"/>
      <c r="BFP257" s="387"/>
      <c r="BFQ257" s="387"/>
      <c r="BFR257" s="387"/>
      <c r="BFS257" s="387"/>
      <c r="BFT257" s="387"/>
      <c r="BFU257" s="387"/>
      <c r="BFV257" s="387"/>
      <c r="BFW257" s="387"/>
      <c r="BFX257" s="387"/>
      <c r="BFY257" s="387"/>
      <c r="BFZ257" s="387"/>
      <c r="BGA257" s="387"/>
      <c r="BGB257" s="387"/>
      <c r="BGC257" s="387"/>
      <c r="BGD257" s="387"/>
      <c r="BGE257" s="387"/>
      <c r="BGF257" s="387"/>
      <c r="BGG257" s="387"/>
      <c r="BGH257" s="387"/>
      <c r="BGI257" s="387"/>
      <c r="BGJ257" s="387"/>
      <c r="BGK257" s="387"/>
      <c r="BGL257" s="387"/>
      <c r="BGM257" s="387"/>
      <c r="BGN257" s="387"/>
      <c r="BGO257" s="387"/>
      <c r="BGP257" s="387"/>
      <c r="BGQ257" s="387"/>
      <c r="BGR257" s="387"/>
      <c r="BGS257" s="387"/>
      <c r="BGT257" s="387"/>
      <c r="BGU257" s="387"/>
      <c r="BGV257" s="387"/>
      <c r="BGW257" s="387"/>
      <c r="BGX257" s="387"/>
      <c r="BGY257" s="387"/>
      <c r="BGZ257" s="387"/>
      <c r="BHA257" s="387"/>
      <c r="BHB257" s="387"/>
      <c r="BHC257" s="387"/>
      <c r="BHD257" s="387"/>
      <c r="BHE257" s="387"/>
      <c r="BHF257" s="387"/>
      <c r="BHG257" s="387"/>
      <c r="BHH257" s="387"/>
      <c r="BHI257" s="387"/>
      <c r="BHJ257" s="387"/>
      <c r="BHK257" s="387"/>
      <c r="BHL257" s="387"/>
      <c r="BHM257" s="387"/>
      <c r="BHN257" s="387"/>
      <c r="BHO257" s="387"/>
      <c r="BHP257" s="387"/>
      <c r="BHQ257" s="387"/>
      <c r="BHR257" s="387"/>
      <c r="BHS257" s="387"/>
      <c r="BHT257" s="387"/>
      <c r="BHU257" s="387"/>
      <c r="BHV257" s="387"/>
      <c r="BHW257" s="387"/>
      <c r="BHX257" s="387"/>
      <c r="BHY257" s="387"/>
      <c r="BHZ257" s="387"/>
      <c r="BIA257" s="387"/>
      <c r="BIB257" s="387"/>
      <c r="BIC257" s="387"/>
      <c r="BID257" s="387"/>
      <c r="BIE257" s="387"/>
      <c r="BIF257" s="387"/>
      <c r="BIG257" s="387"/>
      <c r="BIH257" s="387"/>
      <c r="BII257" s="387"/>
      <c r="BIJ257" s="387"/>
      <c r="BIK257" s="387"/>
      <c r="BIL257" s="387"/>
      <c r="BIM257" s="387"/>
      <c r="BIN257" s="387"/>
      <c r="BIO257" s="387"/>
      <c r="BIP257" s="387"/>
      <c r="BIQ257" s="387"/>
      <c r="BIR257" s="387"/>
      <c r="BIS257" s="387"/>
      <c r="BIT257" s="387"/>
      <c r="BIU257" s="387"/>
      <c r="BIV257" s="387"/>
      <c r="BIW257" s="387"/>
      <c r="BIX257" s="387"/>
      <c r="BIY257" s="387"/>
      <c r="BIZ257" s="387"/>
      <c r="BJA257" s="387"/>
      <c r="BJB257" s="387"/>
      <c r="BJC257" s="387"/>
      <c r="BJD257" s="387"/>
      <c r="BJE257" s="387"/>
      <c r="BJF257" s="387"/>
      <c r="BJG257" s="387"/>
      <c r="BJH257" s="387"/>
      <c r="BJI257" s="387"/>
      <c r="BJJ257" s="387"/>
      <c r="BJK257" s="387"/>
      <c r="BJL257" s="387"/>
      <c r="BJM257" s="387"/>
      <c r="BJN257" s="387"/>
      <c r="BJO257" s="387"/>
      <c r="BJP257" s="387"/>
      <c r="BJQ257" s="387"/>
      <c r="BJR257" s="387"/>
      <c r="BJS257" s="387"/>
      <c r="BJT257" s="387"/>
      <c r="BJU257" s="387"/>
      <c r="BJV257" s="387"/>
      <c r="BJW257" s="387"/>
      <c r="BJX257" s="387"/>
      <c r="BJY257" s="387"/>
      <c r="BJZ257" s="387"/>
      <c r="BKA257" s="387"/>
      <c r="BKB257" s="387"/>
      <c r="BKC257" s="387"/>
      <c r="BKD257" s="387"/>
      <c r="BKE257" s="387"/>
      <c r="BKF257" s="387"/>
      <c r="BKG257" s="387"/>
      <c r="BKH257" s="387"/>
      <c r="BKI257" s="387"/>
      <c r="BKJ257" s="387"/>
      <c r="BKK257" s="387"/>
      <c r="BKL257" s="387"/>
      <c r="BKM257" s="387"/>
      <c r="BKN257" s="387"/>
      <c r="BKO257" s="387"/>
      <c r="BKP257" s="387"/>
      <c r="BKQ257" s="387"/>
      <c r="BKR257" s="387"/>
      <c r="BKS257" s="387"/>
      <c r="BKT257" s="387"/>
      <c r="BKU257" s="387"/>
      <c r="BKV257" s="387"/>
      <c r="BKW257" s="387"/>
      <c r="BKX257" s="387"/>
      <c r="BKY257" s="387"/>
      <c r="BKZ257" s="387"/>
      <c r="BLA257" s="387"/>
      <c r="BLB257" s="387"/>
      <c r="BLC257" s="387"/>
      <c r="BLD257" s="387"/>
      <c r="BLE257" s="387"/>
      <c r="BLF257" s="387"/>
      <c r="BLG257" s="387"/>
      <c r="BLH257" s="387"/>
      <c r="BLI257" s="387"/>
      <c r="BLJ257" s="387"/>
      <c r="BLK257" s="387"/>
      <c r="BLL257" s="387"/>
      <c r="BLM257" s="387"/>
      <c r="BLN257" s="387"/>
      <c r="BLO257" s="387"/>
      <c r="BLP257" s="387"/>
      <c r="BLQ257" s="387"/>
      <c r="BLR257" s="387"/>
      <c r="BLS257" s="387"/>
      <c r="BLT257" s="387"/>
      <c r="BLU257" s="387"/>
      <c r="BLV257" s="387"/>
      <c r="BLW257" s="387"/>
      <c r="BLX257" s="387"/>
      <c r="BLY257" s="387"/>
      <c r="BLZ257" s="387"/>
      <c r="BMA257" s="387"/>
      <c r="BMB257" s="387"/>
      <c r="BMC257" s="387"/>
      <c r="BMD257" s="387"/>
      <c r="BME257" s="387"/>
      <c r="BMF257" s="387"/>
      <c r="BMG257" s="387"/>
      <c r="BMH257" s="387"/>
      <c r="BMI257" s="387"/>
      <c r="BMJ257" s="387"/>
      <c r="BMK257" s="387"/>
      <c r="BML257" s="387"/>
      <c r="BMM257" s="387"/>
      <c r="BMN257" s="387"/>
      <c r="BMO257" s="387"/>
      <c r="BMP257" s="387"/>
      <c r="BMQ257" s="387"/>
      <c r="BMR257" s="387"/>
      <c r="BMS257" s="387"/>
      <c r="BMT257" s="387"/>
      <c r="BMU257" s="387"/>
      <c r="BMV257" s="387"/>
      <c r="BMW257" s="387"/>
      <c r="BMX257" s="387"/>
      <c r="BMY257" s="387"/>
      <c r="BMZ257" s="387"/>
      <c r="BNA257" s="387"/>
      <c r="BNB257" s="387"/>
      <c r="BNC257" s="387"/>
      <c r="BND257" s="387"/>
      <c r="BNE257" s="387"/>
      <c r="BNF257" s="387"/>
      <c r="BNG257" s="387"/>
      <c r="BNH257" s="387"/>
      <c r="BNI257" s="387"/>
      <c r="BNJ257" s="387"/>
      <c r="BNK257" s="387"/>
      <c r="BNL257" s="387"/>
      <c r="BNM257" s="387"/>
      <c r="BNN257" s="387"/>
      <c r="BNO257" s="387"/>
      <c r="BNP257" s="387"/>
      <c r="BNQ257" s="387"/>
      <c r="BNR257" s="387"/>
      <c r="BNS257" s="387"/>
      <c r="BNT257" s="387"/>
      <c r="BNU257" s="387"/>
      <c r="BNV257" s="387"/>
      <c r="BNW257" s="387"/>
      <c r="BNX257" s="387"/>
      <c r="BNY257" s="387"/>
      <c r="BNZ257" s="387"/>
      <c r="BOA257" s="387"/>
      <c r="BOB257" s="387"/>
      <c r="BOC257" s="387"/>
      <c r="BOD257" s="387"/>
      <c r="BOE257" s="387"/>
      <c r="BOF257" s="387"/>
      <c r="BOG257" s="387"/>
      <c r="BOH257" s="387"/>
      <c r="BOI257" s="387"/>
      <c r="BOJ257" s="387"/>
      <c r="BOK257" s="387"/>
      <c r="BOL257" s="387"/>
      <c r="BOM257" s="387"/>
      <c r="BON257" s="387"/>
      <c r="BOO257" s="387"/>
      <c r="BOP257" s="387"/>
      <c r="BOQ257" s="387"/>
      <c r="BOR257" s="387"/>
      <c r="BOS257" s="387"/>
      <c r="BOT257" s="387"/>
      <c r="BOU257" s="387"/>
      <c r="BOV257" s="387"/>
      <c r="BOW257" s="387"/>
      <c r="BOX257" s="387"/>
      <c r="BOY257" s="387"/>
      <c r="BOZ257" s="387"/>
      <c r="BPA257" s="387"/>
      <c r="BPB257" s="387"/>
      <c r="BPC257" s="387"/>
      <c r="BPD257" s="387"/>
      <c r="BPE257" s="387"/>
      <c r="BPF257" s="387"/>
      <c r="BPG257" s="387"/>
      <c r="BPH257" s="387"/>
      <c r="BPI257" s="387"/>
      <c r="BPJ257" s="387"/>
      <c r="BPK257" s="387"/>
      <c r="BPL257" s="387"/>
      <c r="BPM257" s="387"/>
      <c r="BPN257" s="387"/>
      <c r="BPO257" s="387"/>
      <c r="BPP257" s="387"/>
      <c r="BPQ257" s="387"/>
      <c r="BPR257" s="387"/>
      <c r="BPS257" s="387"/>
      <c r="BPT257" s="387"/>
      <c r="BPU257" s="387"/>
      <c r="BPV257" s="387"/>
      <c r="BPW257" s="387"/>
      <c r="BPX257" s="387"/>
      <c r="BPY257" s="387"/>
      <c r="BPZ257" s="387"/>
      <c r="BQA257" s="387"/>
      <c r="BQB257" s="387"/>
      <c r="BQC257" s="387"/>
      <c r="BQD257" s="387"/>
      <c r="BQE257" s="387"/>
      <c r="BQF257" s="387"/>
      <c r="BQG257" s="387"/>
      <c r="BQH257" s="387"/>
      <c r="BQI257" s="387"/>
      <c r="BQJ257" s="387"/>
      <c r="BQK257" s="387"/>
      <c r="BQL257" s="387"/>
      <c r="BQM257" s="387"/>
      <c r="BQN257" s="387"/>
      <c r="BQO257" s="387"/>
      <c r="BQP257" s="387"/>
      <c r="BQQ257" s="387"/>
      <c r="BQR257" s="387"/>
      <c r="BQS257" s="387"/>
      <c r="BQT257" s="387"/>
      <c r="BQU257" s="387"/>
      <c r="BQV257" s="387"/>
      <c r="BQW257" s="387"/>
      <c r="BQX257" s="387"/>
      <c r="BQY257" s="387"/>
      <c r="BQZ257" s="387"/>
      <c r="BRA257" s="387"/>
      <c r="BRB257" s="387"/>
      <c r="BRC257" s="387"/>
      <c r="BRD257" s="387"/>
      <c r="BRE257" s="387"/>
      <c r="BRF257" s="387"/>
      <c r="BRG257" s="387"/>
      <c r="BRH257" s="387"/>
      <c r="BRI257" s="387"/>
      <c r="BRJ257" s="387"/>
      <c r="BRK257" s="387"/>
      <c r="BRL257" s="387"/>
      <c r="BRM257" s="387"/>
      <c r="BRN257" s="387"/>
      <c r="BRO257" s="387"/>
      <c r="BRP257" s="387"/>
      <c r="BRQ257" s="387"/>
      <c r="BRR257" s="387"/>
      <c r="BRS257" s="387"/>
      <c r="BRT257" s="387"/>
      <c r="BRU257" s="387"/>
      <c r="BRV257" s="387"/>
      <c r="BRW257" s="387"/>
      <c r="BRX257" s="387"/>
      <c r="BRY257" s="387"/>
      <c r="BRZ257" s="387"/>
      <c r="BSA257" s="387"/>
      <c r="BSB257" s="387"/>
      <c r="BSC257" s="387"/>
      <c r="BSD257" s="387"/>
      <c r="BSE257" s="387"/>
      <c r="BSF257" s="387"/>
      <c r="BSG257" s="387"/>
      <c r="BSH257" s="387"/>
      <c r="BSI257" s="387"/>
      <c r="BSJ257" s="387"/>
      <c r="BSK257" s="387"/>
      <c r="BSL257" s="387"/>
      <c r="BSM257" s="387"/>
      <c r="BSN257" s="387"/>
      <c r="BSO257" s="387"/>
      <c r="BSP257" s="387"/>
      <c r="BSQ257" s="387"/>
      <c r="BSR257" s="387"/>
      <c r="BSS257" s="387"/>
      <c r="BST257" s="387"/>
      <c r="BSU257" s="387"/>
      <c r="BSV257" s="387"/>
      <c r="BSW257" s="387"/>
      <c r="BSX257" s="387"/>
      <c r="BSY257" s="387"/>
      <c r="BSZ257" s="387"/>
      <c r="BTA257" s="387"/>
      <c r="BTB257" s="387"/>
      <c r="BTC257" s="387"/>
      <c r="BTD257" s="387"/>
      <c r="BTE257" s="387"/>
      <c r="BTF257" s="387"/>
      <c r="BTG257" s="387"/>
      <c r="BTH257" s="387"/>
      <c r="BTI257" s="387"/>
    </row>
    <row r="258" spans="1:1881" ht="59.25" x14ac:dyDescent="0.25">
      <c r="A258" s="398"/>
      <c r="B258" s="40" t="s">
        <v>46</v>
      </c>
      <c r="C258" s="40"/>
      <c r="D258" s="49" t="s">
        <v>52</v>
      </c>
      <c r="E258" s="48"/>
      <c r="F258" s="48"/>
      <c r="G258" s="48"/>
      <c r="H258" s="52"/>
      <c r="I258" s="186"/>
      <c r="X258" s="682"/>
    </row>
    <row r="259" spans="1:1881" s="386" customFormat="1" x14ac:dyDescent="0.25">
      <c r="A259" s="398"/>
      <c r="B259" s="394"/>
      <c r="C259" s="397"/>
      <c r="D259" s="695" t="s">
        <v>1012</v>
      </c>
      <c r="E259" s="594"/>
      <c r="F259" s="553"/>
      <c r="G259" s="373"/>
      <c r="H259" s="389"/>
      <c r="I259" s="398"/>
      <c r="J259" s="387"/>
      <c r="K259" s="387"/>
      <c r="L259" s="387"/>
      <c r="M259" s="387"/>
      <c r="N259"/>
      <c r="O259" s="387"/>
      <c r="P259" s="387"/>
      <c r="Q259" s="387"/>
      <c r="R259"/>
      <c r="S259" s="387"/>
      <c r="T259" s="387"/>
      <c r="U259" s="387"/>
      <c r="V259" s="387"/>
      <c r="W259" s="387"/>
      <c r="X259" s="682"/>
      <c r="Y259" s="387"/>
      <c r="Z259" s="387"/>
      <c r="AA259" s="387"/>
      <c r="AB259" s="387"/>
      <c r="AC259" s="387"/>
      <c r="AD259" s="387"/>
      <c r="AE259" s="387"/>
      <c r="AF259" s="387"/>
      <c r="AG259" s="387"/>
      <c r="AH259" s="387"/>
      <c r="AI259" s="387"/>
      <c r="AJ259" s="387"/>
      <c r="AK259" s="387"/>
      <c r="AL259" s="387"/>
      <c r="AM259" s="387"/>
      <c r="AN259" s="387"/>
      <c r="AO259" s="387"/>
      <c r="AP259" s="387"/>
      <c r="AQ259" s="387"/>
      <c r="AR259" s="387"/>
      <c r="AS259" s="387"/>
      <c r="AT259" s="387"/>
      <c r="AU259" s="387"/>
      <c r="AV259" s="387"/>
      <c r="AW259" s="387"/>
      <c r="AX259" s="387"/>
      <c r="AY259" s="387"/>
      <c r="AZ259" s="387"/>
      <c r="BA259" s="387"/>
      <c r="BB259" s="387"/>
      <c r="BC259" s="387"/>
      <c r="BD259" s="387"/>
      <c r="BE259" s="387"/>
      <c r="BF259" s="387"/>
      <c r="BG259" s="387"/>
      <c r="BH259" s="387"/>
      <c r="BI259" s="387"/>
      <c r="BJ259" s="387"/>
      <c r="BK259" s="387"/>
      <c r="BL259" s="387"/>
      <c r="BM259" s="387"/>
      <c r="BN259" s="387"/>
      <c r="BO259" s="387"/>
      <c r="BP259" s="387"/>
      <c r="BQ259" s="387"/>
      <c r="BR259" s="387"/>
      <c r="BS259" s="387"/>
      <c r="BT259" s="387"/>
      <c r="BU259" s="387"/>
      <c r="BV259" s="387"/>
      <c r="BW259" s="387"/>
      <c r="BX259" s="387"/>
      <c r="BY259" s="387"/>
      <c r="BZ259" s="387"/>
      <c r="CA259" s="387"/>
      <c r="CB259" s="387"/>
      <c r="CC259" s="387"/>
      <c r="CD259" s="387"/>
      <c r="CE259" s="387"/>
      <c r="CF259" s="387"/>
      <c r="CG259" s="387"/>
      <c r="CH259" s="387"/>
      <c r="CI259" s="387"/>
      <c r="CJ259" s="387"/>
      <c r="CK259" s="387"/>
      <c r="CL259" s="387"/>
      <c r="CM259" s="387"/>
      <c r="CN259" s="387"/>
      <c r="CO259" s="387"/>
      <c r="CP259" s="387"/>
      <c r="CQ259" s="387"/>
      <c r="CR259" s="387"/>
      <c r="CS259" s="387"/>
      <c r="CT259" s="387"/>
      <c r="CU259" s="387"/>
      <c r="CV259" s="387"/>
      <c r="CW259" s="387"/>
      <c r="CX259" s="387"/>
      <c r="CY259" s="387"/>
      <c r="CZ259" s="387"/>
      <c r="DA259" s="387"/>
      <c r="DB259" s="387"/>
      <c r="DC259" s="387"/>
      <c r="DD259" s="387"/>
      <c r="DE259" s="387"/>
      <c r="DF259" s="387"/>
      <c r="DG259" s="387"/>
      <c r="DH259" s="387"/>
      <c r="DI259" s="387"/>
      <c r="DJ259" s="387"/>
      <c r="DK259" s="387"/>
      <c r="DL259" s="387"/>
      <c r="DM259" s="387"/>
      <c r="DN259" s="387"/>
      <c r="DO259" s="387"/>
      <c r="DP259" s="387"/>
      <c r="DQ259" s="387"/>
      <c r="DR259" s="387"/>
      <c r="DS259" s="387"/>
      <c r="DT259" s="387"/>
      <c r="DU259" s="387"/>
      <c r="DV259" s="387"/>
      <c r="DW259" s="387"/>
      <c r="DX259" s="387"/>
      <c r="DY259" s="387"/>
      <c r="DZ259" s="387"/>
      <c r="EA259" s="387"/>
      <c r="EB259" s="387"/>
      <c r="EC259" s="387"/>
      <c r="ED259" s="387"/>
      <c r="EE259" s="387"/>
      <c r="EF259" s="387"/>
      <c r="EG259" s="387"/>
      <c r="EH259" s="387"/>
      <c r="EI259" s="387"/>
      <c r="EJ259" s="387"/>
      <c r="EK259" s="387"/>
      <c r="EL259" s="387"/>
      <c r="EM259" s="387"/>
      <c r="EN259" s="387"/>
      <c r="EO259" s="387"/>
      <c r="EP259" s="387"/>
      <c r="EQ259" s="387"/>
      <c r="ER259" s="387"/>
      <c r="ES259" s="387"/>
      <c r="ET259" s="387"/>
      <c r="EU259" s="387"/>
      <c r="EV259" s="387"/>
      <c r="EW259" s="387"/>
      <c r="EX259" s="387"/>
      <c r="EY259" s="387"/>
      <c r="EZ259" s="387"/>
      <c r="FA259" s="387"/>
      <c r="FB259" s="387"/>
      <c r="FC259" s="387"/>
      <c r="FD259" s="387"/>
      <c r="FE259" s="387"/>
      <c r="FF259" s="387"/>
      <c r="FG259" s="387"/>
      <c r="FH259" s="387"/>
      <c r="FI259" s="387"/>
      <c r="FJ259" s="387"/>
      <c r="FK259" s="387"/>
      <c r="FL259" s="387"/>
      <c r="FM259" s="387"/>
      <c r="FN259" s="387"/>
      <c r="FO259" s="387"/>
      <c r="FP259" s="387"/>
      <c r="FQ259" s="387"/>
      <c r="FR259" s="387"/>
      <c r="FS259" s="387"/>
      <c r="FT259" s="387"/>
      <c r="FU259" s="387"/>
      <c r="FV259" s="387"/>
      <c r="FW259" s="387"/>
      <c r="FX259" s="387"/>
      <c r="FY259" s="387"/>
      <c r="FZ259" s="387"/>
      <c r="GA259" s="387"/>
      <c r="GB259" s="387"/>
      <c r="GC259" s="387"/>
      <c r="GD259" s="387"/>
      <c r="GE259" s="387"/>
      <c r="GF259" s="387"/>
      <c r="GG259" s="387"/>
      <c r="GH259" s="387"/>
      <c r="GI259" s="387"/>
      <c r="GJ259" s="387"/>
      <c r="GK259" s="387"/>
      <c r="GL259" s="387"/>
      <c r="GM259" s="387"/>
      <c r="GN259" s="387"/>
      <c r="GO259" s="387"/>
      <c r="GP259" s="387"/>
      <c r="GQ259" s="387"/>
      <c r="GR259" s="387"/>
      <c r="GS259" s="387"/>
      <c r="GT259" s="387"/>
      <c r="GU259" s="387"/>
      <c r="GV259" s="387"/>
      <c r="GW259" s="387"/>
      <c r="GX259" s="387"/>
      <c r="GY259" s="387"/>
      <c r="GZ259" s="387"/>
      <c r="HA259" s="387"/>
      <c r="HB259" s="387"/>
      <c r="HC259" s="387"/>
      <c r="HD259" s="387"/>
      <c r="HE259" s="387"/>
      <c r="HF259" s="387"/>
      <c r="HG259" s="387"/>
      <c r="HH259" s="387"/>
      <c r="HI259" s="387"/>
      <c r="HJ259" s="387"/>
      <c r="HK259" s="387"/>
      <c r="HL259" s="387"/>
      <c r="HM259" s="387"/>
      <c r="HN259" s="387"/>
      <c r="HO259" s="387"/>
      <c r="HP259" s="387"/>
      <c r="HQ259" s="387"/>
      <c r="HR259" s="387"/>
      <c r="HS259" s="387"/>
      <c r="HT259" s="387"/>
      <c r="HU259" s="387"/>
      <c r="HV259" s="387"/>
      <c r="HW259" s="387"/>
      <c r="HX259" s="387"/>
      <c r="HY259" s="387"/>
      <c r="HZ259" s="387"/>
      <c r="IA259" s="387"/>
      <c r="IB259" s="387"/>
      <c r="IC259" s="387"/>
      <c r="ID259" s="387"/>
      <c r="IE259" s="387"/>
      <c r="IF259" s="387"/>
      <c r="IG259" s="387"/>
      <c r="IH259" s="387"/>
      <c r="II259" s="387"/>
      <c r="IJ259" s="387"/>
      <c r="IK259" s="387"/>
      <c r="IL259" s="387"/>
      <c r="IM259" s="387"/>
      <c r="IN259" s="387"/>
      <c r="IO259" s="387"/>
      <c r="IP259" s="387"/>
      <c r="IQ259" s="387"/>
      <c r="IR259" s="387"/>
      <c r="IS259" s="387"/>
      <c r="IT259" s="387"/>
      <c r="IU259" s="387"/>
      <c r="IV259" s="387"/>
      <c r="IW259" s="387"/>
      <c r="IX259" s="387"/>
      <c r="IY259" s="387"/>
      <c r="IZ259" s="387"/>
      <c r="JA259" s="387"/>
      <c r="JB259" s="387"/>
      <c r="JC259" s="387"/>
      <c r="JD259" s="387"/>
      <c r="JE259" s="387"/>
      <c r="JF259" s="387"/>
      <c r="JG259" s="387"/>
      <c r="JH259" s="387"/>
      <c r="JI259" s="387"/>
      <c r="JJ259" s="387"/>
      <c r="JK259" s="387"/>
      <c r="JL259" s="387"/>
      <c r="JM259" s="387"/>
      <c r="JN259" s="387"/>
      <c r="JO259" s="387"/>
      <c r="JP259" s="387"/>
      <c r="JQ259" s="387"/>
      <c r="JR259" s="387"/>
      <c r="JS259" s="387"/>
      <c r="JT259" s="387"/>
      <c r="JU259" s="387"/>
      <c r="JV259" s="387"/>
      <c r="JW259" s="387"/>
      <c r="JX259" s="387"/>
      <c r="JY259" s="387"/>
      <c r="JZ259" s="387"/>
      <c r="KA259" s="387"/>
      <c r="KB259" s="387"/>
      <c r="KC259" s="387"/>
      <c r="KD259" s="387"/>
      <c r="KE259" s="387"/>
      <c r="KF259" s="387"/>
      <c r="KG259" s="387"/>
      <c r="KH259" s="387"/>
      <c r="KI259" s="387"/>
      <c r="KJ259" s="387"/>
      <c r="KK259" s="387"/>
      <c r="KL259" s="387"/>
      <c r="KM259" s="387"/>
      <c r="KN259" s="387"/>
      <c r="KO259" s="387"/>
      <c r="KP259" s="387"/>
      <c r="KQ259" s="387"/>
      <c r="KR259" s="387"/>
      <c r="KS259" s="387"/>
      <c r="KT259" s="387"/>
      <c r="KU259" s="387"/>
      <c r="KV259" s="387"/>
      <c r="KW259" s="387"/>
      <c r="KX259" s="387"/>
      <c r="KY259" s="387"/>
      <c r="KZ259" s="387"/>
      <c r="LA259" s="387"/>
      <c r="LB259" s="387"/>
      <c r="LC259" s="387"/>
      <c r="LD259" s="387"/>
      <c r="LE259" s="387"/>
      <c r="LF259" s="387"/>
      <c r="LG259" s="387"/>
      <c r="LH259" s="387"/>
      <c r="LI259" s="387"/>
      <c r="LJ259" s="387"/>
      <c r="LK259" s="387"/>
      <c r="LL259" s="387"/>
      <c r="LM259" s="387"/>
      <c r="LN259" s="387"/>
      <c r="LO259" s="387"/>
      <c r="LP259" s="387"/>
      <c r="LQ259" s="387"/>
      <c r="LR259" s="387"/>
      <c r="LS259" s="387"/>
      <c r="LT259" s="387"/>
      <c r="LU259" s="387"/>
      <c r="LV259" s="387"/>
      <c r="LW259" s="387"/>
      <c r="LX259" s="387"/>
      <c r="LY259" s="387"/>
      <c r="LZ259" s="387"/>
      <c r="MA259" s="387"/>
      <c r="MB259" s="387"/>
      <c r="MC259" s="387"/>
      <c r="MD259" s="387"/>
      <c r="ME259" s="387"/>
      <c r="MF259" s="387"/>
      <c r="MG259" s="387"/>
      <c r="MH259" s="387"/>
      <c r="MI259" s="387"/>
      <c r="MJ259" s="387"/>
      <c r="MK259" s="387"/>
      <c r="ML259" s="387"/>
      <c r="MM259" s="387"/>
      <c r="MN259" s="387"/>
      <c r="MO259" s="387"/>
      <c r="MP259" s="387"/>
      <c r="MQ259" s="387"/>
      <c r="MR259" s="387"/>
      <c r="MS259" s="387"/>
      <c r="MT259" s="387"/>
      <c r="MU259" s="387"/>
      <c r="MV259" s="387"/>
      <c r="MW259" s="387"/>
      <c r="MX259" s="387"/>
      <c r="MY259" s="387"/>
      <c r="MZ259" s="387"/>
      <c r="NA259" s="387"/>
      <c r="NB259" s="387"/>
      <c r="NC259" s="387"/>
      <c r="ND259" s="387"/>
      <c r="NE259" s="387"/>
      <c r="NF259" s="387"/>
      <c r="NG259" s="387"/>
      <c r="NH259" s="387"/>
      <c r="NI259" s="387"/>
      <c r="NJ259" s="387"/>
      <c r="NK259" s="387"/>
      <c r="NL259" s="387"/>
      <c r="NM259" s="387"/>
      <c r="NN259" s="387"/>
      <c r="NO259" s="387"/>
      <c r="NP259" s="387"/>
      <c r="NQ259" s="387"/>
      <c r="NR259" s="387"/>
      <c r="NS259" s="387"/>
      <c r="NT259" s="387"/>
      <c r="NU259" s="387"/>
      <c r="NV259" s="387"/>
      <c r="NW259" s="387"/>
      <c r="NX259" s="387"/>
      <c r="NY259" s="387"/>
      <c r="NZ259" s="387"/>
      <c r="OA259" s="387"/>
      <c r="OB259" s="387"/>
      <c r="OC259" s="387"/>
      <c r="OD259" s="387"/>
      <c r="OE259" s="387"/>
      <c r="OF259" s="387"/>
      <c r="OG259" s="387"/>
      <c r="OH259" s="387"/>
      <c r="OI259" s="387"/>
      <c r="OJ259" s="387"/>
      <c r="OK259" s="387"/>
      <c r="OL259" s="387"/>
      <c r="OM259" s="387"/>
      <c r="ON259" s="387"/>
      <c r="OO259" s="387"/>
      <c r="OP259" s="387"/>
      <c r="OQ259" s="387"/>
      <c r="OR259" s="387"/>
      <c r="OS259" s="387"/>
      <c r="OT259" s="387"/>
      <c r="OU259" s="387"/>
      <c r="OV259" s="387"/>
      <c r="OW259" s="387"/>
      <c r="OX259" s="387"/>
      <c r="OY259" s="387"/>
      <c r="OZ259" s="387"/>
      <c r="PA259" s="387"/>
      <c r="PB259" s="387"/>
      <c r="PC259" s="387"/>
      <c r="PD259" s="387"/>
      <c r="PE259" s="387"/>
      <c r="PF259" s="387"/>
      <c r="PG259" s="387"/>
      <c r="PH259" s="387"/>
      <c r="PI259" s="387"/>
      <c r="PJ259" s="387"/>
      <c r="PK259" s="387"/>
      <c r="PL259" s="387"/>
      <c r="PM259" s="387"/>
      <c r="PN259" s="387"/>
      <c r="PO259" s="387"/>
      <c r="PP259" s="387"/>
      <c r="PQ259" s="387"/>
      <c r="PR259" s="387"/>
      <c r="PS259" s="387"/>
      <c r="PT259" s="387"/>
      <c r="PU259" s="387"/>
      <c r="PV259" s="387"/>
      <c r="PW259" s="387"/>
      <c r="PX259" s="387"/>
      <c r="PY259" s="387"/>
      <c r="PZ259" s="387"/>
      <c r="QA259" s="387"/>
      <c r="QB259" s="387"/>
      <c r="QC259" s="387"/>
      <c r="QD259" s="387"/>
      <c r="QE259" s="387"/>
      <c r="QF259" s="387"/>
      <c r="QG259" s="387"/>
      <c r="QH259" s="387"/>
      <c r="QI259" s="387"/>
      <c r="QJ259" s="387"/>
      <c r="QK259" s="387"/>
      <c r="QL259" s="387"/>
      <c r="QM259" s="387"/>
      <c r="QN259" s="387"/>
      <c r="QO259" s="387"/>
      <c r="QP259" s="387"/>
      <c r="QQ259" s="387"/>
      <c r="QR259" s="387"/>
      <c r="QS259" s="387"/>
      <c r="QT259" s="387"/>
      <c r="QU259" s="387"/>
      <c r="QV259" s="387"/>
      <c r="QW259" s="387"/>
      <c r="QX259" s="387"/>
      <c r="QY259" s="387"/>
      <c r="QZ259" s="387"/>
      <c r="RA259" s="387"/>
      <c r="RB259" s="387"/>
      <c r="RC259" s="387"/>
      <c r="RD259" s="387"/>
      <c r="RE259" s="387"/>
      <c r="RF259" s="387"/>
      <c r="RG259" s="387"/>
      <c r="RH259" s="387"/>
      <c r="RI259" s="387"/>
      <c r="RJ259" s="387"/>
      <c r="RK259" s="387"/>
      <c r="RL259" s="387"/>
      <c r="RM259" s="387"/>
      <c r="RN259" s="387"/>
      <c r="RO259" s="387"/>
      <c r="RP259" s="387"/>
      <c r="RQ259" s="387"/>
      <c r="RR259" s="387"/>
      <c r="RS259" s="387"/>
      <c r="RT259" s="387"/>
      <c r="RU259" s="387"/>
      <c r="RV259" s="387"/>
      <c r="RW259" s="387"/>
      <c r="RX259" s="387"/>
      <c r="RY259" s="387"/>
      <c r="RZ259" s="387"/>
      <c r="SA259" s="387"/>
      <c r="SB259" s="387"/>
      <c r="SC259" s="387"/>
      <c r="SD259" s="387"/>
      <c r="SE259" s="387"/>
      <c r="SF259" s="387"/>
      <c r="SG259" s="387"/>
      <c r="SH259" s="387"/>
      <c r="SI259" s="387"/>
      <c r="SJ259" s="387"/>
      <c r="SK259" s="387"/>
      <c r="SL259" s="387"/>
      <c r="SM259" s="387"/>
      <c r="SN259" s="387"/>
      <c r="SO259" s="387"/>
      <c r="SP259" s="387"/>
      <c r="SQ259" s="387"/>
      <c r="SR259" s="387"/>
      <c r="SS259" s="387"/>
      <c r="ST259" s="387"/>
      <c r="SU259" s="387"/>
      <c r="SV259" s="387"/>
      <c r="SW259" s="387"/>
      <c r="SX259" s="387"/>
      <c r="SY259" s="387"/>
      <c r="SZ259" s="387"/>
      <c r="TA259" s="387"/>
      <c r="TB259" s="387"/>
      <c r="TC259" s="387"/>
      <c r="TD259" s="387"/>
      <c r="TE259" s="387"/>
      <c r="TF259" s="387"/>
      <c r="TG259" s="387"/>
      <c r="TH259" s="387"/>
      <c r="TI259" s="387"/>
      <c r="TJ259" s="387"/>
      <c r="TK259" s="387"/>
      <c r="TL259" s="387"/>
      <c r="TM259" s="387"/>
      <c r="TN259" s="387"/>
      <c r="TO259" s="387"/>
      <c r="TP259" s="387"/>
      <c r="TQ259" s="387"/>
      <c r="TR259" s="387"/>
      <c r="TS259" s="387"/>
      <c r="TT259" s="387"/>
      <c r="TU259" s="387"/>
      <c r="TV259" s="387"/>
      <c r="TW259" s="387"/>
      <c r="TX259" s="387"/>
      <c r="TY259" s="387"/>
      <c r="TZ259" s="387"/>
      <c r="UA259" s="387"/>
      <c r="UB259" s="387"/>
      <c r="UC259" s="387"/>
      <c r="UD259" s="387"/>
      <c r="UE259" s="387"/>
      <c r="UF259" s="387"/>
      <c r="UG259" s="387"/>
      <c r="UH259" s="387"/>
      <c r="UI259" s="387"/>
      <c r="UJ259" s="387"/>
      <c r="UK259" s="387"/>
      <c r="UL259" s="387"/>
      <c r="UM259" s="387"/>
      <c r="UN259" s="387"/>
      <c r="UO259" s="387"/>
      <c r="UP259" s="387"/>
      <c r="UQ259" s="387"/>
      <c r="UR259" s="387"/>
      <c r="US259" s="387"/>
      <c r="UT259" s="387"/>
      <c r="UU259" s="387"/>
      <c r="UV259" s="387"/>
      <c r="UW259" s="387"/>
      <c r="UX259" s="387"/>
      <c r="UY259" s="387"/>
      <c r="UZ259" s="387"/>
      <c r="VA259" s="387"/>
      <c r="VB259" s="387"/>
      <c r="VC259" s="387"/>
      <c r="VD259" s="387"/>
      <c r="VE259" s="387"/>
      <c r="VF259" s="387"/>
      <c r="VG259" s="387"/>
      <c r="VH259" s="387"/>
      <c r="VI259" s="387"/>
      <c r="VJ259" s="387"/>
      <c r="VK259" s="387"/>
      <c r="VL259" s="387"/>
      <c r="VM259" s="387"/>
      <c r="VN259" s="387"/>
      <c r="VO259" s="387"/>
      <c r="VP259" s="387"/>
      <c r="VQ259" s="387"/>
      <c r="VR259" s="387"/>
      <c r="VS259" s="387"/>
      <c r="VT259" s="387"/>
      <c r="VU259" s="387"/>
      <c r="VV259" s="387"/>
      <c r="VW259" s="387"/>
      <c r="VX259" s="387"/>
      <c r="VY259" s="387"/>
      <c r="VZ259" s="387"/>
      <c r="WA259" s="387"/>
      <c r="WB259" s="387"/>
      <c r="WC259" s="387"/>
      <c r="WD259" s="387"/>
      <c r="WE259" s="387"/>
      <c r="WF259" s="387"/>
      <c r="WG259" s="387"/>
      <c r="WH259" s="387"/>
      <c r="WI259" s="387"/>
      <c r="WJ259" s="387"/>
      <c r="WK259" s="387"/>
      <c r="WL259" s="387"/>
      <c r="WM259" s="387"/>
      <c r="WN259" s="387"/>
      <c r="WO259" s="387"/>
      <c r="WP259" s="387"/>
      <c r="WQ259" s="387"/>
      <c r="WR259" s="387"/>
      <c r="WS259" s="387"/>
      <c r="WT259" s="387"/>
      <c r="WU259" s="387"/>
      <c r="WV259" s="387"/>
      <c r="WW259" s="387"/>
      <c r="WX259" s="387"/>
      <c r="WY259" s="387"/>
      <c r="WZ259" s="387"/>
      <c r="XA259" s="387"/>
      <c r="XB259" s="387"/>
      <c r="XC259" s="387"/>
      <c r="XD259" s="387"/>
      <c r="XE259" s="387"/>
      <c r="XF259" s="387"/>
      <c r="XG259" s="387"/>
      <c r="XH259" s="387"/>
      <c r="XI259" s="387"/>
      <c r="XJ259" s="387"/>
      <c r="XK259" s="387"/>
      <c r="XL259" s="387"/>
      <c r="XM259" s="387"/>
      <c r="XN259" s="387"/>
      <c r="XO259" s="387"/>
      <c r="XP259" s="387"/>
      <c r="XQ259" s="387"/>
      <c r="XR259" s="387"/>
      <c r="XS259" s="387"/>
      <c r="XT259" s="387"/>
      <c r="XU259" s="387"/>
      <c r="XV259" s="387"/>
      <c r="XW259" s="387"/>
      <c r="XX259" s="387"/>
      <c r="XY259" s="387"/>
      <c r="XZ259" s="387"/>
      <c r="YA259" s="387"/>
      <c r="YB259" s="387"/>
      <c r="YC259" s="387"/>
      <c r="YD259" s="387"/>
      <c r="YE259" s="387"/>
      <c r="YF259" s="387"/>
      <c r="YG259" s="387"/>
      <c r="YH259" s="387"/>
      <c r="YI259" s="387"/>
      <c r="YJ259" s="387"/>
      <c r="YK259" s="387"/>
      <c r="YL259" s="387"/>
      <c r="YM259" s="387"/>
      <c r="YN259" s="387"/>
      <c r="YO259" s="387"/>
      <c r="YP259" s="387"/>
      <c r="YQ259" s="387"/>
      <c r="YR259" s="387"/>
      <c r="YS259" s="387"/>
      <c r="YT259" s="387"/>
      <c r="YU259" s="387"/>
      <c r="YV259" s="387"/>
      <c r="YW259" s="387"/>
      <c r="YX259" s="387"/>
      <c r="YY259" s="387"/>
      <c r="YZ259" s="387"/>
      <c r="ZA259" s="387"/>
      <c r="ZB259" s="387"/>
      <c r="ZC259" s="387"/>
      <c r="ZD259" s="387"/>
      <c r="ZE259" s="387"/>
      <c r="ZF259" s="387"/>
      <c r="ZG259" s="387"/>
      <c r="ZH259" s="387"/>
      <c r="ZI259" s="387"/>
      <c r="ZJ259" s="387"/>
      <c r="ZK259" s="387"/>
      <c r="ZL259" s="387"/>
      <c r="ZM259" s="387"/>
      <c r="ZN259" s="387"/>
      <c r="ZO259" s="387"/>
      <c r="ZP259" s="387"/>
      <c r="ZQ259" s="387"/>
      <c r="ZR259" s="387"/>
      <c r="ZS259" s="387"/>
      <c r="ZT259" s="387"/>
      <c r="ZU259" s="387"/>
      <c r="ZV259" s="387"/>
      <c r="ZW259" s="387"/>
      <c r="ZX259" s="387"/>
      <c r="ZY259" s="387"/>
      <c r="ZZ259" s="387"/>
      <c r="AAA259" s="387"/>
      <c r="AAB259" s="387"/>
      <c r="AAC259" s="387"/>
      <c r="AAD259" s="387"/>
      <c r="AAE259" s="387"/>
      <c r="AAF259" s="387"/>
      <c r="AAG259" s="387"/>
      <c r="AAH259" s="387"/>
      <c r="AAI259" s="387"/>
      <c r="AAJ259" s="387"/>
      <c r="AAK259" s="387"/>
      <c r="AAL259" s="387"/>
      <c r="AAM259" s="387"/>
      <c r="AAN259" s="387"/>
      <c r="AAO259" s="387"/>
      <c r="AAP259" s="387"/>
      <c r="AAQ259" s="387"/>
      <c r="AAR259" s="387"/>
      <c r="AAS259" s="387"/>
      <c r="AAT259" s="387"/>
      <c r="AAU259" s="387"/>
      <c r="AAV259" s="387"/>
      <c r="AAW259" s="387"/>
      <c r="AAX259" s="387"/>
      <c r="AAY259" s="387"/>
      <c r="AAZ259" s="387"/>
      <c r="ABA259" s="387"/>
      <c r="ABB259" s="387"/>
      <c r="ABC259" s="387"/>
      <c r="ABD259" s="387"/>
      <c r="ABE259" s="387"/>
      <c r="ABF259" s="387"/>
      <c r="ABG259" s="387"/>
      <c r="ABH259" s="387"/>
      <c r="ABI259" s="387"/>
      <c r="ABJ259" s="387"/>
      <c r="ABK259" s="387"/>
      <c r="ABL259" s="387"/>
      <c r="ABM259" s="387"/>
      <c r="ABN259" s="387"/>
      <c r="ABO259" s="387"/>
      <c r="ABP259" s="387"/>
      <c r="ABQ259" s="387"/>
      <c r="ABR259" s="387"/>
      <c r="ABS259" s="387"/>
      <c r="ABT259" s="387"/>
      <c r="ABU259" s="387"/>
      <c r="ABV259" s="387"/>
      <c r="ABW259" s="387"/>
      <c r="ABX259" s="387"/>
      <c r="ABY259" s="387"/>
      <c r="ABZ259" s="387"/>
      <c r="ACA259" s="387"/>
      <c r="ACB259" s="387"/>
      <c r="ACC259" s="387"/>
      <c r="ACD259" s="387"/>
      <c r="ACE259" s="387"/>
      <c r="ACF259" s="387"/>
      <c r="ACG259" s="387"/>
      <c r="ACH259" s="387"/>
      <c r="ACI259" s="387"/>
      <c r="ACJ259" s="387"/>
      <c r="ACK259" s="387"/>
      <c r="ACL259" s="387"/>
      <c r="ACM259" s="387"/>
      <c r="ACN259" s="387"/>
      <c r="ACO259" s="387"/>
      <c r="ACP259" s="387"/>
      <c r="ACQ259" s="387"/>
      <c r="ACR259" s="387"/>
      <c r="ACS259" s="387"/>
      <c r="ACT259" s="387"/>
      <c r="ACU259" s="387"/>
      <c r="ACV259" s="387"/>
      <c r="ACW259" s="387"/>
      <c r="ACX259" s="387"/>
      <c r="ACY259" s="387"/>
      <c r="ACZ259" s="387"/>
      <c r="ADA259" s="387"/>
      <c r="ADB259" s="387"/>
      <c r="ADC259" s="387"/>
      <c r="ADD259" s="387"/>
      <c r="ADE259" s="387"/>
      <c r="ADF259" s="387"/>
      <c r="ADG259" s="387"/>
      <c r="ADH259" s="387"/>
      <c r="ADI259" s="387"/>
      <c r="ADJ259" s="387"/>
      <c r="ADK259" s="387"/>
      <c r="ADL259" s="387"/>
      <c r="ADM259" s="387"/>
      <c r="ADN259" s="387"/>
      <c r="ADO259" s="387"/>
      <c r="ADP259" s="387"/>
      <c r="ADQ259" s="387"/>
      <c r="ADR259" s="387"/>
      <c r="ADS259" s="387"/>
      <c r="ADT259" s="387"/>
      <c r="ADU259" s="387"/>
      <c r="ADV259" s="387"/>
      <c r="ADW259" s="387"/>
      <c r="ADX259" s="387"/>
      <c r="ADY259" s="387"/>
      <c r="ADZ259" s="387"/>
      <c r="AEA259" s="387"/>
      <c r="AEB259" s="387"/>
      <c r="AEC259" s="387"/>
      <c r="AED259" s="387"/>
      <c r="AEE259" s="387"/>
      <c r="AEF259" s="387"/>
      <c r="AEG259" s="387"/>
      <c r="AEH259" s="387"/>
      <c r="AEI259" s="387"/>
      <c r="AEJ259" s="387"/>
      <c r="AEK259" s="387"/>
      <c r="AEL259" s="387"/>
      <c r="AEM259" s="387"/>
      <c r="AEN259" s="387"/>
      <c r="AEO259" s="387"/>
      <c r="AEP259" s="387"/>
      <c r="AEQ259" s="387"/>
      <c r="AER259" s="387"/>
      <c r="AES259" s="387"/>
      <c r="AET259" s="387"/>
      <c r="AEU259" s="387"/>
      <c r="AEV259" s="387"/>
      <c r="AEW259" s="387"/>
      <c r="AEX259" s="387"/>
      <c r="AEY259" s="387"/>
      <c r="AEZ259" s="387"/>
      <c r="AFA259" s="387"/>
      <c r="AFB259" s="387"/>
      <c r="AFC259" s="387"/>
      <c r="AFD259" s="387"/>
      <c r="AFE259" s="387"/>
      <c r="AFF259" s="387"/>
      <c r="AFG259" s="387"/>
      <c r="AFH259" s="387"/>
      <c r="AFI259" s="387"/>
      <c r="AFJ259" s="387"/>
      <c r="AFK259" s="387"/>
      <c r="AFL259" s="387"/>
      <c r="AFM259" s="387"/>
      <c r="AFN259" s="387"/>
      <c r="AFO259" s="387"/>
      <c r="AFP259" s="387"/>
      <c r="AFQ259" s="387"/>
      <c r="AFR259" s="387"/>
      <c r="AFS259" s="387"/>
      <c r="AFT259" s="387"/>
      <c r="AFU259" s="387"/>
      <c r="AFV259" s="387"/>
      <c r="AFW259" s="387"/>
      <c r="AFX259" s="387"/>
      <c r="AFY259" s="387"/>
      <c r="AFZ259" s="387"/>
      <c r="AGA259" s="387"/>
      <c r="AGB259" s="387"/>
      <c r="AGC259" s="387"/>
      <c r="AGD259" s="387"/>
      <c r="AGE259" s="387"/>
      <c r="AGF259" s="387"/>
      <c r="AGG259" s="387"/>
      <c r="AGH259" s="387"/>
      <c r="AGI259" s="387"/>
      <c r="AGJ259" s="387"/>
      <c r="AGK259" s="387"/>
      <c r="AGL259" s="387"/>
      <c r="AGM259" s="387"/>
      <c r="AGN259" s="387"/>
      <c r="AGO259" s="387"/>
      <c r="AGP259" s="387"/>
      <c r="AGQ259" s="387"/>
      <c r="AGR259" s="387"/>
      <c r="AGS259" s="387"/>
      <c r="AGT259" s="387"/>
      <c r="AGU259" s="387"/>
      <c r="AGV259" s="387"/>
      <c r="AGW259" s="387"/>
      <c r="AGX259" s="387"/>
      <c r="AGY259" s="387"/>
      <c r="AGZ259" s="387"/>
      <c r="AHA259" s="387"/>
      <c r="AHB259" s="387"/>
      <c r="AHC259" s="387"/>
      <c r="AHD259" s="387"/>
      <c r="AHE259" s="387"/>
      <c r="AHF259" s="387"/>
      <c r="AHG259" s="387"/>
      <c r="AHH259" s="387"/>
      <c r="AHI259" s="387"/>
      <c r="AHJ259" s="387"/>
      <c r="AHK259" s="387"/>
      <c r="AHL259" s="387"/>
      <c r="AHM259" s="387"/>
      <c r="AHN259" s="387"/>
      <c r="AHO259" s="387"/>
      <c r="AHP259" s="387"/>
      <c r="AHQ259" s="387"/>
      <c r="AHR259" s="387"/>
      <c r="AHS259" s="387"/>
      <c r="AHT259" s="387"/>
      <c r="AHU259" s="387"/>
      <c r="AHV259" s="387"/>
      <c r="AHW259" s="387"/>
      <c r="AHX259" s="387"/>
      <c r="AHY259" s="387"/>
      <c r="AHZ259" s="387"/>
      <c r="AIA259" s="387"/>
      <c r="AIB259" s="387"/>
      <c r="AIC259" s="387"/>
      <c r="AID259" s="387"/>
      <c r="AIE259" s="387"/>
      <c r="AIF259" s="387"/>
      <c r="AIG259" s="387"/>
      <c r="AIH259" s="387"/>
      <c r="AII259" s="387"/>
      <c r="AIJ259" s="387"/>
      <c r="AIK259" s="387"/>
      <c r="AIL259" s="387"/>
      <c r="AIM259" s="387"/>
      <c r="AIN259" s="387"/>
      <c r="AIO259" s="387"/>
      <c r="AIP259" s="387"/>
      <c r="AIQ259" s="387"/>
      <c r="AIR259" s="387"/>
      <c r="AIS259" s="387"/>
      <c r="AIT259" s="387"/>
      <c r="AIU259" s="387"/>
      <c r="AIV259" s="387"/>
      <c r="AIW259" s="387"/>
      <c r="AIX259" s="387"/>
      <c r="AIY259" s="387"/>
      <c r="AIZ259" s="387"/>
      <c r="AJA259" s="387"/>
      <c r="AJB259" s="387"/>
      <c r="AJC259" s="387"/>
      <c r="AJD259" s="387"/>
      <c r="AJE259" s="387"/>
      <c r="AJF259" s="387"/>
      <c r="AJG259" s="387"/>
      <c r="AJH259" s="387"/>
      <c r="AJI259" s="387"/>
      <c r="AJJ259" s="387"/>
      <c r="AJK259" s="387"/>
      <c r="AJL259" s="387"/>
      <c r="AJM259" s="387"/>
      <c r="AJN259" s="387"/>
      <c r="AJO259" s="387"/>
      <c r="AJP259" s="387"/>
      <c r="AJQ259" s="387"/>
      <c r="AJR259" s="387"/>
      <c r="AJS259" s="387"/>
      <c r="AJT259" s="387"/>
      <c r="AJU259" s="387"/>
      <c r="AJV259" s="387"/>
      <c r="AJW259" s="387"/>
      <c r="AJX259" s="387"/>
      <c r="AJY259" s="387"/>
      <c r="AJZ259" s="387"/>
      <c r="AKA259" s="387"/>
      <c r="AKB259" s="387"/>
      <c r="AKC259" s="387"/>
      <c r="AKD259" s="387"/>
      <c r="AKE259" s="387"/>
      <c r="AKF259" s="387"/>
      <c r="AKG259" s="387"/>
      <c r="AKH259" s="387"/>
      <c r="AKI259" s="387"/>
      <c r="AKJ259" s="387"/>
      <c r="AKK259" s="387"/>
      <c r="AKL259" s="387"/>
      <c r="AKM259" s="387"/>
      <c r="AKN259" s="387"/>
      <c r="AKO259" s="387"/>
      <c r="AKP259" s="387"/>
      <c r="AKQ259" s="387"/>
      <c r="AKR259" s="387"/>
      <c r="AKS259" s="387"/>
      <c r="AKT259" s="387"/>
      <c r="AKU259" s="387"/>
      <c r="AKV259" s="387"/>
      <c r="AKW259" s="387"/>
      <c r="AKX259" s="387"/>
      <c r="AKY259" s="387"/>
      <c r="AKZ259" s="387"/>
      <c r="ALA259" s="387"/>
      <c r="ALB259" s="387"/>
      <c r="ALC259" s="387"/>
      <c r="ALD259" s="387"/>
      <c r="ALE259" s="387"/>
      <c r="ALF259" s="387"/>
      <c r="ALG259" s="387"/>
      <c r="ALH259" s="387"/>
      <c r="ALI259" s="387"/>
      <c r="ALJ259" s="387"/>
      <c r="ALK259" s="387"/>
      <c r="ALL259" s="387"/>
      <c r="ALM259" s="387"/>
      <c r="ALN259" s="387"/>
      <c r="ALO259" s="387"/>
      <c r="ALP259" s="387"/>
      <c r="ALQ259" s="387"/>
      <c r="ALR259" s="387"/>
      <c r="ALS259" s="387"/>
      <c r="ALT259" s="387"/>
      <c r="ALU259" s="387"/>
      <c r="ALV259" s="387"/>
      <c r="ALW259" s="387"/>
      <c r="ALX259" s="387"/>
      <c r="ALY259" s="387"/>
      <c r="ALZ259" s="387"/>
      <c r="AMA259" s="387"/>
      <c r="AMB259" s="387"/>
      <c r="AMC259" s="387"/>
      <c r="AMD259" s="387"/>
      <c r="AME259" s="387"/>
      <c r="AMF259" s="387"/>
      <c r="AMG259" s="387"/>
      <c r="AMH259" s="387"/>
      <c r="AMI259" s="387"/>
      <c r="AMJ259" s="387"/>
      <c r="AMK259" s="387"/>
      <c r="AML259" s="387"/>
      <c r="AMM259" s="387"/>
      <c r="AMN259" s="387"/>
      <c r="AMO259" s="387"/>
      <c r="AMP259" s="387"/>
      <c r="AMQ259" s="387"/>
      <c r="AMR259" s="387"/>
      <c r="AMS259" s="387"/>
      <c r="AMT259" s="387"/>
      <c r="AMU259" s="387"/>
      <c r="AMV259" s="387"/>
      <c r="AMW259" s="387"/>
      <c r="AMX259" s="387"/>
      <c r="AMY259" s="387"/>
      <c r="AMZ259" s="387"/>
      <c r="ANA259" s="387"/>
      <c r="ANB259" s="387"/>
      <c r="ANC259" s="387"/>
      <c r="AND259" s="387"/>
      <c r="ANE259" s="387"/>
      <c r="ANF259" s="387"/>
      <c r="ANG259" s="387"/>
      <c r="ANH259" s="387"/>
      <c r="ANI259" s="387"/>
      <c r="ANJ259" s="387"/>
      <c r="ANK259" s="387"/>
      <c r="ANL259" s="387"/>
      <c r="ANM259" s="387"/>
      <c r="ANN259" s="387"/>
      <c r="ANO259" s="387"/>
      <c r="ANP259" s="387"/>
      <c r="ANQ259" s="387"/>
      <c r="ANR259" s="387"/>
      <c r="ANS259" s="387"/>
      <c r="ANT259" s="387"/>
      <c r="ANU259" s="387"/>
      <c r="ANV259" s="387"/>
      <c r="ANW259" s="387"/>
      <c r="ANX259" s="387"/>
      <c r="ANY259" s="387"/>
      <c r="ANZ259" s="387"/>
      <c r="AOA259" s="387"/>
      <c r="AOB259" s="387"/>
      <c r="AOC259" s="387"/>
      <c r="AOD259" s="387"/>
      <c r="AOE259" s="387"/>
      <c r="AOF259" s="387"/>
      <c r="AOG259" s="387"/>
      <c r="AOH259" s="387"/>
      <c r="AOI259" s="387"/>
      <c r="AOJ259" s="387"/>
      <c r="AOK259" s="387"/>
      <c r="AOL259" s="387"/>
      <c r="AOM259" s="387"/>
      <c r="AON259" s="387"/>
      <c r="AOO259" s="387"/>
      <c r="AOP259" s="387"/>
      <c r="AOQ259" s="387"/>
      <c r="AOR259" s="387"/>
      <c r="AOS259" s="387"/>
      <c r="AOT259" s="387"/>
      <c r="AOU259" s="387"/>
      <c r="AOV259" s="387"/>
      <c r="AOW259" s="387"/>
      <c r="AOX259" s="387"/>
      <c r="AOY259" s="387"/>
      <c r="AOZ259" s="387"/>
      <c r="APA259" s="387"/>
      <c r="APB259" s="387"/>
      <c r="APC259" s="387"/>
      <c r="APD259" s="387"/>
      <c r="APE259" s="387"/>
      <c r="APF259" s="387"/>
      <c r="APG259" s="387"/>
      <c r="APH259" s="387"/>
      <c r="API259" s="387"/>
      <c r="APJ259" s="387"/>
      <c r="APK259" s="387"/>
      <c r="APL259" s="387"/>
      <c r="APM259" s="387"/>
      <c r="APN259" s="387"/>
      <c r="APO259" s="387"/>
      <c r="APP259" s="387"/>
      <c r="APQ259" s="387"/>
      <c r="APR259" s="387"/>
      <c r="APS259" s="387"/>
      <c r="APT259" s="387"/>
      <c r="APU259" s="387"/>
      <c r="APV259" s="387"/>
      <c r="APW259" s="387"/>
      <c r="APX259" s="387"/>
      <c r="APY259" s="387"/>
      <c r="APZ259" s="387"/>
      <c r="AQA259" s="387"/>
      <c r="AQB259" s="387"/>
      <c r="AQC259" s="387"/>
      <c r="AQD259" s="387"/>
      <c r="AQE259" s="387"/>
      <c r="AQF259" s="387"/>
      <c r="AQG259" s="387"/>
      <c r="AQH259" s="387"/>
      <c r="AQI259" s="387"/>
      <c r="AQJ259" s="387"/>
      <c r="AQK259" s="387"/>
      <c r="AQL259" s="387"/>
      <c r="AQM259" s="387"/>
      <c r="AQN259" s="387"/>
      <c r="AQO259" s="387"/>
      <c r="AQP259" s="387"/>
      <c r="AQQ259" s="387"/>
      <c r="AQR259" s="387"/>
      <c r="AQS259" s="387"/>
      <c r="AQT259" s="387"/>
      <c r="AQU259" s="387"/>
      <c r="AQV259" s="387"/>
      <c r="AQW259" s="387"/>
      <c r="AQX259" s="387"/>
      <c r="AQY259" s="387"/>
      <c r="AQZ259" s="387"/>
      <c r="ARA259" s="387"/>
      <c r="ARB259" s="387"/>
      <c r="ARC259" s="387"/>
      <c r="ARD259" s="387"/>
      <c r="ARE259" s="387"/>
      <c r="ARF259" s="387"/>
      <c r="ARG259" s="387"/>
      <c r="ARH259" s="387"/>
      <c r="ARI259" s="387"/>
      <c r="ARJ259" s="387"/>
      <c r="ARK259" s="387"/>
      <c r="ARL259" s="387"/>
      <c r="ARM259" s="387"/>
      <c r="ARN259" s="387"/>
      <c r="ARO259" s="387"/>
      <c r="ARP259" s="387"/>
      <c r="ARQ259" s="387"/>
      <c r="ARR259" s="387"/>
      <c r="ARS259" s="387"/>
      <c r="ART259" s="387"/>
      <c r="ARU259" s="387"/>
      <c r="ARV259" s="387"/>
      <c r="ARW259" s="387"/>
      <c r="ARX259" s="387"/>
      <c r="ARY259" s="387"/>
      <c r="ARZ259" s="387"/>
      <c r="ASA259" s="387"/>
      <c r="ASB259" s="387"/>
      <c r="ASC259" s="387"/>
      <c r="ASD259" s="387"/>
      <c r="ASE259" s="387"/>
      <c r="ASF259" s="387"/>
      <c r="ASG259" s="387"/>
      <c r="ASH259" s="387"/>
      <c r="ASI259" s="387"/>
      <c r="ASJ259" s="387"/>
      <c r="ASK259" s="387"/>
      <c r="ASL259" s="387"/>
      <c r="ASM259" s="387"/>
      <c r="ASN259" s="387"/>
      <c r="ASO259" s="387"/>
      <c r="ASP259" s="387"/>
      <c r="ASQ259" s="387"/>
      <c r="ASR259" s="387"/>
      <c r="ASS259" s="387"/>
      <c r="AST259" s="387"/>
      <c r="ASU259" s="387"/>
      <c r="ASV259" s="387"/>
      <c r="ASW259" s="387"/>
      <c r="ASX259" s="387"/>
      <c r="ASY259" s="387"/>
      <c r="ASZ259" s="387"/>
      <c r="ATA259" s="387"/>
      <c r="ATB259" s="387"/>
      <c r="ATC259" s="387"/>
      <c r="ATD259" s="387"/>
      <c r="ATE259" s="387"/>
      <c r="ATF259" s="387"/>
      <c r="ATG259" s="387"/>
      <c r="ATH259" s="387"/>
      <c r="ATI259" s="387"/>
      <c r="ATJ259" s="387"/>
      <c r="ATK259" s="387"/>
      <c r="ATL259" s="387"/>
      <c r="ATM259" s="387"/>
      <c r="ATN259" s="387"/>
      <c r="ATO259" s="387"/>
      <c r="ATP259" s="387"/>
      <c r="ATQ259" s="387"/>
      <c r="ATR259" s="387"/>
      <c r="ATS259" s="387"/>
      <c r="ATT259" s="387"/>
      <c r="ATU259" s="387"/>
      <c r="ATV259" s="387"/>
      <c r="ATW259" s="387"/>
      <c r="ATX259" s="387"/>
      <c r="ATY259" s="387"/>
      <c r="ATZ259" s="387"/>
      <c r="AUA259" s="387"/>
      <c r="AUB259" s="387"/>
      <c r="AUC259" s="387"/>
      <c r="AUD259" s="387"/>
      <c r="AUE259" s="387"/>
      <c r="AUF259" s="387"/>
      <c r="AUG259" s="387"/>
      <c r="AUH259" s="387"/>
      <c r="AUI259" s="387"/>
      <c r="AUJ259" s="387"/>
      <c r="AUK259" s="387"/>
      <c r="AUL259" s="387"/>
      <c r="AUM259" s="387"/>
      <c r="AUN259" s="387"/>
      <c r="AUO259" s="387"/>
      <c r="AUP259" s="387"/>
      <c r="AUQ259" s="387"/>
      <c r="AUR259" s="387"/>
      <c r="AUS259" s="387"/>
      <c r="AUT259" s="387"/>
      <c r="AUU259" s="387"/>
      <c r="AUV259" s="387"/>
      <c r="AUW259" s="387"/>
      <c r="AUX259" s="387"/>
      <c r="AUY259" s="387"/>
      <c r="AUZ259" s="387"/>
      <c r="AVA259" s="387"/>
      <c r="AVB259" s="387"/>
      <c r="AVC259" s="387"/>
      <c r="AVD259" s="387"/>
      <c r="AVE259" s="387"/>
      <c r="AVF259" s="387"/>
      <c r="AVG259" s="387"/>
      <c r="AVH259" s="387"/>
      <c r="AVI259" s="387"/>
      <c r="AVJ259" s="387"/>
      <c r="AVK259" s="387"/>
      <c r="AVL259" s="387"/>
      <c r="AVM259" s="387"/>
      <c r="AVN259" s="387"/>
      <c r="AVO259" s="387"/>
      <c r="AVP259" s="387"/>
      <c r="AVQ259" s="387"/>
      <c r="AVR259" s="387"/>
      <c r="AVS259" s="387"/>
      <c r="AVT259" s="387"/>
      <c r="AVU259" s="387"/>
      <c r="AVV259" s="387"/>
      <c r="AVW259" s="387"/>
      <c r="AVX259" s="387"/>
      <c r="AVY259" s="387"/>
      <c r="AVZ259" s="387"/>
      <c r="AWA259" s="387"/>
      <c r="AWB259" s="387"/>
      <c r="AWC259" s="387"/>
      <c r="AWD259" s="387"/>
      <c r="AWE259" s="387"/>
      <c r="AWF259" s="387"/>
      <c r="AWG259" s="387"/>
      <c r="AWH259" s="387"/>
      <c r="AWI259" s="387"/>
      <c r="AWJ259" s="387"/>
      <c r="AWK259" s="387"/>
      <c r="AWL259" s="387"/>
      <c r="AWM259" s="387"/>
      <c r="AWN259" s="387"/>
      <c r="AWO259" s="387"/>
      <c r="AWP259" s="387"/>
      <c r="AWQ259" s="387"/>
      <c r="AWR259" s="387"/>
      <c r="AWS259" s="387"/>
      <c r="AWT259" s="387"/>
      <c r="AWU259" s="387"/>
      <c r="AWV259" s="387"/>
      <c r="AWW259" s="387"/>
      <c r="AWX259" s="387"/>
      <c r="AWY259" s="387"/>
      <c r="AWZ259" s="387"/>
      <c r="AXA259" s="387"/>
      <c r="AXB259" s="387"/>
      <c r="AXC259" s="387"/>
      <c r="AXD259" s="387"/>
      <c r="AXE259" s="387"/>
      <c r="AXF259" s="387"/>
      <c r="AXG259" s="387"/>
      <c r="AXH259" s="387"/>
      <c r="AXI259" s="387"/>
      <c r="AXJ259" s="387"/>
      <c r="AXK259" s="387"/>
      <c r="AXL259" s="387"/>
      <c r="AXM259" s="387"/>
      <c r="AXN259" s="387"/>
      <c r="AXO259" s="387"/>
      <c r="AXP259" s="387"/>
      <c r="AXQ259" s="387"/>
      <c r="AXR259" s="387"/>
      <c r="AXS259" s="387"/>
      <c r="AXT259" s="387"/>
      <c r="AXU259" s="387"/>
      <c r="AXV259" s="387"/>
      <c r="AXW259" s="387"/>
      <c r="AXX259" s="387"/>
      <c r="AXY259" s="387"/>
      <c r="AXZ259" s="387"/>
      <c r="AYA259" s="387"/>
      <c r="AYB259" s="387"/>
      <c r="AYC259" s="387"/>
      <c r="AYD259" s="387"/>
      <c r="AYE259" s="387"/>
      <c r="AYF259" s="387"/>
      <c r="AYG259" s="387"/>
      <c r="AYH259" s="387"/>
      <c r="AYI259" s="387"/>
      <c r="AYJ259" s="387"/>
      <c r="AYK259" s="387"/>
      <c r="AYL259" s="387"/>
      <c r="AYM259" s="387"/>
      <c r="AYN259" s="387"/>
      <c r="AYO259" s="387"/>
      <c r="AYP259" s="387"/>
      <c r="AYQ259" s="387"/>
      <c r="AYR259" s="387"/>
      <c r="AYS259" s="387"/>
      <c r="AYT259" s="387"/>
      <c r="AYU259" s="387"/>
      <c r="AYV259" s="387"/>
      <c r="AYW259" s="387"/>
      <c r="AYX259" s="387"/>
      <c r="AYY259" s="387"/>
      <c r="AYZ259" s="387"/>
      <c r="AZA259" s="387"/>
      <c r="AZB259" s="387"/>
      <c r="AZC259" s="387"/>
      <c r="AZD259" s="387"/>
      <c r="AZE259" s="387"/>
      <c r="AZF259" s="387"/>
      <c r="AZG259" s="387"/>
      <c r="AZH259" s="387"/>
      <c r="AZI259" s="387"/>
      <c r="AZJ259" s="387"/>
      <c r="AZK259" s="387"/>
      <c r="AZL259" s="387"/>
      <c r="AZM259" s="387"/>
      <c r="AZN259" s="387"/>
      <c r="AZO259" s="387"/>
      <c r="AZP259" s="387"/>
      <c r="AZQ259" s="387"/>
      <c r="AZR259" s="387"/>
      <c r="AZS259" s="387"/>
      <c r="AZT259" s="387"/>
      <c r="AZU259" s="387"/>
      <c r="AZV259" s="387"/>
      <c r="AZW259" s="387"/>
      <c r="AZX259" s="387"/>
      <c r="AZY259" s="387"/>
      <c r="AZZ259" s="387"/>
      <c r="BAA259" s="387"/>
      <c r="BAB259" s="387"/>
      <c r="BAC259" s="387"/>
      <c r="BAD259" s="387"/>
      <c r="BAE259" s="387"/>
      <c r="BAF259" s="387"/>
      <c r="BAG259" s="387"/>
      <c r="BAH259" s="387"/>
      <c r="BAI259" s="387"/>
      <c r="BAJ259" s="387"/>
      <c r="BAK259" s="387"/>
      <c r="BAL259" s="387"/>
      <c r="BAM259" s="387"/>
      <c r="BAN259" s="387"/>
      <c r="BAO259" s="387"/>
      <c r="BAP259" s="387"/>
      <c r="BAQ259" s="387"/>
      <c r="BAR259" s="387"/>
      <c r="BAS259" s="387"/>
      <c r="BAT259" s="387"/>
      <c r="BAU259" s="387"/>
      <c r="BAV259" s="387"/>
      <c r="BAW259" s="387"/>
      <c r="BAX259" s="387"/>
      <c r="BAY259" s="387"/>
      <c r="BAZ259" s="387"/>
      <c r="BBA259" s="387"/>
      <c r="BBB259" s="387"/>
      <c r="BBC259" s="387"/>
      <c r="BBD259" s="387"/>
      <c r="BBE259" s="387"/>
      <c r="BBF259" s="387"/>
      <c r="BBG259" s="387"/>
      <c r="BBH259" s="387"/>
      <c r="BBI259" s="387"/>
      <c r="BBJ259" s="387"/>
      <c r="BBK259" s="387"/>
      <c r="BBL259" s="387"/>
      <c r="BBM259" s="387"/>
      <c r="BBN259" s="387"/>
      <c r="BBO259" s="387"/>
      <c r="BBP259" s="387"/>
      <c r="BBQ259" s="387"/>
      <c r="BBR259" s="387"/>
      <c r="BBS259" s="387"/>
      <c r="BBT259" s="387"/>
      <c r="BBU259" s="387"/>
      <c r="BBV259" s="387"/>
      <c r="BBW259" s="387"/>
      <c r="BBX259" s="387"/>
      <c r="BBY259" s="387"/>
      <c r="BBZ259" s="387"/>
      <c r="BCA259" s="387"/>
      <c r="BCB259" s="387"/>
      <c r="BCC259" s="387"/>
      <c r="BCD259" s="387"/>
      <c r="BCE259" s="387"/>
      <c r="BCF259" s="387"/>
      <c r="BCG259" s="387"/>
      <c r="BCH259" s="387"/>
      <c r="BCI259" s="387"/>
      <c r="BCJ259" s="387"/>
      <c r="BCK259" s="387"/>
      <c r="BCL259" s="387"/>
      <c r="BCM259" s="387"/>
      <c r="BCN259" s="387"/>
      <c r="BCO259" s="387"/>
      <c r="BCP259" s="387"/>
      <c r="BCQ259" s="387"/>
      <c r="BCR259" s="387"/>
      <c r="BCS259" s="387"/>
      <c r="BCT259" s="387"/>
      <c r="BCU259" s="387"/>
      <c r="BCV259" s="387"/>
      <c r="BCW259" s="387"/>
      <c r="BCX259" s="387"/>
      <c r="BCY259" s="387"/>
      <c r="BCZ259" s="387"/>
      <c r="BDA259" s="387"/>
      <c r="BDB259" s="387"/>
      <c r="BDC259" s="387"/>
      <c r="BDD259" s="387"/>
      <c r="BDE259" s="387"/>
      <c r="BDF259" s="387"/>
      <c r="BDG259" s="387"/>
      <c r="BDH259" s="387"/>
      <c r="BDI259" s="387"/>
      <c r="BDJ259" s="387"/>
      <c r="BDK259" s="387"/>
      <c r="BDL259" s="387"/>
      <c r="BDM259" s="387"/>
      <c r="BDN259" s="387"/>
      <c r="BDO259" s="387"/>
      <c r="BDP259" s="387"/>
      <c r="BDQ259" s="387"/>
      <c r="BDR259" s="387"/>
      <c r="BDS259" s="387"/>
      <c r="BDT259" s="387"/>
      <c r="BDU259" s="387"/>
      <c r="BDV259" s="387"/>
      <c r="BDW259" s="387"/>
      <c r="BDX259" s="387"/>
      <c r="BDY259" s="387"/>
      <c r="BDZ259" s="387"/>
      <c r="BEA259" s="387"/>
      <c r="BEB259" s="387"/>
      <c r="BEC259" s="387"/>
      <c r="BED259" s="387"/>
      <c r="BEE259" s="387"/>
      <c r="BEF259" s="387"/>
      <c r="BEG259" s="387"/>
      <c r="BEH259" s="387"/>
      <c r="BEI259" s="387"/>
      <c r="BEJ259" s="387"/>
      <c r="BEK259" s="387"/>
      <c r="BEL259" s="387"/>
      <c r="BEM259" s="387"/>
      <c r="BEN259" s="387"/>
      <c r="BEO259" s="387"/>
      <c r="BEP259" s="387"/>
      <c r="BEQ259" s="387"/>
      <c r="BER259" s="387"/>
      <c r="BES259" s="387"/>
      <c r="BET259" s="387"/>
      <c r="BEU259" s="387"/>
      <c r="BEV259" s="387"/>
      <c r="BEW259" s="387"/>
      <c r="BEX259" s="387"/>
      <c r="BEY259" s="387"/>
      <c r="BEZ259" s="387"/>
      <c r="BFA259" s="387"/>
      <c r="BFB259" s="387"/>
      <c r="BFC259" s="387"/>
      <c r="BFD259" s="387"/>
      <c r="BFE259" s="387"/>
      <c r="BFF259" s="387"/>
      <c r="BFG259" s="387"/>
      <c r="BFH259" s="387"/>
      <c r="BFI259" s="387"/>
      <c r="BFJ259" s="387"/>
      <c r="BFK259" s="387"/>
      <c r="BFL259" s="387"/>
      <c r="BFM259" s="387"/>
      <c r="BFN259" s="387"/>
      <c r="BFO259" s="387"/>
      <c r="BFP259" s="387"/>
      <c r="BFQ259" s="387"/>
      <c r="BFR259" s="387"/>
      <c r="BFS259" s="387"/>
      <c r="BFT259" s="387"/>
      <c r="BFU259" s="387"/>
      <c r="BFV259" s="387"/>
      <c r="BFW259" s="387"/>
      <c r="BFX259" s="387"/>
      <c r="BFY259" s="387"/>
      <c r="BFZ259" s="387"/>
      <c r="BGA259" s="387"/>
      <c r="BGB259" s="387"/>
      <c r="BGC259" s="387"/>
      <c r="BGD259" s="387"/>
      <c r="BGE259" s="387"/>
      <c r="BGF259" s="387"/>
      <c r="BGG259" s="387"/>
      <c r="BGH259" s="387"/>
      <c r="BGI259" s="387"/>
      <c r="BGJ259" s="387"/>
      <c r="BGK259" s="387"/>
      <c r="BGL259" s="387"/>
      <c r="BGM259" s="387"/>
      <c r="BGN259" s="387"/>
      <c r="BGO259" s="387"/>
      <c r="BGP259" s="387"/>
      <c r="BGQ259" s="387"/>
      <c r="BGR259" s="387"/>
      <c r="BGS259" s="387"/>
      <c r="BGT259" s="387"/>
      <c r="BGU259" s="387"/>
      <c r="BGV259" s="387"/>
      <c r="BGW259" s="387"/>
      <c r="BGX259" s="387"/>
      <c r="BGY259" s="387"/>
      <c r="BGZ259" s="387"/>
      <c r="BHA259" s="387"/>
      <c r="BHB259" s="387"/>
      <c r="BHC259" s="387"/>
      <c r="BHD259" s="387"/>
      <c r="BHE259" s="387"/>
      <c r="BHF259" s="387"/>
      <c r="BHG259" s="387"/>
      <c r="BHH259" s="387"/>
      <c r="BHI259" s="387"/>
      <c r="BHJ259" s="387"/>
      <c r="BHK259" s="387"/>
      <c r="BHL259" s="387"/>
      <c r="BHM259" s="387"/>
      <c r="BHN259" s="387"/>
      <c r="BHO259" s="387"/>
      <c r="BHP259" s="387"/>
      <c r="BHQ259" s="387"/>
      <c r="BHR259" s="387"/>
      <c r="BHS259" s="387"/>
      <c r="BHT259" s="387"/>
      <c r="BHU259" s="387"/>
      <c r="BHV259" s="387"/>
      <c r="BHW259" s="387"/>
      <c r="BHX259" s="387"/>
      <c r="BHY259" s="387"/>
      <c r="BHZ259" s="387"/>
      <c r="BIA259" s="387"/>
      <c r="BIB259" s="387"/>
      <c r="BIC259" s="387"/>
      <c r="BID259" s="387"/>
      <c r="BIE259" s="387"/>
      <c r="BIF259" s="387"/>
      <c r="BIG259" s="387"/>
      <c r="BIH259" s="387"/>
      <c r="BII259" s="387"/>
      <c r="BIJ259" s="387"/>
      <c r="BIK259" s="387"/>
      <c r="BIL259" s="387"/>
      <c r="BIM259" s="387"/>
      <c r="BIN259" s="387"/>
      <c r="BIO259" s="387"/>
      <c r="BIP259" s="387"/>
      <c r="BIQ259" s="387"/>
      <c r="BIR259" s="387"/>
      <c r="BIS259" s="387"/>
      <c r="BIT259" s="387"/>
      <c r="BIU259" s="387"/>
      <c r="BIV259" s="387"/>
      <c r="BIW259" s="387"/>
      <c r="BIX259" s="387"/>
      <c r="BIY259" s="387"/>
      <c r="BIZ259" s="387"/>
      <c r="BJA259" s="387"/>
      <c r="BJB259" s="387"/>
      <c r="BJC259" s="387"/>
      <c r="BJD259" s="387"/>
      <c r="BJE259" s="387"/>
      <c r="BJF259" s="387"/>
      <c r="BJG259" s="387"/>
      <c r="BJH259" s="387"/>
      <c r="BJI259" s="387"/>
      <c r="BJJ259" s="387"/>
      <c r="BJK259" s="387"/>
      <c r="BJL259" s="387"/>
      <c r="BJM259" s="387"/>
      <c r="BJN259" s="387"/>
      <c r="BJO259" s="387"/>
      <c r="BJP259" s="387"/>
      <c r="BJQ259" s="387"/>
      <c r="BJR259" s="387"/>
      <c r="BJS259" s="387"/>
      <c r="BJT259" s="387"/>
      <c r="BJU259" s="387"/>
      <c r="BJV259" s="387"/>
      <c r="BJW259" s="387"/>
      <c r="BJX259" s="387"/>
      <c r="BJY259" s="387"/>
      <c r="BJZ259" s="387"/>
      <c r="BKA259" s="387"/>
      <c r="BKB259" s="387"/>
      <c r="BKC259" s="387"/>
      <c r="BKD259" s="387"/>
      <c r="BKE259" s="387"/>
      <c r="BKF259" s="387"/>
      <c r="BKG259" s="387"/>
      <c r="BKH259" s="387"/>
      <c r="BKI259" s="387"/>
      <c r="BKJ259" s="387"/>
      <c r="BKK259" s="387"/>
      <c r="BKL259" s="387"/>
      <c r="BKM259" s="387"/>
      <c r="BKN259" s="387"/>
      <c r="BKO259" s="387"/>
      <c r="BKP259" s="387"/>
      <c r="BKQ259" s="387"/>
      <c r="BKR259" s="387"/>
      <c r="BKS259" s="387"/>
      <c r="BKT259" s="387"/>
      <c r="BKU259" s="387"/>
      <c r="BKV259" s="387"/>
      <c r="BKW259" s="387"/>
      <c r="BKX259" s="387"/>
      <c r="BKY259" s="387"/>
      <c r="BKZ259" s="387"/>
      <c r="BLA259" s="387"/>
      <c r="BLB259" s="387"/>
      <c r="BLC259" s="387"/>
      <c r="BLD259" s="387"/>
      <c r="BLE259" s="387"/>
      <c r="BLF259" s="387"/>
      <c r="BLG259" s="387"/>
      <c r="BLH259" s="387"/>
      <c r="BLI259" s="387"/>
      <c r="BLJ259" s="387"/>
      <c r="BLK259" s="387"/>
      <c r="BLL259" s="387"/>
      <c r="BLM259" s="387"/>
      <c r="BLN259" s="387"/>
      <c r="BLO259" s="387"/>
      <c r="BLP259" s="387"/>
      <c r="BLQ259" s="387"/>
      <c r="BLR259" s="387"/>
      <c r="BLS259" s="387"/>
      <c r="BLT259" s="387"/>
      <c r="BLU259" s="387"/>
      <c r="BLV259" s="387"/>
      <c r="BLW259" s="387"/>
      <c r="BLX259" s="387"/>
      <c r="BLY259" s="387"/>
      <c r="BLZ259" s="387"/>
      <c r="BMA259" s="387"/>
      <c r="BMB259" s="387"/>
      <c r="BMC259" s="387"/>
      <c r="BMD259" s="387"/>
      <c r="BME259" s="387"/>
      <c r="BMF259" s="387"/>
      <c r="BMG259" s="387"/>
      <c r="BMH259" s="387"/>
      <c r="BMI259" s="387"/>
      <c r="BMJ259" s="387"/>
      <c r="BMK259" s="387"/>
      <c r="BML259" s="387"/>
      <c r="BMM259" s="387"/>
      <c r="BMN259" s="387"/>
      <c r="BMO259" s="387"/>
      <c r="BMP259" s="387"/>
      <c r="BMQ259" s="387"/>
      <c r="BMR259" s="387"/>
      <c r="BMS259" s="387"/>
      <c r="BMT259" s="387"/>
      <c r="BMU259" s="387"/>
      <c r="BMV259" s="387"/>
      <c r="BMW259" s="387"/>
      <c r="BMX259" s="387"/>
      <c r="BMY259" s="387"/>
      <c r="BMZ259" s="387"/>
      <c r="BNA259" s="387"/>
      <c r="BNB259" s="387"/>
      <c r="BNC259" s="387"/>
      <c r="BND259" s="387"/>
      <c r="BNE259" s="387"/>
      <c r="BNF259" s="387"/>
      <c r="BNG259" s="387"/>
      <c r="BNH259" s="387"/>
      <c r="BNI259" s="387"/>
      <c r="BNJ259" s="387"/>
      <c r="BNK259" s="387"/>
      <c r="BNL259" s="387"/>
      <c r="BNM259" s="387"/>
      <c r="BNN259" s="387"/>
      <c r="BNO259" s="387"/>
      <c r="BNP259" s="387"/>
      <c r="BNQ259" s="387"/>
      <c r="BNR259" s="387"/>
      <c r="BNS259" s="387"/>
      <c r="BNT259" s="387"/>
      <c r="BNU259" s="387"/>
      <c r="BNV259" s="387"/>
      <c r="BNW259" s="387"/>
      <c r="BNX259" s="387"/>
      <c r="BNY259" s="387"/>
      <c r="BNZ259" s="387"/>
      <c r="BOA259" s="387"/>
      <c r="BOB259" s="387"/>
      <c r="BOC259" s="387"/>
      <c r="BOD259" s="387"/>
      <c r="BOE259" s="387"/>
      <c r="BOF259" s="387"/>
      <c r="BOG259" s="387"/>
      <c r="BOH259" s="387"/>
      <c r="BOI259" s="387"/>
      <c r="BOJ259" s="387"/>
      <c r="BOK259" s="387"/>
      <c r="BOL259" s="387"/>
      <c r="BOM259" s="387"/>
      <c r="BON259" s="387"/>
      <c r="BOO259" s="387"/>
      <c r="BOP259" s="387"/>
      <c r="BOQ259" s="387"/>
      <c r="BOR259" s="387"/>
      <c r="BOS259" s="387"/>
      <c r="BOT259" s="387"/>
      <c r="BOU259" s="387"/>
      <c r="BOV259" s="387"/>
      <c r="BOW259" s="387"/>
      <c r="BOX259" s="387"/>
      <c r="BOY259" s="387"/>
      <c r="BOZ259" s="387"/>
      <c r="BPA259" s="387"/>
      <c r="BPB259" s="387"/>
      <c r="BPC259" s="387"/>
      <c r="BPD259" s="387"/>
      <c r="BPE259" s="387"/>
      <c r="BPF259" s="387"/>
      <c r="BPG259" s="387"/>
      <c r="BPH259" s="387"/>
      <c r="BPI259" s="387"/>
      <c r="BPJ259" s="387"/>
      <c r="BPK259" s="387"/>
      <c r="BPL259" s="387"/>
      <c r="BPM259" s="387"/>
      <c r="BPN259" s="387"/>
      <c r="BPO259" s="387"/>
      <c r="BPP259" s="387"/>
      <c r="BPQ259" s="387"/>
      <c r="BPR259" s="387"/>
      <c r="BPS259" s="387"/>
      <c r="BPT259" s="387"/>
      <c r="BPU259" s="387"/>
      <c r="BPV259" s="387"/>
      <c r="BPW259" s="387"/>
      <c r="BPX259" s="387"/>
      <c r="BPY259" s="387"/>
      <c r="BPZ259" s="387"/>
      <c r="BQA259" s="387"/>
      <c r="BQB259" s="387"/>
      <c r="BQC259" s="387"/>
      <c r="BQD259" s="387"/>
      <c r="BQE259" s="387"/>
      <c r="BQF259" s="387"/>
      <c r="BQG259" s="387"/>
      <c r="BQH259" s="387"/>
      <c r="BQI259" s="387"/>
      <c r="BQJ259" s="387"/>
      <c r="BQK259" s="387"/>
      <c r="BQL259" s="387"/>
      <c r="BQM259" s="387"/>
      <c r="BQN259" s="387"/>
      <c r="BQO259" s="387"/>
      <c r="BQP259" s="387"/>
      <c r="BQQ259" s="387"/>
      <c r="BQR259" s="387"/>
      <c r="BQS259" s="387"/>
      <c r="BQT259" s="387"/>
      <c r="BQU259" s="387"/>
      <c r="BQV259" s="387"/>
      <c r="BQW259" s="387"/>
      <c r="BQX259" s="387"/>
      <c r="BQY259" s="387"/>
      <c r="BQZ259" s="387"/>
      <c r="BRA259" s="387"/>
      <c r="BRB259" s="387"/>
      <c r="BRC259" s="387"/>
      <c r="BRD259" s="387"/>
      <c r="BRE259" s="387"/>
      <c r="BRF259" s="387"/>
      <c r="BRG259" s="387"/>
      <c r="BRH259" s="387"/>
      <c r="BRI259" s="387"/>
      <c r="BRJ259" s="387"/>
      <c r="BRK259" s="387"/>
      <c r="BRL259" s="387"/>
      <c r="BRM259" s="387"/>
      <c r="BRN259" s="387"/>
      <c r="BRO259" s="387"/>
      <c r="BRP259" s="387"/>
      <c r="BRQ259" s="387"/>
      <c r="BRR259" s="387"/>
      <c r="BRS259" s="387"/>
      <c r="BRT259" s="387"/>
      <c r="BRU259" s="387"/>
      <c r="BRV259" s="387"/>
      <c r="BRW259" s="387"/>
      <c r="BRX259" s="387"/>
      <c r="BRY259" s="387"/>
      <c r="BRZ259" s="387"/>
      <c r="BSA259" s="387"/>
      <c r="BSB259" s="387"/>
      <c r="BSC259" s="387"/>
      <c r="BSD259" s="387"/>
      <c r="BSE259" s="387"/>
      <c r="BSF259" s="387"/>
      <c r="BSG259" s="387"/>
      <c r="BSH259" s="387"/>
      <c r="BSI259" s="387"/>
      <c r="BSJ259" s="387"/>
      <c r="BSK259" s="387"/>
      <c r="BSL259" s="387"/>
      <c r="BSM259" s="387"/>
      <c r="BSN259" s="387"/>
      <c r="BSO259" s="387"/>
      <c r="BSP259" s="387"/>
      <c r="BSQ259" s="387"/>
      <c r="BSR259" s="387"/>
      <c r="BSS259" s="387"/>
      <c r="BST259" s="387"/>
      <c r="BSU259" s="387"/>
      <c r="BSV259" s="387"/>
      <c r="BSW259" s="387"/>
      <c r="BSX259" s="387"/>
      <c r="BSY259" s="387"/>
      <c r="BSZ259" s="387"/>
      <c r="BTA259" s="387"/>
      <c r="BTB259" s="387"/>
      <c r="BTC259" s="387"/>
      <c r="BTD259" s="387"/>
      <c r="BTE259" s="387"/>
      <c r="BTF259" s="387"/>
      <c r="BTG259" s="387"/>
      <c r="BTH259" s="387"/>
      <c r="BTI259" s="387"/>
    </row>
    <row r="260" spans="1:1881" s="386" customFormat="1" x14ac:dyDescent="0.25">
      <c r="A260" s="398"/>
      <c r="B260" s="394"/>
      <c r="C260" s="397"/>
      <c r="D260" s="331"/>
      <c r="E260" s="391"/>
      <c r="F260" s="553"/>
      <c r="G260" s="373"/>
      <c r="H260" s="389"/>
      <c r="I260" s="398"/>
      <c r="J260" s="387"/>
      <c r="K260" s="387"/>
      <c r="L260" s="387"/>
      <c r="M260" s="387"/>
      <c r="N260"/>
      <c r="O260" s="387"/>
      <c r="P260" s="387"/>
      <c r="Q260" s="387"/>
      <c r="R260"/>
      <c r="S260" s="387"/>
      <c r="T260" s="387"/>
      <c r="U260" s="387"/>
      <c r="V260" s="387"/>
      <c r="W260" s="387"/>
      <c r="X260" s="682"/>
      <c r="Y260" s="387"/>
      <c r="Z260" s="387"/>
      <c r="AA260" s="387"/>
      <c r="AB260" s="387"/>
      <c r="AC260" s="387"/>
      <c r="AD260" s="387"/>
      <c r="AE260" s="387"/>
      <c r="AF260" s="387"/>
      <c r="AG260" s="387"/>
      <c r="AH260" s="387"/>
      <c r="AI260" s="387"/>
      <c r="AJ260" s="387"/>
      <c r="AK260" s="387"/>
      <c r="AL260" s="387"/>
      <c r="AM260" s="387"/>
      <c r="AN260" s="387"/>
      <c r="AO260" s="387"/>
      <c r="AP260" s="387"/>
      <c r="AQ260" s="387"/>
      <c r="AR260" s="387"/>
      <c r="AS260" s="387"/>
      <c r="AT260" s="387"/>
      <c r="AU260" s="387"/>
      <c r="AV260" s="387"/>
      <c r="AW260" s="387"/>
      <c r="AX260" s="387"/>
      <c r="AY260" s="387"/>
      <c r="AZ260" s="387"/>
      <c r="BA260" s="387"/>
      <c r="BB260" s="387"/>
      <c r="BC260" s="387"/>
      <c r="BD260" s="387"/>
      <c r="BE260" s="387"/>
      <c r="BF260" s="387"/>
      <c r="BG260" s="387"/>
      <c r="BH260" s="387"/>
      <c r="BI260" s="387"/>
      <c r="BJ260" s="387"/>
      <c r="BK260" s="387"/>
      <c r="BL260" s="387"/>
      <c r="BM260" s="387"/>
      <c r="BN260" s="387"/>
      <c r="BO260" s="387"/>
      <c r="BP260" s="387"/>
      <c r="BQ260" s="387"/>
      <c r="BR260" s="387"/>
      <c r="BS260" s="387"/>
      <c r="BT260" s="387"/>
      <c r="BU260" s="387"/>
      <c r="BV260" s="387"/>
      <c r="BW260" s="387"/>
      <c r="BX260" s="387"/>
      <c r="BY260" s="387"/>
      <c r="BZ260" s="387"/>
      <c r="CA260" s="387"/>
      <c r="CB260" s="387"/>
      <c r="CC260" s="387"/>
      <c r="CD260" s="387"/>
      <c r="CE260" s="387"/>
      <c r="CF260" s="387"/>
      <c r="CG260" s="387"/>
      <c r="CH260" s="387"/>
      <c r="CI260" s="387"/>
      <c r="CJ260" s="387"/>
      <c r="CK260" s="387"/>
      <c r="CL260" s="387"/>
      <c r="CM260" s="387"/>
      <c r="CN260" s="387"/>
      <c r="CO260" s="387"/>
      <c r="CP260" s="387"/>
      <c r="CQ260" s="387"/>
      <c r="CR260" s="387"/>
      <c r="CS260" s="387"/>
      <c r="CT260" s="387"/>
      <c r="CU260" s="387"/>
      <c r="CV260" s="387"/>
      <c r="CW260" s="387"/>
      <c r="CX260" s="387"/>
      <c r="CY260" s="387"/>
      <c r="CZ260" s="387"/>
      <c r="DA260" s="387"/>
      <c r="DB260" s="387"/>
      <c r="DC260" s="387"/>
      <c r="DD260" s="387"/>
      <c r="DE260" s="387"/>
      <c r="DF260" s="387"/>
      <c r="DG260" s="387"/>
      <c r="DH260" s="387"/>
      <c r="DI260" s="387"/>
      <c r="DJ260" s="387"/>
      <c r="DK260" s="387"/>
      <c r="DL260" s="387"/>
      <c r="DM260" s="387"/>
      <c r="DN260" s="387"/>
      <c r="DO260" s="387"/>
      <c r="DP260" s="387"/>
      <c r="DQ260" s="387"/>
      <c r="DR260" s="387"/>
      <c r="DS260" s="387"/>
      <c r="DT260" s="387"/>
      <c r="DU260" s="387"/>
      <c r="DV260" s="387"/>
      <c r="DW260" s="387"/>
      <c r="DX260" s="387"/>
      <c r="DY260" s="387"/>
      <c r="DZ260" s="387"/>
      <c r="EA260" s="387"/>
      <c r="EB260" s="387"/>
      <c r="EC260" s="387"/>
      <c r="ED260" s="387"/>
      <c r="EE260" s="387"/>
      <c r="EF260" s="387"/>
      <c r="EG260" s="387"/>
      <c r="EH260" s="387"/>
      <c r="EI260" s="387"/>
      <c r="EJ260" s="387"/>
      <c r="EK260" s="387"/>
      <c r="EL260" s="387"/>
      <c r="EM260" s="387"/>
      <c r="EN260" s="387"/>
      <c r="EO260" s="387"/>
      <c r="EP260" s="387"/>
      <c r="EQ260" s="387"/>
      <c r="ER260" s="387"/>
      <c r="ES260" s="387"/>
      <c r="ET260" s="387"/>
      <c r="EU260" s="387"/>
      <c r="EV260" s="387"/>
      <c r="EW260" s="387"/>
      <c r="EX260" s="387"/>
      <c r="EY260" s="387"/>
      <c r="EZ260" s="387"/>
      <c r="FA260" s="387"/>
      <c r="FB260" s="387"/>
      <c r="FC260" s="387"/>
      <c r="FD260" s="387"/>
      <c r="FE260" s="387"/>
      <c r="FF260" s="387"/>
      <c r="FG260" s="387"/>
      <c r="FH260" s="387"/>
      <c r="FI260" s="387"/>
      <c r="FJ260" s="387"/>
      <c r="FK260" s="387"/>
      <c r="FL260" s="387"/>
      <c r="FM260" s="387"/>
      <c r="FN260" s="387"/>
      <c r="FO260" s="387"/>
      <c r="FP260" s="387"/>
      <c r="FQ260" s="387"/>
      <c r="FR260" s="387"/>
      <c r="FS260" s="387"/>
      <c r="FT260" s="387"/>
      <c r="FU260" s="387"/>
      <c r="FV260" s="387"/>
      <c r="FW260" s="387"/>
      <c r="FX260" s="387"/>
      <c r="FY260" s="387"/>
      <c r="FZ260" s="387"/>
      <c r="GA260" s="387"/>
      <c r="GB260" s="387"/>
      <c r="GC260" s="387"/>
      <c r="GD260" s="387"/>
      <c r="GE260" s="387"/>
      <c r="GF260" s="387"/>
      <c r="GG260" s="387"/>
      <c r="GH260" s="387"/>
      <c r="GI260" s="387"/>
      <c r="GJ260" s="387"/>
      <c r="GK260" s="387"/>
      <c r="GL260" s="387"/>
      <c r="GM260" s="387"/>
      <c r="GN260" s="387"/>
      <c r="GO260" s="387"/>
      <c r="GP260" s="387"/>
      <c r="GQ260" s="387"/>
      <c r="GR260" s="387"/>
      <c r="GS260" s="387"/>
      <c r="GT260" s="387"/>
      <c r="GU260" s="387"/>
      <c r="GV260" s="387"/>
      <c r="GW260" s="387"/>
      <c r="GX260" s="387"/>
      <c r="GY260" s="387"/>
      <c r="GZ260" s="387"/>
      <c r="HA260" s="387"/>
      <c r="HB260" s="387"/>
      <c r="HC260" s="387"/>
      <c r="HD260" s="387"/>
      <c r="HE260" s="387"/>
      <c r="HF260" s="387"/>
      <c r="HG260" s="387"/>
      <c r="HH260" s="387"/>
      <c r="HI260" s="387"/>
      <c r="HJ260" s="387"/>
      <c r="HK260" s="387"/>
      <c r="HL260" s="387"/>
      <c r="HM260" s="387"/>
      <c r="HN260" s="387"/>
      <c r="HO260" s="387"/>
      <c r="HP260" s="387"/>
      <c r="HQ260" s="387"/>
      <c r="HR260" s="387"/>
      <c r="HS260" s="387"/>
      <c r="HT260" s="387"/>
      <c r="HU260" s="387"/>
      <c r="HV260" s="387"/>
      <c r="HW260" s="387"/>
      <c r="HX260" s="387"/>
      <c r="HY260" s="387"/>
      <c r="HZ260" s="387"/>
      <c r="IA260" s="387"/>
      <c r="IB260" s="387"/>
      <c r="IC260" s="387"/>
      <c r="ID260" s="387"/>
      <c r="IE260" s="387"/>
      <c r="IF260" s="387"/>
      <c r="IG260" s="387"/>
      <c r="IH260" s="387"/>
      <c r="II260" s="387"/>
      <c r="IJ260" s="387"/>
      <c r="IK260" s="387"/>
      <c r="IL260" s="387"/>
      <c r="IM260" s="387"/>
      <c r="IN260" s="387"/>
      <c r="IO260" s="387"/>
      <c r="IP260" s="387"/>
      <c r="IQ260" s="387"/>
      <c r="IR260" s="387"/>
      <c r="IS260" s="387"/>
      <c r="IT260" s="387"/>
      <c r="IU260" s="387"/>
      <c r="IV260" s="387"/>
      <c r="IW260" s="387"/>
      <c r="IX260" s="387"/>
      <c r="IY260" s="387"/>
      <c r="IZ260" s="387"/>
      <c r="JA260" s="387"/>
      <c r="JB260" s="387"/>
      <c r="JC260" s="387"/>
      <c r="JD260" s="387"/>
      <c r="JE260" s="387"/>
      <c r="JF260" s="387"/>
      <c r="JG260" s="387"/>
      <c r="JH260" s="387"/>
      <c r="JI260" s="387"/>
      <c r="JJ260" s="387"/>
      <c r="JK260" s="387"/>
      <c r="JL260" s="387"/>
      <c r="JM260" s="387"/>
      <c r="JN260" s="387"/>
      <c r="JO260" s="387"/>
      <c r="JP260" s="387"/>
      <c r="JQ260" s="387"/>
      <c r="JR260" s="387"/>
      <c r="JS260" s="387"/>
      <c r="JT260" s="387"/>
      <c r="JU260" s="387"/>
      <c r="JV260" s="387"/>
      <c r="JW260" s="387"/>
      <c r="JX260" s="387"/>
      <c r="JY260" s="387"/>
      <c r="JZ260" s="387"/>
      <c r="KA260" s="387"/>
      <c r="KB260" s="387"/>
      <c r="KC260" s="387"/>
      <c r="KD260" s="387"/>
      <c r="KE260" s="387"/>
      <c r="KF260" s="387"/>
      <c r="KG260" s="387"/>
      <c r="KH260" s="387"/>
      <c r="KI260" s="387"/>
      <c r="KJ260" s="387"/>
      <c r="KK260" s="387"/>
      <c r="KL260" s="387"/>
      <c r="KM260" s="387"/>
      <c r="KN260" s="387"/>
      <c r="KO260" s="387"/>
      <c r="KP260" s="387"/>
      <c r="KQ260" s="387"/>
      <c r="KR260" s="387"/>
      <c r="KS260" s="387"/>
      <c r="KT260" s="387"/>
      <c r="KU260" s="387"/>
      <c r="KV260" s="387"/>
      <c r="KW260" s="387"/>
      <c r="KX260" s="387"/>
      <c r="KY260" s="387"/>
      <c r="KZ260" s="387"/>
      <c r="LA260" s="387"/>
      <c r="LB260" s="387"/>
      <c r="LC260" s="387"/>
      <c r="LD260" s="387"/>
      <c r="LE260" s="387"/>
      <c r="LF260" s="387"/>
      <c r="LG260" s="387"/>
      <c r="LH260" s="387"/>
      <c r="LI260" s="387"/>
      <c r="LJ260" s="387"/>
      <c r="LK260" s="387"/>
      <c r="LL260" s="387"/>
      <c r="LM260" s="387"/>
      <c r="LN260" s="387"/>
      <c r="LO260" s="387"/>
      <c r="LP260" s="387"/>
      <c r="LQ260" s="387"/>
      <c r="LR260" s="387"/>
      <c r="LS260" s="387"/>
      <c r="LT260" s="387"/>
      <c r="LU260" s="387"/>
      <c r="LV260" s="387"/>
      <c r="LW260" s="387"/>
      <c r="LX260" s="387"/>
      <c r="LY260" s="387"/>
      <c r="LZ260" s="387"/>
      <c r="MA260" s="387"/>
      <c r="MB260" s="387"/>
      <c r="MC260" s="387"/>
      <c r="MD260" s="387"/>
      <c r="ME260" s="387"/>
      <c r="MF260" s="387"/>
      <c r="MG260" s="387"/>
      <c r="MH260" s="387"/>
      <c r="MI260" s="387"/>
      <c r="MJ260" s="387"/>
      <c r="MK260" s="387"/>
      <c r="ML260" s="387"/>
      <c r="MM260" s="387"/>
      <c r="MN260" s="387"/>
      <c r="MO260" s="387"/>
      <c r="MP260" s="387"/>
      <c r="MQ260" s="387"/>
      <c r="MR260" s="387"/>
      <c r="MS260" s="387"/>
      <c r="MT260" s="387"/>
      <c r="MU260" s="387"/>
      <c r="MV260" s="387"/>
      <c r="MW260" s="387"/>
      <c r="MX260" s="387"/>
      <c r="MY260" s="387"/>
      <c r="MZ260" s="387"/>
      <c r="NA260" s="387"/>
      <c r="NB260" s="387"/>
      <c r="NC260" s="387"/>
      <c r="ND260" s="387"/>
      <c r="NE260" s="387"/>
      <c r="NF260" s="387"/>
      <c r="NG260" s="387"/>
      <c r="NH260" s="387"/>
      <c r="NI260" s="387"/>
      <c r="NJ260" s="387"/>
      <c r="NK260" s="387"/>
      <c r="NL260" s="387"/>
      <c r="NM260" s="387"/>
      <c r="NN260" s="387"/>
      <c r="NO260" s="387"/>
      <c r="NP260" s="387"/>
      <c r="NQ260" s="387"/>
      <c r="NR260" s="387"/>
      <c r="NS260" s="387"/>
      <c r="NT260" s="387"/>
      <c r="NU260" s="387"/>
      <c r="NV260" s="387"/>
      <c r="NW260" s="387"/>
      <c r="NX260" s="387"/>
      <c r="NY260" s="387"/>
      <c r="NZ260" s="387"/>
      <c r="OA260" s="387"/>
      <c r="OB260" s="387"/>
      <c r="OC260" s="387"/>
      <c r="OD260" s="387"/>
      <c r="OE260" s="387"/>
      <c r="OF260" s="387"/>
      <c r="OG260" s="387"/>
      <c r="OH260" s="387"/>
      <c r="OI260" s="387"/>
      <c r="OJ260" s="387"/>
      <c r="OK260" s="387"/>
      <c r="OL260" s="387"/>
      <c r="OM260" s="387"/>
      <c r="ON260" s="387"/>
      <c r="OO260" s="387"/>
      <c r="OP260" s="387"/>
      <c r="OQ260" s="387"/>
      <c r="OR260" s="387"/>
      <c r="OS260" s="387"/>
      <c r="OT260" s="387"/>
      <c r="OU260" s="387"/>
      <c r="OV260" s="387"/>
      <c r="OW260" s="387"/>
      <c r="OX260" s="387"/>
      <c r="OY260" s="387"/>
      <c r="OZ260" s="387"/>
      <c r="PA260" s="387"/>
      <c r="PB260" s="387"/>
      <c r="PC260" s="387"/>
      <c r="PD260" s="387"/>
      <c r="PE260" s="387"/>
      <c r="PF260" s="387"/>
      <c r="PG260" s="387"/>
      <c r="PH260" s="387"/>
      <c r="PI260" s="387"/>
      <c r="PJ260" s="387"/>
      <c r="PK260" s="387"/>
      <c r="PL260" s="387"/>
      <c r="PM260" s="387"/>
      <c r="PN260" s="387"/>
      <c r="PO260" s="387"/>
      <c r="PP260" s="387"/>
      <c r="PQ260" s="387"/>
      <c r="PR260" s="387"/>
      <c r="PS260" s="387"/>
      <c r="PT260" s="387"/>
      <c r="PU260" s="387"/>
      <c r="PV260" s="387"/>
      <c r="PW260" s="387"/>
      <c r="PX260" s="387"/>
      <c r="PY260" s="387"/>
      <c r="PZ260" s="387"/>
      <c r="QA260" s="387"/>
      <c r="QB260" s="387"/>
      <c r="QC260" s="387"/>
      <c r="QD260" s="387"/>
      <c r="QE260" s="387"/>
      <c r="QF260" s="387"/>
      <c r="QG260" s="387"/>
      <c r="QH260" s="387"/>
      <c r="QI260" s="387"/>
      <c r="QJ260" s="387"/>
      <c r="QK260" s="387"/>
      <c r="QL260" s="387"/>
      <c r="QM260" s="387"/>
      <c r="QN260" s="387"/>
      <c r="QO260" s="387"/>
      <c r="QP260" s="387"/>
      <c r="QQ260" s="387"/>
      <c r="QR260" s="387"/>
      <c r="QS260" s="387"/>
      <c r="QT260" s="387"/>
      <c r="QU260" s="387"/>
      <c r="QV260" s="387"/>
      <c r="QW260" s="387"/>
      <c r="QX260" s="387"/>
      <c r="QY260" s="387"/>
      <c r="QZ260" s="387"/>
      <c r="RA260" s="387"/>
      <c r="RB260" s="387"/>
      <c r="RC260" s="387"/>
      <c r="RD260" s="387"/>
      <c r="RE260" s="387"/>
      <c r="RF260" s="387"/>
      <c r="RG260" s="387"/>
      <c r="RH260" s="387"/>
      <c r="RI260" s="387"/>
      <c r="RJ260" s="387"/>
      <c r="RK260" s="387"/>
      <c r="RL260" s="387"/>
      <c r="RM260" s="387"/>
      <c r="RN260" s="387"/>
      <c r="RO260" s="387"/>
      <c r="RP260" s="387"/>
      <c r="RQ260" s="387"/>
      <c r="RR260" s="387"/>
      <c r="RS260" s="387"/>
      <c r="RT260" s="387"/>
      <c r="RU260" s="387"/>
      <c r="RV260" s="387"/>
      <c r="RW260" s="387"/>
      <c r="RX260" s="387"/>
      <c r="RY260" s="387"/>
      <c r="RZ260" s="387"/>
      <c r="SA260" s="387"/>
      <c r="SB260" s="387"/>
      <c r="SC260" s="387"/>
      <c r="SD260" s="387"/>
      <c r="SE260" s="387"/>
      <c r="SF260" s="387"/>
      <c r="SG260" s="387"/>
      <c r="SH260" s="387"/>
      <c r="SI260" s="387"/>
      <c r="SJ260" s="387"/>
      <c r="SK260" s="387"/>
      <c r="SL260" s="387"/>
      <c r="SM260" s="387"/>
      <c r="SN260" s="387"/>
      <c r="SO260" s="387"/>
      <c r="SP260" s="387"/>
      <c r="SQ260" s="387"/>
      <c r="SR260" s="387"/>
      <c r="SS260" s="387"/>
      <c r="ST260" s="387"/>
      <c r="SU260" s="387"/>
      <c r="SV260" s="387"/>
      <c r="SW260" s="387"/>
      <c r="SX260" s="387"/>
      <c r="SY260" s="387"/>
      <c r="SZ260" s="387"/>
      <c r="TA260" s="387"/>
      <c r="TB260" s="387"/>
      <c r="TC260" s="387"/>
      <c r="TD260" s="387"/>
      <c r="TE260" s="387"/>
      <c r="TF260" s="387"/>
      <c r="TG260" s="387"/>
      <c r="TH260" s="387"/>
      <c r="TI260" s="387"/>
      <c r="TJ260" s="387"/>
      <c r="TK260" s="387"/>
      <c r="TL260" s="387"/>
      <c r="TM260" s="387"/>
      <c r="TN260" s="387"/>
      <c r="TO260" s="387"/>
      <c r="TP260" s="387"/>
      <c r="TQ260" s="387"/>
      <c r="TR260" s="387"/>
      <c r="TS260" s="387"/>
      <c r="TT260" s="387"/>
      <c r="TU260" s="387"/>
      <c r="TV260" s="387"/>
      <c r="TW260" s="387"/>
      <c r="TX260" s="387"/>
      <c r="TY260" s="387"/>
      <c r="TZ260" s="387"/>
      <c r="UA260" s="387"/>
      <c r="UB260" s="387"/>
      <c r="UC260" s="387"/>
      <c r="UD260" s="387"/>
      <c r="UE260" s="387"/>
      <c r="UF260" s="387"/>
      <c r="UG260" s="387"/>
      <c r="UH260" s="387"/>
      <c r="UI260" s="387"/>
      <c r="UJ260" s="387"/>
      <c r="UK260" s="387"/>
      <c r="UL260" s="387"/>
      <c r="UM260" s="387"/>
      <c r="UN260" s="387"/>
      <c r="UO260" s="387"/>
      <c r="UP260" s="387"/>
      <c r="UQ260" s="387"/>
      <c r="UR260" s="387"/>
      <c r="US260" s="387"/>
      <c r="UT260" s="387"/>
      <c r="UU260" s="387"/>
      <c r="UV260" s="387"/>
      <c r="UW260" s="387"/>
      <c r="UX260" s="387"/>
      <c r="UY260" s="387"/>
      <c r="UZ260" s="387"/>
      <c r="VA260" s="387"/>
      <c r="VB260" s="387"/>
      <c r="VC260" s="387"/>
      <c r="VD260" s="387"/>
      <c r="VE260" s="387"/>
      <c r="VF260" s="387"/>
      <c r="VG260" s="387"/>
      <c r="VH260" s="387"/>
      <c r="VI260" s="387"/>
      <c r="VJ260" s="387"/>
      <c r="VK260" s="387"/>
      <c r="VL260" s="387"/>
      <c r="VM260" s="387"/>
      <c r="VN260" s="387"/>
      <c r="VO260" s="387"/>
      <c r="VP260" s="387"/>
      <c r="VQ260" s="387"/>
      <c r="VR260" s="387"/>
      <c r="VS260" s="387"/>
      <c r="VT260" s="387"/>
      <c r="VU260" s="387"/>
      <c r="VV260" s="387"/>
      <c r="VW260" s="387"/>
      <c r="VX260" s="387"/>
      <c r="VY260" s="387"/>
      <c r="VZ260" s="387"/>
      <c r="WA260" s="387"/>
      <c r="WB260" s="387"/>
      <c r="WC260" s="387"/>
      <c r="WD260" s="387"/>
      <c r="WE260" s="387"/>
      <c r="WF260" s="387"/>
      <c r="WG260" s="387"/>
      <c r="WH260" s="387"/>
      <c r="WI260" s="387"/>
      <c r="WJ260" s="387"/>
      <c r="WK260" s="387"/>
      <c r="WL260" s="387"/>
      <c r="WM260" s="387"/>
      <c r="WN260" s="387"/>
      <c r="WO260" s="387"/>
      <c r="WP260" s="387"/>
      <c r="WQ260" s="387"/>
      <c r="WR260" s="387"/>
      <c r="WS260" s="387"/>
      <c r="WT260" s="387"/>
      <c r="WU260" s="387"/>
      <c r="WV260" s="387"/>
      <c r="WW260" s="387"/>
      <c r="WX260" s="387"/>
      <c r="WY260" s="387"/>
      <c r="WZ260" s="387"/>
      <c r="XA260" s="387"/>
      <c r="XB260" s="387"/>
      <c r="XC260" s="387"/>
      <c r="XD260" s="387"/>
      <c r="XE260" s="387"/>
      <c r="XF260" s="387"/>
      <c r="XG260" s="387"/>
      <c r="XH260" s="387"/>
      <c r="XI260" s="387"/>
      <c r="XJ260" s="387"/>
      <c r="XK260" s="387"/>
      <c r="XL260" s="387"/>
      <c r="XM260" s="387"/>
      <c r="XN260" s="387"/>
      <c r="XO260" s="387"/>
      <c r="XP260" s="387"/>
      <c r="XQ260" s="387"/>
      <c r="XR260" s="387"/>
      <c r="XS260" s="387"/>
      <c r="XT260" s="387"/>
      <c r="XU260" s="387"/>
      <c r="XV260" s="387"/>
      <c r="XW260" s="387"/>
      <c r="XX260" s="387"/>
      <c r="XY260" s="387"/>
      <c r="XZ260" s="387"/>
      <c r="YA260" s="387"/>
      <c r="YB260" s="387"/>
      <c r="YC260" s="387"/>
      <c r="YD260" s="387"/>
      <c r="YE260" s="387"/>
      <c r="YF260" s="387"/>
      <c r="YG260" s="387"/>
      <c r="YH260" s="387"/>
      <c r="YI260" s="387"/>
      <c r="YJ260" s="387"/>
      <c r="YK260" s="387"/>
      <c r="YL260" s="387"/>
      <c r="YM260" s="387"/>
      <c r="YN260" s="387"/>
      <c r="YO260" s="387"/>
      <c r="YP260" s="387"/>
      <c r="YQ260" s="387"/>
      <c r="YR260" s="387"/>
      <c r="YS260" s="387"/>
      <c r="YT260" s="387"/>
      <c r="YU260" s="387"/>
      <c r="YV260" s="387"/>
      <c r="YW260" s="387"/>
      <c r="YX260" s="387"/>
      <c r="YY260" s="387"/>
      <c r="YZ260" s="387"/>
      <c r="ZA260" s="387"/>
      <c r="ZB260" s="387"/>
      <c r="ZC260" s="387"/>
      <c r="ZD260" s="387"/>
      <c r="ZE260" s="387"/>
      <c r="ZF260" s="387"/>
      <c r="ZG260" s="387"/>
      <c r="ZH260" s="387"/>
      <c r="ZI260" s="387"/>
      <c r="ZJ260" s="387"/>
      <c r="ZK260" s="387"/>
      <c r="ZL260" s="387"/>
      <c r="ZM260" s="387"/>
      <c r="ZN260" s="387"/>
      <c r="ZO260" s="387"/>
      <c r="ZP260" s="387"/>
      <c r="ZQ260" s="387"/>
      <c r="ZR260" s="387"/>
      <c r="ZS260" s="387"/>
      <c r="ZT260" s="387"/>
      <c r="ZU260" s="387"/>
      <c r="ZV260" s="387"/>
      <c r="ZW260" s="387"/>
      <c r="ZX260" s="387"/>
      <c r="ZY260" s="387"/>
      <c r="ZZ260" s="387"/>
      <c r="AAA260" s="387"/>
      <c r="AAB260" s="387"/>
      <c r="AAC260" s="387"/>
      <c r="AAD260" s="387"/>
      <c r="AAE260" s="387"/>
      <c r="AAF260" s="387"/>
      <c r="AAG260" s="387"/>
      <c r="AAH260" s="387"/>
      <c r="AAI260" s="387"/>
      <c r="AAJ260" s="387"/>
      <c r="AAK260" s="387"/>
      <c r="AAL260" s="387"/>
      <c r="AAM260" s="387"/>
      <c r="AAN260" s="387"/>
      <c r="AAO260" s="387"/>
      <c r="AAP260" s="387"/>
      <c r="AAQ260" s="387"/>
      <c r="AAR260" s="387"/>
      <c r="AAS260" s="387"/>
      <c r="AAT260" s="387"/>
      <c r="AAU260" s="387"/>
      <c r="AAV260" s="387"/>
      <c r="AAW260" s="387"/>
      <c r="AAX260" s="387"/>
      <c r="AAY260" s="387"/>
      <c r="AAZ260" s="387"/>
      <c r="ABA260" s="387"/>
      <c r="ABB260" s="387"/>
      <c r="ABC260" s="387"/>
      <c r="ABD260" s="387"/>
      <c r="ABE260" s="387"/>
      <c r="ABF260" s="387"/>
      <c r="ABG260" s="387"/>
      <c r="ABH260" s="387"/>
      <c r="ABI260" s="387"/>
      <c r="ABJ260" s="387"/>
      <c r="ABK260" s="387"/>
      <c r="ABL260" s="387"/>
      <c r="ABM260" s="387"/>
      <c r="ABN260" s="387"/>
      <c r="ABO260" s="387"/>
      <c r="ABP260" s="387"/>
      <c r="ABQ260" s="387"/>
      <c r="ABR260" s="387"/>
      <c r="ABS260" s="387"/>
      <c r="ABT260" s="387"/>
      <c r="ABU260" s="387"/>
      <c r="ABV260" s="387"/>
      <c r="ABW260" s="387"/>
      <c r="ABX260" s="387"/>
      <c r="ABY260" s="387"/>
      <c r="ABZ260" s="387"/>
      <c r="ACA260" s="387"/>
      <c r="ACB260" s="387"/>
      <c r="ACC260" s="387"/>
      <c r="ACD260" s="387"/>
      <c r="ACE260" s="387"/>
      <c r="ACF260" s="387"/>
      <c r="ACG260" s="387"/>
      <c r="ACH260" s="387"/>
      <c r="ACI260" s="387"/>
      <c r="ACJ260" s="387"/>
      <c r="ACK260" s="387"/>
      <c r="ACL260" s="387"/>
      <c r="ACM260" s="387"/>
      <c r="ACN260" s="387"/>
      <c r="ACO260" s="387"/>
      <c r="ACP260" s="387"/>
      <c r="ACQ260" s="387"/>
      <c r="ACR260" s="387"/>
      <c r="ACS260" s="387"/>
      <c r="ACT260" s="387"/>
      <c r="ACU260" s="387"/>
      <c r="ACV260" s="387"/>
      <c r="ACW260" s="387"/>
      <c r="ACX260" s="387"/>
      <c r="ACY260" s="387"/>
      <c r="ACZ260" s="387"/>
      <c r="ADA260" s="387"/>
      <c r="ADB260" s="387"/>
      <c r="ADC260" s="387"/>
      <c r="ADD260" s="387"/>
      <c r="ADE260" s="387"/>
      <c r="ADF260" s="387"/>
      <c r="ADG260" s="387"/>
      <c r="ADH260" s="387"/>
      <c r="ADI260" s="387"/>
      <c r="ADJ260" s="387"/>
      <c r="ADK260" s="387"/>
      <c r="ADL260" s="387"/>
      <c r="ADM260" s="387"/>
      <c r="ADN260" s="387"/>
      <c r="ADO260" s="387"/>
      <c r="ADP260" s="387"/>
      <c r="ADQ260" s="387"/>
      <c r="ADR260" s="387"/>
      <c r="ADS260" s="387"/>
      <c r="ADT260" s="387"/>
      <c r="ADU260" s="387"/>
      <c r="ADV260" s="387"/>
      <c r="ADW260" s="387"/>
      <c r="ADX260" s="387"/>
      <c r="ADY260" s="387"/>
      <c r="ADZ260" s="387"/>
      <c r="AEA260" s="387"/>
      <c r="AEB260" s="387"/>
      <c r="AEC260" s="387"/>
      <c r="AED260" s="387"/>
      <c r="AEE260" s="387"/>
      <c r="AEF260" s="387"/>
      <c r="AEG260" s="387"/>
      <c r="AEH260" s="387"/>
      <c r="AEI260" s="387"/>
      <c r="AEJ260" s="387"/>
      <c r="AEK260" s="387"/>
      <c r="AEL260" s="387"/>
      <c r="AEM260" s="387"/>
      <c r="AEN260" s="387"/>
      <c r="AEO260" s="387"/>
      <c r="AEP260" s="387"/>
      <c r="AEQ260" s="387"/>
      <c r="AER260" s="387"/>
      <c r="AES260" s="387"/>
      <c r="AET260" s="387"/>
      <c r="AEU260" s="387"/>
      <c r="AEV260" s="387"/>
      <c r="AEW260" s="387"/>
      <c r="AEX260" s="387"/>
      <c r="AEY260" s="387"/>
      <c r="AEZ260" s="387"/>
      <c r="AFA260" s="387"/>
      <c r="AFB260" s="387"/>
      <c r="AFC260" s="387"/>
      <c r="AFD260" s="387"/>
      <c r="AFE260" s="387"/>
      <c r="AFF260" s="387"/>
      <c r="AFG260" s="387"/>
      <c r="AFH260" s="387"/>
      <c r="AFI260" s="387"/>
      <c r="AFJ260" s="387"/>
      <c r="AFK260" s="387"/>
      <c r="AFL260" s="387"/>
      <c r="AFM260" s="387"/>
      <c r="AFN260" s="387"/>
      <c r="AFO260" s="387"/>
      <c r="AFP260" s="387"/>
      <c r="AFQ260" s="387"/>
      <c r="AFR260" s="387"/>
      <c r="AFS260" s="387"/>
      <c r="AFT260" s="387"/>
      <c r="AFU260" s="387"/>
      <c r="AFV260" s="387"/>
      <c r="AFW260" s="387"/>
      <c r="AFX260" s="387"/>
      <c r="AFY260" s="387"/>
      <c r="AFZ260" s="387"/>
      <c r="AGA260" s="387"/>
      <c r="AGB260" s="387"/>
      <c r="AGC260" s="387"/>
      <c r="AGD260" s="387"/>
      <c r="AGE260" s="387"/>
      <c r="AGF260" s="387"/>
      <c r="AGG260" s="387"/>
      <c r="AGH260" s="387"/>
      <c r="AGI260" s="387"/>
      <c r="AGJ260" s="387"/>
      <c r="AGK260" s="387"/>
      <c r="AGL260" s="387"/>
      <c r="AGM260" s="387"/>
      <c r="AGN260" s="387"/>
      <c r="AGO260" s="387"/>
      <c r="AGP260" s="387"/>
      <c r="AGQ260" s="387"/>
      <c r="AGR260" s="387"/>
      <c r="AGS260" s="387"/>
      <c r="AGT260" s="387"/>
      <c r="AGU260" s="387"/>
      <c r="AGV260" s="387"/>
      <c r="AGW260" s="387"/>
      <c r="AGX260" s="387"/>
      <c r="AGY260" s="387"/>
      <c r="AGZ260" s="387"/>
      <c r="AHA260" s="387"/>
      <c r="AHB260" s="387"/>
      <c r="AHC260" s="387"/>
      <c r="AHD260" s="387"/>
      <c r="AHE260" s="387"/>
      <c r="AHF260" s="387"/>
      <c r="AHG260" s="387"/>
      <c r="AHH260" s="387"/>
      <c r="AHI260" s="387"/>
      <c r="AHJ260" s="387"/>
      <c r="AHK260" s="387"/>
      <c r="AHL260" s="387"/>
      <c r="AHM260" s="387"/>
      <c r="AHN260" s="387"/>
      <c r="AHO260" s="387"/>
      <c r="AHP260" s="387"/>
      <c r="AHQ260" s="387"/>
      <c r="AHR260" s="387"/>
      <c r="AHS260" s="387"/>
      <c r="AHT260" s="387"/>
      <c r="AHU260" s="387"/>
      <c r="AHV260" s="387"/>
      <c r="AHW260" s="387"/>
      <c r="AHX260" s="387"/>
      <c r="AHY260" s="387"/>
      <c r="AHZ260" s="387"/>
      <c r="AIA260" s="387"/>
      <c r="AIB260" s="387"/>
      <c r="AIC260" s="387"/>
      <c r="AID260" s="387"/>
      <c r="AIE260" s="387"/>
      <c r="AIF260" s="387"/>
      <c r="AIG260" s="387"/>
      <c r="AIH260" s="387"/>
      <c r="AII260" s="387"/>
      <c r="AIJ260" s="387"/>
      <c r="AIK260" s="387"/>
      <c r="AIL260" s="387"/>
      <c r="AIM260" s="387"/>
      <c r="AIN260" s="387"/>
      <c r="AIO260" s="387"/>
      <c r="AIP260" s="387"/>
      <c r="AIQ260" s="387"/>
      <c r="AIR260" s="387"/>
      <c r="AIS260" s="387"/>
      <c r="AIT260" s="387"/>
      <c r="AIU260" s="387"/>
      <c r="AIV260" s="387"/>
      <c r="AIW260" s="387"/>
      <c r="AIX260" s="387"/>
      <c r="AIY260" s="387"/>
      <c r="AIZ260" s="387"/>
      <c r="AJA260" s="387"/>
      <c r="AJB260" s="387"/>
      <c r="AJC260" s="387"/>
      <c r="AJD260" s="387"/>
      <c r="AJE260" s="387"/>
      <c r="AJF260" s="387"/>
      <c r="AJG260" s="387"/>
      <c r="AJH260" s="387"/>
      <c r="AJI260" s="387"/>
      <c r="AJJ260" s="387"/>
      <c r="AJK260" s="387"/>
      <c r="AJL260" s="387"/>
      <c r="AJM260" s="387"/>
      <c r="AJN260" s="387"/>
      <c r="AJO260" s="387"/>
      <c r="AJP260" s="387"/>
      <c r="AJQ260" s="387"/>
      <c r="AJR260" s="387"/>
      <c r="AJS260" s="387"/>
      <c r="AJT260" s="387"/>
      <c r="AJU260" s="387"/>
      <c r="AJV260" s="387"/>
      <c r="AJW260" s="387"/>
      <c r="AJX260" s="387"/>
      <c r="AJY260" s="387"/>
      <c r="AJZ260" s="387"/>
      <c r="AKA260" s="387"/>
      <c r="AKB260" s="387"/>
      <c r="AKC260" s="387"/>
      <c r="AKD260" s="387"/>
      <c r="AKE260" s="387"/>
      <c r="AKF260" s="387"/>
      <c r="AKG260" s="387"/>
      <c r="AKH260" s="387"/>
      <c r="AKI260" s="387"/>
      <c r="AKJ260" s="387"/>
      <c r="AKK260" s="387"/>
      <c r="AKL260" s="387"/>
      <c r="AKM260" s="387"/>
      <c r="AKN260" s="387"/>
      <c r="AKO260" s="387"/>
      <c r="AKP260" s="387"/>
      <c r="AKQ260" s="387"/>
      <c r="AKR260" s="387"/>
      <c r="AKS260" s="387"/>
      <c r="AKT260" s="387"/>
      <c r="AKU260" s="387"/>
      <c r="AKV260" s="387"/>
      <c r="AKW260" s="387"/>
      <c r="AKX260" s="387"/>
      <c r="AKY260" s="387"/>
      <c r="AKZ260" s="387"/>
      <c r="ALA260" s="387"/>
      <c r="ALB260" s="387"/>
      <c r="ALC260" s="387"/>
      <c r="ALD260" s="387"/>
      <c r="ALE260" s="387"/>
      <c r="ALF260" s="387"/>
      <c r="ALG260" s="387"/>
      <c r="ALH260" s="387"/>
      <c r="ALI260" s="387"/>
      <c r="ALJ260" s="387"/>
      <c r="ALK260" s="387"/>
      <c r="ALL260" s="387"/>
      <c r="ALM260" s="387"/>
      <c r="ALN260" s="387"/>
      <c r="ALO260" s="387"/>
      <c r="ALP260" s="387"/>
      <c r="ALQ260" s="387"/>
      <c r="ALR260" s="387"/>
      <c r="ALS260" s="387"/>
      <c r="ALT260" s="387"/>
      <c r="ALU260" s="387"/>
      <c r="ALV260" s="387"/>
      <c r="ALW260" s="387"/>
      <c r="ALX260" s="387"/>
      <c r="ALY260" s="387"/>
      <c r="ALZ260" s="387"/>
      <c r="AMA260" s="387"/>
      <c r="AMB260" s="387"/>
      <c r="AMC260" s="387"/>
      <c r="AMD260" s="387"/>
      <c r="AME260" s="387"/>
      <c r="AMF260" s="387"/>
      <c r="AMG260" s="387"/>
      <c r="AMH260" s="387"/>
      <c r="AMI260" s="387"/>
      <c r="AMJ260" s="387"/>
      <c r="AMK260" s="387"/>
      <c r="AML260" s="387"/>
      <c r="AMM260" s="387"/>
      <c r="AMN260" s="387"/>
      <c r="AMO260" s="387"/>
      <c r="AMP260" s="387"/>
      <c r="AMQ260" s="387"/>
      <c r="AMR260" s="387"/>
      <c r="AMS260" s="387"/>
      <c r="AMT260" s="387"/>
      <c r="AMU260" s="387"/>
      <c r="AMV260" s="387"/>
      <c r="AMW260" s="387"/>
      <c r="AMX260" s="387"/>
      <c r="AMY260" s="387"/>
      <c r="AMZ260" s="387"/>
      <c r="ANA260" s="387"/>
      <c r="ANB260" s="387"/>
      <c r="ANC260" s="387"/>
      <c r="AND260" s="387"/>
      <c r="ANE260" s="387"/>
      <c r="ANF260" s="387"/>
      <c r="ANG260" s="387"/>
      <c r="ANH260" s="387"/>
      <c r="ANI260" s="387"/>
      <c r="ANJ260" s="387"/>
      <c r="ANK260" s="387"/>
      <c r="ANL260" s="387"/>
      <c r="ANM260" s="387"/>
      <c r="ANN260" s="387"/>
      <c r="ANO260" s="387"/>
      <c r="ANP260" s="387"/>
      <c r="ANQ260" s="387"/>
      <c r="ANR260" s="387"/>
      <c r="ANS260" s="387"/>
      <c r="ANT260" s="387"/>
      <c r="ANU260" s="387"/>
      <c r="ANV260" s="387"/>
      <c r="ANW260" s="387"/>
      <c r="ANX260" s="387"/>
      <c r="ANY260" s="387"/>
      <c r="ANZ260" s="387"/>
      <c r="AOA260" s="387"/>
      <c r="AOB260" s="387"/>
      <c r="AOC260" s="387"/>
      <c r="AOD260" s="387"/>
      <c r="AOE260" s="387"/>
      <c r="AOF260" s="387"/>
      <c r="AOG260" s="387"/>
      <c r="AOH260" s="387"/>
      <c r="AOI260" s="387"/>
      <c r="AOJ260" s="387"/>
      <c r="AOK260" s="387"/>
      <c r="AOL260" s="387"/>
      <c r="AOM260" s="387"/>
      <c r="AON260" s="387"/>
      <c r="AOO260" s="387"/>
      <c r="AOP260" s="387"/>
      <c r="AOQ260" s="387"/>
      <c r="AOR260" s="387"/>
      <c r="AOS260" s="387"/>
      <c r="AOT260" s="387"/>
      <c r="AOU260" s="387"/>
      <c r="AOV260" s="387"/>
      <c r="AOW260" s="387"/>
      <c r="AOX260" s="387"/>
      <c r="AOY260" s="387"/>
      <c r="AOZ260" s="387"/>
      <c r="APA260" s="387"/>
      <c r="APB260" s="387"/>
      <c r="APC260" s="387"/>
      <c r="APD260" s="387"/>
      <c r="APE260" s="387"/>
      <c r="APF260" s="387"/>
      <c r="APG260" s="387"/>
      <c r="APH260" s="387"/>
      <c r="API260" s="387"/>
      <c r="APJ260" s="387"/>
      <c r="APK260" s="387"/>
      <c r="APL260" s="387"/>
      <c r="APM260" s="387"/>
      <c r="APN260" s="387"/>
      <c r="APO260" s="387"/>
      <c r="APP260" s="387"/>
      <c r="APQ260" s="387"/>
      <c r="APR260" s="387"/>
      <c r="APS260" s="387"/>
      <c r="APT260" s="387"/>
      <c r="APU260" s="387"/>
      <c r="APV260" s="387"/>
      <c r="APW260" s="387"/>
      <c r="APX260" s="387"/>
      <c r="APY260" s="387"/>
      <c r="APZ260" s="387"/>
      <c r="AQA260" s="387"/>
      <c r="AQB260" s="387"/>
      <c r="AQC260" s="387"/>
      <c r="AQD260" s="387"/>
      <c r="AQE260" s="387"/>
      <c r="AQF260" s="387"/>
      <c r="AQG260" s="387"/>
      <c r="AQH260" s="387"/>
      <c r="AQI260" s="387"/>
      <c r="AQJ260" s="387"/>
      <c r="AQK260" s="387"/>
      <c r="AQL260" s="387"/>
      <c r="AQM260" s="387"/>
      <c r="AQN260" s="387"/>
      <c r="AQO260" s="387"/>
      <c r="AQP260" s="387"/>
      <c r="AQQ260" s="387"/>
      <c r="AQR260" s="387"/>
      <c r="AQS260" s="387"/>
      <c r="AQT260" s="387"/>
      <c r="AQU260" s="387"/>
      <c r="AQV260" s="387"/>
      <c r="AQW260" s="387"/>
      <c r="AQX260" s="387"/>
      <c r="AQY260" s="387"/>
      <c r="AQZ260" s="387"/>
      <c r="ARA260" s="387"/>
      <c r="ARB260" s="387"/>
      <c r="ARC260" s="387"/>
      <c r="ARD260" s="387"/>
      <c r="ARE260" s="387"/>
      <c r="ARF260" s="387"/>
      <c r="ARG260" s="387"/>
      <c r="ARH260" s="387"/>
      <c r="ARI260" s="387"/>
      <c r="ARJ260" s="387"/>
      <c r="ARK260" s="387"/>
      <c r="ARL260" s="387"/>
      <c r="ARM260" s="387"/>
      <c r="ARN260" s="387"/>
      <c r="ARO260" s="387"/>
      <c r="ARP260" s="387"/>
      <c r="ARQ260" s="387"/>
      <c r="ARR260" s="387"/>
      <c r="ARS260" s="387"/>
      <c r="ART260" s="387"/>
      <c r="ARU260" s="387"/>
      <c r="ARV260" s="387"/>
      <c r="ARW260" s="387"/>
      <c r="ARX260" s="387"/>
      <c r="ARY260" s="387"/>
      <c r="ARZ260" s="387"/>
      <c r="ASA260" s="387"/>
      <c r="ASB260" s="387"/>
      <c r="ASC260" s="387"/>
      <c r="ASD260" s="387"/>
      <c r="ASE260" s="387"/>
      <c r="ASF260" s="387"/>
      <c r="ASG260" s="387"/>
      <c r="ASH260" s="387"/>
      <c r="ASI260" s="387"/>
      <c r="ASJ260" s="387"/>
      <c r="ASK260" s="387"/>
      <c r="ASL260" s="387"/>
      <c r="ASM260" s="387"/>
      <c r="ASN260" s="387"/>
      <c r="ASO260" s="387"/>
      <c r="ASP260" s="387"/>
      <c r="ASQ260" s="387"/>
      <c r="ASR260" s="387"/>
      <c r="ASS260" s="387"/>
      <c r="AST260" s="387"/>
      <c r="ASU260" s="387"/>
      <c r="ASV260" s="387"/>
      <c r="ASW260" s="387"/>
      <c r="ASX260" s="387"/>
      <c r="ASY260" s="387"/>
      <c r="ASZ260" s="387"/>
      <c r="ATA260" s="387"/>
      <c r="ATB260" s="387"/>
      <c r="ATC260" s="387"/>
      <c r="ATD260" s="387"/>
      <c r="ATE260" s="387"/>
      <c r="ATF260" s="387"/>
      <c r="ATG260" s="387"/>
      <c r="ATH260" s="387"/>
      <c r="ATI260" s="387"/>
      <c r="ATJ260" s="387"/>
      <c r="ATK260" s="387"/>
      <c r="ATL260" s="387"/>
      <c r="ATM260" s="387"/>
      <c r="ATN260" s="387"/>
      <c r="ATO260" s="387"/>
      <c r="ATP260" s="387"/>
      <c r="ATQ260" s="387"/>
      <c r="ATR260" s="387"/>
      <c r="ATS260" s="387"/>
      <c r="ATT260" s="387"/>
      <c r="ATU260" s="387"/>
      <c r="ATV260" s="387"/>
      <c r="ATW260" s="387"/>
      <c r="ATX260" s="387"/>
      <c r="ATY260" s="387"/>
      <c r="ATZ260" s="387"/>
      <c r="AUA260" s="387"/>
      <c r="AUB260" s="387"/>
      <c r="AUC260" s="387"/>
      <c r="AUD260" s="387"/>
      <c r="AUE260" s="387"/>
      <c r="AUF260" s="387"/>
      <c r="AUG260" s="387"/>
      <c r="AUH260" s="387"/>
      <c r="AUI260" s="387"/>
      <c r="AUJ260" s="387"/>
      <c r="AUK260" s="387"/>
      <c r="AUL260" s="387"/>
      <c r="AUM260" s="387"/>
      <c r="AUN260" s="387"/>
      <c r="AUO260" s="387"/>
      <c r="AUP260" s="387"/>
      <c r="AUQ260" s="387"/>
      <c r="AUR260" s="387"/>
      <c r="AUS260" s="387"/>
      <c r="AUT260" s="387"/>
      <c r="AUU260" s="387"/>
      <c r="AUV260" s="387"/>
      <c r="AUW260" s="387"/>
      <c r="AUX260" s="387"/>
      <c r="AUY260" s="387"/>
      <c r="AUZ260" s="387"/>
      <c r="AVA260" s="387"/>
      <c r="AVB260" s="387"/>
      <c r="AVC260" s="387"/>
      <c r="AVD260" s="387"/>
      <c r="AVE260" s="387"/>
      <c r="AVF260" s="387"/>
      <c r="AVG260" s="387"/>
      <c r="AVH260" s="387"/>
      <c r="AVI260" s="387"/>
      <c r="AVJ260" s="387"/>
      <c r="AVK260" s="387"/>
      <c r="AVL260" s="387"/>
      <c r="AVM260" s="387"/>
      <c r="AVN260" s="387"/>
      <c r="AVO260" s="387"/>
      <c r="AVP260" s="387"/>
      <c r="AVQ260" s="387"/>
      <c r="AVR260" s="387"/>
      <c r="AVS260" s="387"/>
      <c r="AVT260" s="387"/>
      <c r="AVU260" s="387"/>
      <c r="AVV260" s="387"/>
      <c r="AVW260" s="387"/>
      <c r="AVX260" s="387"/>
      <c r="AVY260" s="387"/>
      <c r="AVZ260" s="387"/>
      <c r="AWA260" s="387"/>
      <c r="AWB260" s="387"/>
      <c r="AWC260" s="387"/>
      <c r="AWD260" s="387"/>
      <c r="AWE260" s="387"/>
      <c r="AWF260" s="387"/>
      <c r="AWG260" s="387"/>
      <c r="AWH260" s="387"/>
      <c r="AWI260" s="387"/>
      <c r="AWJ260" s="387"/>
      <c r="AWK260" s="387"/>
      <c r="AWL260" s="387"/>
      <c r="AWM260" s="387"/>
      <c r="AWN260" s="387"/>
      <c r="AWO260" s="387"/>
      <c r="AWP260" s="387"/>
      <c r="AWQ260" s="387"/>
      <c r="AWR260" s="387"/>
      <c r="AWS260" s="387"/>
      <c r="AWT260" s="387"/>
      <c r="AWU260" s="387"/>
      <c r="AWV260" s="387"/>
      <c r="AWW260" s="387"/>
      <c r="AWX260" s="387"/>
      <c r="AWY260" s="387"/>
      <c r="AWZ260" s="387"/>
      <c r="AXA260" s="387"/>
      <c r="AXB260" s="387"/>
      <c r="AXC260" s="387"/>
      <c r="AXD260" s="387"/>
      <c r="AXE260" s="387"/>
      <c r="AXF260" s="387"/>
      <c r="AXG260" s="387"/>
      <c r="AXH260" s="387"/>
      <c r="AXI260" s="387"/>
      <c r="AXJ260" s="387"/>
      <c r="AXK260" s="387"/>
      <c r="AXL260" s="387"/>
      <c r="AXM260" s="387"/>
      <c r="AXN260" s="387"/>
      <c r="AXO260" s="387"/>
      <c r="AXP260" s="387"/>
      <c r="AXQ260" s="387"/>
      <c r="AXR260" s="387"/>
      <c r="AXS260" s="387"/>
      <c r="AXT260" s="387"/>
      <c r="AXU260" s="387"/>
      <c r="AXV260" s="387"/>
      <c r="AXW260" s="387"/>
      <c r="AXX260" s="387"/>
      <c r="AXY260" s="387"/>
      <c r="AXZ260" s="387"/>
      <c r="AYA260" s="387"/>
      <c r="AYB260" s="387"/>
      <c r="AYC260" s="387"/>
      <c r="AYD260" s="387"/>
      <c r="AYE260" s="387"/>
      <c r="AYF260" s="387"/>
      <c r="AYG260" s="387"/>
      <c r="AYH260" s="387"/>
      <c r="AYI260" s="387"/>
      <c r="AYJ260" s="387"/>
      <c r="AYK260" s="387"/>
      <c r="AYL260" s="387"/>
      <c r="AYM260" s="387"/>
      <c r="AYN260" s="387"/>
      <c r="AYO260" s="387"/>
      <c r="AYP260" s="387"/>
      <c r="AYQ260" s="387"/>
      <c r="AYR260" s="387"/>
      <c r="AYS260" s="387"/>
      <c r="AYT260" s="387"/>
      <c r="AYU260" s="387"/>
      <c r="AYV260" s="387"/>
      <c r="AYW260" s="387"/>
      <c r="AYX260" s="387"/>
      <c r="AYY260" s="387"/>
      <c r="AYZ260" s="387"/>
      <c r="AZA260" s="387"/>
      <c r="AZB260" s="387"/>
      <c r="AZC260" s="387"/>
      <c r="AZD260" s="387"/>
      <c r="AZE260" s="387"/>
      <c r="AZF260" s="387"/>
      <c r="AZG260" s="387"/>
      <c r="AZH260" s="387"/>
      <c r="AZI260" s="387"/>
      <c r="AZJ260" s="387"/>
      <c r="AZK260" s="387"/>
      <c r="AZL260" s="387"/>
      <c r="AZM260" s="387"/>
      <c r="AZN260" s="387"/>
      <c r="AZO260" s="387"/>
      <c r="AZP260" s="387"/>
      <c r="AZQ260" s="387"/>
      <c r="AZR260" s="387"/>
      <c r="AZS260" s="387"/>
      <c r="AZT260" s="387"/>
      <c r="AZU260" s="387"/>
      <c r="AZV260" s="387"/>
      <c r="AZW260" s="387"/>
      <c r="AZX260" s="387"/>
      <c r="AZY260" s="387"/>
      <c r="AZZ260" s="387"/>
      <c r="BAA260" s="387"/>
      <c r="BAB260" s="387"/>
      <c r="BAC260" s="387"/>
      <c r="BAD260" s="387"/>
      <c r="BAE260" s="387"/>
      <c r="BAF260" s="387"/>
      <c r="BAG260" s="387"/>
      <c r="BAH260" s="387"/>
      <c r="BAI260" s="387"/>
      <c r="BAJ260" s="387"/>
      <c r="BAK260" s="387"/>
      <c r="BAL260" s="387"/>
      <c r="BAM260" s="387"/>
      <c r="BAN260" s="387"/>
      <c r="BAO260" s="387"/>
      <c r="BAP260" s="387"/>
      <c r="BAQ260" s="387"/>
      <c r="BAR260" s="387"/>
      <c r="BAS260" s="387"/>
      <c r="BAT260" s="387"/>
      <c r="BAU260" s="387"/>
      <c r="BAV260" s="387"/>
      <c r="BAW260" s="387"/>
      <c r="BAX260" s="387"/>
      <c r="BAY260" s="387"/>
      <c r="BAZ260" s="387"/>
      <c r="BBA260" s="387"/>
      <c r="BBB260" s="387"/>
      <c r="BBC260" s="387"/>
      <c r="BBD260" s="387"/>
      <c r="BBE260" s="387"/>
      <c r="BBF260" s="387"/>
      <c r="BBG260" s="387"/>
      <c r="BBH260" s="387"/>
      <c r="BBI260" s="387"/>
      <c r="BBJ260" s="387"/>
      <c r="BBK260" s="387"/>
      <c r="BBL260" s="387"/>
      <c r="BBM260" s="387"/>
      <c r="BBN260" s="387"/>
      <c r="BBO260" s="387"/>
      <c r="BBP260" s="387"/>
      <c r="BBQ260" s="387"/>
      <c r="BBR260" s="387"/>
      <c r="BBS260" s="387"/>
      <c r="BBT260" s="387"/>
      <c r="BBU260" s="387"/>
      <c r="BBV260" s="387"/>
      <c r="BBW260" s="387"/>
      <c r="BBX260" s="387"/>
      <c r="BBY260" s="387"/>
      <c r="BBZ260" s="387"/>
      <c r="BCA260" s="387"/>
      <c r="BCB260" s="387"/>
      <c r="BCC260" s="387"/>
      <c r="BCD260" s="387"/>
      <c r="BCE260" s="387"/>
      <c r="BCF260" s="387"/>
      <c r="BCG260" s="387"/>
      <c r="BCH260" s="387"/>
      <c r="BCI260" s="387"/>
      <c r="BCJ260" s="387"/>
      <c r="BCK260" s="387"/>
      <c r="BCL260" s="387"/>
      <c r="BCM260" s="387"/>
      <c r="BCN260" s="387"/>
      <c r="BCO260" s="387"/>
      <c r="BCP260" s="387"/>
      <c r="BCQ260" s="387"/>
      <c r="BCR260" s="387"/>
      <c r="BCS260" s="387"/>
      <c r="BCT260" s="387"/>
      <c r="BCU260" s="387"/>
      <c r="BCV260" s="387"/>
      <c r="BCW260" s="387"/>
      <c r="BCX260" s="387"/>
      <c r="BCY260" s="387"/>
      <c r="BCZ260" s="387"/>
      <c r="BDA260" s="387"/>
      <c r="BDB260" s="387"/>
      <c r="BDC260" s="387"/>
      <c r="BDD260" s="387"/>
      <c r="BDE260" s="387"/>
      <c r="BDF260" s="387"/>
      <c r="BDG260" s="387"/>
      <c r="BDH260" s="387"/>
      <c r="BDI260" s="387"/>
      <c r="BDJ260" s="387"/>
      <c r="BDK260" s="387"/>
      <c r="BDL260" s="387"/>
      <c r="BDM260" s="387"/>
      <c r="BDN260" s="387"/>
      <c r="BDO260" s="387"/>
      <c r="BDP260" s="387"/>
      <c r="BDQ260" s="387"/>
      <c r="BDR260" s="387"/>
      <c r="BDS260" s="387"/>
      <c r="BDT260" s="387"/>
      <c r="BDU260" s="387"/>
      <c r="BDV260" s="387"/>
      <c r="BDW260" s="387"/>
      <c r="BDX260" s="387"/>
      <c r="BDY260" s="387"/>
      <c r="BDZ260" s="387"/>
      <c r="BEA260" s="387"/>
      <c r="BEB260" s="387"/>
      <c r="BEC260" s="387"/>
      <c r="BED260" s="387"/>
      <c r="BEE260" s="387"/>
      <c r="BEF260" s="387"/>
      <c r="BEG260" s="387"/>
      <c r="BEH260" s="387"/>
      <c r="BEI260" s="387"/>
      <c r="BEJ260" s="387"/>
      <c r="BEK260" s="387"/>
      <c r="BEL260" s="387"/>
      <c r="BEM260" s="387"/>
      <c r="BEN260" s="387"/>
      <c r="BEO260" s="387"/>
      <c r="BEP260" s="387"/>
      <c r="BEQ260" s="387"/>
      <c r="BER260" s="387"/>
      <c r="BES260" s="387"/>
      <c r="BET260" s="387"/>
      <c r="BEU260" s="387"/>
      <c r="BEV260" s="387"/>
      <c r="BEW260" s="387"/>
      <c r="BEX260" s="387"/>
      <c r="BEY260" s="387"/>
      <c r="BEZ260" s="387"/>
      <c r="BFA260" s="387"/>
      <c r="BFB260" s="387"/>
      <c r="BFC260" s="387"/>
      <c r="BFD260" s="387"/>
      <c r="BFE260" s="387"/>
      <c r="BFF260" s="387"/>
      <c r="BFG260" s="387"/>
      <c r="BFH260" s="387"/>
      <c r="BFI260" s="387"/>
      <c r="BFJ260" s="387"/>
      <c r="BFK260" s="387"/>
      <c r="BFL260" s="387"/>
      <c r="BFM260" s="387"/>
      <c r="BFN260" s="387"/>
      <c r="BFO260" s="387"/>
      <c r="BFP260" s="387"/>
      <c r="BFQ260" s="387"/>
      <c r="BFR260" s="387"/>
      <c r="BFS260" s="387"/>
      <c r="BFT260" s="387"/>
      <c r="BFU260" s="387"/>
      <c r="BFV260" s="387"/>
      <c r="BFW260" s="387"/>
      <c r="BFX260" s="387"/>
      <c r="BFY260" s="387"/>
      <c r="BFZ260" s="387"/>
      <c r="BGA260" s="387"/>
      <c r="BGB260" s="387"/>
      <c r="BGC260" s="387"/>
      <c r="BGD260" s="387"/>
      <c r="BGE260" s="387"/>
      <c r="BGF260" s="387"/>
      <c r="BGG260" s="387"/>
      <c r="BGH260" s="387"/>
      <c r="BGI260" s="387"/>
      <c r="BGJ260" s="387"/>
      <c r="BGK260" s="387"/>
      <c r="BGL260" s="387"/>
      <c r="BGM260" s="387"/>
      <c r="BGN260" s="387"/>
      <c r="BGO260" s="387"/>
      <c r="BGP260" s="387"/>
      <c r="BGQ260" s="387"/>
      <c r="BGR260" s="387"/>
      <c r="BGS260" s="387"/>
      <c r="BGT260" s="387"/>
      <c r="BGU260" s="387"/>
      <c r="BGV260" s="387"/>
      <c r="BGW260" s="387"/>
      <c r="BGX260" s="387"/>
      <c r="BGY260" s="387"/>
      <c r="BGZ260" s="387"/>
      <c r="BHA260" s="387"/>
      <c r="BHB260" s="387"/>
      <c r="BHC260" s="387"/>
      <c r="BHD260" s="387"/>
      <c r="BHE260" s="387"/>
      <c r="BHF260" s="387"/>
      <c r="BHG260" s="387"/>
      <c r="BHH260" s="387"/>
      <c r="BHI260" s="387"/>
      <c r="BHJ260" s="387"/>
      <c r="BHK260" s="387"/>
      <c r="BHL260" s="387"/>
      <c r="BHM260" s="387"/>
      <c r="BHN260" s="387"/>
      <c r="BHO260" s="387"/>
      <c r="BHP260" s="387"/>
      <c r="BHQ260" s="387"/>
      <c r="BHR260" s="387"/>
      <c r="BHS260" s="387"/>
      <c r="BHT260" s="387"/>
      <c r="BHU260" s="387"/>
      <c r="BHV260" s="387"/>
      <c r="BHW260" s="387"/>
      <c r="BHX260" s="387"/>
      <c r="BHY260" s="387"/>
      <c r="BHZ260" s="387"/>
      <c r="BIA260" s="387"/>
      <c r="BIB260" s="387"/>
      <c r="BIC260" s="387"/>
      <c r="BID260" s="387"/>
      <c r="BIE260" s="387"/>
      <c r="BIF260" s="387"/>
      <c r="BIG260" s="387"/>
      <c r="BIH260" s="387"/>
      <c r="BII260" s="387"/>
      <c r="BIJ260" s="387"/>
      <c r="BIK260" s="387"/>
      <c r="BIL260" s="387"/>
      <c r="BIM260" s="387"/>
      <c r="BIN260" s="387"/>
      <c r="BIO260" s="387"/>
      <c r="BIP260" s="387"/>
      <c r="BIQ260" s="387"/>
      <c r="BIR260" s="387"/>
      <c r="BIS260" s="387"/>
      <c r="BIT260" s="387"/>
      <c r="BIU260" s="387"/>
      <c r="BIV260" s="387"/>
      <c r="BIW260" s="387"/>
      <c r="BIX260" s="387"/>
      <c r="BIY260" s="387"/>
      <c r="BIZ260" s="387"/>
      <c r="BJA260" s="387"/>
      <c r="BJB260" s="387"/>
      <c r="BJC260" s="387"/>
      <c r="BJD260" s="387"/>
      <c r="BJE260" s="387"/>
      <c r="BJF260" s="387"/>
      <c r="BJG260" s="387"/>
      <c r="BJH260" s="387"/>
      <c r="BJI260" s="387"/>
      <c r="BJJ260" s="387"/>
      <c r="BJK260" s="387"/>
      <c r="BJL260" s="387"/>
      <c r="BJM260" s="387"/>
      <c r="BJN260" s="387"/>
      <c r="BJO260" s="387"/>
      <c r="BJP260" s="387"/>
      <c r="BJQ260" s="387"/>
      <c r="BJR260" s="387"/>
      <c r="BJS260" s="387"/>
      <c r="BJT260" s="387"/>
      <c r="BJU260" s="387"/>
      <c r="BJV260" s="387"/>
      <c r="BJW260" s="387"/>
      <c r="BJX260" s="387"/>
      <c r="BJY260" s="387"/>
      <c r="BJZ260" s="387"/>
      <c r="BKA260" s="387"/>
      <c r="BKB260" s="387"/>
      <c r="BKC260" s="387"/>
      <c r="BKD260" s="387"/>
      <c r="BKE260" s="387"/>
      <c r="BKF260" s="387"/>
      <c r="BKG260" s="387"/>
      <c r="BKH260" s="387"/>
      <c r="BKI260" s="387"/>
      <c r="BKJ260" s="387"/>
      <c r="BKK260" s="387"/>
      <c r="BKL260" s="387"/>
      <c r="BKM260" s="387"/>
      <c r="BKN260" s="387"/>
      <c r="BKO260" s="387"/>
      <c r="BKP260" s="387"/>
      <c r="BKQ260" s="387"/>
      <c r="BKR260" s="387"/>
      <c r="BKS260" s="387"/>
      <c r="BKT260" s="387"/>
      <c r="BKU260" s="387"/>
      <c r="BKV260" s="387"/>
      <c r="BKW260" s="387"/>
      <c r="BKX260" s="387"/>
      <c r="BKY260" s="387"/>
      <c r="BKZ260" s="387"/>
      <c r="BLA260" s="387"/>
      <c r="BLB260" s="387"/>
      <c r="BLC260" s="387"/>
      <c r="BLD260" s="387"/>
      <c r="BLE260" s="387"/>
      <c r="BLF260" s="387"/>
      <c r="BLG260" s="387"/>
      <c r="BLH260" s="387"/>
      <c r="BLI260" s="387"/>
      <c r="BLJ260" s="387"/>
      <c r="BLK260" s="387"/>
      <c r="BLL260" s="387"/>
      <c r="BLM260" s="387"/>
      <c r="BLN260" s="387"/>
      <c r="BLO260" s="387"/>
      <c r="BLP260" s="387"/>
      <c r="BLQ260" s="387"/>
      <c r="BLR260" s="387"/>
      <c r="BLS260" s="387"/>
      <c r="BLT260" s="387"/>
      <c r="BLU260" s="387"/>
      <c r="BLV260" s="387"/>
      <c r="BLW260" s="387"/>
      <c r="BLX260" s="387"/>
      <c r="BLY260" s="387"/>
      <c r="BLZ260" s="387"/>
      <c r="BMA260" s="387"/>
      <c r="BMB260" s="387"/>
      <c r="BMC260" s="387"/>
      <c r="BMD260" s="387"/>
      <c r="BME260" s="387"/>
      <c r="BMF260" s="387"/>
      <c r="BMG260" s="387"/>
      <c r="BMH260" s="387"/>
      <c r="BMI260" s="387"/>
      <c r="BMJ260" s="387"/>
      <c r="BMK260" s="387"/>
      <c r="BML260" s="387"/>
      <c r="BMM260" s="387"/>
      <c r="BMN260" s="387"/>
      <c r="BMO260" s="387"/>
      <c r="BMP260" s="387"/>
      <c r="BMQ260" s="387"/>
      <c r="BMR260" s="387"/>
      <c r="BMS260" s="387"/>
      <c r="BMT260" s="387"/>
      <c r="BMU260" s="387"/>
      <c r="BMV260" s="387"/>
      <c r="BMW260" s="387"/>
      <c r="BMX260" s="387"/>
      <c r="BMY260" s="387"/>
      <c r="BMZ260" s="387"/>
      <c r="BNA260" s="387"/>
      <c r="BNB260" s="387"/>
      <c r="BNC260" s="387"/>
      <c r="BND260" s="387"/>
      <c r="BNE260" s="387"/>
      <c r="BNF260" s="387"/>
      <c r="BNG260" s="387"/>
      <c r="BNH260" s="387"/>
      <c r="BNI260" s="387"/>
      <c r="BNJ260" s="387"/>
      <c r="BNK260" s="387"/>
      <c r="BNL260" s="387"/>
      <c r="BNM260" s="387"/>
      <c r="BNN260" s="387"/>
      <c r="BNO260" s="387"/>
      <c r="BNP260" s="387"/>
      <c r="BNQ260" s="387"/>
      <c r="BNR260" s="387"/>
      <c r="BNS260" s="387"/>
      <c r="BNT260" s="387"/>
      <c r="BNU260" s="387"/>
      <c r="BNV260" s="387"/>
      <c r="BNW260" s="387"/>
      <c r="BNX260" s="387"/>
      <c r="BNY260" s="387"/>
      <c r="BNZ260" s="387"/>
      <c r="BOA260" s="387"/>
      <c r="BOB260" s="387"/>
      <c r="BOC260" s="387"/>
      <c r="BOD260" s="387"/>
      <c r="BOE260" s="387"/>
      <c r="BOF260" s="387"/>
      <c r="BOG260" s="387"/>
      <c r="BOH260" s="387"/>
      <c r="BOI260" s="387"/>
      <c r="BOJ260" s="387"/>
      <c r="BOK260" s="387"/>
      <c r="BOL260" s="387"/>
      <c r="BOM260" s="387"/>
      <c r="BON260" s="387"/>
      <c r="BOO260" s="387"/>
      <c r="BOP260" s="387"/>
      <c r="BOQ260" s="387"/>
      <c r="BOR260" s="387"/>
      <c r="BOS260" s="387"/>
      <c r="BOT260" s="387"/>
      <c r="BOU260" s="387"/>
      <c r="BOV260" s="387"/>
      <c r="BOW260" s="387"/>
      <c r="BOX260" s="387"/>
      <c r="BOY260" s="387"/>
      <c r="BOZ260" s="387"/>
      <c r="BPA260" s="387"/>
      <c r="BPB260" s="387"/>
      <c r="BPC260" s="387"/>
      <c r="BPD260" s="387"/>
      <c r="BPE260" s="387"/>
      <c r="BPF260" s="387"/>
      <c r="BPG260" s="387"/>
      <c r="BPH260" s="387"/>
      <c r="BPI260" s="387"/>
      <c r="BPJ260" s="387"/>
      <c r="BPK260" s="387"/>
      <c r="BPL260" s="387"/>
      <c r="BPM260" s="387"/>
      <c r="BPN260" s="387"/>
      <c r="BPO260" s="387"/>
      <c r="BPP260" s="387"/>
      <c r="BPQ260" s="387"/>
      <c r="BPR260" s="387"/>
      <c r="BPS260" s="387"/>
      <c r="BPT260" s="387"/>
      <c r="BPU260" s="387"/>
      <c r="BPV260" s="387"/>
      <c r="BPW260" s="387"/>
      <c r="BPX260" s="387"/>
      <c r="BPY260" s="387"/>
      <c r="BPZ260" s="387"/>
      <c r="BQA260" s="387"/>
      <c r="BQB260" s="387"/>
      <c r="BQC260" s="387"/>
      <c r="BQD260" s="387"/>
      <c r="BQE260" s="387"/>
      <c r="BQF260" s="387"/>
      <c r="BQG260" s="387"/>
      <c r="BQH260" s="387"/>
      <c r="BQI260" s="387"/>
      <c r="BQJ260" s="387"/>
      <c r="BQK260" s="387"/>
      <c r="BQL260" s="387"/>
      <c r="BQM260" s="387"/>
      <c r="BQN260" s="387"/>
      <c r="BQO260" s="387"/>
      <c r="BQP260" s="387"/>
      <c r="BQQ260" s="387"/>
      <c r="BQR260" s="387"/>
      <c r="BQS260" s="387"/>
      <c r="BQT260" s="387"/>
      <c r="BQU260" s="387"/>
      <c r="BQV260" s="387"/>
      <c r="BQW260" s="387"/>
      <c r="BQX260" s="387"/>
      <c r="BQY260" s="387"/>
      <c r="BQZ260" s="387"/>
      <c r="BRA260" s="387"/>
      <c r="BRB260" s="387"/>
      <c r="BRC260" s="387"/>
      <c r="BRD260" s="387"/>
      <c r="BRE260" s="387"/>
      <c r="BRF260" s="387"/>
      <c r="BRG260" s="387"/>
      <c r="BRH260" s="387"/>
      <c r="BRI260" s="387"/>
      <c r="BRJ260" s="387"/>
      <c r="BRK260" s="387"/>
      <c r="BRL260" s="387"/>
      <c r="BRM260" s="387"/>
      <c r="BRN260" s="387"/>
      <c r="BRO260" s="387"/>
      <c r="BRP260" s="387"/>
      <c r="BRQ260" s="387"/>
      <c r="BRR260" s="387"/>
      <c r="BRS260" s="387"/>
      <c r="BRT260" s="387"/>
      <c r="BRU260" s="387"/>
      <c r="BRV260" s="387"/>
      <c r="BRW260" s="387"/>
      <c r="BRX260" s="387"/>
      <c r="BRY260" s="387"/>
      <c r="BRZ260" s="387"/>
      <c r="BSA260" s="387"/>
      <c r="BSB260" s="387"/>
      <c r="BSC260" s="387"/>
      <c r="BSD260" s="387"/>
      <c r="BSE260" s="387"/>
      <c r="BSF260" s="387"/>
      <c r="BSG260" s="387"/>
      <c r="BSH260" s="387"/>
      <c r="BSI260" s="387"/>
      <c r="BSJ260" s="387"/>
      <c r="BSK260" s="387"/>
      <c r="BSL260" s="387"/>
      <c r="BSM260" s="387"/>
      <c r="BSN260" s="387"/>
      <c r="BSO260" s="387"/>
      <c r="BSP260" s="387"/>
      <c r="BSQ260" s="387"/>
      <c r="BSR260" s="387"/>
      <c r="BSS260" s="387"/>
      <c r="BST260" s="387"/>
      <c r="BSU260" s="387"/>
      <c r="BSV260" s="387"/>
      <c r="BSW260" s="387"/>
      <c r="BSX260" s="387"/>
      <c r="BSY260" s="387"/>
      <c r="BSZ260" s="387"/>
      <c r="BTA260" s="387"/>
      <c r="BTB260" s="387"/>
      <c r="BTC260" s="387"/>
      <c r="BTD260" s="387"/>
      <c r="BTE260" s="387"/>
      <c r="BTF260" s="387"/>
      <c r="BTG260" s="387"/>
      <c r="BTH260" s="387"/>
      <c r="BTI260" s="387"/>
    </row>
    <row r="261" spans="1:1881" x14ac:dyDescent="0.25">
      <c r="E261" s="185"/>
    </row>
    <row r="262" spans="1:1881" x14ac:dyDescent="0.25">
      <c r="A262" s="187"/>
      <c r="B262" s="39"/>
      <c r="C262" s="39"/>
      <c r="D262" s="2"/>
      <c r="E262" s="696"/>
      <c r="F262" s="4"/>
      <c r="G262" s="8"/>
      <c r="H262" s="14"/>
      <c r="I262" s="186"/>
      <c r="X262" s="682"/>
    </row>
    <row r="263" spans="1:1881" x14ac:dyDescent="0.25">
      <c r="A263" s="25"/>
      <c r="B263" s="177"/>
      <c r="C263" s="177"/>
      <c r="D263" s="2"/>
      <c r="E263" s="697"/>
      <c r="F263"/>
      <c r="G263" s="8"/>
      <c r="H263" s="14"/>
      <c r="I263" s="186"/>
      <c r="X263" s="682"/>
    </row>
    <row r="264" spans="1:1881" x14ac:dyDescent="0.25">
      <c r="A264" s="25"/>
      <c r="B264" s="177"/>
      <c r="C264" s="177"/>
      <c r="D264" s="54"/>
      <c r="E264" s="697"/>
      <c r="F264"/>
      <c r="G264" s="8"/>
      <c r="H264" s="14"/>
      <c r="I264" s="186"/>
      <c r="X264" s="682"/>
    </row>
    <row r="265" spans="1:1881" x14ac:dyDescent="0.25">
      <c r="A265" s="25"/>
      <c r="B265" s="177"/>
      <c r="C265" s="177"/>
      <c r="D265" s="54"/>
      <c r="E265" s="697"/>
      <c r="F265"/>
      <c r="G265" s="8"/>
      <c r="H265" s="14"/>
      <c r="I265" s="186"/>
      <c r="X265" s="682"/>
    </row>
    <row r="266" spans="1:1881" x14ac:dyDescent="0.25">
      <c r="A266" s="25"/>
      <c r="B266" s="177"/>
      <c r="C266" s="177"/>
      <c r="D266" s="54"/>
      <c r="E266" s="697"/>
      <c r="F266"/>
      <c r="G266" s="8"/>
      <c r="H266" s="14"/>
      <c r="I266" s="186"/>
      <c r="X266" s="682"/>
    </row>
    <row r="267" spans="1:1881" x14ac:dyDescent="0.25">
      <c r="A267" s="25"/>
      <c r="B267" s="177"/>
      <c r="C267" s="177"/>
      <c r="D267" s="54"/>
      <c r="E267" s="698"/>
      <c r="F267"/>
      <c r="G267" s="8"/>
      <c r="H267" s="14"/>
      <c r="I267" s="186"/>
      <c r="X267" s="682"/>
    </row>
    <row r="268" spans="1:1881" x14ac:dyDescent="0.25">
      <c r="A268" s="25"/>
      <c r="D268" s="56"/>
      <c r="E268"/>
      <c r="F268"/>
      <c r="H268" s="14"/>
      <c r="I268" s="186"/>
      <c r="X268" s="682"/>
    </row>
    <row r="269" spans="1:1881" x14ac:dyDescent="0.25">
      <c r="D269" s="56"/>
      <c r="E269"/>
      <c r="F269"/>
      <c r="H269" s="14"/>
      <c r="I269" s="186"/>
      <c r="X269" s="682"/>
    </row>
    <row r="270" spans="1:1881" x14ac:dyDescent="0.25">
      <c r="D270" s="56"/>
      <c r="E270"/>
      <c r="F270"/>
      <c r="H270" s="14"/>
      <c r="I270" s="186"/>
      <c r="X270" s="682"/>
    </row>
    <row r="271" spans="1:1881" x14ac:dyDescent="0.25">
      <c r="D271" s="56"/>
      <c r="E271"/>
      <c r="F271"/>
      <c r="I271" s="186"/>
      <c r="X271" s="682"/>
    </row>
    <row r="272" spans="1:1881" x14ac:dyDescent="0.25">
      <c r="E272"/>
      <c r="F272"/>
      <c r="G272" s="367"/>
      <c r="I272" s="186"/>
      <c r="X272" s="682"/>
    </row>
    <row r="273" spans="5:24" x14ac:dyDescent="0.25">
      <c r="E273"/>
      <c r="F273"/>
      <c r="I273" s="186"/>
      <c r="X273" s="682"/>
    </row>
    <row r="274" spans="5:24" x14ac:dyDescent="0.25">
      <c r="E274"/>
      <c r="F274"/>
      <c r="I274" s="186"/>
      <c r="X274" s="682"/>
    </row>
    <row r="275" spans="5:24" x14ac:dyDescent="0.25">
      <c r="E275"/>
      <c r="F275"/>
      <c r="I275" s="186"/>
      <c r="X275" s="682"/>
    </row>
    <row r="276" spans="5:24" x14ac:dyDescent="0.25">
      <c r="I276" s="186"/>
      <c r="X276" s="682"/>
    </row>
    <row r="277" spans="5:24" x14ac:dyDescent="0.25">
      <c r="I277" s="186"/>
      <c r="X277" s="682"/>
    </row>
    <row r="278" spans="5:24" x14ac:dyDescent="0.25">
      <c r="I278" s="186"/>
      <c r="X278" s="682"/>
    </row>
    <row r="279" spans="5:24" x14ac:dyDescent="0.25">
      <c r="I279" s="186"/>
      <c r="X279" s="682"/>
    </row>
    <row r="280" spans="5:24" x14ac:dyDescent="0.25">
      <c r="I280" s="186"/>
      <c r="X280" s="682"/>
    </row>
    <row r="281" spans="5:24" x14ac:dyDescent="0.25">
      <c r="I281" s="186"/>
      <c r="X281" s="682"/>
    </row>
    <row r="282" spans="5:24" x14ac:dyDescent="0.25">
      <c r="I282" s="186"/>
      <c r="X282" s="682"/>
    </row>
    <row r="283" spans="5:24" x14ac:dyDescent="0.25">
      <c r="I283"/>
      <c r="X283" s="682"/>
    </row>
    <row r="284" spans="5:24" x14ac:dyDescent="0.25">
      <c r="I284"/>
      <c r="K284" s="364"/>
      <c r="L284" s="364"/>
      <c r="X284" s="682"/>
    </row>
    <row r="285" spans="5:24" x14ac:dyDescent="0.25">
      <c r="I285"/>
      <c r="K285" s="364"/>
      <c r="L285" s="364"/>
      <c r="X285" s="682"/>
    </row>
    <row r="286" spans="5:24" x14ac:dyDescent="0.25">
      <c r="I286"/>
      <c r="K286" s="364"/>
      <c r="L286" s="364"/>
      <c r="X286" s="682"/>
    </row>
    <row r="287" spans="5:24" x14ac:dyDescent="0.25">
      <c r="I287"/>
      <c r="K287" s="364"/>
      <c r="L287" s="364"/>
      <c r="X287" s="682"/>
    </row>
    <row r="288" spans="5:24" x14ac:dyDescent="0.25">
      <c r="I288"/>
      <c r="K288" s="364"/>
      <c r="L288" s="364"/>
      <c r="X288" s="682"/>
    </row>
    <row r="289" spans="9:24" x14ac:dyDescent="0.25">
      <c r="I289"/>
      <c r="K289" s="364"/>
      <c r="L289" s="364"/>
      <c r="X289" s="682"/>
    </row>
    <row r="290" spans="9:24" x14ac:dyDescent="0.25">
      <c r="I290" s="186"/>
      <c r="K290" s="364"/>
      <c r="L290" s="364"/>
      <c r="X290" s="682"/>
    </row>
    <row r="291" spans="9:24" x14ac:dyDescent="0.25">
      <c r="I291" s="186"/>
      <c r="K291" s="364"/>
      <c r="L291" s="364"/>
      <c r="X291" s="682"/>
    </row>
    <row r="292" spans="9:24" x14ac:dyDescent="0.25">
      <c r="I292" s="186"/>
      <c r="J292" s="364"/>
      <c r="K292" s="364"/>
      <c r="L292" s="364"/>
      <c r="X292" s="682"/>
    </row>
    <row r="293" spans="9:24" x14ac:dyDescent="0.25">
      <c r="I293" s="186"/>
      <c r="J293" s="364"/>
      <c r="K293" s="364"/>
      <c r="L293" s="364"/>
      <c r="X293" s="682"/>
    </row>
    <row r="294" spans="9:24" x14ac:dyDescent="0.25">
      <c r="I294" s="186"/>
      <c r="J294" s="364"/>
      <c r="K294" s="364"/>
      <c r="L294" s="364"/>
      <c r="X294" s="682"/>
    </row>
    <row r="295" spans="9:24" x14ac:dyDescent="0.25">
      <c r="I295" s="186"/>
      <c r="J295" s="364"/>
      <c r="K295" s="364"/>
      <c r="L295" s="364"/>
      <c r="X295" s="682"/>
    </row>
    <row r="296" spans="9:24" x14ac:dyDescent="0.25">
      <c r="I296" s="186"/>
      <c r="J296" s="364"/>
      <c r="K296" s="364"/>
      <c r="L296" s="364"/>
      <c r="X296" s="682"/>
    </row>
    <row r="297" spans="9:24" x14ac:dyDescent="0.25">
      <c r="I297" s="186"/>
      <c r="J297" s="364"/>
      <c r="K297" s="364"/>
      <c r="L297" s="364"/>
      <c r="X297" s="682"/>
    </row>
    <row r="298" spans="9:24" x14ac:dyDescent="0.25">
      <c r="I298" s="186"/>
      <c r="J298" s="364"/>
      <c r="K298" s="364"/>
      <c r="L298" s="364"/>
      <c r="X298" s="682"/>
    </row>
    <row r="299" spans="9:24" x14ac:dyDescent="0.25">
      <c r="I299"/>
      <c r="J299" s="364"/>
      <c r="K299" s="364"/>
      <c r="L299" s="364"/>
      <c r="X299" s="682"/>
    </row>
    <row r="300" spans="9:24" x14ac:dyDescent="0.25">
      <c r="I300"/>
      <c r="J300" s="364"/>
      <c r="K300" s="364"/>
      <c r="L300" s="364"/>
      <c r="X300" s="682"/>
    </row>
    <row r="301" spans="9:24" x14ac:dyDescent="0.25">
      <c r="I301"/>
      <c r="J301" s="364"/>
      <c r="K301" s="364"/>
      <c r="L301" s="364"/>
      <c r="X301" s="682"/>
    </row>
    <row r="302" spans="9:24" x14ac:dyDescent="0.25">
      <c r="I302"/>
      <c r="J302" s="364"/>
      <c r="K302" s="364"/>
      <c r="L302" s="364"/>
      <c r="X302" s="682"/>
    </row>
    <row r="303" spans="9:24" x14ac:dyDescent="0.25">
      <c r="I303"/>
      <c r="J303" s="364"/>
      <c r="K303" s="364"/>
      <c r="L303" s="364"/>
      <c r="X303" s="682"/>
    </row>
    <row r="304" spans="9:24" x14ac:dyDescent="0.25">
      <c r="I304"/>
      <c r="J304" s="364"/>
      <c r="K304" s="364"/>
      <c r="L304" s="364"/>
      <c r="X304" s="682"/>
    </row>
    <row r="305" spans="9:24" x14ac:dyDescent="0.25">
      <c r="I305"/>
      <c r="J305" s="364"/>
      <c r="K305" s="364"/>
      <c r="L305" s="364"/>
      <c r="X305" s="682"/>
    </row>
    <row r="306" spans="9:24" x14ac:dyDescent="0.25">
      <c r="I306"/>
      <c r="J306" s="364"/>
      <c r="K306" s="364"/>
      <c r="L306" s="364"/>
      <c r="X306" s="682"/>
    </row>
    <row r="307" spans="9:24" x14ac:dyDescent="0.25">
      <c r="I307"/>
      <c r="J307" s="364"/>
      <c r="K307" s="364"/>
      <c r="L307" s="364"/>
      <c r="X307" s="682"/>
    </row>
    <row r="308" spans="9:24" x14ac:dyDescent="0.25">
      <c r="I308"/>
      <c r="J308" s="364"/>
      <c r="K308" s="364"/>
      <c r="L308" s="364"/>
      <c r="X308" s="682"/>
    </row>
    <row r="309" spans="9:24" x14ac:dyDescent="0.25">
      <c r="I309"/>
      <c r="J309" s="364"/>
      <c r="K309" s="364"/>
      <c r="L309" s="364"/>
      <c r="X309" s="682"/>
    </row>
    <row r="310" spans="9:24" x14ac:dyDescent="0.25">
      <c r="I310"/>
      <c r="J310" s="364"/>
      <c r="K310" s="364"/>
      <c r="L310" s="364"/>
      <c r="X310" s="682"/>
    </row>
    <row r="311" spans="9:24" x14ac:dyDescent="0.25">
      <c r="I311"/>
      <c r="J311" s="364"/>
      <c r="K311" s="364"/>
      <c r="L311" s="364"/>
      <c r="X311" s="682"/>
    </row>
    <row r="312" spans="9:24" x14ac:dyDescent="0.25">
      <c r="I312"/>
      <c r="J312" s="364"/>
      <c r="K312" s="364"/>
      <c r="L312" s="364"/>
      <c r="X312" s="682"/>
    </row>
    <row r="313" spans="9:24" x14ac:dyDescent="0.25">
      <c r="I313"/>
      <c r="J313" s="364"/>
      <c r="K313" s="364"/>
      <c r="L313" s="364"/>
      <c r="X313" s="682"/>
    </row>
    <row r="314" spans="9:24" x14ac:dyDescent="0.25">
      <c r="I314"/>
      <c r="J314" s="364"/>
      <c r="K314" s="364"/>
      <c r="L314" s="364"/>
      <c r="X314" s="682"/>
    </row>
    <row r="315" spans="9:24" x14ac:dyDescent="0.25">
      <c r="I315"/>
      <c r="J315" s="364"/>
      <c r="K315" s="364"/>
      <c r="L315" s="364"/>
      <c r="X315" s="682"/>
    </row>
    <row r="316" spans="9:24" x14ac:dyDescent="0.25">
      <c r="I316"/>
      <c r="J316" s="364"/>
      <c r="K316" s="364"/>
      <c r="L316" s="364"/>
      <c r="X316" s="682"/>
    </row>
    <row r="317" spans="9:24" x14ac:dyDescent="0.25">
      <c r="I317"/>
      <c r="J317" s="364"/>
      <c r="K317" s="364"/>
      <c r="L317" s="364"/>
      <c r="X317" s="682"/>
    </row>
    <row r="318" spans="9:24" x14ac:dyDescent="0.25">
      <c r="I318"/>
      <c r="J318" s="364"/>
      <c r="K318" s="364"/>
      <c r="L318" s="364"/>
      <c r="X318" s="682"/>
    </row>
    <row r="319" spans="9:24" x14ac:dyDescent="0.25">
      <c r="I319"/>
      <c r="J319" s="364"/>
      <c r="K319" s="364"/>
      <c r="L319" s="364"/>
      <c r="X319" s="682"/>
    </row>
    <row r="320" spans="9:24" x14ac:dyDescent="0.25">
      <c r="I320"/>
      <c r="J320" s="364"/>
      <c r="K320" s="364"/>
      <c r="L320" s="364"/>
      <c r="X320" s="682"/>
    </row>
    <row r="321" spans="9:24" x14ac:dyDescent="0.25">
      <c r="I321"/>
      <c r="J321" s="364"/>
      <c r="K321" s="364"/>
      <c r="L321" s="364"/>
      <c r="X321" s="682"/>
    </row>
    <row r="322" spans="9:24" x14ac:dyDescent="0.25">
      <c r="I322"/>
      <c r="J322" s="364"/>
      <c r="K322" s="364"/>
      <c r="L322" s="364"/>
      <c r="X322" s="682"/>
    </row>
    <row r="323" spans="9:24" x14ac:dyDescent="0.25">
      <c r="I323"/>
      <c r="J323" s="364"/>
      <c r="K323" s="364"/>
      <c r="L323" s="364"/>
      <c r="X323" s="682"/>
    </row>
    <row r="324" spans="9:24" x14ac:dyDescent="0.25">
      <c r="I324"/>
      <c r="J324" s="364"/>
      <c r="K324" s="364"/>
      <c r="L324" s="364"/>
      <c r="X324" s="682"/>
    </row>
    <row r="325" spans="9:24" x14ac:dyDescent="0.25">
      <c r="I325"/>
      <c r="J325" s="364"/>
      <c r="K325" s="364"/>
      <c r="L325" s="364"/>
      <c r="X325" s="682"/>
    </row>
    <row r="326" spans="9:24" x14ac:dyDescent="0.25">
      <c r="I326"/>
      <c r="J326" s="364"/>
      <c r="K326" s="364"/>
      <c r="L326" s="364"/>
      <c r="X326" s="682"/>
    </row>
    <row r="327" spans="9:24" x14ac:dyDescent="0.25">
      <c r="I327"/>
      <c r="J327" s="364"/>
      <c r="K327" s="364"/>
      <c r="L327" s="364"/>
      <c r="X327" s="682"/>
    </row>
    <row r="328" spans="9:24" x14ac:dyDescent="0.25">
      <c r="I328"/>
      <c r="J328" s="364"/>
      <c r="K328" s="364"/>
      <c r="L328" s="364"/>
      <c r="X328" s="682"/>
    </row>
    <row r="329" spans="9:24" x14ac:dyDescent="0.25">
      <c r="I329"/>
      <c r="J329" s="364"/>
      <c r="K329" s="364"/>
      <c r="L329" s="364"/>
      <c r="X329" s="682"/>
    </row>
    <row r="330" spans="9:24" x14ac:dyDescent="0.25">
      <c r="I330"/>
      <c r="J330" s="364"/>
      <c r="K330" s="364"/>
      <c r="L330" s="364"/>
      <c r="X330" s="682"/>
    </row>
    <row r="331" spans="9:24" x14ac:dyDescent="0.25">
      <c r="I331"/>
      <c r="J331" s="364"/>
      <c r="K331" s="364"/>
      <c r="L331" s="364"/>
      <c r="X331" s="682"/>
    </row>
    <row r="332" spans="9:24" x14ac:dyDescent="0.25">
      <c r="I332"/>
      <c r="J332" s="364"/>
      <c r="K332" s="364"/>
      <c r="L332" s="364"/>
      <c r="X332" s="682"/>
    </row>
    <row r="333" spans="9:24" x14ac:dyDescent="0.25">
      <c r="I333"/>
      <c r="J333" s="364"/>
      <c r="K333" s="364"/>
      <c r="L333" s="364"/>
      <c r="X333" s="682"/>
    </row>
    <row r="334" spans="9:24" x14ac:dyDescent="0.25">
      <c r="I334"/>
      <c r="J334" s="364"/>
      <c r="K334" s="364"/>
      <c r="L334" s="364"/>
      <c r="X334" s="682"/>
    </row>
    <row r="335" spans="9:24" x14ac:dyDescent="0.25">
      <c r="I335"/>
      <c r="J335" s="364"/>
      <c r="K335" s="364"/>
      <c r="L335" s="364"/>
      <c r="X335" s="682"/>
    </row>
    <row r="336" spans="9:24" x14ac:dyDescent="0.25">
      <c r="I336"/>
      <c r="J336" s="364"/>
      <c r="K336" s="364"/>
      <c r="L336" s="364"/>
      <c r="X336" s="682"/>
    </row>
    <row r="337" spans="9:24" x14ac:dyDescent="0.25">
      <c r="I337"/>
      <c r="J337" s="364"/>
      <c r="K337" s="364"/>
      <c r="L337" s="364"/>
      <c r="X337" s="682"/>
    </row>
    <row r="338" spans="9:24" x14ac:dyDescent="0.25">
      <c r="I338"/>
      <c r="J338" s="364"/>
      <c r="K338" s="364"/>
      <c r="L338" s="364"/>
      <c r="X338" s="682"/>
    </row>
    <row r="339" spans="9:24" x14ac:dyDescent="0.25">
      <c r="I339"/>
      <c r="J339" s="364"/>
      <c r="K339" s="364"/>
      <c r="L339" s="364"/>
      <c r="X339" s="682"/>
    </row>
    <row r="340" spans="9:24" x14ac:dyDescent="0.25">
      <c r="I340"/>
      <c r="J340" s="364"/>
      <c r="K340" s="364"/>
      <c r="L340" s="364"/>
      <c r="X340" s="682"/>
    </row>
    <row r="341" spans="9:24" x14ac:dyDescent="0.25">
      <c r="I341"/>
      <c r="J341" s="364"/>
      <c r="K341" s="364"/>
      <c r="L341" s="364"/>
      <c r="X341" s="682"/>
    </row>
    <row r="342" spans="9:24" x14ac:dyDescent="0.25">
      <c r="I342"/>
      <c r="J342" s="364"/>
      <c r="K342" s="364"/>
      <c r="L342" s="364"/>
      <c r="X342" s="682"/>
    </row>
    <row r="343" spans="9:24" x14ac:dyDescent="0.25">
      <c r="I343"/>
      <c r="J343" s="364"/>
      <c r="K343" s="364"/>
      <c r="L343" s="364"/>
      <c r="X343" s="682"/>
    </row>
    <row r="344" spans="9:24" x14ac:dyDescent="0.25">
      <c r="I344"/>
      <c r="J344" s="364"/>
      <c r="K344" s="364"/>
      <c r="L344" s="364"/>
      <c r="X344" s="682"/>
    </row>
    <row r="345" spans="9:24" x14ac:dyDescent="0.25">
      <c r="I345"/>
      <c r="J345" s="364"/>
      <c r="K345" s="364"/>
      <c r="L345" s="364"/>
      <c r="X345" s="682"/>
    </row>
    <row r="346" spans="9:24" x14ac:dyDescent="0.25">
      <c r="I346"/>
      <c r="J346" s="364"/>
      <c r="K346" s="364"/>
      <c r="L346" s="364"/>
      <c r="X346" s="682"/>
    </row>
    <row r="347" spans="9:24" x14ac:dyDescent="0.25">
      <c r="I347"/>
      <c r="J347" s="364"/>
      <c r="K347" s="364"/>
      <c r="L347" s="364"/>
      <c r="X347" s="682"/>
    </row>
    <row r="348" spans="9:24" x14ac:dyDescent="0.25">
      <c r="I348"/>
      <c r="J348" s="364"/>
      <c r="K348" s="364"/>
      <c r="L348" s="364"/>
      <c r="X348" s="682"/>
    </row>
    <row r="349" spans="9:24" x14ac:dyDescent="0.25">
      <c r="I349"/>
      <c r="J349" s="364"/>
      <c r="K349" s="364"/>
      <c r="L349" s="364"/>
      <c r="X349" s="682"/>
    </row>
    <row r="350" spans="9:24" x14ac:dyDescent="0.25">
      <c r="I350"/>
      <c r="J350" s="364"/>
      <c r="K350" s="364"/>
      <c r="L350" s="364"/>
      <c r="X350" s="682"/>
    </row>
    <row r="351" spans="9:24" x14ac:dyDescent="0.25">
      <c r="I351"/>
      <c r="J351" s="364"/>
      <c r="K351" s="364"/>
      <c r="L351" s="364"/>
      <c r="X351" s="682"/>
    </row>
    <row r="352" spans="9:24" x14ac:dyDescent="0.25">
      <c r="I352"/>
      <c r="J352" s="364"/>
      <c r="K352" s="364"/>
      <c r="L352" s="364"/>
      <c r="X352" s="682"/>
    </row>
    <row r="353" spans="9:24" x14ac:dyDescent="0.25">
      <c r="I353"/>
      <c r="J353" s="364"/>
      <c r="X353" s="682"/>
    </row>
    <row r="354" spans="9:24" x14ac:dyDescent="0.25">
      <c r="I354"/>
      <c r="J354" s="364"/>
      <c r="X354" s="682"/>
    </row>
    <row r="355" spans="9:24" x14ac:dyDescent="0.25">
      <c r="I355"/>
      <c r="J355" s="364"/>
      <c r="X355" s="682"/>
    </row>
    <row r="356" spans="9:24" x14ac:dyDescent="0.25">
      <c r="I356"/>
      <c r="J356" s="364"/>
      <c r="X356" s="682"/>
    </row>
    <row r="357" spans="9:24" x14ac:dyDescent="0.25">
      <c r="I357"/>
      <c r="J357" s="364"/>
      <c r="X357" s="682"/>
    </row>
    <row r="358" spans="9:24" x14ac:dyDescent="0.25">
      <c r="I358"/>
      <c r="J358" s="364"/>
      <c r="X358" s="682"/>
    </row>
    <row r="359" spans="9:24" x14ac:dyDescent="0.25">
      <c r="I359"/>
      <c r="J359" s="364"/>
      <c r="X359" s="682"/>
    </row>
    <row r="360" spans="9:24" x14ac:dyDescent="0.25">
      <c r="I360"/>
      <c r="J360" s="364"/>
      <c r="X360" s="682"/>
    </row>
    <row r="361" spans="9:24" x14ac:dyDescent="0.25">
      <c r="I361"/>
      <c r="X361" s="682"/>
    </row>
    <row r="362" spans="9:24" x14ac:dyDescent="0.25">
      <c r="I362"/>
      <c r="X362" s="682"/>
    </row>
    <row r="363" spans="9:24" x14ac:dyDescent="0.25">
      <c r="I363"/>
      <c r="X363" s="682"/>
    </row>
    <row r="364" spans="9:24" x14ac:dyDescent="0.25">
      <c r="I364"/>
      <c r="X364" s="682"/>
    </row>
    <row r="365" spans="9:24" x14ac:dyDescent="0.25">
      <c r="I365"/>
      <c r="X365" s="682"/>
    </row>
    <row r="366" spans="9:24" x14ac:dyDescent="0.25">
      <c r="I366"/>
      <c r="X366" s="682"/>
    </row>
    <row r="367" spans="9:24" x14ac:dyDescent="0.25">
      <c r="I367"/>
      <c r="X367" s="682"/>
    </row>
    <row r="368" spans="9:24" x14ac:dyDescent="0.25">
      <c r="I368" s="186"/>
      <c r="X368" s="682"/>
    </row>
    <row r="369" spans="9:24" x14ac:dyDescent="0.25">
      <c r="I369" s="186"/>
      <c r="X369" s="682"/>
    </row>
    <row r="370" spans="9:24" x14ac:dyDescent="0.25">
      <c r="I370" s="186"/>
      <c r="X370" s="682"/>
    </row>
    <row r="371" spans="9:24" x14ac:dyDescent="0.25">
      <c r="I371" s="186"/>
      <c r="X371" s="682"/>
    </row>
    <row r="372" spans="9:24" x14ac:dyDescent="0.25">
      <c r="I372" s="186"/>
      <c r="X372" s="682"/>
    </row>
    <row r="373" spans="9:24" x14ac:dyDescent="0.25">
      <c r="I373" s="186"/>
      <c r="X373" s="682"/>
    </row>
    <row r="374" spans="9:24" x14ac:dyDescent="0.25">
      <c r="I374" s="186"/>
      <c r="X374" s="682"/>
    </row>
    <row r="375" spans="9:24" x14ac:dyDescent="0.25">
      <c r="I375" s="186"/>
      <c r="X375" s="682"/>
    </row>
    <row r="376" spans="9:24" x14ac:dyDescent="0.25">
      <c r="I376" s="186"/>
      <c r="X376" s="682"/>
    </row>
    <row r="377" spans="9:24" x14ac:dyDescent="0.25">
      <c r="I377" s="186"/>
      <c r="X377" s="682"/>
    </row>
    <row r="378" spans="9:24" x14ac:dyDescent="0.25">
      <c r="X378" s="682"/>
    </row>
    <row r="379" spans="9:24" x14ac:dyDescent="0.25">
      <c r="X379" s="682"/>
    </row>
    <row r="380" spans="9:24" x14ac:dyDescent="0.25">
      <c r="X380" s="682"/>
    </row>
    <row r="381" spans="9:24" x14ac:dyDescent="0.25">
      <c r="X381" s="682"/>
    </row>
    <row r="382" spans="9:24" x14ac:dyDescent="0.25">
      <c r="X382" s="682"/>
    </row>
    <row r="383" spans="9:24" x14ac:dyDescent="0.25">
      <c r="X383" s="682"/>
    </row>
    <row r="384" spans="9:24" x14ac:dyDescent="0.25">
      <c r="X384" s="682"/>
    </row>
    <row r="385" spans="24:24" x14ac:dyDescent="0.25">
      <c r="X385" s="682"/>
    </row>
    <row r="386" spans="24:24" x14ac:dyDescent="0.25">
      <c r="X386" s="682"/>
    </row>
    <row r="387" spans="24:24" x14ac:dyDescent="0.25">
      <c r="X387" s="682"/>
    </row>
    <row r="388" spans="24:24" x14ac:dyDescent="0.25">
      <c r="X388" s="682"/>
    </row>
    <row r="389" spans="24:24" x14ac:dyDescent="0.25">
      <c r="X389" s="682"/>
    </row>
    <row r="390" spans="24:24" x14ac:dyDescent="0.25">
      <c r="X390" s="682"/>
    </row>
    <row r="391" spans="24:24" x14ac:dyDescent="0.25">
      <c r="X391" s="682"/>
    </row>
    <row r="392" spans="24:24" x14ac:dyDescent="0.25">
      <c r="X392" s="682"/>
    </row>
    <row r="393" spans="24:24" x14ac:dyDescent="0.25">
      <c r="X393" s="682"/>
    </row>
    <row r="394" spans="24:24" x14ac:dyDescent="0.25">
      <c r="X394" s="682"/>
    </row>
    <row r="395" spans="24:24" x14ac:dyDescent="0.25">
      <c r="X395" s="682"/>
    </row>
    <row r="396" spans="24:24" x14ac:dyDescent="0.25">
      <c r="X396" s="682"/>
    </row>
    <row r="397" spans="24:24" x14ac:dyDescent="0.25">
      <c r="X397" s="682"/>
    </row>
    <row r="398" spans="24:24" x14ac:dyDescent="0.25">
      <c r="X398" s="682"/>
    </row>
    <row r="399" spans="24:24" x14ac:dyDescent="0.25">
      <c r="X399" s="682"/>
    </row>
    <row r="400" spans="24:24" x14ac:dyDescent="0.25">
      <c r="X400" s="682"/>
    </row>
    <row r="401" spans="24:24" x14ac:dyDescent="0.25">
      <c r="X401" s="682"/>
    </row>
    <row r="402" spans="24:24" x14ac:dyDescent="0.25">
      <c r="X402" s="682"/>
    </row>
    <row r="403" spans="24:24" x14ac:dyDescent="0.25">
      <c r="X403" s="682"/>
    </row>
    <row r="404" spans="24:24" x14ac:dyDescent="0.25">
      <c r="X404" s="682"/>
    </row>
    <row r="405" spans="24:24" x14ac:dyDescent="0.25">
      <c r="X405" s="682"/>
    </row>
  </sheetData>
  <sheetProtection algorithmName="SHA-512" hashValue="SFzEnuyeMaYtnOHZIJ8EPKv6Aai4VmDGk9C0/06xS5+E0HMDCwGMHyU9aQ9TUA1k/hU99AZkbKTIMpsXZZWOIQ==" saltValue="mkbdh6hxKi/9EAQdBM0v3g==" spinCount="100000" sheet="1" formatCells="0" formatColumns="0" formatRows="0"/>
  <dataConsolidate link="1"/>
  <mergeCells count="17">
    <mergeCell ref="B253:C253"/>
    <mergeCell ref="B254:C254"/>
    <mergeCell ref="D253:E253"/>
    <mergeCell ref="D254:E254"/>
    <mergeCell ref="E2:G2"/>
    <mergeCell ref="B2:C2"/>
    <mergeCell ref="B115:D115"/>
    <mergeCell ref="B247:E247"/>
    <mergeCell ref="B248:E248"/>
    <mergeCell ref="D252:E252"/>
    <mergeCell ref="B237:G237"/>
    <mergeCell ref="B256:C256"/>
    <mergeCell ref="B257:C257"/>
    <mergeCell ref="D256:E256"/>
    <mergeCell ref="D257:E257"/>
    <mergeCell ref="B255:C255"/>
    <mergeCell ref="D255:E255"/>
  </mergeCells>
  <phoneticPr fontId="97" type="noConversion"/>
  <conditionalFormatting sqref="H142">
    <cfRule type="cellIs" dxfId="66" priority="104" stopIfTrue="1" operator="notEqual">
      <formula>0</formula>
    </cfRule>
  </conditionalFormatting>
  <conditionalFormatting sqref="H143">
    <cfRule type="cellIs" dxfId="65" priority="102" stopIfTrue="1" operator="notEqual">
      <formula>0</formula>
    </cfRule>
  </conditionalFormatting>
  <conditionalFormatting sqref="G226:G229 G233:G234">
    <cfRule type="cellIs" dxfId="64" priority="101" stopIfTrue="1" operator="notEqual">
      <formula>0</formula>
    </cfRule>
  </conditionalFormatting>
  <conditionalFormatting sqref="H23">
    <cfRule type="cellIs" dxfId="63" priority="100" stopIfTrue="1" operator="notEqual">
      <formula>0</formula>
    </cfRule>
  </conditionalFormatting>
  <conditionalFormatting sqref="H37:H38">
    <cfRule type="cellIs" dxfId="62" priority="99" stopIfTrue="1" operator="notEqual">
      <formula>0</formula>
    </cfRule>
  </conditionalFormatting>
  <conditionalFormatting sqref="H56">
    <cfRule type="cellIs" dxfId="61" priority="98" stopIfTrue="1" operator="notEqual">
      <formula>0</formula>
    </cfRule>
  </conditionalFormatting>
  <conditionalFormatting sqref="H69:H72">
    <cfRule type="cellIs" dxfId="60" priority="97" stopIfTrue="1" operator="notEqual">
      <formula>0</formula>
    </cfRule>
  </conditionalFormatting>
  <conditionalFormatting sqref="H94">
    <cfRule type="cellIs" dxfId="59" priority="96" stopIfTrue="1" operator="notEqual">
      <formula>0</formula>
    </cfRule>
  </conditionalFormatting>
  <conditionalFormatting sqref="H113">
    <cfRule type="cellIs" dxfId="58" priority="95" stopIfTrue="1" operator="notEqual">
      <formula>0</formula>
    </cfRule>
  </conditionalFormatting>
  <conditionalFormatting sqref="H126">
    <cfRule type="cellIs" dxfId="57" priority="94" stopIfTrue="1" operator="notEqual">
      <formula>0</formula>
    </cfRule>
  </conditionalFormatting>
  <conditionalFormatting sqref="H127">
    <cfRule type="cellIs" dxfId="56" priority="93" stopIfTrue="1" operator="notEqual">
      <formula>0</formula>
    </cfRule>
  </conditionalFormatting>
  <conditionalFormatting sqref="L199 G214">
    <cfRule type="cellIs" priority="65" stopIfTrue="1" operator="equal">
      <formula>";;;"</formula>
    </cfRule>
  </conditionalFormatting>
  <conditionalFormatting sqref="L199 G214">
    <cfRule type="cellIs" dxfId="55" priority="64" stopIfTrue="1" operator="equal">
      <formula>0</formula>
    </cfRule>
  </conditionalFormatting>
  <conditionalFormatting sqref="L199">
    <cfRule type="cellIs" dxfId="54" priority="63" stopIfTrue="1" operator="equal">
      <formula>0</formula>
    </cfRule>
  </conditionalFormatting>
  <conditionalFormatting sqref="G213">
    <cfRule type="cellIs" priority="62" stopIfTrue="1" operator="equal">
      <formula>";;;"</formula>
    </cfRule>
  </conditionalFormatting>
  <conditionalFormatting sqref="G213">
    <cfRule type="cellIs" dxfId="53" priority="61" stopIfTrue="1" operator="equal">
      <formula>0</formula>
    </cfRule>
  </conditionalFormatting>
  <conditionalFormatting sqref="G213">
    <cfRule type="cellIs" dxfId="52" priority="60" stopIfTrue="1" operator="equal">
      <formula>0</formula>
    </cfRule>
  </conditionalFormatting>
  <conditionalFormatting sqref="G211">
    <cfRule type="cellIs" priority="56" stopIfTrue="1" operator="equal">
      <formula>";;;"</formula>
    </cfRule>
  </conditionalFormatting>
  <conditionalFormatting sqref="G211">
    <cfRule type="cellIs" dxfId="51" priority="55" stopIfTrue="1" operator="equal">
      <formula>0</formula>
    </cfRule>
  </conditionalFormatting>
  <conditionalFormatting sqref="G211">
    <cfRule type="cellIs" dxfId="50" priority="54" stopIfTrue="1" operator="equal">
      <formula>0</formula>
    </cfRule>
  </conditionalFormatting>
  <conditionalFormatting sqref="G212">
    <cfRule type="cellIs" priority="50" stopIfTrue="1" operator="equal">
      <formula>";;;"</formula>
    </cfRule>
  </conditionalFormatting>
  <conditionalFormatting sqref="G212">
    <cfRule type="cellIs" dxfId="49" priority="49" stopIfTrue="1" operator="equal">
      <formula>0</formula>
    </cfRule>
  </conditionalFormatting>
  <conditionalFormatting sqref="G212">
    <cfRule type="cellIs" dxfId="48" priority="48" stopIfTrue="1" operator="equal">
      <formula>0</formula>
    </cfRule>
  </conditionalFormatting>
  <conditionalFormatting sqref="J205">
    <cfRule type="cellIs" priority="47" stopIfTrue="1" operator="equal">
      <formula>";;;"</formula>
    </cfRule>
  </conditionalFormatting>
  <conditionalFormatting sqref="J205">
    <cfRule type="cellIs" dxfId="47" priority="46" stopIfTrue="1" operator="equal">
      <formula>0</formula>
    </cfRule>
  </conditionalFormatting>
  <conditionalFormatting sqref="J205">
    <cfRule type="cellIs" dxfId="46" priority="45" stopIfTrue="1" operator="equal">
      <formula>0</formula>
    </cfRule>
  </conditionalFormatting>
  <conditionalFormatting sqref="G207">
    <cfRule type="cellIs" priority="17" stopIfTrue="1" operator="equal">
      <formula>";;;"</formula>
    </cfRule>
  </conditionalFormatting>
  <conditionalFormatting sqref="G207">
    <cfRule type="cellIs" dxfId="45" priority="16" stopIfTrue="1" operator="equal">
      <formula>0</formula>
    </cfRule>
  </conditionalFormatting>
  <conditionalFormatting sqref="G207">
    <cfRule type="cellIs" dxfId="44" priority="15" stopIfTrue="1" operator="equal">
      <formula>0</formula>
    </cfRule>
  </conditionalFormatting>
  <conditionalFormatting sqref="G205">
    <cfRule type="cellIs" priority="14" stopIfTrue="1" operator="equal">
      <formula>";;;"</formula>
    </cfRule>
  </conditionalFormatting>
  <conditionalFormatting sqref="G205">
    <cfRule type="cellIs" dxfId="43" priority="13" stopIfTrue="1" operator="equal">
      <formula>0</formula>
    </cfRule>
  </conditionalFormatting>
  <conditionalFormatting sqref="G205">
    <cfRule type="cellIs" dxfId="42" priority="12" stopIfTrue="1" operator="equal">
      <formula>0</formula>
    </cfRule>
  </conditionalFormatting>
  <conditionalFormatting sqref="G206">
    <cfRule type="cellIs" priority="11" stopIfTrue="1" operator="equal">
      <formula>";;;"</formula>
    </cfRule>
  </conditionalFormatting>
  <conditionalFormatting sqref="G206">
    <cfRule type="cellIs" dxfId="41" priority="10" stopIfTrue="1" operator="equal">
      <formula>0</formula>
    </cfRule>
  </conditionalFormatting>
  <conditionalFormatting sqref="G206">
    <cfRule type="cellIs" dxfId="40" priority="9" stopIfTrue="1" operator="equal">
      <formula>0</formula>
    </cfRule>
  </conditionalFormatting>
  <conditionalFormatting sqref="G209">
    <cfRule type="cellIs" priority="8" stopIfTrue="1" operator="equal">
      <formula>";;;"</formula>
    </cfRule>
  </conditionalFormatting>
  <conditionalFormatting sqref="G209">
    <cfRule type="cellIs" dxfId="39" priority="7" stopIfTrue="1" operator="equal">
      <formula>0</formula>
    </cfRule>
  </conditionalFormatting>
  <conditionalFormatting sqref="G209">
    <cfRule type="cellIs" dxfId="38" priority="6" stopIfTrue="1" operator="equal">
      <formula>0</formula>
    </cfRule>
  </conditionalFormatting>
  <dataValidations xWindow="854" yWindow="655" count="10">
    <dataValidation type="list" allowBlank="1" showInputMessage="1" showErrorMessage="1" prompt="Please select the appropriate number value from the drop-down box." sqref="F76" xr:uid="{00000000-0002-0000-0100-000005000000}">
      <formula1>$N$2:$N$4</formula1>
    </dataValidation>
    <dataValidation type="date" operator="lessThan" showInputMessage="1" showErrorMessage="1" sqref="F242" xr:uid="{D88F9905-DDAC-4ACA-8507-08F0F7852A99}">
      <formula1>44012</formula1>
    </dataValidation>
    <dataValidation type="list" allowBlank="1" showInputMessage="1" showErrorMessage="1" prompt="Select from drop down list" sqref="G70" xr:uid="{03FCCE46-B0EA-4672-8B51-281D65C01346}">
      <formula1>#REF!</formula1>
    </dataValidation>
    <dataValidation type="list" allowBlank="1" showInputMessage="1" showErrorMessage="1" sqref="F70" xr:uid="{A85FF889-D99F-45B3-A284-6701B76512B6}">
      <formula1>$M$4:$M$5</formula1>
    </dataValidation>
    <dataValidation type="list" allowBlank="1" showInputMessage="1" showErrorMessage="1" sqref="F128:F129 F202" xr:uid="{9CC5535C-800A-4D03-A86E-273A5BC3EBB6}">
      <formula1>$M$1:$M$2</formula1>
    </dataValidation>
    <dataValidation type="list" allowBlank="1" showInputMessage="1" showErrorMessage="1" sqref="F210" xr:uid="{2CD3BDAD-30EF-425F-BB01-D3FF43CDAA81}">
      <formula1>$O$1:$O$4</formula1>
    </dataValidation>
    <dataValidation type="list" allowBlank="1" showInputMessage="1" showErrorMessage="1" prompt="Please select from the drop down box the most appropriate answer" sqref="F236" xr:uid="{7584867B-76E5-42C2-B404-3B1B6C94E6E2}">
      <formula1>$O$1:$O$2</formula1>
    </dataValidation>
    <dataValidation type="list" allowBlank="1" showInputMessage="1" showErrorMessage="1" sqref="F240" xr:uid="{DB0EB8F5-2DE0-4833-AFDF-F7BB7A8D56E1}">
      <formula1>$M$6:$M$8</formula1>
    </dataValidation>
    <dataValidation type="list" allowBlank="1" showInputMessage="1" showErrorMessage="1" prompt="Please select from drop down list" sqref="F241 F243:F245" xr:uid="{5F21DB56-CF56-483B-BC35-A155DC44374D}">
      <formula1>$M$1:$M$2</formula1>
    </dataValidation>
    <dataValidation type="list" allowBlank="1" showInputMessage="1" showErrorMessage="1" prompt="Click on cell D2 and select the unit name from the drop down list" sqref="D2" xr:uid="{00000000-0002-0000-0100-000004000000}">
      <formula1>$L$6:$L$56</formula1>
    </dataValidation>
  </dataValidations>
  <printOptions headings="1" gridLines="1"/>
  <pageMargins left="0.25" right="0.25" top="0.25" bottom="0.75" header="0.3" footer="0.3"/>
  <pageSetup fitToHeight="0" orientation="portrait" r:id="rId1"/>
  <headerFooter>
    <oddFooter>&amp;LPage &amp;P&amp;R&amp;Z&amp;F</oddFooter>
  </headerFooter>
  <ignoredErrors>
    <ignoredError sqref="H230:H232"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Y664"/>
  <sheetViews>
    <sheetView zoomScaleNormal="100" workbookViewId="0">
      <selection activeCell="D11" sqref="D11"/>
    </sheetView>
  </sheetViews>
  <sheetFormatPr defaultColWidth="37.5703125" defaultRowHeight="15" x14ac:dyDescent="0.25"/>
  <cols>
    <col min="1" max="1" width="9.42578125" style="1" customWidth="1"/>
    <col min="2" max="2" width="14.5703125" style="228" customWidth="1"/>
    <col min="3" max="3" width="34.5703125" style="222" customWidth="1"/>
    <col min="4" max="4" width="15.140625" style="1" customWidth="1"/>
    <col min="5" max="5" width="16.7109375" style="1" customWidth="1"/>
    <col min="6" max="6" width="18.140625" style="1" customWidth="1"/>
    <col min="7" max="7" width="15" style="274" customWidth="1"/>
    <col min="8" max="8" width="15.28515625" style="1" customWidth="1"/>
    <col min="9" max="9" width="4.85546875" style="55" customWidth="1"/>
    <col min="10" max="10" width="14" style="223" customWidth="1"/>
    <col min="11" max="11" width="39.140625" style="42" bestFit="1" customWidth="1"/>
    <col min="12" max="12" width="18.85546875" style="258" customWidth="1"/>
    <col min="13" max="13" width="1.85546875" style="682" customWidth="1"/>
    <col min="14" max="14" width="14.140625" style="682" customWidth="1"/>
    <col min="15" max="15" width="16.5703125" style="682" customWidth="1"/>
    <col min="16" max="16" width="3.140625" style="364" customWidth="1"/>
    <col min="17" max="17" width="16.42578125" style="657" customWidth="1"/>
    <col min="18" max="18" width="6.7109375" style="657" customWidth="1"/>
    <col min="19" max="19" width="7.140625" style="682" hidden="1" customWidth="1"/>
    <col min="20" max="20" width="10.5703125" style="682" hidden="1" customWidth="1"/>
    <col min="21" max="21" width="11.5703125" style="682" hidden="1" customWidth="1"/>
    <col min="22" max="22" width="11.140625" style="682" hidden="1" customWidth="1"/>
    <col min="23" max="16384" width="37.5703125" style="682"/>
  </cols>
  <sheetData>
    <row r="1" spans="1:25" s="1" customFormat="1" ht="37.5" x14ac:dyDescent="0.25">
      <c r="B1" s="228"/>
      <c r="C1" s="224" t="s">
        <v>778</v>
      </c>
      <c r="D1" s="51">
        <f>L50-(L38+L39-L43-L44-L176)-L47</f>
        <v>0</v>
      </c>
      <c r="G1" s="274"/>
      <c r="I1" s="193"/>
      <c r="J1" s="216"/>
      <c r="K1" s="57" t="s">
        <v>53</v>
      </c>
      <c r="L1" s="251"/>
      <c r="M1" s="37"/>
      <c r="P1"/>
      <c r="Q1" s="322"/>
      <c r="R1" s="657"/>
      <c r="S1" s="1">
        <v>100</v>
      </c>
      <c r="T1" s="1">
        <v>1</v>
      </c>
    </row>
    <row r="2" spans="1:25" s="1" customFormat="1" ht="21" x14ac:dyDescent="0.35">
      <c r="B2" s="228"/>
      <c r="C2" s="283">
        <f>'Unit Data from Audit Worksheet'!D2</f>
        <v>0</v>
      </c>
      <c r="D2" s="600">
        <v>2020</v>
      </c>
      <c r="E2" s="45">
        <f>D2</f>
        <v>2020</v>
      </c>
      <c r="F2" s="45"/>
      <c r="G2" s="275"/>
      <c r="H2" s="45"/>
      <c r="I2" s="193"/>
      <c r="J2" s="198" t="s">
        <v>48</v>
      </c>
      <c r="K2" s="41" t="s">
        <v>47</v>
      </c>
      <c r="L2" s="257" t="s">
        <v>34</v>
      </c>
      <c r="P2"/>
      <c r="Q2" s="322"/>
      <c r="R2" s="657"/>
      <c r="S2" s="1">
        <v>200</v>
      </c>
      <c r="T2" s="1">
        <v>2</v>
      </c>
    </row>
    <row r="3" spans="1:25" s="1" customFormat="1" ht="31.5" x14ac:dyDescent="0.25">
      <c r="A3" s="19" t="s">
        <v>48</v>
      </c>
      <c r="B3" s="229"/>
      <c r="C3" s="213" t="s">
        <v>1</v>
      </c>
      <c r="D3" s="58" t="s">
        <v>49</v>
      </c>
      <c r="E3" s="58" t="s">
        <v>50</v>
      </c>
      <c r="F3" s="59" t="s">
        <v>72</v>
      </c>
      <c r="G3" s="285" t="s">
        <v>575</v>
      </c>
      <c r="H3" s="59" t="s">
        <v>659</v>
      </c>
      <c r="I3" s="193"/>
      <c r="J3" s="574"/>
      <c r="K3" s="604"/>
      <c r="L3" s="605"/>
      <c r="O3" s="1" t="s">
        <v>376</v>
      </c>
      <c r="P3"/>
      <c r="Q3" s="315" t="s">
        <v>576</v>
      </c>
      <c r="R3" s="315"/>
      <c r="S3" s="1">
        <v>300</v>
      </c>
      <c r="T3" s="1">
        <v>3</v>
      </c>
    </row>
    <row r="4" spans="1:25" s="1" customFormat="1" ht="18.75" x14ac:dyDescent="0.3">
      <c r="A4" s="33"/>
      <c r="B4" s="230"/>
      <c r="C4" s="225"/>
      <c r="D4" s="34"/>
      <c r="E4" s="34"/>
      <c r="F4" s="34"/>
      <c r="G4" s="276"/>
      <c r="H4" s="34"/>
      <c r="I4" s="193"/>
      <c r="J4" s="211">
        <v>999</v>
      </c>
      <c r="K4" s="44" t="str">
        <f>+K210</f>
        <v>CCH Unit Code</v>
      </c>
      <c r="L4" s="549" t="e">
        <f>'Unit Data from Audit Worksheet'!D3</f>
        <v>#N/A</v>
      </c>
      <c r="P4"/>
      <c r="Q4" s="322"/>
      <c r="R4" s="657"/>
      <c r="S4" s="1">
        <v>400</v>
      </c>
      <c r="T4" s="312">
        <v>4</v>
      </c>
      <c r="U4" s="1" t="b">
        <f t="shared" ref="U4:U48" si="0">EXACT(A4,J4)</f>
        <v>0</v>
      </c>
      <c r="V4" s="654" t="e">
        <f t="shared" ref="V4:V48" si="1">E4-L4</f>
        <v>#N/A</v>
      </c>
    </row>
    <row r="5" spans="1:25" s="1" customFormat="1" ht="66" customHeight="1" x14ac:dyDescent="0.25">
      <c r="A5" s="215">
        <f>'Unit Data from Audit Worksheet'!A7</f>
        <v>333</v>
      </c>
      <c r="B5" s="234" t="str">
        <f>'Unit Data from Audit Worksheet'!C7</f>
        <v>Net Position-Governmental Activities</v>
      </c>
      <c r="C5" s="210" t="str">
        <f>'Unit Data from Audit Worksheet'!D7</f>
        <v xml:space="preserve"> All unrestricted Cash and investments.  
Exclude: restricted cash 
                   cash held by a third party. </v>
      </c>
      <c r="D5" s="221"/>
      <c r="E5" s="625">
        <f>'Unit Data from Audit Worksheet'!F7</f>
        <v>0</v>
      </c>
      <c r="F5" s="208">
        <f>IF(L5&lt;0,"Error: Number is normally positive.",)</f>
        <v>0</v>
      </c>
      <c r="G5" s="277"/>
      <c r="H5" s="200">
        <f>'Unit Data from Audit Worksheet'!I7</f>
        <v>0</v>
      </c>
      <c r="I5" s="580"/>
      <c r="J5" s="197">
        <v>333</v>
      </c>
      <c r="K5" s="226" t="s">
        <v>265</v>
      </c>
      <c r="L5" s="629">
        <f>IF(D5="",E5,D5)</f>
        <v>0</v>
      </c>
      <c r="P5" s="385"/>
      <c r="Q5" s="322"/>
      <c r="R5" s="657"/>
      <c r="S5" s="1">
        <v>500</v>
      </c>
      <c r="T5" s="312">
        <v>5</v>
      </c>
      <c r="U5" s="575" t="b">
        <f t="shared" si="0"/>
        <v>1</v>
      </c>
      <c r="V5" s="654">
        <f t="shared" si="1"/>
        <v>0</v>
      </c>
    </row>
    <row r="6" spans="1:25" s="1" customFormat="1" ht="45" customHeight="1" x14ac:dyDescent="0.25">
      <c r="A6" s="220">
        <f>'Unit Data from Audit Worksheet'!A8</f>
        <v>500</v>
      </c>
      <c r="B6" s="231" t="str">
        <f>'Unit Data from Audit Worksheet'!C8</f>
        <v>Net Position-Governmental Activities</v>
      </c>
      <c r="C6" s="218" t="str">
        <f>'Unit Data from Audit Worksheet'!D8</f>
        <v xml:space="preserve"> All restricted Cash and investments</v>
      </c>
      <c r="D6" s="319"/>
      <c r="E6" s="627">
        <f>'Unit Data from Audit Worksheet'!F8</f>
        <v>0</v>
      </c>
      <c r="F6" s="208">
        <f>IF(L6&lt;0,"Error: Number is normally positive.",)</f>
        <v>0</v>
      </c>
      <c r="G6" s="278"/>
      <c r="H6" s="200">
        <f>'Unit Data from Audit Worksheet'!I8</f>
        <v>0</v>
      </c>
      <c r="I6" s="580"/>
      <c r="J6" s="196">
        <v>500</v>
      </c>
      <c r="K6" s="191" t="s">
        <v>264</v>
      </c>
      <c r="L6" s="629">
        <f>IF(D6="",E6,D6)</f>
        <v>0</v>
      </c>
      <c r="P6" s="385"/>
      <c r="Q6" s="322"/>
      <c r="R6" s="657"/>
      <c r="T6" s="312">
        <v>6</v>
      </c>
      <c r="U6" s="575" t="b">
        <f t="shared" si="0"/>
        <v>1</v>
      </c>
      <c r="V6" s="654">
        <f t="shared" si="1"/>
        <v>0</v>
      </c>
      <c r="Y6" s="386"/>
    </row>
    <row r="7" spans="1:25" s="1" customFormat="1" ht="54" customHeight="1" x14ac:dyDescent="0.25">
      <c r="A7" s="220">
        <f>'Unit Data from Audit Worksheet'!A9</f>
        <v>385</v>
      </c>
      <c r="B7" s="231" t="str">
        <f>'Unit Data from Audit Worksheet'!C9</f>
        <v>Net Position-Governmental Activities</v>
      </c>
      <c r="C7" s="218" t="str">
        <f>'Unit Data from Audit Worksheet'!D9</f>
        <v>Total Assets and deferred outflows</v>
      </c>
      <c r="D7" s="319"/>
      <c r="E7" s="627">
        <f>'Unit Data from Audit Worksheet'!F9</f>
        <v>0</v>
      </c>
      <c r="F7" s="311">
        <f>IF((L5+L6)&gt;L7,"Error: Please review accts (333 + 500) &gt; 385",)</f>
        <v>0</v>
      </c>
      <c r="G7" s="297" t="str">
        <f>IF(Q7=1," Included in error count"," ")</f>
        <v xml:space="preserve"> </v>
      </c>
      <c r="H7" s="200">
        <f>'Unit Data from Audit Worksheet'!I9</f>
        <v>0</v>
      </c>
      <c r="I7" s="580"/>
      <c r="J7" s="286">
        <v>385</v>
      </c>
      <c r="K7" s="287" t="s">
        <v>138</v>
      </c>
      <c r="L7" s="638">
        <f>IF(D7="",E7,D7)+IF(D9="",E9,D9)</f>
        <v>0</v>
      </c>
      <c r="N7" s="288" t="s">
        <v>559</v>
      </c>
      <c r="P7" s="385"/>
      <c r="Q7" s="322"/>
      <c r="R7" s="657"/>
      <c r="T7" s="312">
        <v>7</v>
      </c>
      <c r="U7" s="575" t="b">
        <f t="shared" si="0"/>
        <v>1</v>
      </c>
      <c r="V7" s="654">
        <f t="shared" si="1"/>
        <v>0</v>
      </c>
      <c r="Y7" s="386"/>
    </row>
    <row r="8" spans="1:25" s="219" customFormat="1" ht="74.25" customHeight="1" x14ac:dyDescent="0.25">
      <c r="A8" s="220">
        <f>'Unit Data from Audit Worksheet'!A10</f>
        <v>575</v>
      </c>
      <c r="B8" s="231" t="str">
        <f>'Unit Data from Audit Worksheet'!C10</f>
        <v>Net Position-Governmental Activities</v>
      </c>
      <c r="C8" s="843" t="str">
        <f>'Unit Data from Audit Worksheet'!D10</f>
        <v xml:space="preserve">Record any positive Internal balances on the net position statements that appear in the Asset Section of the Net Position Statement
</v>
      </c>
      <c r="D8" s="319"/>
      <c r="E8" s="627">
        <f>'Unit Data from Audit Worksheet'!F10</f>
        <v>0</v>
      </c>
      <c r="F8" s="208">
        <f>IF(L8&lt;0,"Error: Number is normally positive.",)</f>
        <v>0</v>
      </c>
      <c r="G8" s="278"/>
      <c r="H8" s="200">
        <f>'Unit Data from Audit Worksheet'!I10</f>
        <v>0</v>
      </c>
      <c r="I8" s="580"/>
      <c r="J8" s="196">
        <v>575</v>
      </c>
      <c r="K8" s="303" t="s">
        <v>565</v>
      </c>
      <c r="L8" s="637">
        <f>IF(D8="",E8,D8)</f>
        <v>0</v>
      </c>
      <c r="N8" s="252"/>
      <c r="P8" s="385"/>
      <c r="Q8" s="322"/>
      <c r="R8" s="657"/>
      <c r="U8" s="575" t="b">
        <f t="shared" si="0"/>
        <v>1</v>
      </c>
      <c r="V8" s="654">
        <f t="shared" si="1"/>
        <v>0</v>
      </c>
      <c r="Y8" s="386"/>
    </row>
    <row r="9" spans="1:25" s="219" customFormat="1" ht="102.75" customHeight="1" x14ac:dyDescent="0.25">
      <c r="A9" s="419">
        <f>'Unit Data from Audit Worksheet'!A11</f>
        <v>576</v>
      </c>
      <c r="B9" s="420" t="str">
        <f>'Unit Data from Audit Worksheet'!C11</f>
        <v>Net Position-Governmental Activities</v>
      </c>
      <c r="C9" s="421" t="str">
        <f>'Unit Data from Audit Worksheet'!D11</f>
        <v xml:space="preserve">Record any negative Internal balances on the net position statements that appear in the Asset Section of the Net Position Statement.
Enter as a positive
</v>
      </c>
      <c r="D9" s="412"/>
      <c r="E9" s="634">
        <f>'Unit Data from Audit Worksheet'!F11</f>
        <v>0</v>
      </c>
      <c r="F9" s="68">
        <f>IF(E9&lt;0,"Error: Enter as positive.",)</f>
        <v>0</v>
      </c>
      <c r="G9" s="414"/>
      <c r="H9" s="415">
        <f>'Unit Data from Audit Worksheet'!I11</f>
        <v>0</v>
      </c>
      <c r="I9" s="580"/>
      <c r="J9" s="383">
        <v>576</v>
      </c>
      <c r="K9" s="303" t="s">
        <v>566</v>
      </c>
      <c r="L9" s="626">
        <f>IF(D9="",E9,D9)</f>
        <v>0</v>
      </c>
      <c r="N9" s="252"/>
      <c r="P9" s="385"/>
      <c r="Q9" s="322"/>
      <c r="R9" s="657"/>
      <c r="U9" s="575" t="b">
        <f t="shared" si="0"/>
        <v>1</v>
      </c>
      <c r="V9" s="654">
        <f t="shared" si="1"/>
        <v>0</v>
      </c>
      <c r="Y9" s="386"/>
    </row>
    <row r="10" spans="1:25" ht="102" customHeight="1" x14ac:dyDescent="0.25">
      <c r="A10" s="770">
        <f>'Unit Data from Audit Worksheet'!A12</f>
        <v>626</v>
      </c>
      <c r="B10" s="771" t="str">
        <f>'Unit Data from Audit Worksheet'!C12</f>
        <v>Net Position-Governmental Activities</v>
      </c>
      <c r="C10" s="772" t="str">
        <f>'Unit Data from Audit Worksheet'!D12</f>
        <v xml:space="preserve">Total Current liabilities (as reported on Statement of Net Position)
Include:   Current liabilities including current portion of long-term debt.  Deferred inflows should not be included in Current Liabilities  
</v>
      </c>
      <c r="D10" s="412"/>
      <c r="E10" s="773">
        <f>'Unit Data from Audit Worksheet'!F12</f>
        <v>0</v>
      </c>
      <c r="F10" s="769">
        <f>IF(L10&lt;0,"Error: Enter as a positive.",)</f>
        <v>0</v>
      </c>
      <c r="G10" s="458"/>
      <c r="H10" s="457">
        <f>'Unit Data from Audit Worksheet'!I12</f>
        <v>0</v>
      </c>
      <c r="I10" s="580"/>
      <c r="J10" s="459">
        <v>626</v>
      </c>
      <c r="K10" s="460" t="s">
        <v>707</v>
      </c>
      <c r="L10" s="614">
        <f>IF(D10="",E10,D10)+IF(D9="",E9,D9)</f>
        <v>0</v>
      </c>
      <c r="M10" s="765"/>
      <c r="N10" s="781" t="s">
        <v>559</v>
      </c>
      <c r="O10" s="765"/>
      <c r="P10" s="766"/>
      <c r="Q10" s="767"/>
      <c r="R10" s="768"/>
      <c r="U10" s="682" t="b">
        <f t="shared" si="0"/>
        <v>1</v>
      </c>
      <c r="V10" s="362">
        <f t="shared" si="1"/>
        <v>0</v>
      </c>
    </row>
    <row r="11" spans="1:25" ht="102" customHeight="1" x14ac:dyDescent="0.25">
      <c r="A11" s="770">
        <f>'Unit Data from Audit Worksheet'!A13</f>
        <v>627</v>
      </c>
      <c r="B11" s="771" t="str">
        <f>'Unit Data from Audit Worksheet'!C13</f>
        <v>Net Position-Governmental Activities</v>
      </c>
      <c r="C11" s="772" t="str">
        <f>'Unit Data from Audit Worksheet'!D13</f>
        <v>Please enter any bond anticipation notes that are classified as current liabilities and included in account 626 above (amounts entered should agree to the current amount included in the changes to long-term debt note)</v>
      </c>
      <c r="D11" s="412"/>
      <c r="E11" s="773">
        <f>'Unit Data from Audit Worksheet'!F13</f>
        <v>0</v>
      </c>
      <c r="F11" s="769"/>
      <c r="G11" s="458"/>
      <c r="H11" s="457"/>
      <c r="I11" s="580"/>
      <c r="J11" s="459">
        <v>627</v>
      </c>
      <c r="K11" s="460" t="s">
        <v>699</v>
      </c>
      <c r="L11" s="621">
        <f t="shared" ref="L11:L16" si="2">IF(D11="",E11,D11)</f>
        <v>0</v>
      </c>
      <c r="M11" s="765"/>
      <c r="N11" s="780"/>
      <c r="O11" s="765"/>
      <c r="P11" s="766"/>
      <c r="Q11" s="767"/>
      <c r="R11" s="768"/>
      <c r="U11" s="682" t="b">
        <f t="shared" si="0"/>
        <v>1</v>
      </c>
      <c r="V11" s="362">
        <f t="shared" si="1"/>
        <v>0</v>
      </c>
    </row>
    <row r="12" spans="1:25" ht="102" customHeight="1" x14ac:dyDescent="0.25">
      <c r="A12" s="770">
        <f>'Unit Data from Audit Worksheet'!A14</f>
        <v>628</v>
      </c>
      <c r="B12" s="771" t="str">
        <f>'Unit Data from Audit Worksheet'!C14</f>
        <v>Net Position-Governmental Activities</v>
      </c>
      <c r="C12" s="772" t="str">
        <f>'Unit Data from Audit Worksheet'!D14</f>
        <v>Please enter any compensated absences that are classified as current liabilities and included in account 626 above (amounts entered should agree to the current amount included in the changes to long-term debt note)</v>
      </c>
      <c r="D12" s="412"/>
      <c r="E12" s="773">
        <f>'Unit Data from Audit Worksheet'!F14</f>
        <v>0</v>
      </c>
      <c r="F12" s="769"/>
      <c r="G12" s="458"/>
      <c r="H12" s="457"/>
      <c r="I12" s="580"/>
      <c r="J12" s="459">
        <v>628</v>
      </c>
      <c r="K12" s="460" t="s">
        <v>704</v>
      </c>
      <c r="L12" s="621">
        <f t="shared" si="2"/>
        <v>0</v>
      </c>
      <c r="M12" s="765"/>
      <c r="N12" s="780"/>
      <c r="O12" s="765"/>
      <c r="P12" s="766"/>
      <c r="Q12" s="767"/>
      <c r="R12" s="768"/>
      <c r="U12" s="682" t="b">
        <f t="shared" si="0"/>
        <v>1</v>
      </c>
      <c r="V12" s="362">
        <f t="shared" si="1"/>
        <v>0</v>
      </c>
    </row>
    <row r="13" spans="1:25" ht="102" customHeight="1" x14ac:dyDescent="0.25">
      <c r="A13" s="770">
        <f>'Unit Data from Audit Worksheet'!A15</f>
        <v>629</v>
      </c>
      <c r="B13" s="771" t="str">
        <f>'Unit Data from Audit Worksheet'!C15</f>
        <v>Net Position-Governmental Activities</v>
      </c>
      <c r="C13" s="772" t="str">
        <f>'Unit Data from Audit Worksheet'!D15</f>
        <v>Please enter any pension liabilities that are classified as current liabilities and included in account 626 above (amounts entered should agree to the current amount included in the changes to long-term debt note)</v>
      </c>
      <c r="D13" s="412"/>
      <c r="E13" s="773">
        <f>'Unit Data from Audit Worksheet'!F15</f>
        <v>0</v>
      </c>
      <c r="F13" s="769"/>
      <c r="G13" s="458"/>
      <c r="H13" s="457"/>
      <c r="I13" s="580"/>
      <c r="J13" s="459">
        <v>629</v>
      </c>
      <c r="K13" s="460" t="s">
        <v>703</v>
      </c>
      <c r="L13" s="621">
        <f t="shared" si="2"/>
        <v>0</v>
      </c>
      <c r="M13" s="765"/>
      <c r="N13" s="780"/>
      <c r="O13" s="765"/>
      <c r="P13" s="766"/>
      <c r="Q13" s="767"/>
      <c r="R13" s="768"/>
      <c r="U13" s="682" t="b">
        <f t="shared" si="0"/>
        <v>1</v>
      </c>
      <c r="V13" s="362">
        <f t="shared" si="1"/>
        <v>0</v>
      </c>
    </row>
    <row r="14" spans="1:25" ht="102" customHeight="1" x14ac:dyDescent="0.25">
      <c r="A14" s="770">
        <f>'Unit Data from Audit Worksheet'!A16</f>
        <v>630</v>
      </c>
      <c r="B14" s="771" t="str">
        <f>'Unit Data from Audit Worksheet'!C16</f>
        <v>Net Position-Governmental Activities</v>
      </c>
      <c r="C14" s="772" t="str">
        <f>'Unit Data from Audit Worksheet'!D16</f>
        <v>Please enter any current liabilities that are payable from restricted assets and included in account 626 above</v>
      </c>
      <c r="D14" s="412"/>
      <c r="E14" s="773">
        <f>'Unit Data from Audit Worksheet'!F16</f>
        <v>0</v>
      </c>
      <c r="F14" s="769"/>
      <c r="G14" s="458"/>
      <c r="H14" s="457"/>
      <c r="I14" s="580"/>
      <c r="J14" s="459">
        <v>630</v>
      </c>
      <c r="K14" s="460" t="s">
        <v>702</v>
      </c>
      <c r="L14" s="621">
        <f t="shared" si="2"/>
        <v>0</v>
      </c>
      <c r="M14" s="765"/>
      <c r="N14" s="780"/>
      <c r="O14" s="765"/>
      <c r="P14" s="766"/>
      <c r="Q14" s="767"/>
      <c r="R14" s="768"/>
      <c r="U14" s="682" t="b">
        <f t="shared" si="0"/>
        <v>1</v>
      </c>
      <c r="V14" s="362">
        <f t="shared" si="1"/>
        <v>0</v>
      </c>
    </row>
    <row r="15" spans="1:25" ht="102" customHeight="1" x14ac:dyDescent="0.25">
      <c r="A15" s="770">
        <f>'Unit Data from Audit Worksheet'!A17</f>
        <v>631</v>
      </c>
      <c r="B15" s="771" t="str">
        <f>'Unit Data from Audit Worksheet'!C17</f>
        <v>Net Position-Governmental Activities</v>
      </c>
      <c r="C15" s="772" t="str">
        <f>'Unit Data from Audit Worksheet'!D17</f>
        <v>Please enter any OPEB liabilities that are classified as current liabilities and included in account 626 above (amounts entered should agree to the current amount included in the changes to long-term debt note)</v>
      </c>
      <c r="D15" s="412"/>
      <c r="E15" s="773">
        <f>'Unit Data from Audit Worksheet'!F17</f>
        <v>0</v>
      </c>
      <c r="F15" s="769"/>
      <c r="G15" s="458"/>
      <c r="H15" s="457"/>
      <c r="I15" s="580"/>
      <c r="J15" s="459">
        <v>631</v>
      </c>
      <c r="K15" s="460" t="s">
        <v>701</v>
      </c>
      <c r="L15" s="621">
        <f t="shared" si="2"/>
        <v>0</v>
      </c>
      <c r="M15" s="765"/>
      <c r="N15" s="780"/>
      <c r="O15" s="765"/>
      <c r="P15" s="766"/>
      <c r="Q15" s="767"/>
      <c r="R15" s="768"/>
      <c r="U15" s="682" t="b">
        <f t="shared" si="0"/>
        <v>1</v>
      </c>
      <c r="V15" s="362">
        <f t="shared" si="1"/>
        <v>0</v>
      </c>
    </row>
    <row r="16" spans="1:25" ht="125.25" customHeight="1" x14ac:dyDescent="0.25">
      <c r="A16" s="770">
        <f>'Unit Data from Audit Worksheet'!A18</f>
        <v>632</v>
      </c>
      <c r="B16" s="771" t="str">
        <f>'Unit Data from Audit Worksheet'!C18</f>
        <v>Net Position-Governmental Activities</v>
      </c>
      <c r="C16" s="772" t="str">
        <f>'Unit Data from Audit Worksheet'!D18</f>
        <v>Please enter any landfill closure/postclosure liabilities that are classified as current liabilities and included in account 626 above (amounts entered should agree to the current amount included in the changes to long-term debt note)</v>
      </c>
      <c r="D16" s="412"/>
      <c r="E16" s="773">
        <f>'Unit Data from Audit Worksheet'!F18</f>
        <v>0</v>
      </c>
      <c r="F16" s="769"/>
      <c r="G16" s="458"/>
      <c r="H16" s="457"/>
      <c r="I16" s="580"/>
      <c r="J16" s="459">
        <v>632</v>
      </c>
      <c r="K16" s="460" t="s">
        <v>700</v>
      </c>
      <c r="L16" s="621">
        <f t="shared" si="2"/>
        <v>0</v>
      </c>
      <c r="M16" s="765"/>
      <c r="N16" s="780"/>
      <c r="O16" s="765"/>
      <c r="P16" s="766"/>
      <c r="Q16" s="767"/>
      <c r="R16" s="768"/>
      <c r="U16" s="682" t="b">
        <f t="shared" si="0"/>
        <v>1</v>
      </c>
      <c r="V16" s="362">
        <f t="shared" si="1"/>
        <v>0</v>
      </c>
    </row>
    <row r="17" spans="1:25" s="1" customFormat="1" ht="61.5" customHeight="1" x14ac:dyDescent="0.25">
      <c r="A17" s="215">
        <f>'Unit Data from Audit Worksheet'!A19</f>
        <v>338</v>
      </c>
      <c r="B17" s="234" t="str">
        <f>'Unit Data from Audit Worksheet'!C19</f>
        <v>Net Position-Governmental Activities</v>
      </c>
      <c r="C17" s="210" t="str">
        <f>'Unit Data from Audit Worksheet'!D19</f>
        <v>Total Liabilities and total deferred inflows</v>
      </c>
      <c r="D17" s="319"/>
      <c r="E17" s="625">
        <f>'Unit Data from Audit Worksheet'!F19</f>
        <v>0</v>
      </c>
      <c r="F17" s="554" t="str">
        <f>IF(L10&gt;L17,"Please review accounts 626 greater than 338","")</f>
        <v/>
      </c>
      <c r="G17" s="277"/>
      <c r="H17" s="200">
        <f>'Unit Data from Audit Worksheet'!I19</f>
        <v>0</v>
      </c>
      <c r="I17" s="580"/>
      <c r="J17" s="416">
        <v>338</v>
      </c>
      <c r="K17" s="417" t="s">
        <v>139</v>
      </c>
      <c r="L17" s="638">
        <f>IF(D17="",E17,D17)+IF(D9="",E9,D9)</f>
        <v>0</v>
      </c>
      <c r="N17" s="288" t="s">
        <v>559</v>
      </c>
      <c r="P17" s="385"/>
      <c r="Q17" s="322"/>
      <c r="R17" s="657"/>
      <c r="U17" s="575" t="b">
        <f t="shared" si="0"/>
        <v>1</v>
      </c>
      <c r="V17" s="654">
        <f t="shared" si="1"/>
        <v>0</v>
      </c>
      <c r="Y17" s="386"/>
    </row>
    <row r="18" spans="1:25" s="1" customFormat="1" ht="86.25" customHeight="1" x14ac:dyDescent="0.25">
      <c r="A18" s="220">
        <f>'Unit Data from Audit Worksheet'!A20</f>
        <v>335</v>
      </c>
      <c r="B18" s="231" t="str">
        <f>'Unit Data from Audit Worksheet'!C20</f>
        <v>Net Position-Governmental Activities</v>
      </c>
      <c r="C18" s="218" t="str">
        <f>'Unit Data from Audit Worksheet'!D20</f>
        <v>Unearned revenues that were included in current liabilities in your audit report or entered in acct # 626 above. 
Exclude - unearned revenues that are listed in deferred inflows.</v>
      </c>
      <c r="D18" s="319"/>
      <c r="E18" s="627">
        <f>'Unit Data from Audit Worksheet'!F20</f>
        <v>0</v>
      </c>
      <c r="F18" s="208">
        <f>IF(L18&lt;0,"Error: Enter as a positive.",)</f>
        <v>0</v>
      </c>
      <c r="G18" s="278"/>
      <c r="H18" s="200">
        <f>'Unit Data from Audit Worksheet'!I20</f>
        <v>0</v>
      </c>
      <c r="I18" s="580"/>
      <c r="J18" s="196">
        <v>335</v>
      </c>
      <c r="K18" s="191" t="s">
        <v>140</v>
      </c>
      <c r="L18" s="629">
        <f t="shared" ref="L18:L51" si="3">IF(D18="",E18,D18)</f>
        <v>0</v>
      </c>
      <c r="P18" s="385"/>
      <c r="Q18" s="322"/>
      <c r="R18" s="657"/>
      <c r="U18" s="575" t="b">
        <f t="shared" si="0"/>
        <v>1</v>
      </c>
      <c r="V18" s="654">
        <f t="shared" si="1"/>
        <v>0</v>
      </c>
      <c r="Y18" s="386"/>
    </row>
    <row r="19" spans="1:25" s="1" customFormat="1" ht="45.75" customHeight="1" x14ac:dyDescent="0.25">
      <c r="A19" s="220">
        <f>'Unit Data from Audit Worksheet'!A21</f>
        <v>252</v>
      </c>
      <c r="B19" s="231" t="str">
        <f>'Unit Data from Audit Worksheet'!C21</f>
        <v>Net Position-Governmental Activities</v>
      </c>
      <c r="C19" s="218" t="str">
        <f>'Unit Data from Audit Worksheet'!D21</f>
        <v xml:space="preserve"> Total Net investment in capital assets</v>
      </c>
      <c r="D19" s="319"/>
      <c r="E19" s="627">
        <f>'Unit Data from Audit Worksheet'!F21</f>
        <v>0</v>
      </c>
      <c r="F19" s="208"/>
      <c r="G19" s="278"/>
      <c r="H19" s="200">
        <f>'Unit Data from Audit Worksheet'!I21</f>
        <v>0</v>
      </c>
      <c r="I19" s="580"/>
      <c r="J19" s="196">
        <v>252</v>
      </c>
      <c r="K19" s="191" t="s">
        <v>126</v>
      </c>
      <c r="L19" s="629">
        <f t="shared" si="3"/>
        <v>0</v>
      </c>
      <c r="O19" s="185" t="e">
        <f>'Unit Data from Audit Worksheet'!E21</f>
        <v>#N/A</v>
      </c>
      <c r="P19" s="385"/>
      <c r="Q19" s="322"/>
      <c r="R19" s="657"/>
      <c r="U19" s="575" t="b">
        <f t="shared" si="0"/>
        <v>1</v>
      </c>
      <c r="V19" s="654">
        <f t="shared" si="1"/>
        <v>0</v>
      </c>
      <c r="Y19" s="386"/>
    </row>
    <row r="20" spans="1:25" s="1" customFormat="1" ht="42.75" customHeight="1" x14ac:dyDescent="0.25">
      <c r="A20" s="220">
        <f>'Unit Data from Audit Worksheet'!A22</f>
        <v>253</v>
      </c>
      <c r="B20" s="231" t="str">
        <f>'Unit Data from Audit Worksheet'!C22</f>
        <v>Net Position-Governmental Activities</v>
      </c>
      <c r="C20" s="218" t="str">
        <f>'Unit Data from Audit Worksheet'!D22</f>
        <v xml:space="preserve"> Total Net Position, Restricted</v>
      </c>
      <c r="D20" s="319"/>
      <c r="E20" s="627">
        <f>'Unit Data from Audit Worksheet'!F22</f>
        <v>0</v>
      </c>
      <c r="F20" s="208"/>
      <c r="G20" s="278"/>
      <c r="H20" s="200">
        <f>'Unit Data from Audit Worksheet'!I22</f>
        <v>0</v>
      </c>
      <c r="I20" s="580"/>
      <c r="J20" s="196">
        <v>253</v>
      </c>
      <c r="K20" s="191" t="s">
        <v>127</v>
      </c>
      <c r="L20" s="629">
        <f t="shared" si="3"/>
        <v>0</v>
      </c>
      <c r="O20" s="185" t="e">
        <f>'Unit Data from Audit Worksheet'!E22</f>
        <v>#N/A</v>
      </c>
      <c r="P20" s="385"/>
      <c r="Q20" s="322"/>
      <c r="R20" s="657"/>
      <c r="U20" s="575" t="b">
        <f t="shared" si="0"/>
        <v>1</v>
      </c>
      <c r="V20" s="654">
        <f t="shared" si="1"/>
        <v>0</v>
      </c>
      <c r="Y20" s="386"/>
    </row>
    <row r="21" spans="1:25" s="1" customFormat="1" ht="66" customHeight="1" x14ac:dyDescent="0.25">
      <c r="A21" s="220">
        <f>'Unit Data from Audit Worksheet'!A23</f>
        <v>254</v>
      </c>
      <c r="B21" s="231" t="str">
        <f>'Unit Data from Audit Worksheet'!C23</f>
        <v>Net Position-Governmental Activities</v>
      </c>
      <c r="C21" s="218" t="str">
        <f>'Unit Data from Audit Worksheet'!D23</f>
        <v>Total Net Position, Unrestricted - enter negative unrestricted net position as a negative)</v>
      </c>
      <c r="D21" s="319"/>
      <c r="E21" s="627">
        <f>'Unit Data from Audit Worksheet'!F23</f>
        <v>0</v>
      </c>
      <c r="F21" s="208">
        <f>IF((L7-L17-L19-L20-L21)=0,,"Error: Total assets and deferred outflows less total liabilities and deferred inflows do not equal total net position accts 385-338-252-253-254")</f>
        <v>0</v>
      </c>
      <c r="G21" s="337">
        <f>+L7-L17-L19-L20-L21</f>
        <v>0</v>
      </c>
      <c r="H21" s="200">
        <f>'Unit Data from Audit Worksheet'!I23</f>
        <v>0</v>
      </c>
      <c r="I21" s="580"/>
      <c r="J21" s="196">
        <v>254</v>
      </c>
      <c r="K21" s="191" t="s">
        <v>128</v>
      </c>
      <c r="L21" s="629">
        <f t="shared" si="3"/>
        <v>0</v>
      </c>
      <c r="O21" s="185" t="e">
        <f>'Unit Data from Audit Worksheet'!E23</f>
        <v>#N/A</v>
      </c>
      <c r="P21" s="385"/>
      <c r="Q21" s="322">
        <f>IF(G21&lt;&gt;0,1,)</f>
        <v>0</v>
      </c>
      <c r="R21" s="657"/>
      <c r="U21" s="575" t="b">
        <f t="shared" si="0"/>
        <v>1</v>
      </c>
      <c r="V21" s="654">
        <f t="shared" si="1"/>
        <v>0</v>
      </c>
      <c r="Y21" s="386"/>
    </row>
    <row r="22" spans="1:25" s="1" customFormat="1" ht="72.75" customHeight="1" x14ac:dyDescent="0.25">
      <c r="A22" s="220">
        <f>'Unit Data from Audit Worksheet'!A25</f>
        <v>502</v>
      </c>
      <c r="B22" s="231" t="str">
        <f>'Unit Data from Audit Worksheet'!C25</f>
        <v>Net Position-Business Activities</v>
      </c>
      <c r="C22" s="218" t="str">
        <f>'Unit Data from Audit Worksheet'!D25</f>
        <v xml:space="preserve">All unrestricted Cash and investments. 
Exclude restricted cash and cash held by a third party. </v>
      </c>
      <c r="D22" s="319"/>
      <c r="E22" s="627">
        <f>'Unit Data from Audit Worksheet'!F25</f>
        <v>0</v>
      </c>
      <c r="F22" s="208">
        <f>IF(L22&lt;0,"Error: Number is normally positive.",)</f>
        <v>0</v>
      </c>
      <c r="G22" s="278"/>
      <c r="H22" s="200">
        <f>'Unit Data from Audit Worksheet'!I25</f>
        <v>0</v>
      </c>
      <c r="I22" s="580"/>
      <c r="J22" s="196">
        <v>502</v>
      </c>
      <c r="K22" s="191" t="s">
        <v>266</v>
      </c>
      <c r="L22" s="615">
        <f t="shared" si="3"/>
        <v>0</v>
      </c>
      <c r="P22" s="385"/>
      <c r="Q22" s="322"/>
      <c r="R22" s="657"/>
      <c r="U22" s="575" t="b">
        <f t="shared" si="0"/>
        <v>1</v>
      </c>
      <c r="V22" s="654">
        <f t="shared" si="1"/>
        <v>0</v>
      </c>
      <c r="Y22" s="386"/>
    </row>
    <row r="23" spans="1:25" s="1" customFormat="1" ht="47.25" customHeight="1" x14ac:dyDescent="0.25">
      <c r="A23" s="220">
        <f>'Unit Data from Audit Worksheet'!A26</f>
        <v>503</v>
      </c>
      <c r="B23" s="231" t="str">
        <f>'Unit Data from Audit Worksheet'!C26</f>
        <v>Net Position-Business Activities</v>
      </c>
      <c r="C23" s="218" t="str">
        <f>'Unit Data from Audit Worksheet'!D26</f>
        <v>All restricted Cash and investments</v>
      </c>
      <c r="D23" s="319"/>
      <c r="E23" s="627">
        <f>'Unit Data from Audit Worksheet'!F26</f>
        <v>0</v>
      </c>
      <c r="F23" s="208">
        <f>IF(L23&lt;0,"Error: Number is normally positive.",)</f>
        <v>0</v>
      </c>
      <c r="G23" s="278"/>
      <c r="H23" s="200">
        <f>'Unit Data from Audit Worksheet'!I26</f>
        <v>0</v>
      </c>
      <c r="I23" s="580"/>
      <c r="J23" s="196">
        <v>503</v>
      </c>
      <c r="K23" s="191" t="s">
        <v>267</v>
      </c>
      <c r="L23" s="615">
        <f t="shared" si="3"/>
        <v>0</v>
      </c>
      <c r="P23" s="385"/>
      <c r="Q23" s="322"/>
      <c r="R23" s="657"/>
      <c r="U23" s="575" t="b">
        <f t="shared" si="0"/>
        <v>1</v>
      </c>
      <c r="V23" s="654">
        <f t="shared" si="1"/>
        <v>0</v>
      </c>
      <c r="Y23" s="386"/>
    </row>
    <row r="24" spans="1:25" s="1" customFormat="1" ht="47.25" customHeight="1" x14ac:dyDescent="0.25">
      <c r="A24" s="220">
        <f>'Unit Data from Audit Worksheet'!A28</f>
        <v>344</v>
      </c>
      <c r="B24" s="231" t="str">
        <f>'Unit Data from Audit Worksheet'!C28</f>
        <v>Statement of Activities - Governmental</v>
      </c>
      <c r="C24" s="218" t="str">
        <f>'Unit Data from Audit Worksheet'!D28</f>
        <v xml:space="preserve">Total Interest expense on Long-Term Debt </v>
      </c>
      <c r="D24" s="319"/>
      <c r="E24" s="627">
        <f>'Unit Data from Audit Worksheet'!F28</f>
        <v>0</v>
      </c>
      <c r="F24" s="208">
        <f>IF(L24&lt;0,"Error: Enter as a positive.",)</f>
        <v>0</v>
      </c>
      <c r="G24" s="278"/>
      <c r="H24" s="200">
        <f>'Unit Data from Audit Worksheet'!I28</f>
        <v>0</v>
      </c>
      <c r="I24" s="580"/>
      <c r="J24" s="196">
        <v>344</v>
      </c>
      <c r="K24" s="191" t="s">
        <v>268</v>
      </c>
      <c r="L24" s="615">
        <f t="shared" si="3"/>
        <v>0</v>
      </c>
      <c r="P24" s="385"/>
      <c r="Q24" s="322"/>
      <c r="R24" s="657"/>
      <c r="U24" s="575" t="b">
        <f t="shared" si="0"/>
        <v>1</v>
      </c>
      <c r="V24" s="654">
        <f t="shared" si="1"/>
        <v>0</v>
      </c>
      <c r="Y24" s="386"/>
    </row>
    <row r="25" spans="1:25" s="1" customFormat="1" ht="47.25" customHeight="1" x14ac:dyDescent="0.25">
      <c r="A25" s="220">
        <f>'Unit Data from Audit Worksheet'!A29</f>
        <v>388</v>
      </c>
      <c r="B25" s="231" t="str">
        <f>'Unit Data from Audit Worksheet'!C29</f>
        <v>Statement of Activities - Governmental</v>
      </c>
      <c r="C25" s="218" t="str">
        <f>'Unit Data from Audit Worksheet'!D29</f>
        <v>Total Expenses</v>
      </c>
      <c r="D25" s="319"/>
      <c r="E25" s="627">
        <f>'Unit Data from Audit Worksheet'!F29</f>
        <v>0</v>
      </c>
      <c r="F25" s="208">
        <f t="shared" ref="F25:F30" si="4">IF(L25&lt;0,"Error: Number is normally positive.",)</f>
        <v>0</v>
      </c>
      <c r="G25" s="278"/>
      <c r="H25" s="200">
        <f>'Unit Data from Audit Worksheet'!I29</f>
        <v>0</v>
      </c>
      <c r="I25" s="580"/>
      <c r="J25" s="196">
        <v>388</v>
      </c>
      <c r="K25" s="191" t="s">
        <v>269</v>
      </c>
      <c r="L25" s="615">
        <f t="shared" si="3"/>
        <v>0</v>
      </c>
      <c r="P25" s="385"/>
      <c r="Q25" s="322"/>
      <c r="R25" s="657"/>
      <c r="U25" s="575" t="b">
        <f t="shared" si="0"/>
        <v>1</v>
      </c>
      <c r="V25" s="654">
        <f t="shared" si="1"/>
        <v>0</v>
      </c>
      <c r="Y25" s="386"/>
    </row>
    <row r="26" spans="1:25" s="1" customFormat="1" ht="47.25" customHeight="1" x14ac:dyDescent="0.25">
      <c r="A26" s="220">
        <f>'Unit Data from Audit Worksheet'!A30</f>
        <v>339</v>
      </c>
      <c r="B26" s="231" t="str">
        <f>'Unit Data from Audit Worksheet'!C30</f>
        <v>Statement of Activities - Governmental</v>
      </c>
      <c r="C26" s="218" t="str">
        <f>'Unit Data from Audit Worksheet'!D30</f>
        <v xml:space="preserve">Charges for services </v>
      </c>
      <c r="D26" s="319"/>
      <c r="E26" s="627">
        <f>'Unit Data from Audit Worksheet'!F30</f>
        <v>0</v>
      </c>
      <c r="F26" s="208">
        <f t="shared" si="4"/>
        <v>0</v>
      </c>
      <c r="G26" s="278"/>
      <c r="H26" s="200">
        <f>'Unit Data from Audit Worksheet'!I30</f>
        <v>0</v>
      </c>
      <c r="I26" s="580"/>
      <c r="J26" s="196">
        <v>339</v>
      </c>
      <c r="K26" s="191" t="s">
        <v>270</v>
      </c>
      <c r="L26" s="615">
        <f t="shared" si="3"/>
        <v>0</v>
      </c>
      <c r="P26" s="385"/>
      <c r="Q26" s="322"/>
      <c r="R26" s="657"/>
      <c r="U26" s="575" t="b">
        <f t="shared" si="0"/>
        <v>1</v>
      </c>
      <c r="V26" s="654">
        <f t="shared" si="1"/>
        <v>0</v>
      </c>
      <c r="Y26" s="386"/>
    </row>
    <row r="27" spans="1:25" s="1" customFormat="1" ht="47.25" customHeight="1" x14ac:dyDescent="0.25">
      <c r="A27" s="220">
        <f>'Unit Data from Audit Worksheet'!A31</f>
        <v>504</v>
      </c>
      <c r="B27" s="231" t="str">
        <f>'Unit Data from Audit Worksheet'!C31</f>
        <v>Statement of Activities - Governmental</v>
      </c>
      <c r="C27" s="218" t="str">
        <f>'Unit Data from Audit Worksheet'!D31</f>
        <v>Operating grants and contributions</v>
      </c>
      <c r="D27" s="319"/>
      <c r="E27" s="627">
        <f>'Unit Data from Audit Worksheet'!F31</f>
        <v>0</v>
      </c>
      <c r="F27" s="208">
        <f t="shared" si="4"/>
        <v>0</v>
      </c>
      <c r="G27" s="278"/>
      <c r="H27" s="200">
        <f>'Unit Data from Audit Worksheet'!I31</f>
        <v>0</v>
      </c>
      <c r="I27" s="580"/>
      <c r="J27" s="196">
        <v>504</v>
      </c>
      <c r="K27" s="191" t="s">
        <v>271</v>
      </c>
      <c r="L27" s="615">
        <f t="shared" si="3"/>
        <v>0</v>
      </c>
      <c r="P27" s="385"/>
      <c r="Q27" s="322"/>
      <c r="R27" s="657"/>
      <c r="U27" s="575" t="b">
        <f t="shared" si="0"/>
        <v>1</v>
      </c>
      <c r="V27" s="654">
        <f t="shared" si="1"/>
        <v>0</v>
      </c>
      <c r="Y27" s="386"/>
    </row>
    <row r="28" spans="1:25" s="1" customFormat="1" ht="47.25" customHeight="1" x14ac:dyDescent="0.25">
      <c r="A28" s="220">
        <f>'Unit Data from Audit Worksheet'!A32</f>
        <v>505</v>
      </c>
      <c r="B28" s="231" t="str">
        <f>'Unit Data from Audit Worksheet'!C32</f>
        <v>Statement of Activities - Governmental</v>
      </c>
      <c r="C28" s="218" t="str">
        <f>'Unit Data from Audit Worksheet'!D32</f>
        <v>Capital grants and contributions</v>
      </c>
      <c r="D28" s="319"/>
      <c r="E28" s="627">
        <f>'Unit Data from Audit Worksheet'!F32</f>
        <v>0</v>
      </c>
      <c r="F28" s="208">
        <f t="shared" si="4"/>
        <v>0</v>
      </c>
      <c r="G28" s="278"/>
      <c r="H28" s="200">
        <f>'Unit Data from Audit Worksheet'!I32</f>
        <v>0</v>
      </c>
      <c r="I28" s="580"/>
      <c r="J28" s="196">
        <v>505</v>
      </c>
      <c r="K28" s="191" t="s">
        <v>272</v>
      </c>
      <c r="L28" s="615">
        <f t="shared" si="3"/>
        <v>0</v>
      </c>
      <c r="P28" s="385"/>
      <c r="Q28" s="322"/>
      <c r="R28" s="657"/>
      <c r="U28" s="575" t="b">
        <f t="shared" si="0"/>
        <v>1</v>
      </c>
      <c r="V28" s="654">
        <f t="shared" si="1"/>
        <v>0</v>
      </c>
      <c r="Y28" s="386"/>
    </row>
    <row r="29" spans="1:25" s="1" customFormat="1" ht="69" customHeight="1" x14ac:dyDescent="0.25">
      <c r="A29" s="220">
        <f>'Unit Data from Audit Worksheet'!A33</f>
        <v>341</v>
      </c>
      <c r="B29" s="231" t="str">
        <f>'Unit Data from Audit Worksheet'!C33</f>
        <v>Statement of Activities - Governmental</v>
      </c>
      <c r="C29" s="218" t="str">
        <f>'Unit Data from Audit Worksheet'!D33</f>
        <v>Total General revenues
Exclude: transfers-in or out,
                 special items,
                 extraordinary amounts</v>
      </c>
      <c r="D29" s="319"/>
      <c r="E29" s="627">
        <f>'Unit Data from Audit Worksheet'!F33</f>
        <v>0</v>
      </c>
      <c r="F29" s="208">
        <f t="shared" si="4"/>
        <v>0</v>
      </c>
      <c r="G29" s="278"/>
      <c r="H29" s="200">
        <f>'Unit Data from Audit Worksheet'!I33</f>
        <v>0</v>
      </c>
      <c r="I29" s="580"/>
      <c r="J29" s="196">
        <v>341</v>
      </c>
      <c r="K29" s="191" t="s">
        <v>273</v>
      </c>
      <c r="L29" s="615">
        <f t="shared" si="3"/>
        <v>0</v>
      </c>
      <c r="P29" s="385"/>
      <c r="Q29" s="322"/>
      <c r="R29" s="657"/>
      <c r="U29" s="575" t="b">
        <f t="shared" si="0"/>
        <v>1</v>
      </c>
      <c r="V29" s="654">
        <f t="shared" si="1"/>
        <v>0</v>
      </c>
      <c r="Y29" s="386"/>
    </row>
    <row r="30" spans="1:25" s="1" customFormat="1" ht="60" customHeight="1" x14ac:dyDescent="0.25">
      <c r="A30" s="220">
        <f>'Unit Data from Audit Worksheet'!A34</f>
        <v>386</v>
      </c>
      <c r="B30" s="231" t="str">
        <f>'Unit Data from Audit Worksheet'!C34</f>
        <v>Statement of Activities - Governmental</v>
      </c>
      <c r="C30" s="218" t="str">
        <f>'Unit Data from Audit Worksheet'!D34</f>
        <v>Total Transfers in    (Preference is that transfers-in  are not netted against transfers-out)</v>
      </c>
      <c r="D30" s="319"/>
      <c r="E30" s="627">
        <f>'Unit Data from Audit Worksheet'!F34</f>
        <v>0</v>
      </c>
      <c r="F30" s="208">
        <f t="shared" si="4"/>
        <v>0</v>
      </c>
      <c r="G30" s="278"/>
      <c r="H30" s="200">
        <f>'Unit Data from Audit Worksheet'!I34</f>
        <v>0</v>
      </c>
      <c r="I30" s="580"/>
      <c r="J30" s="196">
        <v>386</v>
      </c>
      <c r="K30" s="191" t="s">
        <v>274</v>
      </c>
      <c r="L30" s="615">
        <f t="shared" si="3"/>
        <v>0</v>
      </c>
      <c r="P30" s="385"/>
      <c r="Q30" s="322"/>
      <c r="R30" s="657"/>
      <c r="U30" s="575" t="b">
        <f t="shared" si="0"/>
        <v>1</v>
      </c>
      <c r="V30" s="654">
        <f t="shared" si="1"/>
        <v>0</v>
      </c>
      <c r="Y30" s="386"/>
    </row>
    <row r="31" spans="1:25" s="1" customFormat="1" ht="66.75" customHeight="1" x14ac:dyDescent="0.25">
      <c r="A31" s="220">
        <f>'Unit Data from Audit Worksheet'!A35</f>
        <v>387</v>
      </c>
      <c r="B31" s="231" t="str">
        <f>'Unit Data from Audit Worksheet'!C35</f>
        <v>Statement of Activities - Governmental</v>
      </c>
      <c r="C31" s="218" t="str">
        <f>'Unit Data from Audit Worksheet'!D35</f>
        <v>Total Transfers out    (Preference is that transfers-in  are not netted against transfers-out)</v>
      </c>
      <c r="D31" s="319"/>
      <c r="E31" s="627">
        <f>'Unit Data from Audit Worksheet'!F35</f>
        <v>0</v>
      </c>
      <c r="F31" s="208">
        <f>IF(L31&lt;0,"Error: Enter as a positive.",)</f>
        <v>0</v>
      </c>
      <c r="G31" s="278"/>
      <c r="H31" s="200">
        <f>'Unit Data from Audit Worksheet'!I35</f>
        <v>0</v>
      </c>
      <c r="I31" s="580"/>
      <c r="J31" s="196">
        <v>387</v>
      </c>
      <c r="K31" s="191" t="s">
        <v>275</v>
      </c>
      <c r="L31" s="615">
        <f t="shared" si="3"/>
        <v>0</v>
      </c>
      <c r="P31" s="385"/>
      <c r="Q31" s="322"/>
      <c r="R31" s="657"/>
      <c r="U31" s="575" t="b">
        <f t="shared" si="0"/>
        <v>1</v>
      </c>
      <c r="V31" s="654">
        <f t="shared" si="1"/>
        <v>0</v>
      </c>
      <c r="Y31" s="386"/>
    </row>
    <row r="32" spans="1:25" s="1" customFormat="1" ht="90" customHeight="1" x14ac:dyDescent="0.25">
      <c r="A32" s="220">
        <f>'Unit Data from Audit Worksheet'!A36</f>
        <v>389</v>
      </c>
      <c r="B32" s="231" t="str">
        <f>'Unit Data from Audit Worksheet'!C36</f>
        <v>Statement of Activities - Governmental</v>
      </c>
      <c r="C32" s="218" t="str">
        <f>'Unit Data from Audit Worksheet'!D36</f>
        <v>Total Special and Extraordinary items.    (Amounts that increase net position are recorded as positive and amounts that decrease net position are recorded as negative)</v>
      </c>
      <c r="D32" s="319"/>
      <c r="E32" s="627">
        <f>'Unit Data from Audit Worksheet'!F36</f>
        <v>0</v>
      </c>
      <c r="F32" s="208"/>
      <c r="G32" s="297"/>
      <c r="H32" s="200">
        <f>'Unit Data from Audit Worksheet'!I36</f>
        <v>0</v>
      </c>
      <c r="I32" s="580"/>
      <c r="J32" s="196">
        <v>389</v>
      </c>
      <c r="K32" s="191" t="s">
        <v>276</v>
      </c>
      <c r="L32" s="615">
        <f t="shared" si="3"/>
        <v>0</v>
      </c>
      <c r="N32" s="408"/>
      <c r="P32" s="385"/>
      <c r="Q32" s="322"/>
      <c r="R32" s="657"/>
      <c r="U32" s="575" t="b">
        <f t="shared" si="0"/>
        <v>1</v>
      </c>
      <c r="V32" s="654">
        <f t="shared" si="1"/>
        <v>0</v>
      </c>
      <c r="Y32" s="386"/>
    </row>
    <row r="33" spans="1:25" s="1" customFormat="1" ht="75.75" customHeight="1" x14ac:dyDescent="0.25">
      <c r="A33" s="220">
        <f>'Unit Data from Audit Worksheet'!A37</f>
        <v>255</v>
      </c>
      <c r="B33" s="231" t="str">
        <f>'Unit Data from Audit Worksheet'!C37</f>
        <v>Statement of Activities - Governmental</v>
      </c>
      <c r="C33" s="218" t="str">
        <f>'Unit Data from Audit Worksheet'!D37</f>
        <v>Total Change in net position - (Increase in net position is recorded as a positive and a decrease in net position is recorded as a negative)</v>
      </c>
      <c r="D33" s="319"/>
      <c r="E33" s="627">
        <f>'Unit Data from Audit Worksheet'!F37</f>
        <v>0</v>
      </c>
      <c r="F33" s="208">
        <f>IF((L26+L27+L28+L29+L30-L31+L32-L25-L33)=0,,"Total revenues less total expenses do not equal total change in net position. Acct 339+504+505+341+386-387+389-388-255=0")</f>
        <v>0</v>
      </c>
      <c r="G33" s="338">
        <f>L26+L27+L28+L29+L30-L31+L32-L25-L33</f>
        <v>0</v>
      </c>
      <c r="H33" s="200">
        <f>'Unit Data from Audit Worksheet'!I37</f>
        <v>0</v>
      </c>
      <c r="I33" s="580"/>
      <c r="J33" s="196">
        <v>255</v>
      </c>
      <c r="K33" s="191" t="s">
        <v>277</v>
      </c>
      <c r="L33" s="615">
        <f t="shared" si="3"/>
        <v>0</v>
      </c>
      <c r="O33" s="185" t="e">
        <f>'Unit Data from Audit Worksheet'!E37</f>
        <v>#N/A</v>
      </c>
      <c r="P33" s="385"/>
      <c r="Q33" s="322">
        <f>IF(G33&lt;&gt;0,1,)</f>
        <v>0</v>
      </c>
      <c r="R33" s="657"/>
      <c r="U33" s="575" t="b">
        <f t="shared" si="0"/>
        <v>1</v>
      </c>
      <c r="V33" s="654">
        <f t="shared" si="1"/>
        <v>0</v>
      </c>
      <c r="Y33" s="386"/>
    </row>
    <row r="34" spans="1:25" s="1" customFormat="1" ht="108" customHeight="1" x14ac:dyDescent="0.25">
      <c r="A34" s="220">
        <f>'Unit Data from Audit Worksheet'!A38</f>
        <v>376</v>
      </c>
      <c r="B34" s="231" t="str">
        <f>'Unit Data from Audit Worksheet'!C38</f>
        <v>Statement of Activities - Governmental</v>
      </c>
      <c r="C34" s="218" t="str">
        <f>'Unit Data from Audit Worksheet'!D38</f>
        <v>Any adjustment to beginning net position including rounding, prior period adjustments and restatements.   (Increases to net position are positive; decreases to net position are negative)</v>
      </c>
      <c r="D34" s="319"/>
      <c r="E34" s="627">
        <f>'Unit Data from Audit Worksheet'!F38</f>
        <v>0</v>
      </c>
      <c r="F34" s="207" t="e">
        <f>IF(L19+L20+L21-L33-L34=O19+O20+O21,,"Beginning Balance does not agree with our records acct (252+253+254-255-376=252+253+254)")</f>
        <v>#N/A</v>
      </c>
      <c r="G34" s="339" t="e">
        <f>L19+L20+L21-L33-L34-(O19+O20+O21)</f>
        <v>#N/A</v>
      </c>
      <c r="H34" s="200">
        <f>'Unit Data from Audit Worksheet'!I38</f>
        <v>0</v>
      </c>
      <c r="I34" s="580"/>
      <c r="J34" s="196">
        <v>376</v>
      </c>
      <c r="K34" s="191" t="s">
        <v>131</v>
      </c>
      <c r="L34" s="615">
        <f t="shared" si="3"/>
        <v>0</v>
      </c>
      <c r="O34" s="185" t="e">
        <f>'Unit Data from Audit Worksheet'!E38</f>
        <v>#N/A</v>
      </c>
      <c r="P34" s="385"/>
      <c r="Q34" s="322" t="e">
        <f>IF(G34&lt;&gt;0,1,)</f>
        <v>#N/A</v>
      </c>
      <c r="R34" s="657"/>
      <c r="U34" s="575" t="b">
        <f t="shared" si="0"/>
        <v>1</v>
      </c>
      <c r="V34" s="654">
        <f t="shared" si="1"/>
        <v>0</v>
      </c>
      <c r="Y34" s="386"/>
    </row>
    <row r="35" spans="1:25" s="219" customFormat="1" ht="146.25" customHeight="1" x14ac:dyDescent="0.25">
      <c r="A35" s="328">
        <f>'Unit Data from Audit Worksheet'!A39</f>
        <v>597</v>
      </c>
      <c r="B35" s="329" t="str">
        <f>'Unit Data from Audit Worksheet'!C39</f>
        <v>Statement of Activities                               (all governmental and business funds)</v>
      </c>
      <c r="C35" s="327" t="str">
        <f>'Unit Data from Audit Worksheet'!D39</f>
        <v>Amount of interest income and investment income recognized as revenue in your audit report for all governmental and proprietary funds.  In the past we have asked you to adjust this number, but this year we would like the number as it appears on your Statement of Activities without adjustment.</v>
      </c>
      <c r="D35" s="319"/>
      <c r="E35" s="627">
        <f>'Unit Data from Audit Worksheet'!F39</f>
        <v>0</v>
      </c>
      <c r="F35" s="208">
        <f>IF(L35&lt;0,"Error: Number is normally positive.",)</f>
        <v>0</v>
      </c>
      <c r="G35" s="278"/>
      <c r="H35" s="200">
        <f>'Unit Data from Audit Worksheet'!I39</f>
        <v>0</v>
      </c>
      <c r="I35" s="580"/>
      <c r="J35" s="326">
        <v>597</v>
      </c>
      <c r="K35" s="325" t="s">
        <v>635</v>
      </c>
      <c r="L35" s="615">
        <f t="shared" si="3"/>
        <v>0</v>
      </c>
      <c r="O35" s="185"/>
      <c r="P35" s="385"/>
      <c r="Q35" s="322"/>
      <c r="R35" s="657"/>
      <c r="U35" s="575" t="b">
        <f t="shared" si="0"/>
        <v>1</v>
      </c>
      <c r="V35" s="654">
        <f t="shared" si="1"/>
        <v>0</v>
      </c>
      <c r="Y35" s="386"/>
    </row>
    <row r="36" spans="1:25" s="219" customFormat="1" ht="87" customHeight="1" x14ac:dyDescent="0.25">
      <c r="A36" s="328">
        <f>'Unit Data from Audit Worksheet'!A41</f>
        <v>592</v>
      </c>
      <c r="B36" s="329" t="str">
        <f>'Unit Data from Audit Worksheet'!C41</f>
        <v>Statement of Activities - Business Activities</v>
      </c>
      <c r="C36" s="327" t="str">
        <f>'Unit Data from Audit Worksheet'!D41</f>
        <v>Total Change in net position Business Type 
(Increase in net position is recorded as a positive and a decrease in net position is recorded as a negative)</v>
      </c>
      <c r="D36" s="319"/>
      <c r="E36" s="627">
        <f>'Unit Data from Audit Worksheet'!F41</f>
        <v>0</v>
      </c>
      <c r="F36" s="289"/>
      <c r="G36" s="297"/>
      <c r="H36" s="200">
        <f>'Unit Data from Audit Worksheet'!I41</f>
        <v>0</v>
      </c>
      <c r="I36" s="580"/>
      <c r="J36" s="326">
        <v>592</v>
      </c>
      <c r="K36" s="325" t="s">
        <v>603</v>
      </c>
      <c r="L36" s="615">
        <f t="shared" si="3"/>
        <v>0</v>
      </c>
      <c r="O36" s="185"/>
      <c r="P36" s="385"/>
      <c r="Q36" s="322"/>
      <c r="R36" s="657"/>
      <c r="U36" s="575" t="b">
        <f t="shared" si="0"/>
        <v>1</v>
      </c>
      <c r="V36" s="654">
        <f t="shared" si="1"/>
        <v>0</v>
      </c>
      <c r="Y36" s="386"/>
    </row>
    <row r="37" spans="1:25" s="219" customFormat="1" ht="45" customHeight="1" x14ac:dyDescent="0.25">
      <c r="A37" s="328">
        <f>'Unit Data from Audit Worksheet'!A42</f>
        <v>591</v>
      </c>
      <c r="B37" s="329" t="str">
        <f>'Unit Data from Audit Worksheet'!C42</f>
        <v>Statement of Activities - Business Activities</v>
      </c>
      <c r="C37" s="327" t="str">
        <f>'Unit Data from Audit Worksheet'!D42</f>
        <v>Total Expenses - Exclude Transfers</v>
      </c>
      <c r="D37" s="319"/>
      <c r="E37" s="627">
        <f>'Unit Data from Audit Worksheet'!F42</f>
        <v>0</v>
      </c>
      <c r="F37" s="324">
        <f>IF(L37&lt;0,"Error: Enter as a positive.",)</f>
        <v>0</v>
      </c>
      <c r="G37" s="297"/>
      <c r="H37" s="200">
        <f>'Unit Data from Audit Worksheet'!I42</f>
        <v>0</v>
      </c>
      <c r="I37" s="580"/>
      <c r="J37" s="326">
        <v>591</v>
      </c>
      <c r="K37" s="325" t="s">
        <v>602</v>
      </c>
      <c r="L37" s="615">
        <f t="shared" si="3"/>
        <v>0</v>
      </c>
      <c r="O37" s="185"/>
      <c r="P37" s="385"/>
      <c r="Q37" s="322"/>
      <c r="R37" s="657"/>
      <c r="U37" s="575" t="b">
        <f t="shared" si="0"/>
        <v>1</v>
      </c>
      <c r="V37" s="654">
        <f t="shared" si="1"/>
        <v>0</v>
      </c>
      <c r="Y37" s="386"/>
    </row>
    <row r="38" spans="1:25" s="1" customFormat="1" ht="54.75" customHeight="1" x14ac:dyDescent="0.25">
      <c r="A38" s="220">
        <f>'Unit Data from Audit Worksheet'!A44</f>
        <v>506</v>
      </c>
      <c r="B38" s="232" t="str">
        <f>'Unit Data from Audit Worksheet'!C44</f>
        <v>General Fund-Balance Sheet</v>
      </c>
      <c r="C38" s="212" t="str">
        <f>'Unit Data from Audit Worksheet'!D44</f>
        <v xml:space="preserve">All unrestricted cash and investments.  
Exclude restricted cash and cash held by a third party. </v>
      </c>
      <c r="D38" s="319"/>
      <c r="E38" s="632">
        <f>'Unit Data from Audit Worksheet'!F44</f>
        <v>0</v>
      </c>
      <c r="F38" s="192">
        <f>IF(L38&lt;0,"Error: Number is normally positive.",)</f>
        <v>0</v>
      </c>
      <c r="G38" s="279"/>
      <c r="H38" s="200">
        <f>'Unit Data from Audit Worksheet'!I44</f>
        <v>0</v>
      </c>
      <c r="I38" s="580"/>
      <c r="J38" s="195">
        <v>506</v>
      </c>
      <c r="K38" s="191" t="s">
        <v>278</v>
      </c>
      <c r="L38" s="616">
        <f t="shared" si="3"/>
        <v>0</v>
      </c>
      <c r="P38" s="385"/>
      <c r="Q38" s="322"/>
      <c r="R38" s="657"/>
      <c r="U38" s="575" t="b">
        <f t="shared" si="0"/>
        <v>1</v>
      </c>
      <c r="V38" s="654">
        <f t="shared" si="1"/>
        <v>0</v>
      </c>
      <c r="Y38" s="386"/>
    </row>
    <row r="39" spans="1:25" s="1" customFormat="1" ht="39" customHeight="1" x14ac:dyDescent="0.25">
      <c r="A39" s="220">
        <f>'Unit Data from Audit Worksheet'!A45</f>
        <v>536</v>
      </c>
      <c r="B39" s="232" t="str">
        <f>'Unit Data from Audit Worksheet'!C45</f>
        <v>General Fund-Balance Sheet</v>
      </c>
      <c r="C39" s="212" t="str">
        <f>'Unit Data from Audit Worksheet'!D45</f>
        <v>All restricted cash and investments</v>
      </c>
      <c r="D39" s="319"/>
      <c r="E39" s="632">
        <f>'Unit Data from Audit Worksheet'!F45</f>
        <v>0</v>
      </c>
      <c r="F39" s="192">
        <f>IF(L39&lt;0,"Error: Number is normally positive.",)</f>
        <v>0</v>
      </c>
      <c r="G39" s="279"/>
      <c r="H39" s="200">
        <f>'Unit Data from Audit Worksheet'!I45</f>
        <v>0</v>
      </c>
      <c r="I39" s="580"/>
      <c r="J39" s="195">
        <v>536</v>
      </c>
      <c r="K39" s="191" t="s">
        <v>279</v>
      </c>
      <c r="L39" s="616">
        <f t="shared" si="3"/>
        <v>0</v>
      </c>
      <c r="P39" s="385"/>
      <c r="Q39" s="322"/>
      <c r="R39" s="657"/>
      <c r="U39" s="575" t="b">
        <f t="shared" si="0"/>
        <v>1</v>
      </c>
      <c r="V39" s="654">
        <f t="shared" si="1"/>
        <v>0</v>
      </c>
      <c r="Y39" s="386"/>
    </row>
    <row r="40" spans="1:25" s="219" customFormat="1" ht="49.5" customHeight="1" x14ac:dyDescent="0.25">
      <c r="A40" s="220">
        <f>'Unit Data from Audit Worksheet'!A46</f>
        <v>586</v>
      </c>
      <c r="B40" s="231" t="str">
        <f>'Unit Data from Audit Worksheet'!C46</f>
        <v>General Fund-Balance Sheet</v>
      </c>
      <c r="C40" s="239" t="str">
        <f>'Unit Data from Audit Worksheet'!D46</f>
        <v>Advance To: Interfund loan receivable-portion of repayment plan longer than 12 months</v>
      </c>
      <c r="D40" s="319"/>
      <c r="E40" s="627">
        <f>'Unit Data from Audit Worksheet'!F46</f>
        <v>0</v>
      </c>
      <c r="F40" s="208"/>
      <c r="G40" s="278"/>
      <c r="H40" s="200"/>
      <c r="I40" s="580"/>
      <c r="J40" s="196">
        <v>586</v>
      </c>
      <c r="K40" s="239" t="s">
        <v>584</v>
      </c>
      <c r="L40" s="628">
        <f t="shared" si="3"/>
        <v>0</v>
      </c>
      <c r="P40" s="385"/>
      <c r="Q40" s="322"/>
      <c r="R40" s="657"/>
      <c r="U40" s="575" t="b">
        <f t="shared" si="0"/>
        <v>1</v>
      </c>
      <c r="V40" s="654">
        <f t="shared" si="1"/>
        <v>0</v>
      </c>
      <c r="Y40" s="386"/>
    </row>
    <row r="41" spans="1:25" s="1" customFormat="1" ht="52.5" customHeight="1" x14ac:dyDescent="0.25">
      <c r="A41" s="220">
        <f>'Unit Data from Audit Worksheet'!A47</f>
        <v>379</v>
      </c>
      <c r="B41" s="231" t="str">
        <f>'Unit Data from Audit Worksheet'!C47</f>
        <v>General Fund-Balance Sheet</v>
      </c>
      <c r="C41" s="218" t="str">
        <f>'Unit Data from Audit Worksheet'!D47</f>
        <v>Total Assets and deferred outflows</v>
      </c>
      <c r="D41" s="319"/>
      <c r="E41" s="627">
        <f>'Unit Data from Audit Worksheet'!F47</f>
        <v>0</v>
      </c>
      <c r="F41" s="309">
        <f>IF((L38+L39)&gt;L41,"Error: Please review accts (506+536)&gt;379",)</f>
        <v>0</v>
      </c>
      <c r="G41" s="297" t="str">
        <f>IF(Q41=1," Included in error count"," ")</f>
        <v xml:space="preserve"> </v>
      </c>
      <c r="H41" s="200">
        <f>'Unit Data from Audit Worksheet'!I47</f>
        <v>0</v>
      </c>
      <c r="I41" s="580"/>
      <c r="J41" s="196">
        <v>379</v>
      </c>
      <c r="K41" s="191" t="s">
        <v>141</v>
      </c>
      <c r="L41" s="615">
        <f t="shared" si="3"/>
        <v>0</v>
      </c>
      <c r="P41" s="385"/>
      <c r="Q41" s="322">
        <f>IF(L38+L39&gt;L41,1,)</f>
        <v>0</v>
      </c>
      <c r="R41" s="657"/>
      <c r="U41" s="575" t="b">
        <f t="shared" si="0"/>
        <v>1</v>
      </c>
      <c r="V41" s="654">
        <f t="shared" si="1"/>
        <v>0</v>
      </c>
      <c r="Y41" s="386"/>
    </row>
    <row r="42" spans="1:25" s="1" customFormat="1" ht="101.25" customHeight="1" x14ac:dyDescent="0.25">
      <c r="A42" s="220">
        <f>'Unit Data from Audit Worksheet'!A48</f>
        <v>368</v>
      </c>
      <c r="B42" s="231" t="str">
        <f>'Unit Data from Audit Worksheet'!C48</f>
        <v>General Fund-Balance Sheet</v>
      </c>
      <c r="C42" s="218" t="str">
        <f>'Unit Data from Audit Worksheet'!D48</f>
        <v>Total Liabilities payable from restricted assets (only complete if this is listed in your financial statements for the general fund and the auditor has listed the cash to be used to pay the liabilities as restricted)</v>
      </c>
      <c r="D42" s="319"/>
      <c r="E42" s="627">
        <f>'Unit Data from Audit Worksheet'!F48</f>
        <v>0</v>
      </c>
      <c r="F42" s="208">
        <f>IF(L42&lt;0,"Error: Enter as a positive.",)</f>
        <v>0</v>
      </c>
      <c r="G42" s="278"/>
      <c r="H42" s="200">
        <f>'Unit Data from Audit Worksheet'!I48</f>
        <v>0</v>
      </c>
      <c r="I42" s="580"/>
      <c r="J42" s="196">
        <v>368</v>
      </c>
      <c r="K42" s="191" t="s">
        <v>280</v>
      </c>
      <c r="L42" s="615">
        <f t="shared" si="3"/>
        <v>0</v>
      </c>
      <c r="P42" s="385"/>
      <c r="Q42" s="322"/>
      <c r="R42" s="657"/>
      <c r="U42" s="575" t="b">
        <f t="shared" si="0"/>
        <v>1</v>
      </c>
      <c r="V42" s="654">
        <f t="shared" si="1"/>
        <v>0</v>
      </c>
      <c r="Y42" s="386"/>
    </row>
    <row r="43" spans="1:25" s="1" customFormat="1" ht="89.25" customHeight="1" x14ac:dyDescent="0.25">
      <c r="A43" s="220">
        <f>'Unit Data from Audit Worksheet'!A49</f>
        <v>4</v>
      </c>
      <c r="B43" s="232" t="str">
        <f>'Unit Data from Audit Worksheet'!C49</f>
        <v>General Fund-Balance Sheet</v>
      </c>
      <c r="C43" s="430" t="str">
        <f>'Unit Data from Audit Worksheet'!D49</f>
        <v>Current Liabilities (as reported on the Balance Sheet)
Exclude all deferred inflows. 
Include advance from(long-term portion of interfund loans)</v>
      </c>
      <c r="D43" s="319"/>
      <c r="E43" s="632">
        <f>'Unit Data from Audit Worksheet'!F49</f>
        <v>0</v>
      </c>
      <c r="F43" s="192">
        <f t="shared" ref="F43:F51" si="5">IF(L43&lt;0,"Error: Enter as a positive.",)</f>
        <v>0</v>
      </c>
      <c r="G43" s="279"/>
      <c r="H43" s="200">
        <f>'Unit Data from Audit Worksheet'!I49</f>
        <v>0</v>
      </c>
      <c r="I43" s="580"/>
      <c r="J43" s="195">
        <v>4</v>
      </c>
      <c r="K43" s="191" t="s">
        <v>142</v>
      </c>
      <c r="L43" s="616">
        <f t="shared" si="3"/>
        <v>0</v>
      </c>
      <c r="P43" s="385"/>
      <c r="Q43" s="322"/>
      <c r="R43" s="657"/>
      <c r="U43" s="575" t="b">
        <f t="shared" si="0"/>
        <v>1</v>
      </c>
      <c r="V43" s="654">
        <f t="shared" si="1"/>
        <v>0</v>
      </c>
      <c r="Y43" s="386"/>
    </row>
    <row r="44" spans="1:25" s="1" customFormat="1" ht="129" customHeight="1" x14ac:dyDescent="0.25">
      <c r="A44" s="220">
        <f>'Unit Data from Audit Worksheet'!A50</f>
        <v>5</v>
      </c>
      <c r="B44" s="232" t="str">
        <f>'Unit Data from Audit Worksheet'!C50</f>
        <v>General Fund-Balance Sheet</v>
      </c>
      <c r="C44" s="212" t="str">
        <f>'Unit Data from Audit Worksheet'!D50</f>
        <v>General fund deferred inflows derived from cash receipts. 
 Prepaid taxes is a common item listed.  Deferred inflows on the face of the statements can include cash and non-cash.  You may have to refer to the note disclosure where the cash and non-cash is broken out.</v>
      </c>
      <c r="D44" s="319"/>
      <c r="E44" s="632">
        <f>'Unit Data from Audit Worksheet'!F50</f>
        <v>0</v>
      </c>
      <c r="F44" s="192">
        <f t="shared" si="5"/>
        <v>0</v>
      </c>
      <c r="G44" s="279"/>
      <c r="H44" s="200">
        <f>'Unit Data from Audit Worksheet'!I50</f>
        <v>0</v>
      </c>
      <c r="I44" s="580"/>
      <c r="J44" s="195">
        <v>5</v>
      </c>
      <c r="K44" s="191" t="s">
        <v>143</v>
      </c>
      <c r="L44" s="616">
        <f t="shared" si="3"/>
        <v>0</v>
      </c>
      <c r="P44" s="385"/>
      <c r="Q44" s="322"/>
      <c r="R44" s="657"/>
      <c r="U44" s="575" t="b">
        <f t="shared" si="0"/>
        <v>1</v>
      </c>
      <c r="V44" s="654">
        <f t="shared" si="1"/>
        <v>0</v>
      </c>
      <c r="Y44" s="386"/>
    </row>
    <row r="45" spans="1:25" s="1" customFormat="1" ht="107.25" customHeight="1" x14ac:dyDescent="0.25">
      <c r="A45" s="220">
        <f>'Unit Data from Audit Worksheet'!A51</f>
        <v>380</v>
      </c>
      <c r="B45" s="231" t="str">
        <f>'Unit Data from Audit Worksheet'!C51</f>
        <v>General Fund-Balance Sheet</v>
      </c>
      <c r="C45" s="218" t="str">
        <f>'Unit Data from Audit Worksheet'!D51</f>
        <v>Total Deferred inflows not derived from cash receipts.  Deferred inflows on the face of the statements can include cash and non-cash.  You may have to refer to the note disclosure where the cash and non-cash is broken out.</v>
      </c>
      <c r="D45" s="319"/>
      <c r="E45" s="627">
        <f>'Unit Data from Audit Worksheet'!F51</f>
        <v>0</v>
      </c>
      <c r="F45" s="208">
        <f t="shared" si="5"/>
        <v>0</v>
      </c>
      <c r="G45" s="278"/>
      <c r="H45" s="200">
        <f>'Unit Data from Audit Worksheet'!I51</f>
        <v>0</v>
      </c>
      <c r="I45" s="580"/>
      <c r="J45" s="196">
        <v>380</v>
      </c>
      <c r="K45" s="191" t="s">
        <v>144</v>
      </c>
      <c r="L45" s="615">
        <f t="shared" si="3"/>
        <v>0</v>
      </c>
      <c r="P45" s="385"/>
      <c r="Q45" s="322"/>
      <c r="R45" s="657"/>
      <c r="U45" s="575" t="b">
        <f t="shared" si="0"/>
        <v>1</v>
      </c>
      <c r="V45" s="654">
        <f t="shared" si="1"/>
        <v>0</v>
      </c>
      <c r="Y45" s="386"/>
    </row>
    <row r="46" spans="1:25" s="1" customFormat="1" ht="43.5" customHeight="1" x14ac:dyDescent="0.25">
      <c r="A46" s="220">
        <f>'Unit Data from Audit Worksheet'!A52</f>
        <v>391</v>
      </c>
      <c r="B46" s="231" t="str">
        <f>'Unit Data from Audit Worksheet'!C52</f>
        <v>General Fund-Balance Sheet</v>
      </c>
      <c r="C46" s="218" t="str">
        <f>'Unit Data from Audit Worksheet'!D52</f>
        <v xml:space="preserve">Fund balance, Restricted for Stabilization by State Statute </v>
      </c>
      <c r="D46" s="319"/>
      <c r="E46" s="627">
        <f>'Unit Data from Audit Worksheet'!F52</f>
        <v>0</v>
      </c>
      <c r="F46" s="208">
        <f t="shared" si="5"/>
        <v>0</v>
      </c>
      <c r="G46" s="278"/>
      <c r="H46" s="200">
        <f>'Unit Data from Audit Worksheet'!I52</f>
        <v>0</v>
      </c>
      <c r="I46" s="580"/>
      <c r="J46" s="196">
        <v>391</v>
      </c>
      <c r="K46" s="191" t="s">
        <v>281</v>
      </c>
      <c r="L46" s="615">
        <f t="shared" si="3"/>
        <v>0</v>
      </c>
      <c r="P46" s="385"/>
      <c r="Q46" s="322"/>
      <c r="R46" s="657"/>
      <c r="U46" s="575" t="b">
        <f t="shared" si="0"/>
        <v>1</v>
      </c>
      <c r="V46" s="654">
        <f t="shared" si="1"/>
        <v>0</v>
      </c>
      <c r="Y46" s="386"/>
    </row>
    <row r="47" spans="1:25" s="1" customFormat="1" ht="42" customHeight="1" x14ac:dyDescent="0.25">
      <c r="A47" s="220">
        <f>'Unit Data from Audit Worksheet'!A53</f>
        <v>7</v>
      </c>
      <c r="B47" s="232" t="str">
        <f>'Unit Data from Audit Worksheet'!C53</f>
        <v>General Fund-Balance Sheet</v>
      </c>
      <c r="C47" s="212" t="str">
        <f>'Unit Data from Audit Worksheet'!D53</f>
        <v>Fund balance, Nonspendable-  inventory/prepaids/etc.</v>
      </c>
      <c r="D47" s="319"/>
      <c r="E47" s="632">
        <f>'Unit Data from Audit Worksheet'!F53</f>
        <v>0</v>
      </c>
      <c r="F47" s="192">
        <f t="shared" si="5"/>
        <v>0</v>
      </c>
      <c r="G47" s="279"/>
      <c r="H47" s="200">
        <f>'Unit Data from Audit Worksheet'!I53</f>
        <v>0</v>
      </c>
      <c r="I47" s="580"/>
      <c r="J47" s="195">
        <v>7</v>
      </c>
      <c r="K47" s="191" t="s">
        <v>282</v>
      </c>
      <c r="L47" s="616">
        <f t="shared" si="3"/>
        <v>0</v>
      </c>
      <c r="P47" s="385"/>
      <c r="Q47" s="322"/>
      <c r="R47" s="657"/>
      <c r="U47" s="575" t="b">
        <f t="shared" si="0"/>
        <v>1</v>
      </c>
      <c r="V47" s="654">
        <f t="shared" si="1"/>
        <v>0</v>
      </c>
      <c r="Y47" s="386"/>
    </row>
    <row r="48" spans="1:25" ht="42" customHeight="1" x14ac:dyDescent="0.25">
      <c r="A48" s="427">
        <f>'Unit Data from Audit Worksheet'!A54</f>
        <v>645</v>
      </c>
      <c r="B48" s="456" t="str">
        <f>'Unit Data from Audit Worksheet'!C54</f>
        <v>General Fund-Balance Sheet</v>
      </c>
      <c r="C48" s="455" t="str">
        <f>'Unit Data from Audit Worksheet'!D54</f>
        <v>Fund balance, Assigned (total of all assigned components)</v>
      </c>
      <c r="D48" s="418"/>
      <c r="E48" s="633">
        <f>'Unit Data from Audit Worksheet'!F54</f>
        <v>0</v>
      </c>
      <c r="F48" s="457">
        <f>IF(L48&lt;0,"Error: Enter as a positive.",)</f>
        <v>0</v>
      </c>
      <c r="G48" s="458"/>
      <c r="H48" s="457">
        <f>'Unit Data from Audit Worksheet'!I54</f>
        <v>0</v>
      </c>
      <c r="I48" s="599"/>
      <c r="J48" s="459">
        <v>645</v>
      </c>
      <c r="K48" s="455" t="s">
        <v>718</v>
      </c>
      <c r="L48" s="764">
        <f t="shared" si="3"/>
        <v>0</v>
      </c>
      <c r="M48" s="765"/>
      <c r="N48" s="765"/>
      <c r="O48" s="765"/>
      <c r="P48" s="766"/>
      <c r="Q48" s="767"/>
      <c r="R48" s="768"/>
      <c r="U48" s="682" t="b">
        <f t="shared" si="0"/>
        <v>1</v>
      </c>
      <c r="V48" s="362">
        <f t="shared" si="1"/>
        <v>0</v>
      </c>
    </row>
    <row r="49" spans="1:25" ht="42" customHeight="1" x14ac:dyDescent="0.25">
      <c r="A49" s="427">
        <f>'Unit Data from Audit Worksheet'!A55</f>
        <v>646</v>
      </c>
      <c r="B49" s="456" t="str">
        <f>'Unit Data from Audit Worksheet'!C55</f>
        <v>General Fund-Balance Sheet</v>
      </c>
      <c r="C49" s="455" t="str">
        <f>'Unit Data from Audit Worksheet'!D55</f>
        <v>Fund Balance, Unassigned</v>
      </c>
      <c r="D49" s="418"/>
      <c r="E49" s="633">
        <f>'Unit Data from Audit Worksheet'!F55</f>
        <v>0</v>
      </c>
      <c r="F49" s="457">
        <f>IF(L49&lt;0,"Error: Enter as a positive.",)</f>
        <v>0</v>
      </c>
      <c r="G49" s="458"/>
      <c r="H49" s="457">
        <f>'Unit Data from Audit Worksheet'!I55</f>
        <v>0</v>
      </c>
      <c r="I49" s="599"/>
      <c r="J49" s="459">
        <v>646</v>
      </c>
      <c r="K49" s="455" t="s">
        <v>719</v>
      </c>
      <c r="L49" s="764">
        <f t="shared" si="3"/>
        <v>0</v>
      </c>
      <c r="M49" s="765"/>
      <c r="N49" s="765"/>
      <c r="O49" s="765"/>
      <c r="P49" s="766"/>
      <c r="Q49" s="767"/>
      <c r="R49" s="767"/>
      <c r="S49" s="765"/>
      <c r="T49" s="765"/>
      <c r="U49" s="682" t="b">
        <f t="shared" ref="U49:U80" si="6">EXACT(A48,J48)</f>
        <v>1</v>
      </c>
      <c r="V49" s="362">
        <f t="shared" ref="V49:V80" si="7">E48-L48</f>
        <v>0</v>
      </c>
    </row>
    <row r="50" spans="1:25" ht="42" customHeight="1" x14ac:dyDescent="0.25">
      <c r="A50" s="215">
        <f>'Unit Data from Audit Worksheet'!A56</f>
        <v>9</v>
      </c>
      <c r="B50" s="422" t="str">
        <f>'Unit Data from Audit Worksheet'!C56</f>
        <v>General Fund-Balance Sheet</v>
      </c>
      <c r="C50" s="423" t="str">
        <f>'Unit Data from Audit Worksheet'!D56</f>
        <v>Total Fund balance (enter fund deficits as negative)</v>
      </c>
      <c r="D50" s="319"/>
      <c r="E50" s="631">
        <f>'Unit Data from Audit Worksheet'!F56</f>
        <v>0</v>
      </c>
      <c r="F50" s="424">
        <f>IF(L41-L43-L44-L45-L50=0,,"Error: Total assets less total liabilities do not equal Acct +379-4-5-380-9=0")</f>
        <v>0</v>
      </c>
      <c r="G50" s="425">
        <f>L41-L43-L44-L45-L50</f>
        <v>0</v>
      </c>
      <c r="H50" s="200">
        <f>'Unit Data from Audit Worksheet'!I56</f>
        <v>0</v>
      </c>
      <c r="I50" s="580"/>
      <c r="J50" s="426">
        <v>9</v>
      </c>
      <c r="K50" s="226" t="s">
        <v>284</v>
      </c>
      <c r="L50" s="622">
        <f t="shared" si="3"/>
        <v>0</v>
      </c>
      <c r="O50" s="696" t="e">
        <f>'Unit Data from Audit Worksheet'!E56</f>
        <v>#N/A</v>
      </c>
      <c r="P50" s="562"/>
      <c r="Q50" s="657">
        <f>IF(G50&lt;&gt;0,1,)</f>
        <v>0</v>
      </c>
      <c r="S50" s="765"/>
      <c r="T50" s="765"/>
      <c r="U50" s="682" t="b">
        <f t="shared" si="6"/>
        <v>1</v>
      </c>
      <c r="V50" s="362">
        <f t="shared" si="7"/>
        <v>0</v>
      </c>
    </row>
    <row r="51" spans="1:25" s="1" customFormat="1" ht="64.5" customHeight="1" x14ac:dyDescent="0.25">
      <c r="A51" s="220">
        <f>'Unit Data from Audit Worksheet'!A57</f>
        <v>540</v>
      </c>
      <c r="B51" s="231" t="str">
        <f>'Unit Data from Audit Worksheet'!C57</f>
        <v>General Fund - Budget Actual Statement</v>
      </c>
      <c r="C51" s="239" t="str">
        <f>'Unit Data from Audit Worksheet'!D57</f>
        <v>Amount of the General Fund Balance appropriated in next year's budget. As reported on the General Fund Balance Sheet.</v>
      </c>
      <c r="D51" s="319"/>
      <c r="E51" s="627">
        <f>'Unit Data from Audit Worksheet'!F57</f>
        <v>0</v>
      </c>
      <c r="F51" s="208">
        <f t="shared" si="5"/>
        <v>0</v>
      </c>
      <c r="G51" s="278"/>
      <c r="H51" s="200">
        <f>'Unit Data from Audit Worksheet'!I57</f>
        <v>0</v>
      </c>
      <c r="I51" s="580"/>
      <c r="J51" s="196">
        <v>540</v>
      </c>
      <c r="K51" s="191" t="s">
        <v>348</v>
      </c>
      <c r="L51" s="628">
        <f t="shared" si="3"/>
        <v>0</v>
      </c>
      <c r="M51" s="4"/>
      <c r="N51" s="4"/>
      <c r="O51" s="4"/>
      <c r="P51" s="385"/>
      <c r="Q51" s="322"/>
      <c r="R51" s="657"/>
      <c r="U51" s="575" t="b">
        <f t="shared" si="6"/>
        <v>1</v>
      </c>
      <c r="V51" s="654">
        <f t="shared" si="7"/>
        <v>0</v>
      </c>
      <c r="Y51" s="386"/>
    </row>
    <row r="52" spans="1:25" s="4" customFormat="1" ht="64.5" customHeight="1" x14ac:dyDescent="0.25">
      <c r="A52" s="220">
        <f>'Unit Data from Audit Worksheet'!A59</f>
        <v>369</v>
      </c>
      <c r="B52" s="231" t="str">
        <f>'Unit Data from Audit Worksheet'!C59</f>
        <v>General Fund-Rev, Exp. Change in Fund Balance</v>
      </c>
      <c r="C52" s="218" t="str">
        <f>'Unit Data from Audit Worksheet'!D59</f>
        <v>Total Intergovernmental revenue 
Include restricted and unrestricted revenues</v>
      </c>
      <c r="D52" s="319"/>
      <c r="E52" s="627">
        <f>'Unit Data from Audit Worksheet'!F59</f>
        <v>0</v>
      </c>
      <c r="F52" s="289"/>
      <c r="G52" s="278"/>
      <c r="H52" s="200">
        <f>'Unit Data from Audit Worksheet'!I59</f>
        <v>0</v>
      </c>
      <c r="I52" s="580"/>
      <c r="J52" s="196">
        <v>369</v>
      </c>
      <c r="K52" s="191" t="s">
        <v>285</v>
      </c>
      <c r="L52" s="628">
        <f t="shared" ref="L52:L113" si="8">IF(D52="",E52,D52)</f>
        <v>0</v>
      </c>
      <c r="M52" s="1"/>
      <c r="N52" s="1"/>
      <c r="O52" s="1"/>
      <c r="P52" s="385"/>
      <c r="Q52" s="322"/>
      <c r="R52" s="657"/>
      <c r="U52" s="575" t="b">
        <f t="shared" si="6"/>
        <v>1</v>
      </c>
      <c r="V52" s="654">
        <f t="shared" si="7"/>
        <v>0</v>
      </c>
      <c r="Y52" s="386"/>
    </row>
    <row r="53" spans="1:25" s="1" customFormat="1" ht="58.5" customHeight="1" x14ac:dyDescent="0.25">
      <c r="A53" s="220">
        <f>'Unit Data from Audit Worksheet'!A60</f>
        <v>16</v>
      </c>
      <c r="B53" s="231" t="str">
        <f>'Unit Data from Audit Worksheet'!C60</f>
        <v>General Fund-Rev, Exp. Change in Fund Balance</v>
      </c>
      <c r="C53" s="218" t="str">
        <f>'Unit Data from Audit Worksheet'!D60</f>
        <v>Total revenues</v>
      </c>
      <c r="D53" s="319"/>
      <c r="E53" s="627">
        <f>'Unit Data from Audit Worksheet'!F60</f>
        <v>0</v>
      </c>
      <c r="F53" s="289"/>
      <c r="G53" s="278"/>
      <c r="H53" s="200">
        <f>'Unit Data from Audit Worksheet'!I60</f>
        <v>0</v>
      </c>
      <c r="I53" s="580"/>
      <c r="J53" s="196">
        <v>16</v>
      </c>
      <c r="K53" s="191" t="s">
        <v>286</v>
      </c>
      <c r="L53" s="628">
        <f t="shared" si="8"/>
        <v>0</v>
      </c>
      <c r="P53" s="385"/>
      <c r="Q53" s="322"/>
      <c r="R53" s="657"/>
      <c r="U53" s="575" t="b">
        <f t="shared" si="6"/>
        <v>1</v>
      </c>
      <c r="V53" s="654">
        <f t="shared" si="7"/>
        <v>0</v>
      </c>
      <c r="Y53" s="386"/>
    </row>
    <row r="54" spans="1:25" s="1" customFormat="1" ht="64.5" customHeight="1" x14ac:dyDescent="0.25">
      <c r="A54" s="220">
        <f>'Unit Data from Audit Worksheet'!A61</f>
        <v>370</v>
      </c>
      <c r="B54" s="231" t="str">
        <f>'Unit Data from Audit Worksheet'!C61</f>
        <v>General Fund-Rev, Exp. Change in Fund Balance</v>
      </c>
      <c r="C54" s="218" t="str">
        <f>'Unit Data from Audit Worksheet'!D61</f>
        <v>Debt service expenditures. 
Include principal, interest paid, and bond/debt issuance costs on long-term debt</v>
      </c>
      <c r="D54" s="319"/>
      <c r="E54" s="627">
        <f>'Unit Data from Audit Worksheet'!F61</f>
        <v>0</v>
      </c>
      <c r="F54" s="208">
        <f t="shared" ref="F54:F60" si="9">IF(L54&lt;0,"Error: Enter as a positive.",)</f>
        <v>0</v>
      </c>
      <c r="G54" s="278"/>
      <c r="H54" s="200">
        <f>'Unit Data from Audit Worksheet'!I61</f>
        <v>0</v>
      </c>
      <c r="I54" s="580"/>
      <c r="J54" s="196">
        <v>370</v>
      </c>
      <c r="K54" s="191" t="s">
        <v>287</v>
      </c>
      <c r="L54" s="628">
        <f t="shared" si="8"/>
        <v>0</v>
      </c>
      <c r="P54" s="385"/>
      <c r="Q54" s="322"/>
      <c r="R54" s="657"/>
      <c r="U54" s="575" t="b">
        <f t="shared" si="6"/>
        <v>1</v>
      </c>
      <c r="V54" s="654">
        <f t="shared" si="7"/>
        <v>0</v>
      </c>
      <c r="Y54" s="386"/>
    </row>
    <row r="55" spans="1:25" s="1" customFormat="1" ht="64.5" customHeight="1" x14ac:dyDescent="0.25">
      <c r="A55" s="220">
        <f>'Unit Data from Audit Worksheet'!A62</f>
        <v>532</v>
      </c>
      <c r="B55" s="231" t="str">
        <f>'Unit Data from Audit Worksheet'!C62</f>
        <v>General Fund-Rev, Exp. Change in Fund Balance</v>
      </c>
      <c r="C55" s="218" t="str">
        <f>'Unit Data from Audit Worksheet'!D62</f>
        <v xml:space="preserve">Total expenditures  
Exclude expenditures in the "other financing sources (uses)" section.
</v>
      </c>
      <c r="D55" s="319"/>
      <c r="E55" s="627">
        <f>'Unit Data from Audit Worksheet'!F62</f>
        <v>0</v>
      </c>
      <c r="F55" s="208">
        <f t="shared" si="9"/>
        <v>0</v>
      </c>
      <c r="G55" s="278"/>
      <c r="H55" s="200">
        <f>'Unit Data from Audit Worksheet'!I62</f>
        <v>0</v>
      </c>
      <c r="I55" s="580"/>
      <c r="J55" s="196">
        <v>532</v>
      </c>
      <c r="K55" s="206" t="s">
        <v>288</v>
      </c>
      <c r="L55" s="628">
        <f t="shared" si="8"/>
        <v>0</v>
      </c>
      <c r="P55" s="385"/>
      <c r="Q55" s="322"/>
      <c r="R55" s="657"/>
      <c r="U55" s="575" t="b">
        <f t="shared" si="6"/>
        <v>1</v>
      </c>
      <c r="V55" s="654">
        <f t="shared" si="7"/>
        <v>0</v>
      </c>
      <c r="Y55" s="386"/>
    </row>
    <row r="56" spans="1:25" s="1" customFormat="1" ht="64.5" customHeight="1" x14ac:dyDescent="0.25">
      <c r="A56" s="220">
        <f>'Unit Data from Audit Worksheet'!A63</f>
        <v>17</v>
      </c>
      <c r="B56" s="231" t="str">
        <f>'Unit Data from Audit Worksheet'!C63</f>
        <v>General Fund-Rev, Exp. Change in Fund Balance</v>
      </c>
      <c r="C56" s="218" t="str">
        <f>'Unit Data from Audit Worksheet'!D63</f>
        <v>Total Transfers in    (Preference is that transfers-in  are not netted against transfers-out)</v>
      </c>
      <c r="D56" s="319"/>
      <c r="E56" s="627">
        <f>'Unit Data from Audit Worksheet'!F63</f>
        <v>0</v>
      </c>
      <c r="F56" s="208">
        <f t="shared" si="9"/>
        <v>0</v>
      </c>
      <c r="G56" s="278"/>
      <c r="H56" s="200">
        <f>'Unit Data from Audit Worksheet'!I63</f>
        <v>0</v>
      </c>
      <c r="I56" s="580"/>
      <c r="J56" s="196">
        <v>17</v>
      </c>
      <c r="K56" s="191" t="s">
        <v>289</v>
      </c>
      <c r="L56" s="628">
        <f t="shared" si="8"/>
        <v>0</v>
      </c>
      <c r="P56" s="385"/>
      <c r="Q56" s="322"/>
      <c r="R56" s="657"/>
      <c r="U56" s="575" t="b">
        <f t="shared" si="6"/>
        <v>1</v>
      </c>
      <c r="V56" s="654">
        <f t="shared" si="7"/>
        <v>0</v>
      </c>
      <c r="Y56" s="386"/>
    </row>
    <row r="57" spans="1:25" s="1" customFormat="1" ht="64.5" customHeight="1" x14ac:dyDescent="0.25">
      <c r="A57" s="220">
        <f>'Unit Data from Audit Worksheet'!A64</f>
        <v>20</v>
      </c>
      <c r="B57" s="231" t="str">
        <f>'Unit Data from Audit Worksheet'!C64</f>
        <v>General Fund-Rev, Exp. Change in Fund Balance</v>
      </c>
      <c r="C57" s="218" t="str">
        <f>'Unit Data from Audit Worksheet'!D64</f>
        <v>Total Transfers out    (Preference is that transfers-in  are not netted against transfers-out)</v>
      </c>
      <c r="D57" s="319"/>
      <c r="E57" s="627">
        <f>'Unit Data from Audit Worksheet'!F64</f>
        <v>0</v>
      </c>
      <c r="F57" s="208">
        <f t="shared" si="9"/>
        <v>0</v>
      </c>
      <c r="G57" s="278"/>
      <c r="H57" s="200">
        <f>'Unit Data from Audit Worksheet'!I64</f>
        <v>0</v>
      </c>
      <c r="I57" s="580"/>
      <c r="J57" s="196">
        <v>20</v>
      </c>
      <c r="K57" s="191" t="s">
        <v>290</v>
      </c>
      <c r="L57" s="628">
        <f t="shared" si="8"/>
        <v>0</v>
      </c>
      <c r="P57" s="385"/>
      <c r="Q57" s="322"/>
      <c r="R57" s="657"/>
      <c r="U57" s="575" t="b">
        <f t="shared" si="6"/>
        <v>1</v>
      </c>
      <c r="V57" s="654">
        <f t="shared" si="7"/>
        <v>0</v>
      </c>
      <c r="Y57" s="386"/>
    </row>
    <row r="58" spans="1:25" s="1" customFormat="1" ht="62.25" customHeight="1" x14ac:dyDescent="0.25">
      <c r="A58" s="220">
        <f>'Unit Data from Audit Worksheet'!A65</f>
        <v>533</v>
      </c>
      <c r="B58" s="231" t="str">
        <f>'Unit Data from Audit Worksheet'!C65</f>
        <v>General Fund-Rev, Exp. Change in Fund Balance</v>
      </c>
      <c r="C58" s="218" t="str">
        <f>'Unit Data from Audit Worksheet'!D65</f>
        <v>Total Proceeds from all long-term debt issuances 
Exclude proceeds from refundings</v>
      </c>
      <c r="D58" s="319"/>
      <c r="E58" s="627">
        <f>'Unit Data from Audit Worksheet'!F65</f>
        <v>0</v>
      </c>
      <c r="F58" s="208">
        <f t="shared" si="9"/>
        <v>0</v>
      </c>
      <c r="G58" s="278"/>
      <c r="H58" s="200">
        <f>'Unit Data from Audit Worksheet'!I65</f>
        <v>0</v>
      </c>
      <c r="I58" s="580"/>
      <c r="J58" s="196">
        <v>533</v>
      </c>
      <c r="K58" s="206" t="s">
        <v>291</v>
      </c>
      <c r="L58" s="628">
        <f t="shared" si="8"/>
        <v>0</v>
      </c>
      <c r="P58" s="385"/>
      <c r="Q58" s="322"/>
      <c r="R58" s="657"/>
      <c r="U58" s="575" t="b">
        <f t="shared" si="6"/>
        <v>1</v>
      </c>
      <c r="V58" s="654">
        <f t="shared" si="7"/>
        <v>0</v>
      </c>
      <c r="Y58" s="386"/>
    </row>
    <row r="59" spans="1:25" s="1" customFormat="1" ht="66.75" customHeight="1" x14ac:dyDescent="0.25">
      <c r="A59" s="220">
        <f>'Unit Data from Audit Worksheet'!A66</f>
        <v>508</v>
      </c>
      <c r="B59" s="231" t="str">
        <f>'Unit Data from Audit Worksheet'!C66</f>
        <v>General Fund-Rev, Exp. Change in Fund Balance</v>
      </c>
      <c r="C59" s="218" t="str">
        <f>'Unit Data from Audit Worksheet'!D66</f>
        <v>Debt Refunding - Net refunding proceeds against debt payoff and if positive place results on this line.</v>
      </c>
      <c r="D59" s="319"/>
      <c r="E59" s="627">
        <f>'Unit Data from Audit Worksheet'!F66</f>
        <v>0</v>
      </c>
      <c r="F59" s="208">
        <f t="shared" si="9"/>
        <v>0</v>
      </c>
      <c r="G59" s="278"/>
      <c r="H59" s="200">
        <f>'Unit Data from Audit Worksheet'!I66</f>
        <v>0</v>
      </c>
      <c r="I59" s="580"/>
      <c r="J59" s="196">
        <v>508</v>
      </c>
      <c r="K59" s="191" t="s">
        <v>293</v>
      </c>
      <c r="L59" s="628">
        <f t="shared" si="8"/>
        <v>0</v>
      </c>
      <c r="P59" s="385"/>
      <c r="Q59" s="322"/>
      <c r="R59" s="657"/>
      <c r="U59" s="575" t="b">
        <f t="shared" si="6"/>
        <v>1</v>
      </c>
      <c r="V59" s="654">
        <f t="shared" si="7"/>
        <v>0</v>
      </c>
      <c r="Y59" s="386"/>
    </row>
    <row r="60" spans="1:25" s="1" customFormat="1" ht="75" customHeight="1" x14ac:dyDescent="0.25">
      <c r="A60" s="220">
        <f>'Unit Data from Audit Worksheet'!A67</f>
        <v>509</v>
      </c>
      <c r="B60" s="231" t="str">
        <f>'Unit Data from Audit Worksheet'!C67</f>
        <v>General Fund-Rev, Exp. Change in Fund Balance</v>
      </c>
      <c r="C60" s="218" t="str">
        <f>'Unit Data from Audit Worksheet'!D67</f>
        <v>Debt Refunding - Net refunding proceeds against debt payoff and if negative place results on this line.</v>
      </c>
      <c r="D60" s="319"/>
      <c r="E60" s="627">
        <f>'Unit Data from Audit Worksheet'!F67</f>
        <v>0</v>
      </c>
      <c r="F60" s="208">
        <f t="shared" si="9"/>
        <v>0</v>
      </c>
      <c r="G60" s="278"/>
      <c r="H60" s="200">
        <f>'Unit Data from Audit Worksheet'!I67</f>
        <v>0</v>
      </c>
      <c r="I60" s="580"/>
      <c r="J60" s="196">
        <v>509</v>
      </c>
      <c r="K60" s="191" t="s">
        <v>294</v>
      </c>
      <c r="L60" s="628">
        <f t="shared" si="8"/>
        <v>0</v>
      </c>
      <c r="P60" s="385"/>
      <c r="Q60" s="322"/>
      <c r="R60" s="657"/>
      <c r="U60" s="575" t="b">
        <f t="shared" si="6"/>
        <v>1</v>
      </c>
      <c r="V60" s="654">
        <f t="shared" si="7"/>
        <v>0</v>
      </c>
      <c r="Y60" s="386"/>
    </row>
    <row r="61" spans="1:25" s="1" customFormat="1" ht="75" customHeight="1" x14ac:dyDescent="0.25">
      <c r="A61" s="220">
        <f>'Unit Data from Audit Worksheet'!A68</f>
        <v>22</v>
      </c>
      <c r="B61" s="231" t="str">
        <f>'Unit Data from Audit Worksheet'!C68</f>
        <v>General Fund-Rev, Exp. Change in Fund Balance</v>
      </c>
      <c r="C61" s="218" t="str">
        <f>'Unit Data from Audit Worksheet'!D68</f>
        <v xml:space="preserve">All other items on this statement that were not included in total revenues, total expenditures, transfers in or out, or proceeds from long-term debt above.  </v>
      </c>
      <c r="D61" s="319"/>
      <c r="E61" s="627">
        <f>'Unit Data from Audit Worksheet'!F68</f>
        <v>0</v>
      </c>
      <c r="F61" s="208"/>
      <c r="G61" s="278"/>
      <c r="H61" s="200">
        <f>'Unit Data from Audit Worksheet'!I68</f>
        <v>0</v>
      </c>
      <c r="I61" s="580"/>
      <c r="J61" s="196">
        <v>22</v>
      </c>
      <c r="K61" s="191" t="s">
        <v>292</v>
      </c>
      <c r="L61" s="628">
        <f t="shared" si="8"/>
        <v>0</v>
      </c>
      <c r="P61" s="385"/>
      <c r="Q61" s="322"/>
      <c r="R61" s="657"/>
      <c r="U61" s="575" t="b">
        <f t="shared" si="6"/>
        <v>1</v>
      </c>
      <c r="V61" s="654">
        <f t="shared" si="7"/>
        <v>0</v>
      </c>
      <c r="Y61" s="386"/>
    </row>
    <row r="62" spans="1:25" s="1" customFormat="1" ht="75" customHeight="1" x14ac:dyDescent="0.25">
      <c r="A62" s="220">
        <f>'Unit Data from Audit Worksheet'!A69</f>
        <v>23</v>
      </c>
      <c r="B62" s="231" t="str">
        <f>'Unit Data from Audit Worksheet'!C69</f>
        <v>General Fund-Rev, Exp. Change in Fund Balance</v>
      </c>
      <c r="C62" s="218" t="str">
        <f>'Unit Data from Audit Worksheet'!D69</f>
        <v>Change in fund balance - (Increase in Fund balance is recorded as a positive and a decrease in fund balance is recorded as a negative)</v>
      </c>
      <c r="D62" s="319"/>
      <c r="E62" s="627">
        <f>'Unit Data from Audit Worksheet'!F69</f>
        <v>0</v>
      </c>
      <c r="F62" s="208">
        <f>IF(+L53-L55+L56-L57+L58+L59-L60+L61-L62=0,,"Error:Total revenues less toal Expenditures do not equal change in fund balance")</f>
        <v>0</v>
      </c>
      <c r="G62" s="338">
        <f>+L53-L55+L56-L57+L58+L61+L59-L60-L62</f>
        <v>0</v>
      </c>
      <c r="H62" s="200">
        <f>'Unit Data from Audit Worksheet'!I69</f>
        <v>0</v>
      </c>
      <c r="I62" s="580"/>
      <c r="J62" s="196">
        <v>23</v>
      </c>
      <c r="K62" s="191" t="s">
        <v>295</v>
      </c>
      <c r="L62" s="628">
        <f t="shared" si="8"/>
        <v>0</v>
      </c>
      <c r="P62" s="385"/>
      <c r="Q62" s="322">
        <f>IF(G62&lt;&gt;0,1,)</f>
        <v>0</v>
      </c>
      <c r="R62" s="657"/>
      <c r="U62" s="575" t="b">
        <f t="shared" si="6"/>
        <v>1</v>
      </c>
      <c r="V62" s="654">
        <f t="shared" si="7"/>
        <v>0</v>
      </c>
      <c r="Y62" s="386"/>
    </row>
    <row r="63" spans="1:25" s="1" customFormat="1" ht="117.75" customHeight="1" x14ac:dyDescent="0.25">
      <c r="A63" s="419">
        <f>'Unit Data from Audit Worksheet'!A71</f>
        <v>507</v>
      </c>
      <c r="B63" s="420" t="str">
        <f>'Unit Data from Audit Worksheet'!C71</f>
        <v>General Fund-Rev, Exp. Change in Fund Balance</v>
      </c>
      <c r="C63" s="421" t="str">
        <f>'Unit Data from Audit Worksheet'!D71</f>
        <v>Any adjustment to beginning fund balance including rounding, prior period adjustments and restatements.   (Amounts that increase fund balance are recorded as positive and amounts that decrease fund balance are recorded as negative)</v>
      </c>
      <c r="D63" s="412"/>
      <c r="E63" s="634">
        <f>'Unit Data from Audit Worksheet'!F71</f>
        <v>0</v>
      </c>
      <c r="F63" s="413" t="e">
        <f>IF(+L50-L62-L63=O50,,"Error: Beginning Fund Bal does not equal our records Accts 9-23-507= prior year 9")</f>
        <v>#N/A</v>
      </c>
      <c r="G63" s="428" t="e">
        <f>L50-L62-L63-O50</f>
        <v>#N/A</v>
      </c>
      <c r="H63" s="415">
        <f>'Unit Data from Audit Worksheet'!I71</f>
        <v>0</v>
      </c>
      <c r="I63" s="580"/>
      <c r="J63" s="383">
        <v>507</v>
      </c>
      <c r="K63" s="201" t="s">
        <v>296</v>
      </c>
      <c r="L63" s="618">
        <f t="shared" si="8"/>
        <v>0</v>
      </c>
      <c r="N63" s="408"/>
      <c r="O63" s="185"/>
      <c r="P63" s="385"/>
      <c r="Q63" s="322" t="e">
        <f>IF(G63&lt;&gt;0,1,)</f>
        <v>#N/A</v>
      </c>
      <c r="R63" s="657"/>
      <c r="U63" s="575" t="b">
        <f t="shared" si="6"/>
        <v>1</v>
      </c>
      <c r="V63" s="654">
        <f t="shared" si="7"/>
        <v>0</v>
      </c>
      <c r="Y63" s="386"/>
    </row>
    <row r="64" spans="1:25" ht="45.75" customHeight="1" x14ac:dyDescent="0.25">
      <c r="A64" s="455">
        <f>'Unit Data from Audit Worksheet'!A72</f>
        <v>647</v>
      </c>
      <c r="B64" s="456" t="str">
        <f>'Unit Data from Audit Worksheet'!C72</f>
        <v>Debt Service Fund</v>
      </c>
      <c r="C64" s="455" t="str">
        <f>'Unit Data from Audit Worksheet'!D72</f>
        <v>Please enter the Total Fund Balance for any Debt Service Funds</v>
      </c>
      <c r="D64" s="418"/>
      <c r="E64" s="633">
        <f>'Unit Data from Audit Worksheet'!F72</f>
        <v>0</v>
      </c>
      <c r="F64" s="457"/>
      <c r="G64" s="774"/>
      <c r="H64" s="457">
        <f>'Unit Data from Audit Worksheet'!I72</f>
        <v>0</v>
      </c>
      <c r="I64" s="599"/>
      <c r="J64" s="459">
        <v>647</v>
      </c>
      <c r="K64" s="460" t="s">
        <v>720</v>
      </c>
      <c r="L64" s="614">
        <f t="shared" si="8"/>
        <v>0</v>
      </c>
      <c r="M64" s="765"/>
      <c r="N64" s="765"/>
      <c r="O64" s="782"/>
      <c r="P64" s="766"/>
      <c r="Q64" s="767"/>
      <c r="R64" s="768"/>
      <c r="U64" s="682" t="b">
        <f t="shared" si="6"/>
        <v>1</v>
      </c>
      <c r="V64" s="362">
        <f t="shared" si="7"/>
        <v>0</v>
      </c>
    </row>
    <row r="65" spans="1:22" ht="75.75" customHeight="1" x14ac:dyDescent="0.25">
      <c r="A65" s="220">
        <f>'Unit Data from Audit Worksheet'!A76</f>
        <v>596</v>
      </c>
      <c r="B65" s="231"/>
      <c r="C65" s="239" t="str">
        <f>'Unit Data from Audit Worksheet'!D76</f>
        <v>Indicate if your water/sewer system:
50 - Became Operational
51 - Ceased Operations
52 - No Change</v>
      </c>
      <c r="D65" s="319"/>
      <c r="E65" s="627">
        <f>'Unit Data from Audit Worksheet'!F76</f>
        <v>0</v>
      </c>
      <c r="F65" s="289"/>
      <c r="G65" s="289"/>
      <c r="H65" s="200">
        <f>'Unit Data from Audit Worksheet'!I76</f>
        <v>0</v>
      </c>
      <c r="I65" s="580"/>
      <c r="J65" s="196">
        <v>596</v>
      </c>
      <c r="K65" s="191" t="s">
        <v>609</v>
      </c>
      <c r="L65" s="628">
        <f t="shared" si="8"/>
        <v>0</v>
      </c>
      <c r="P65" s="562"/>
      <c r="S65" s="765"/>
      <c r="T65" s="765"/>
      <c r="U65" s="682" t="b">
        <f t="shared" si="6"/>
        <v>1</v>
      </c>
      <c r="V65" s="362">
        <f t="shared" si="7"/>
        <v>0</v>
      </c>
    </row>
    <row r="66" spans="1:22" ht="56.25" customHeight="1" x14ac:dyDescent="0.25">
      <c r="A66" s="220">
        <f>'Unit Data from Audit Worksheet'!A77</f>
        <v>80</v>
      </c>
      <c r="B66" s="231" t="str">
        <f>'Unit Data from Audit Worksheet'!C77</f>
        <v>Water Sewer Net Position Statement</v>
      </c>
      <c r="C66" s="218" t="str">
        <f>'Unit Data from Audit Worksheet'!D77</f>
        <v>Unrestricted Cash and investments 
Exclude restricted cash and/or restricted investments.</v>
      </c>
      <c r="D66" s="319"/>
      <c r="E66" s="627">
        <f>'Unit Data from Audit Worksheet'!F77</f>
        <v>0</v>
      </c>
      <c r="F66" s="208">
        <f>IF(L66&lt;0,"Error: Number is normally positive.",)</f>
        <v>0</v>
      </c>
      <c r="G66" s="208">
        <f>'Unit Data from Audit Worksheet'!G77</f>
        <v>0</v>
      </c>
      <c r="H66" s="200">
        <f>'Unit Data from Audit Worksheet'!I77</f>
        <v>0</v>
      </c>
      <c r="I66" s="580"/>
      <c r="J66" s="196">
        <v>80</v>
      </c>
      <c r="K66" s="191" t="s">
        <v>298</v>
      </c>
      <c r="L66" s="628">
        <f t="shared" si="8"/>
        <v>0</v>
      </c>
      <c r="P66" s="562"/>
      <c r="U66" s="682" t="b">
        <f t="shared" si="6"/>
        <v>1</v>
      </c>
      <c r="V66" s="362">
        <f t="shared" si="7"/>
        <v>0</v>
      </c>
    </row>
    <row r="67" spans="1:22" ht="56.25" customHeight="1" x14ac:dyDescent="0.25">
      <c r="A67" s="220">
        <f>'Unit Data from Audit Worksheet'!A78</f>
        <v>81</v>
      </c>
      <c r="B67" s="231" t="str">
        <f>'Unit Data from Audit Worksheet'!C78</f>
        <v>Water Sewer Net Position Statement</v>
      </c>
      <c r="C67" s="218" t="str">
        <f>'Unit Data from Audit Worksheet'!D78</f>
        <v>Customer accounts receivable (net of allowance accounts). 
Include both billed and unbilled amounts.</v>
      </c>
      <c r="D67" s="319"/>
      <c r="E67" s="627">
        <f>'Unit Data from Audit Worksheet'!F78</f>
        <v>0</v>
      </c>
      <c r="F67" s="208">
        <f>IF(L67&lt;0,"Error: Number is normally positive.",)</f>
        <v>0</v>
      </c>
      <c r="G67" s="278"/>
      <c r="H67" s="200">
        <f>'Unit Data from Audit Worksheet'!I78</f>
        <v>0</v>
      </c>
      <c r="I67" s="580"/>
      <c r="J67" s="196">
        <v>81</v>
      </c>
      <c r="K67" s="191" t="s">
        <v>299</v>
      </c>
      <c r="L67" s="628">
        <f t="shared" si="8"/>
        <v>0</v>
      </c>
      <c r="P67" s="562"/>
      <c r="U67" s="682" t="b">
        <f t="shared" si="6"/>
        <v>1</v>
      </c>
      <c r="V67" s="362">
        <f t="shared" si="7"/>
        <v>0</v>
      </c>
    </row>
    <row r="68" spans="1:22" ht="56.25" customHeight="1" x14ac:dyDescent="0.25">
      <c r="A68" s="328">
        <f>'Unit Data from Audit Worksheet'!A79</f>
        <v>579</v>
      </c>
      <c r="B68" s="329" t="str">
        <f>'Unit Data from Audit Worksheet'!C79</f>
        <v>Water Sewer Net Position Statement</v>
      </c>
      <c r="C68" s="327" t="str">
        <f>'Unit Data from Audit Worksheet'!D79</f>
        <v>Water Sewer - Advance To:
Interfund loan receivable-portion of repayment plan longer than 12 months</v>
      </c>
      <c r="D68" s="319"/>
      <c r="E68" s="627">
        <f>'Unit Data from Audit Worksheet'!F79</f>
        <v>0</v>
      </c>
      <c r="F68" s="208"/>
      <c r="G68" s="278"/>
      <c r="H68" s="200"/>
      <c r="I68" s="580"/>
      <c r="J68" s="326">
        <v>579</v>
      </c>
      <c r="K68" s="325" t="s">
        <v>585</v>
      </c>
      <c r="L68" s="628">
        <f t="shared" si="8"/>
        <v>0</v>
      </c>
      <c r="N68" s="5" t="s">
        <v>631</v>
      </c>
      <c r="P68" s="562"/>
      <c r="U68" s="682" t="b">
        <f t="shared" si="6"/>
        <v>1</v>
      </c>
      <c r="V68" s="362">
        <f t="shared" si="7"/>
        <v>0</v>
      </c>
    </row>
    <row r="69" spans="1:22" ht="56.25" customHeight="1" x14ac:dyDescent="0.25">
      <c r="A69" s="220">
        <f>'Unit Data from Audit Worksheet'!A80</f>
        <v>510</v>
      </c>
      <c r="B69" s="231" t="str">
        <f>'Unit Data from Audit Worksheet'!C80</f>
        <v>Water Sewer Net Position Statement</v>
      </c>
      <c r="C69" s="218" t="str">
        <f>'Unit Data from Audit Worksheet'!D80</f>
        <v>Amount of Inventories and Prepaid expenses in current assets</v>
      </c>
      <c r="D69" s="319"/>
      <c r="E69" s="627">
        <f>'Unit Data from Audit Worksheet'!F80</f>
        <v>0</v>
      </c>
      <c r="F69" s="208"/>
      <c r="G69" s="278"/>
      <c r="H69" s="200">
        <f>'Unit Data from Audit Worksheet'!I80</f>
        <v>0</v>
      </c>
      <c r="I69" s="580"/>
      <c r="J69" s="196">
        <v>510</v>
      </c>
      <c r="K69" s="201" t="s">
        <v>300</v>
      </c>
      <c r="L69" s="628">
        <f t="shared" si="8"/>
        <v>0</v>
      </c>
      <c r="P69" s="562"/>
      <c r="U69" s="682" t="b">
        <f t="shared" si="6"/>
        <v>1</v>
      </c>
      <c r="V69" s="362">
        <f t="shared" si="7"/>
        <v>0</v>
      </c>
    </row>
    <row r="70" spans="1:22" ht="56.25" customHeight="1" x14ac:dyDescent="0.25">
      <c r="A70" s="342">
        <f>'Unit Data from Audit Worksheet'!A81</f>
        <v>654</v>
      </c>
      <c r="B70" s="343" t="str">
        <f>'Unit Data from Audit Worksheet'!C81</f>
        <v>Water Sewer Net Position Statement</v>
      </c>
      <c r="C70" s="461" t="str">
        <f>'Unit Data from Audit Worksheet'!D81</f>
        <v xml:space="preserve">Total Current assets as listed on the WS New Position Statement.  
</v>
      </c>
      <c r="D70" s="319"/>
      <c r="E70" s="627">
        <f>'Unit Data from Audit Worksheet'!F81</f>
        <v>0</v>
      </c>
      <c r="F70" s="359">
        <f>IF((+L66+L67+L69)&gt;L70,"Please review components of current assets above Acct. (80+81+510&gt;654",)</f>
        <v>0</v>
      </c>
      <c r="G70" s="349" t="str">
        <f>IF(Q70=1," Included in error count"," ")</f>
        <v xml:space="preserve"> </v>
      </c>
      <c r="H70" s="361">
        <f>'Unit Data from Audit Worksheet'!I81</f>
        <v>0</v>
      </c>
      <c r="I70" s="580"/>
      <c r="J70" s="849">
        <v>654</v>
      </c>
      <c r="K70" s="850" t="s">
        <v>784</v>
      </c>
      <c r="L70" s="846">
        <f t="shared" si="8"/>
        <v>0</v>
      </c>
      <c r="P70" s="562"/>
      <c r="Q70" s="657">
        <f>IF((+L66+L67+L69)&gt;L70,1,)</f>
        <v>0</v>
      </c>
      <c r="U70" s="682" t="b">
        <f t="shared" si="6"/>
        <v>1</v>
      </c>
      <c r="V70" s="362">
        <f t="shared" si="7"/>
        <v>0</v>
      </c>
    </row>
    <row r="71" spans="1:22" ht="56.25" customHeight="1" x14ac:dyDescent="0.25">
      <c r="A71" s="342">
        <f>'Unit Data from Audit Worksheet'!A82</f>
        <v>655</v>
      </c>
      <c r="B71" s="343" t="str">
        <f>'Unit Data from Audit Worksheet'!C82</f>
        <v>Water Sewer Net Position Statement</v>
      </c>
      <c r="C71" s="461" t="str">
        <f>'Unit Data from Audit Worksheet'!D82</f>
        <v>WS-Any current assets that are restricted (Cash, Accounts Rec., etc..) and included in account 654 above</v>
      </c>
      <c r="D71" s="582"/>
      <c r="E71" s="627">
        <f>'Unit Data from Audit Worksheet'!F82</f>
        <v>0</v>
      </c>
      <c r="F71" s="359"/>
      <c r="G71" s="349"/>
      <c r="H71" s="361">
        <v>0</v>
      </c>
      <c r="I71" s="580"/>
      <c r="J71" s="371">
        <v>655</v>
      </c>
      <c r="K71" s="593" t="s">
        <v>1022</v>
      </c>
      <c r="L71" s="623">
        <f t="shared" si="8"/>
        <v>0</v>
      </c>
      <c r="P71" s="562"/>
      <c r="U71" s="682" t="b">
        <f t="shared" si="6"/>
        <v>1</v>
      </c>
      <c r="V71" s="362">
        <f t="shared" si="7"/>
        <v>0</v>
      </c>
    </row>
    <row r="72" spans="1:22" ht="45" customHeight="1" x14ac:dyDescent="0.25">
      <c r="A72" s="220">
        <f>'Unit Data from Audit Worksheet'!A83</f>
        <v>381</v>
      </c>
      <c r="B72" s="231" t="str">
        <f>'Unit Data from Audit Worksheet'!C83</f>
        <v>Water Sewer Net Position Statement</v>
      </c>
      <c r="C72" s="218" t="str">
        <f>'Unit Data from Audit Worksheet'!D83</f>
        <v>Total Assets and deferred outflows</v>
      </c>
      <c r="D72" s="319"/>
      <c r="E72" s="627">
        <f>'Unit Data from Audit Worksheet'!F83</f>
        <v>0</v>
      </c>
      <c r="F72" s="208" t="str">
        <f>IF(L72&lt;L70,"Please review components of current assets above acct. 381&lt;654"," ")</f>
        <v xml:space="preserve"> </v>
      </c>
      <c r="G72" s="321" t="str">
        <f>IF(Q72=1," Included in error count"," ")</f>
        <v xml:space="preserve"> </v>
      </c>
      <c r="H72" s="200">
        <f>'Unit Data from Audit Worksheet'!I83</f>
        <v>0</v>
      </c>
      <c r="I72" s="580"/>
      <c r="J72" s="196">
        <v>381</v>
      </c>
      <c r="K72" s="191" t="s">
        <v>136</v>
      </c>
      <c r="L72" s="628">
        <f t="shared" si="8"/>
        <v>0</v>
      </c>
      <c r="P72" s="562"/>
      <c r="Q72" s="657">
        <f>IF(L72&lt;L70,1,0)</f>
        <v>0</v>
      </c>
      <c r="U72" s="682" t="b">
        <f t="shared" si="6"/>
        <v>1</v>
      </c>
      <c r="V72" s="362">
        <f t="shared" si="7"/>
        <v>0</v>
      </c>
    </row>
    <row r="73" spans="1:22" ht="64.5" customHeight="1" x14ac:dyDescent="0.25">
      <c r="A73" s="419">
        <f>'Unit Data from Audit Worksheet'!A84</f>
        <v>578</v>
      </c>
      <c r="B73" s="420" t="str">
        <f>'Unit Data from Audit Worksheet'!C84</f>
        <v>Water Sewer Net Position Statement</v>
      </c>
      <c r="C73" s="421" t="str">
        <f>'Unit Data from Audit Worksheet'!D84</f>
        <v>Water Sewer - Advance From: 
Interfund loan Payable-portion of repayment plan longer than 12 months</v>
      </c>
      <c r="D73" s="412"/>
      <c r="E73" s="634">
        <f>'Unit Data from Audit Worksheet'!F84</f>
        <v>0</v>
      </c>
      <c r="F73" s="413"/>
      <c r="G73" s="414"/>
      <c r="H73" s="415"/>
      <c r="I73" s="580"/>
      <c r="J73" s="383">
        <v>578</v>
      </c>
      <c r="K73" s="201" t="s">
        <v>586</v>
      </c>
      <c r="L73" s="618">
        <f t="shared" si="8"/>
        <v>0</v>
      </c>
      <c r="P73" s="562"/>
      <c r="Q73" s="330"/>
      <c r="R73" s="330"/>
      <c r="U73" s="682" t="b">
        <f t="shared" si="6"/>
        <v>1</v>
      </c>
      <c r="V73" s="362">
        <f t="shared" si="7"/>
        <v>0</v>
      </c>
    </row>
    <row r="74" spans="1:22" ht="120" x14ac:dyDescent="0.25">
      <c r="A74" s="455">
        <v>633</v>
      </c>
      <c r="B74" s="456" t="str">
        <f>'Unit Data from Audit Worksheet'!C85</f>
        <v>Water Sewer Net Position Statement</v>
      </c>
      <c r="C74" s="455" t="str">
        <f>'Unit Data from Audit Worksheet'!D85</f>
        <v xml:space="preserve">Current liabilities (as reported on the Statement of Fund Net Position)
Include:   Current liabilities including current portion of long-term debt.  Deferred inflows should not be included in Current Liabilities  
</v>
      </c>
      <c r="D74" s="412"/>
      <c r="E74" s="633">
        <f>'Unit Data from Audit Worksheet'!F85</f>
        <v>0</v>
      </c>
      <c r="F74" s="457"/>
      <c r="G74" s="458"/>
      <c r="H74" s="457"/>
      <c r="I74" s="599"/>
      <c r="J74" s="459">
        <v>633</v>
      </c>
      <c r="K74" s="460" t="s">
        <v>708</v>
      </c>
      <c r="L74" s="614">
        <f t="shared" si="8"/>
        <v>0</v>
      </c>
      <c r="M74" s="765"/>
      <c r="N74" s="765"/>
      <c r="O74" s="765"/>
      <c r="P74" s="766"/>
      <c r="Q74" s="767"/>
      <c r="R74" s="768"/>
      <c r="U74" s="682" t="b">
        <f t="shared" si="6"/>
        <v>1</v>
      </c>
      <c r="V74" s="362">
        <f t="shared" si="7"/>
        <v>0</v>
      </c>
    </row>
    <row r="75" spans="1:22" ht="116.25" customHeight="1" x14ac:dyDescent="0.25">
      <c r="A75" s="455">
        <v>634</v>
      </c>
      <c r="B75" s="456" t="str">
        <f>'Unit Data from Audit Worksheet'!C86</f>
        <v>Water Sewer Net Position Statement</v>
      </c>
      <c r="C75" s="455" t="str">
        <f>'Unit Data from Audit Worksheet'!D86</f>
        <v>Please enter any bond anticipation notes that are classified as current liabilities and included in account 633 above (amounts entered should agree to the current amount included in the changes to long-term debt note)</v>
      </c>
      <c r="D75" s="412"/>
      <c r="E75" s="633">
        <f>'Unit Data from Audit Worksheet'!F86</f>
        <v>0</v>
      </c>
      <c r="F75" s="457"/>
      <c r="G75" s="458"/>
      <c r="H75" s="457"/>
      <c r="I75" s="599"/>
      <c r="J75" s="459">
        <v>634</v>
      </c>
      <c r="K75" s="460" t="s">
        <v>709</v>
      </c>
      <c r="L75" s="614">
        <f t="shared" si="8"/>
        <v>0</v>
      </c>
      <c r="M75" s="765"/>
      <c r="N75" s="765"/>
      <c r="O75" s="765"/>
      <c r="P75" s="766"/>
      <c r="Q75" s="767"/>
      <c r="R75" s="767"/>
      <c r="S75" s="765"/>
      <c r="T75" s="765"/>
      <c r="U75" s="682" t="b">
        <f t="shared" si="6"/>
        <v>1</v>
      </c>
      <c r="V75" s="362">
        <f t="shared" si="7"/>
        <v>0</v>
      </c>
    </row>
    <row r="76" spans="1:22" ht="104.25" customHeight="1" x14ac:dyDescent="0.25">
      <c r="A76" s="455">
        <v>635</v>
      </c>
      <c r="B76" s="456" t="str">
        <f>'Unit Data from Audit Worksheet'!C87</f>
        <v>Water Sewer Net Position Statement</v>
      </c>
      <c r="C76" s="455" t="str">
        <f>'Unit Data from Audit Worksheet'!D87</f>
        <v>Please enter any compensated absences that are classified as current liabilities and included in account 633 above (amounts entered should agree to the current amount included in the changes to long-term debt note)</v>
      </c>
      <c r="D76" s="412"/>
      <c r="E76" s="633">
        <f>'Unit Data from Audit Worksheet'!F87</f>
        <v>0</v>
      </c>
      <c r="F76" s="457"/>
      <c r="G76" s="458"/>
      <c r="H76" s="457"/>
      <c r="I76" s="599"/>
      <c r="J76" s="459">
        <v>635</v>
      </c>
      <c r="K76" s="460" t="s">
        <v>710</v>
      </c>
      <c r="L76" s="614">
        <f t="shared" si="8"/>
        <v>0</v>
      </c>
      <c r="M76" s="765"/>
      <c r="N76" s="765"/>
      <c r="O76" s="765"/>
      <c r="P76" s="766"/>
      <c r="Q76" s="767"/>
      <c r="R76" s="767"/>
      <c r="S76" s="765"/>
      <c r="T76" s="765"/>
      <c r="U76" s="682" t="b">
        <f t="shared" si="6"/>
        <v>1</v>
      </c>
      <c r="V76" s="362">
        <f t="shared" si="7"/>
        <v>0</v>
      </c>
    </row>
    <row r="77" spans="1:22" ht="105" customHeight="1" x14ac:dyDescent="0.25">
      <c r="A77" s="455">
        <v>636</v>
      </c>
      <c r="B77" s="456" t="str">
        <f>'Unit Data from Audit Worksheet'!C88</f>
        <v>Water Sewer Net Position Statement</v>
      </c>
      <c r="C77" s="455" t="str">
        <f>'Unit Data from Audit Worksheet'!D88</f>
        <v>Please enter any pension liabilities that are classified as current liabilities and included in account 633 above (amounts entered should agree to the current amount included in the changes to long-term debt note)</v>
      </c>
      <c r="D77" s="412"/>
      <c r="E77" s="633">
        <f>'Unit Data from Audit Worksheet'!F88</f>
        <v>0</v>
      </c>
      <c r="F77" s="457"/>
      <c r="G77" s="458"/>
      <c r="H77" s="457"/>
      <c r="I77" s="599"/>
      <c r="J77" s="459">
        <v>636</v>
      </c>
      <c r="K77" s="460" t="s">
        <v>705</v>
      </c>
      <c r="L77" s="614">
        <f t="shared" si="8"/>
        <v>0</v>
      </c>
      <c r="M77" s="765"/>
      <c r="N77" s="765"/>
      <c r="O77" s="765"/>
      <c r="P77" s="766"/>
      <c r="Q77" s="767"/>
      <c r="R77" s="767"/>
      <c r="S77" s="765"/>
      <c r="T77" s="765"/>
      <c r="U77" s="682" t="b">
        <f t="shared" si="6"/>
        <v>1</v>
      </c>
      <c r="V77" s="362">
        <f t="shared" si="7"/>
        <v>0</v>
      </c>
    </row>
    <row r="78" spans="1:22" ht="65.25" customHeight="1" x14ac:dyDescent="0.25">
      <c r="A78" s="455">
        <v>637</v>
      </c>
      <c r="B78" s="456" t="str">
        <f>'Unit Data from Audit Worksheet'!C89</f>
        <v>Water Sewer Net Position Statement</v>
      </c>
      <c r="C78" s="455" t="str">
        <f>'Unit Data from Audit Worksheet'!D89</f>
        <v>Please enter any current liabilities that are payable from restricted assets and included in account 633 above.</v>
      </c>
      <c r="D78" s="412"/>
      <c r="E78" s="633">
        <f>'Unit Data from Audit Worksheet'!F89</f>
        <v>0</v>
      </c>
      <c r="F78" s="457"/>
      <c r="G78" s="458"/>
      <c r="H78" s="457"/>
      <c r="I78" s="599"/>
      <c r="J78" s="459">
        <v>637</v>
      </c>
      <c r="K78" s="460" t="s">
        <v>706</v>
      </c>
      <c r="L78" s="614">
        <f t="shared" si="8"/>
        <v>0</v>
      </c>
      <c r="M78" s="765"/>
      <c r="N78" s="765"/>
      <c r="O78" s="765"/>
      <c r="P78" s="766"/>
      <c r="Q78" s="767"/>
      <c r="R78" s="767"/>
      <c r="S78" s="765"/>
      <c r="T78" s="765"/>
      <c r="U78" s="682" t="b">
        <f t="shared" si="6"/>
        <v>1</v>
      </c>
      <c r="V78" s="362">
        <f t="shared" si="7"/>
        <v>0</v>
      </c>
    </row>
    <row r="79" spans="1:22" ht="110.25" customHeight="1" x14ac:dyDescent="0.25">
      <c r="A79" s="455">
        <v>638</v>
      </c>
      <c r="B79" s="456" t="str">
        <f>'Unit Data from Audit Worksheet'!C90</f>
        <v>Water Sewer Net Position Statement</v>
      </c>
      <c r="C79" s="455" t="str">
        <f>'Unit Data from Audit Worksheet'!D90</f>
        <v>Please enter any OPEB liabilities that are classified as current liabilities and included in account 633 above (amounts entered should agree to the current amount included in the changes to long-term debt note)</v>
      </c>
      <c r="D79" s="412"/>
      <c r="E79" s="633">
        <f>'Unit Data from Audit Worksheet'!F90</f>
        <v>0</v>
      </c>
      <c r="F79" s="457"/>
      <c r="G79" s="458"/>
      <c r="H79" s="457"/>
      <c r="I79" s="599"/>
      <c r="J79" s="459">
        <v>638</v>
      </c>
      <c r="K79" s="460" t="s">
        <v>711</v>
      </c>
      <c r="L79" s="614">
        <f t="shared" si="8"/>
        <v>0</v>
      </c>
      <c r="M79" s="765"/>
      <c r="N79" s="765"/>
      <c r="O79" s="765"/>
      <c r="P79" s="766"/>
      <c r="Q79" s="767"/>
      <c r="R79" s="767"/>
      <c r="S79" s="765"/>
      <c r="T79" s="765"/>
      <c r="U79" s="682" t="b">
        <f t="shared" si="6"/>
        <v>1</v>
      </c>
      <c r="V79" s="362">
        <f t="shared" si="7"/>
        <v>0</v>
      </c>
    </row>
    <row r="80" spans="1:22" ht="57" customHeight="1" x14ac:dyDescent="0.25">
      <c r="A80" s="215">
        <f>'Unit Data from Audit Worksheet'!A91</f>
        <v>383</v>
      </c>
      <c r="B80" s="234" t="str">
        <f>'Unit Data from Audit Worksheet'!C91</f>
        <v>Water Sewer Net Position Statement</v>
      </c>
      <c r="C80" s="210" t="str">
        <f>'Unit Data from Audit Worksheet'!D91</f>
        <v>Unearned revenue (arising from cash receipts) that were included in Current Liabilities in the question in account 633 above.</v>
      </c>
      <c r="D80" s="319"/>
      <c r="E80" s="625">
        <f>'Unit Data from Audit Worksheet'!F91</f>
        <v>0</v>
      </c>
      <c r="F80" s="214">
        <f>IF(L80&lt;0,"Error: Enter as a positive.",)</f>
        <v>0</v>
      </c>
      <c r="G80" s="277"/>
      <c r="H80" s="200">
        <f>'Unit Data from Audit Worksheet'!I91</f>
        <v>0</v>
      </c>
      <c r="I80" s="580"/>
      <c r="J80" s="197">
        <v>383</v>
      </c>
      <c r="K80" s="226" t="s">
        <v>301</v>
      </c>
      <c r="L80" s="637">
        <f t="shared" si="8"/>
        <v>0</v>
      </c>
      <c r="P80" s="562"/>
      <c r="S80" s="765"/>
      <c r="T80" s="765"/>
      <c r="U80" s="682" t="b">
        <f t="shared" si="6"/>
        <v>1</v>
      </c>
      <c r="V80" s="362">
        <f t="shared" si="7"/>
        <v>0</v>
      </c>
    </row>
    <row r="81" spans="1:22" ht="57" customHeight="1" x14ac:dyDescent="0.25">
      <c r="A81" s="220">
        <f>'Unit Data from Audit Worksheet'!A92</f>
        <v>349</v>
      </c>
      <c r="B81" s="231" t="str">
        <f>'Unit Data from Audit Worksheet'!C92</f>
        <v>Water Sewer Net Position Statement</v>
      </c>
      <c r="C81" s="218" t="str">
        <f>'Unit Data from Audit Worksheet'!D92</f>
        <v>Total Liabilities and deferred inflows</v>
      </c>
      <c r="D81" s="319"/>
      <c r="E81" s="627">
        <f>'Unit Data from Audit Worksheet'!F92</f>
        <v>0</v>
      </c>
      <c r="F81" s="317">
        <f>IF(L74&gt;L81,"Error: Please review accts 633&gt;349",)</f>
        <v>0</v>
      </c>
      <c r="G81" s="321" t="str">
        <f>IF(Q81=1," Included in error count"," ")</f>
        <v xml:space="preserve"> </v>
      </c>
      <c r="H81" s="200">
        <f>'Unit Data from Audit Worksheet'!I92</f>
        <v>0</v>
      </c>
      <c r="I81" s="580"/>
      <c r="J81" s="196">
        <v>349</v>
      </c>
      <c r="K81" s="191" t="s">
        <v>145</v>
      </c>
      <c r="L81" s="628">
        <f t="shared" si="8"/>
        <v>0</v>
      </c>
      <c r="P81" s="562"/>
      <c r="Q81" s="657">
        <f>IF(L74&gt;L81,1,0)</f>
        <v>0</v>
      </c>
      <c r="U81" s="682" t="b">
        <f t="shared" ref="U81:U112" si="10">EXACT(A80,J80)</f>
        <v>1</v>
      </c>
      <c r="V81" s="362">
        <f t="shared" ref="V81:V114" si="11">E80-L80</f>
        <v>0</v>
      </c>
    </row>
    <row r="82" spans="1:22" ht="57" customHeight="1" x14ac:dyDescent="0.25">
      <c r="A82" s="220">
        <f>'Unit Data from Audit Worksheet'!A93</f>
        <v>375</v>
      </c>
      <c r="B82" s="231" t="str">
        <f>'Unit Data from Audit Worksheet'!C93</f>
        <v>Water Sewer Net Position Statement</v>
      </c>
      <c r="C82" s="218" t="str">
        <f>'Unit Data from Audit Worksheet'!D93</f>
        <v>Total Net position, Unrestricted - enter negative unrestricted net position as a negative</v>
      </c>
      <c r="D82" s="319"/>
      <c r="E82" s="627">
        <f>'Unit Data from Audit Worksheet'!F93</f>
        <v>0</v>
      </c>
      <c r="F82" s="208"/>
      <c r="G82" s="278"/>
      <c r="H82" s="200">
        <f>'Unit Data from Audit Worksheet'!I93</f>
        <v>0</v>
      </c>
      <c r="I82" s="580"/>
      <c r="J82" s="196">
        <v>375</v>
      </c>
      <c r="K82" s="191" t="s">
        <v>302</v>
      </c>
      <c r="L82" s="628">
        <f t="shared" si="8"/>
        <v>0</v>
      </c>
      <c r="P82" s="562"/>
      <c r="U82" s="682" t="b">
        <f t="shared" si="10"/>
        <v>1</v>
      </c>
      <c r="V82" s="362">
        <f t="shared" si="11"/>
        <v>0</v>
      </c>
    </row>
    <row r="83" spans="1:22" ht="57" customHeight="1" x14ac:dyDescent="0.25">
      <c r="A83" s="220">
        <f>'Unit Data from Audit Worksheet'!A94</f>
        <v>83</v>
      </c>
      <c r="B83" s="231" t="str">
        <f>'Unit Data from Audit Worksheet'!C94</f>
        <v>Water Sewer Net Position Statement</v>
      </c>
      <c r="C83" s="218" t="str">
        <f>'Unit Data from Audit Worksheet'!D94</f>
        <v>Total Net position</v>
      </c>
      <c r="D83" s="319"/>
      <c r="E83" s="627">
        <f>'Unit Data from Audit Worksheet'!F94</f>
        <v>0</v>
      </c>
      <c r="F83" s="208">
        <f>IF(+L72-L81-L83=0,,"Error: Total assets less total liabilities do not equal net position acct 381-349-83=0")</f>
        <v>0</v>
      </c>
      <c r="G83" s="338">
        <f>L72-L81-L83</f>
        <v>0</v>
      </c>
      <c r="H83" s="200">
        <f>'Unit Data from Audit Worksheet'!I94</f>
        <v>0</v>
      </c>
      <c r="I83" s="580"/>
      <c r="J83" s="196">
        <v>83</v>
      </c>
      <c r="K83" s="191" t="s">
        <v>125</v>
      </c>
      <c r="L83" s="628">
        <f t="shared" si="8"/>
        <v>0</v>
      </c>
      <c r="O83" s="696" t="e">
        <f>'Unit Data from Audit Worksheet'!E94</f>
        <v>#N/A</v>
      </c>
      <c r="P83" s="562"/>
      <c r="Q83" s="657">
        <f>IF(G83&lt;&gt;0,1,)</f>
        <v>0</v>
      </c>
      <c r="U83" s="682" t="b">
        <f t="shared" si="10"/>
        <v>1</v>
      </c>
      <c r="V83" s="362">
        <f t="shared" si="11"/>
        <v>0</v>
      </c>
    </row>
    <row r="84" spans="1:22" ht="57" customHeight="1" x14ac:dyDescent="0.25">
      <c r="A84" s="220">
        <f>'Unit Data from Audit Worksheet'!A96</f>
        <v>90</v>
      </c>
      <c r="B84" s="231" t="str">
        <f>'Unit Data from Audit Worksheet'!C96</f>
        <v>Electric Fund Net Position Statement</v>
      </c>
      <c r="C84" s="218" t="str">
        <f>'Unit Data from Audit Worksheet'!D96</f>
        <v>All Unrestricted Cash and Investments.  
Exclude any restricted cash and investments.</v>
      </c>
      <c r="D84" s="319"/>
      <c r="E84" s="627">
        <f>'Unit Data from Audit Worksheet'!F96</f>
        <v>0</v>
      </c>
      <c r="F84" s="208">
        <f>IF(L84&lt;0,"Error: Number is normally positive.",)</f>
        <v>0</v>
      </c>
      <c r="G84" s="278"/>
      <c r="H84" s="200">
        <f>'Unit Data from Audit Worksheet'!I96</f>
        <v>0</v>
      </c>
      <c r="I84" s="580"/>
      <c r="J84" s="196">
        <v>90</v>
      </c>
      <c r="K84" s="191" t="s">
        <v>303</v>
      </c>
      <c r="L84" s="628">
        <f t="shared" si="8"/>
        <v>0</v>
      </c>
      <c r="P84" s="562"/>
      <c r="U84" s="682" t="b">
        <f t="shared" si="10"/>
        <v>1</v>
      </c>
      <c r="V84" s="362">
        <f t="shared" si="11"/>
        <v>0</v>
      </c>
    </row>
    <row r="85" spans="1:22" ht="57" customHeight="1" x14ac:dyDescent="0.25">
      <c r="A85" s="220">
        <f>'Unit Data from Audit Worksheet'!A97</f>
        <v>91</v>
      </c>
      <c r="B85" s="231" t="str">
        <f>'Unit Data from Audit Worksheet'!C97</f>
        <v>Electric Fund Net Position Statement</v>
      </c>
      <c r="C85" s="218" t="str">
        <f>'Unit Data from Audit Worksheet'!D97</f>
        <v xml:space="preserve">Customer accounts receivable (net of allowance accounts)
Include billed and unbilled amounts </v>
      </c>
      <c r="D85" s="319"/>
      <c r="E85" s="627">
        <f>'Unit Data from Audit Worksheet'!F97</f>
        <v>0</v>
      </c>
      <c r="F85" s="208">
        <f>IF(L85&lt;0,"Error: Number is normally positive.",)</f>
        <v>0</v>
      </c>
      <c r="G85" s="278"/>
      <c r="H85" s="200">
        <f>'Unit Data from Audit Worksheet'!I97</f>
        <v>0</v>
      </c>
      <c r="I85" s="580"/>
      <c r="J85" s="196">
        <v>91</v>
      </c>
      <c r="K85" s="191" t="s">
        <v>304</v>
      </c>
      <c r="L85" s="628">
        <f t="shared" si="8"/>
        <v>0</v>
      </c>
      <c r="P85" s="562"/>
      <c r="U85" s="682" t="b">
        <f t="shared" si="10"/>
        <v>1</v>
      </c>
      <c r="V85" s="362">
        <f t="shared" si="11"/>
        <v>0</v>
      </c>
    </row>
    <row r="86" spans="1:22" ht="57" customHeight="1" x14ac:dyDescent="0.25">
      <c r="A86" s="328">
        <f>'Unit Data from Audit Worksheet'!A98</f>
        <v>581</v>
      </c>
      <c r="B86" s="329" t="str">
        <f>'Unit Data from Audit Worksheet'!C98</f>
        <v>Electric Fund Net Position Statement</v>
      </c>
      <c r="C86" s="327" t="str">
        <f>'Unit Data from Audit Worksheet'!D98</f>
        <v>Electric Fund - Advance To:
Interfund loan receivable-portion of repayment plan longer than 12 months</v>
      </c>
      <c r="D86" s="319"/>
      <c r="E86" s="627">
        <f>'Unit Data from Audit Worksheet'!F98</f>
        <v>0</v>
      </c>
      <c r="F86" s="208"/>
      <c r="G86" s="278"/>
      <c r="H86" s="200"/>
      <c r="I86" s="580"/>
      <c r="J86" s="326">
        <v>581</v>
      </c>
      <c r="K86" s="325" t="s">
        <v>587</v>
      </c>
      <c r="L86" s="628">
        <f t="shared" si="8"/>
        <v>0</v>
      </c>
      <c r="P86" s="562"/>
      <c r="U86" s="682" t="b">
        <f t="shared" si="10"/>
        <v>1</v>
      </c>
      <c r="V86" s="362">
        <f t="shared" si="11"/>
        <v>0</v>
      </c>
    </row>
    <row r="87" spans="1:22" ht="57" customHeight="1" x14ac:dyDescent="0.25">
      <c r="A87" s="220">
        <f>'Unit Data from Audit Worksheet'!A99</f>
        <v>511</v>
      </c>
      <c r="B87" s="231" t="str">
        <f>'Unit Data from Audit Worksheet'!C99</f>
        <v>Electric Fund Net Position Statement</v>
      </c>
      <c r="C87" s="218" t="str">
        <f>'Unit Data from Audit Worksheet'!D99</f>
        <v>Amount of inventories and prepaids</v>
      </c>
      <c r="D87" s="319"/>
      <c r="E87" s="627">
        <f>'Unit Data from Audit Worksheet'!F99</f>
        <v>0</v>
      </c>
      <c r="F87" s="208">
        <f t="shared" ref="F87:F92" si="12">IF(L87&lt;0,"Error: Number is normally positive.",)</f>
        <v>0</v>
      </c>
      <c r="G87" s="278"/>
      <c r="H87" s="200">
        <f>'Unit Data from Audit Worksheet'!I99</f>
        <v>0</v>
      </c>
      <c r="I87" s="580"/>
      <c r="J87" s="196">
        <v>511</v>
      </c>
      <c r="K87" s="191" t="s">
        <v>305</v>
      </c>
      <c r="L87" s="628">
        <f t="shared" si="8"/>
        <v>0</v>
      </c>
      <c r="P87" s="562"/>
      <c r="U87" s="682" t="b">
        <f t="shared" si="10"/>
        <v>1</v>
      </c>
      <c r="V87" s="362">
        <f t="shared" si="11"/>
        <v>0</v>
      </c>
    </row>
    <row r="88" spans="1:22" ht="60.75" customHeight="1" x14ac:dyDescent="0.25">
      <c r="A88" s="342">
        <f>'Unit Data from Audit Worksheet'!A100</f>
        <v>657</v>
      </c>
      <c r="B88" s="343" t="str">
        <f>'Unit Data from Audit Worksheet'!C100</f>
        <v>Electric Fund Net Position Statement</v>
      </c>
      <c r="C88" s="461" t="str">
        <f>'Unit Data from Audit Worksheet'!D100</f>
        <v xml:space="preserve">Total Current assets as listed on the Electric Net Position Statement.  
</v>
      </c>
      <c r="D88" s="404"/>
      <c r="E88" s="630">
        <f>'Unit Data from Audit Worksheet'!F100</f>
        <v>0</v>
      </c>
      <c r="F88" s="359">
        <f t="shared" si="12"/>
        <v>0</v>
      </c>
      <c r="G88" s="349"/>
      <c r="H88" s="361">
        <f>'Unit Data from Audit Worksheet'!I100</f>
        <v>0</v>
      </c>
      <c r="I88" s="580"/>
      <c r="J88" s="371">
        <v>657</v>
      </c>
      <c r="K88" s="462" t="s">
        <v>809</v>
      </c>
      <c r="L88" s="623">
        <f t="shared" si="8"/>
        <v>0</v>
      </c>
      <c r="P88" s="562"/>
      <c r="Q88" s="657">
        <f>IF((L84+L85+L87)&gt;L90,1,)</f>
        <v>0</v>
      </c>
      <c r="U88" s="682" t="b">
        <f t="shared" si="10"/>
        <v>1</v>
      </c>
      <c r="V88" s="362">
        <f t="shared" si="11"/>
        <v>0</v>
      </c>
    </row>
    <row r="89" spans="1:22" ht="62.25" customHeight="1" x14ac:dyDescent="0.25">
      <c r="A89" s="342">
        <f>'Unit Data from Audit Worksheet'!A101</f>
        <v>658</v>
      </c>
      <c r="B89" s="343" t="str">
        <f>'Unit Data from Audit Worksheet'!C101</f>
        <v>Electric Fund Net Position Statement</v>
      </c>
      <c r="C89" s="461" t="str">
        <f>'Unit Data from Audit Worksheet'!D101</f>
        <v>Electric-Any current assets that are restricted (Cash, Accounts Rec., etc..) and included in account 657 above</v>
      </c>
      <c r="D89" s="582"/>
      <c r="E89" s="630">
        <f>'Unit Data from Audit Worksheet'!F101</f>
        <v>0</v>
      </c>
      <c r="F89" s="359">
        <f t="shared" si="12"/>
        <v>0</v>
      </c>
      <c r="G89" s="349"/>
      <c r="H89" s="361"/>
      <c r="I89" s="580"/>
      <c r="J89" s="371">
        <v>658</v>
      </c>
      <c r="K89" s="462" t="s">
        <v>1020</v>
      </c>
      <c r="L89" s="623">
        <f t="shared" si="8"/>
        <v>0</v>
      </c>
      <c r="P89" s="562"/>
      <c r="U89" s="682" t="b">
        <f t="shared" si="10"/>
        <v>1</v>
      </c>
      <c r="V89" s="362">
        <f t="shared" si="11"/>
        <v>0</v>
      </c>
    </row>
    <row r="90" spans="1:22" ht="40.5" customHeight="1" x14ac:dyDescent="0.25">
      <c r="A90" s="403">
        <f>'Unit Data from Audit Worksheet'!A102</f>
        <v>382</v>
      </c>
      <c r="B90" s="405" t="str">
        <f>'Unit Data from Audit Worksheet'!C102</f>
        <v>Electric Fund Net Position Statement</v>
      </c>
      <c r="C90" s="402" t="str">
        <f>'Unit Data from Audit Worksheet'!D102</f>
        <v>Total Assets and deferred outflows</v>
      </c>
      <c r="D90" s="404"/>
      <c r="E90" s="627">
        <f>'Unit Data from Audit Worksheet'!F102</f>
        <v>0</v>
      </c>
      <c r="F90" s="401">
        <f t="shared" si="12"/>
        <v>0</v>
      </c>
      <c r="G90" s="406"/>
      <c r="H90" s="399">
        <f>'Unit Data from Audit Worksheet'!I102</f>
        <v>0</v>
      </c>
      <c r="I90" s="580"/>
      <c r="J90" s="410">
        <v>382</v>
      </c>
      <c r="K90" s="409" t="s">
        <v>137</v>
      </c>
      <c r="L90" s="628">
        <f t="shared" si="8"/>
        <v>0</v>
      </c>
      <c r="P90" s="562"/>
      <c r="U90" s="682" t="b">
        <f t="shared" si="10"/>
        <v>1</v>
      </c>
      <c r="V90" s="362">
        <f t="shared" si="11"/>
        <v>0</v>
      </c>
    </row>
    <row r="91" spans="1:22" ht="40.5" customHeight="1" x14ac:dyDescent="0.25">
      <c r="A91" s="403">
        <f>'Unit Data from Audit Worksheet'!A103</f>
        <v>360</v>
      </c>
      <c r="B91" s="405" t="str">
        <f>'Unit Data from Audit Worksheet'!C103</f>
        <v>Electric Fund Net Position Statement</v>
      </c>
      <c r="C91" s="402" t="str">
        <f>'Unit Data from Audit Worksheet'!D103</f>
        <v>Total liabilities and total deferred inflows</v>
      </c>
      <c r="D91" s="404"/>
      <c r="E91" s="627">
        <f>'Unit Data from Audit Worksheet'!F103</f>
        <v>0</v>
      </c>
      <c r="F91" s="401">
        <f t="shared" si="12"/>
        <v>0</v>
      </c>
      <c r="G91" s="406"/>
      <c r="H91" s="399">
        <f>'Unit Data from Audit Worksheet'!I103</f>
        <v>0</v>
      </c>
      <c r="I91" s="580"/>
      <c r="J91" s="410">
        <v>360</v>
      </c>
      <c r="K91" s="411" t="s">
        <v>148</v>
      </c>
      <c r="L91" s="628">
        <f t="shared" si="8"/>
        <v>0</v>
      </c>
      <c r="P91" s="562"/>
      <c r="U91" s="682" t="b">
        <f t="shared" si="10"/>
        <v>1</v>
      </c>
      <c r="V91" s="362">
        <f t="shared" si="11"/>
        <v>0</v>
      </c>
    </row>
    <row r="92" spans="1:22" ht="75.75" customHeight="1" x14ac:dyDescent="0.25">
      <c r="A92" s="403">
        <f>'Unit Data from Audit Worksheet'!A104</f>
        <v>580</v>
      </c>
      <c r="B92" s="405" t="str">
        <f>'Unit Data from Audit Worksheet'!C104</f>
        <v>Electric Fund Net Position Statement</v>
      </c>
      <c r="C92" s="402" t="str">
        <f>'Unit Data from Audit Worksheet'!D104</f>
        <v>Electric Fund - Advance From:
Interfund loans payable-portion of repayment plan longer than 12 months</v>
      </c>
      <c r="D92" s="404"/>
      <c r="E92" s="627">
        <f>'Unit Data from Audit Worksheet'!F104</f>
        <v>0</v>
      </c>
      <c r="F92" s="401">
        <f t="shared" si="12"/>
        <v>0</v>
      </c>
      <c r="G92" s="406"/>
      <c r="H92" s="399">
        <f>'Unit Data from Audit Worksheet'!I81</f>
        <v>0</v>
      </c>
      <c r="I92" s="580"/>
      <c r="J92" s="410">
        <v>580</v>
      </c>
      <c r="K92" s="411" t="s">
        <v>588</v>
      </c>
      <c r="L92" s="628">
        <f t="shared" si="8"/>
        <v>0</v>
      </c>
      <c r="N92" s="783"/>
      <c r="P92" s="562"/>
      <c r="U92" s="682" t="b">
        <f t="shared" si="10"/>
        <v>1</v>
      </c>
      <c r="V92" s="362">
        <f t="shared" si="11"/>
        <v>0</v>
      </c>
    </row>
    <row r="93" spans="1:22" ht="99.75" customHeight="1" x14ac:dyDescent="0.25">
      <c r="A93" s="342">
        <f>'Unit Data from Audit Worksheet'!A105</f>
        <v>639</v>
      </c>
      <c r="B93" s="343" t="str">
        <f>'Unit Data from Audit Worksheet'!C105</f>
        <v>Electric Fund Net Position Statement</v>
      </c>
      <c r="C93" s="844" t="str">
        <f>'Unit Data from Audit Worksheet'!D105</f>
        <v xml:space="preserve">Current liabilities (as reported on the Statement of Fund Net Position)
Include:   Current liabilities including current portion of long-term debt.  Deferred inflows should not be included in Current Liabilities  
</v>
      </c>
      <c r="D93" s="404"/>
      <c r="E93" s="630">
        <f>'Unit Data from Audit Worksheet'!F105</f>
        <v>0</v>
      </c>
      <c r="F93" s="359"/>
      <c r="G93" s="349"/>
      <c r="H93" s="361">
        <f>'Unit Data from Audit Worksheet'!I82</f>
        <v>0</v>
      </c>
      <c r="I93" s="580"/>
      <c r="J93" s="371">
        <v>639</v>
      </c>
      <c r="K93" s="462" t="s">
        <v>712</v>
      </c>
      <c r="L93" s="623">
        <f t="shared" si="8"/>
        <v>0</v>
      </c>
      <c r="P93" s="562"/>
      <c r="U93" s="682" t="b">
        <f t="shared" si="10"/>
        <v>1</v>
      </c>
      <c r="V93" s="362">
        <f t="shared" si="11"/>
        <v>0</v>
      </c>
    </row>
    <row r="94" spans="1:22" ht="114" customHeight="1" x14ac:dyDescent="0.25">
      <c r="A94" s="342">
        <f>'Unit Data from Audit Worksheet'!A106</f>
        <v>640</v>
      </c>
      <c r="B94" s="343" t="str">
        <f>'Unit Data from Audit Worksheet'!C106</f>
        <v>Electric Fund Net Position Statement</v>
      </c>
      <c r="C94" s="461" t="str">
        <f>'Unit Data from Audit Worksheet'!D106</f>
        <v>Please enter any bond anticipation notes that are classified as current liabilities and included in account 639 above (amounts entered should agree to the current amount included in the changes to long-term debt note)</v>
      </c>
      <c r="D94" s="404"/>
      <c r="E94" s="630">
        <f>'Unit Data from Audit Worksheet'!F106</f>
        <v>0</v>
      </c>
      <c r="F94" s="359">
        <f t="shared" ref="F94:F98" si="13">IF(L94&lt;0,"Error: Number is normally positive.",)</f>
        <v>0</v>
      </c>
      <c r="G94" s="349"/>
      <c r="H94" s="361">
        <f>'Unit Data from Audit Worksheet'!I106</f>
        <v>0</v>
      </c>
      <c r="I94" s="580"/>
      <c r="J94" s="371">
        <v>640</v>
      </c>
      <c r="K94" s="462" t="s">
        <v>713</v>
      </c>
      <c r="L94" s="623">
        <f t="shared" si="8"/>
        <v>0</v>
      </c>
      <c r="P94" s="562"/>
      <c r="U94" s="682" t="b">
        <f t="shared" si="10"/>
        <v>1</v>
      </c>
      <c r="V94" s="362">
        <f t="shared" si="11"/>
        <v>0</v>
      </c>
    </row>
    <row r="95" spans="1:22" ht="114" customHeight="1" x14ac:dyDescent="0.25">
      <c r="A95" s="342">
        <f>'Unit Data from Audit Worksheet'!A107</f>
        <v>641</v>
      </c>
      <c r="B95" s="343" t="str">
        <f>'Unit Data from Audit Worksheet'!C107</f>
        <v>Electric Fund Net Position Statement</v>
      </c>
      <c r="C95" s="461" t="str">
        <f>'Unit Data from Audit Worksheet'!D107</f>
        <v>Please enter any compensated absences that are classified as current liabilities and included in account 639 above (amounts entered should agree to the current amount included in the changes to long-term debt note)</v>
      </c>
      <c r="D95" s="404"/>
      <c r="E95" s="630">
        <f>'Unit Data from Audit Worksheet'!F107</f>
        <v>0</v>
      </c>
      <c r="F95" s="359">
        <f t="shared" si="13"/>
        <v>0</v>
      </c>
      <c r="G95" s="349"/>
      <c r="H95" s="361">
        <f>'Unit Data from Audit Worksheet'!I107</f>
        <v>0</v>
      </c>
      <c r="I95" s="580"/>
      <c r="J95" s="371">
        <v>641</v>
      </c>
      <c r="K95" s="462" t="s">
        <v>714</v>
      </c>
      <c r="L95" s="623">
        <f t="shared" si="8"/>
        <v>0</v>
      </c>
      <c r="P95" s="562"/>
      <c r="U95" s="682" t="b">
        <f t="shared" si="10"/>
        <v>1</v>
      </c>
      <c r="V95" s="362">
        <f t="shared" si="11"/>
        <v>0</v>
      </c>
    </row>
    <row r="96" spans="1:22" ht="114" customHeight="1" x14ac:dyDescent="0.25">
      <c r="A96" s="342">
        <f>'Unit Data from Audit Worksheet'!A108</f>
        <v>642</v>
      </c>
      <c r="B96" s="343" t="str">
        <f>'Unit Data from Audit Worksheet'!C108</f>
        <v>Electric Fund Net Position Statement</v>
      </c>
      <c r="C96" s="461" t="str">
        <f>'Unit Data from Audit Worksheet'!D108</f>
        <v>Please enter any pension liabilities that are classified as current liabilities and included account in 639 above (amounts entered should agree to the current amount included in the changes to long-term debt note)</v>
      </c>
      <c r="D96" s="404"/>
      <c r="E96" s="630">
        <f>'Unit Data from Audit Worksheet'!F108</f>
        <v>0</v>
      </c>
      <c r="F96" s="359">
        <f t="shared" si="13"/>
        <v>0</v>
      </c>
      <c r="G96" s="349"/>
      <c r="H96" s="361">
        <f>'Unit Data from Audit Worksheet'!I108</f>
        <v>0</v>
      </c>
      <c r="I96" s="580"/>
      <c r="J96" s="371">
        <v>642</v>
      </c>
      <c r="K96" s="462" t="s">
        <v>715</v>
      </c>
      <c r="L96" s="623">
        <f t="shared" si="8"/>
        <v>0</v>
      </c>
      <c r="P96" s="562"/>
      <c r="U96" s="682" t="b">
        <f t="shared" si="10"/>
        <v>1</v>
      </c>
      <c r="V96" s="362">
        <f t="shared" si="11"/>
        <v>0</v>
      </c>
    </row>
    <row r="97" spans="1:22" ht="97.5" customHeight="1" x14ac:dyDescent="0.25">
      <c r="A97" s="342">
        <f>'Unit Data from Audit Worksheet'!A109</f>
        <v>643</v>
      </c>
      <c r="B97" s="343" t="str">
        <f>'Unit Data from Audit Worksheet'!C109</f>
        <v>Electric Fund Net Position Statement</v>
      </c>
      <c r="C97" s="461" t="str">
        <f>'Unit Data from Audit Worksheet'!D109</f>
        <v xml:space="preserve">Please enter any current liabilities that are payable from restricted assets and included in account 639 above. </v>
      </c>
      <c r="D97" s="404"/>
      <c r="E97" s="630">
        <f>'Unit Data from Audit Worksheet'!F109</f>
        <v>0</v>
      </c>
      <c r="F97" s="359">
        <f t="shared" si="13"/>
        <v>0</v>
      </c>
      <c r="G97" s="349"/>
      <c r="H97" s="361">
        <f>'Unit Data from Audit Worksheet'!I109</f>
        <v>0</v>
      </c>
      <c r="I97" s="580"/>
      <c r="J97" s="371">
        <v>643</v>
      </c>
      <c r="K97" s="462" t="s">
        <v>716</v>
      </c>
      <c r="L97" s="623">
        <f t="shared" si="8"/>
        <v>0</v>
      </c>
      <c r="P97" s="562"/>
      <c r="U97" s="682" t="b">
        <f t="shared" si="10"/>
        <v>1</v>
      </c>
      <c r="V97" s="362">
        <f t="shared" si="11"/>
        <v>0</v>
      </c>
    </row>
    <row r="98" spans="1:22" ht="97.5" customHeight="1" x14ac:dyDescent="0.25">
      <c r="A98" s="342">
        <f>'Unit Data from Audit Worksheet'!A110</f>
        <v>644</v>
      </c>
      <c r="B98" s="343" t="str">
        <f>'Unit Data from Audit Worksheet'!C110</f>
        <v>Electric Fund Net Position Statement</v>
      </c>
      <c r="C98" s="461" t="str">
        <f>'Unit Data from Audit Worksheet'!D110</f>
        <v>Please enter any OPEB liabilities that are classified as current liabilities and included in account 639 above (amounts entered should agree to the current amount included in the changes to long-term debt note)</v>
      </c>
      <c r="D98" s="404"/>
      <c r="E98" s="630">
        <f>'Unit Data from Audit Worksheet'!F110</f>
        <v>0</v>
      </c>
      <c r="F98" s="359">
        <f t="shared" si="13"/>
        <v>0</v>
      </c>
      <c r="G98" s="349"/>
      <c r="H98" s="361">
        <f>'Unit Data from Audit Worksheet'!I110</f>
        <v>0</v>
      </c>
      <c r="I98" s="580"/>
      <c r="J98" s="463">
        <v>644</v>
      </c>
      <c r="K98" s="462" t="s">
        <v>717</v>
      </c>
      <c r="L98" s="623">
        <f t="shared" si="8"/>
        <v>0</v>
      </c>
      <c r="P98" s="562"/>
      <c r="U98" s="682" t="b">
        <f t="shared" si="10"/>
        <v>1</v>
      </c>
      <c r="V98" s="362">
        <f t="shared" si="11"/>
        <v>0</v>
      </c>
    </row>
    <row r="99" spans="1:22" ht="80.25" customHeight="1" x14ac:dyDescent="0.25">
      <c r="A99" s="403">
        <f>+'Unit Data from Audit Worksheet'!A111</f>
        <v>384</v>
      </c>
      <c r="B99" s="403" t="str">
        <f>+'Unit Data from Audit Worksheet'!C111</f>
        <v>Electric Fund Net Position Statement</v>
      </c>
      <c r="C99" s="403" t="str">
        <f>+'Unit Data from Audit Worksheet'!D111</f>
        <v>Unearned revenue (arising from cash receipts) that were included in Current Liabilities in account 639 above.</v>
      </c>
      <c r="D99" s="404"/>
      <c r="E99" s="627">
        <f>+'Unit Data from Audit Worksheet'!F111</f>
        <v>0</v>
      </c>
      <c r="F99" s="401">
        <f>IF(L99&lt;0,"Error: Number is normally positive.",)</f>
        <v>0</v>
      </c>
      <c r="G99" s="406"/>
      <c r="H99" s="399">
        <f>'Unit Data from Audit Worksheet'!I111</f>
        <v>0</v>
      </c>
      <c r="I99" s="580"/>
      <c r="J99" s="196">
        <v>384</v>
      </c>
      <c r="K99" s="242" t="s">
        <v>147</v>
      </c>
      <c r="L99" s="628">
        <f t="shared" si="8"/>
        <v>0</v>
      </c>
      <c r="P99" s="562"/>
      <c r="U99" s="682" t="b">
        <f t="shared" si="10"/>
        <v>1</v>
      </c>
      <c r="V99" s="362">
        <f t="shared" si="11"/>
        <v>0</v>
      </c>
    </row>
    <row r="100" spans="1:22" ht="114.75" customHeight="1" x14ac:dyDescent="0.25">
      <c r="A100" s="403">
        <f>+'Unit Data from Audit Worksheet'!A112</f>
        <v>361</v>
      </c>
      <c r="B100" s="403" t="str">
        <f>+'Unit Data from Audit Worksheet'!C112</f>
        <v>Electric Fund Net Position Statement</v>
      </c>
      <c r="C100" s="403" t="str">
        <f>+'Unit Data from Audit Worksheet'!D112</f>
        <v>Total net position, unrestricted - Amount of negative unrestricted net position should be entered as a negative amount and the amount of positive unrestricted net position should be entered as a positive amount.</v>
      </c>
      <c r="D100" s="404"/>
      <c r="E100" s="627">
        <f>+'Unit Data from Audit Worksheet'!F112</f>
        <v>0</v>
      </c>
      <c r="F100" s="401"/>
      <c r="G100" s="406"/>
      <c r="H100" s="399">
        <f>'Unit Data from Audit Worksheet'!I112</f>
        <v>0</v>
      </c>
      <c r="I100" s="580"/>
      <c r="J100" s="196">
        <v>361</v>
      </c>
      <c r="K100" s="191" t="s">
        <v>129</v>
      </c>
      <c r="L100" s="628">
        <f t="shared" si="8"/>
        <v>0</v>
      </c>
      <c r="P100" s="562"/>
      <c r="U100" s="682" t="b">
        <f t="shared" si="10"/>
        <v>1</v>
      </c>
      <c r="V100" s="362">
        <f t="shared" si="11"/>
        <v>0</v>
      </c>
    </row>
    <row r="101" spans="1:22" ht="72.75" customHeight="1" x14ac:dyDescent="0.25">
      <c r="A101" s="220">
        <f>'Unit Data from Audit Worksheet'!A113</f>
        <v>362</v>
      </c>
      <c r="B101" s="231" t="str">
        <f>'Unit Data from Audit Worksheet'!C113</f>
        <v>Electric Fund Net Position Statement</v>
      </c>
      <c r="C101" s="218" t="str">
        <f>'Unit Data from Audit Worksheet'!D113</f>
        <v>Total net position</v>
      </c>
      <c r="D101" s="404"/>
      <c r="E101" s="627">
        <f>'Unit Data from Audit Worksheet'!F113</f>
        <v>0</v>
      </c>
      <c r="F101" s="208">
        <f>IF(L90-L91-L101=0,,"Error: Total assets less total liabilities do not equal net position acct 382-360-362=0")</f>
        <v>0</v>
      </c>
      <c r="G101" s="338">
        <f>+L90-L91-L101</f>
        <v>0</v>
      </c>
      <c r="H101" s="200">
        <f>'Unit Data from Audit Worksheet'!I113</f>
        <v>0</v>
      </c>
      <c r="I101" s="580"/>
      <c r="J101" s="196">
        <v>362</v>
      </c>
      <c r="K101" s="191" t="s">
        <v>130</v>
      </c>
      <c r="L101" s="628">
        <f t="shared" si="8"/>
        <v>0</v>
      </c>
      <c r="O101" s="696" t="e">
        <f>'Unit Data from Audit Worksheet'!E113</f>
        <v>#N/A</v>
      </c>
      <c r="P101" s="562"/>
      <c r="Q101" s="657">
        <f>IF(G101&lt;&gt;0,1,)</f>
        <v>0</v>
      </c>
      <c r="U101" s="682" t="b">
        <f t="shared" si="10"/>
        <v>1</v>
      </c>
      <c r="V101" s="362">
        <f t="shared" si="11"/>
        <v>0</v>
      </c>
    </row>
    <row r="102" spans="1:22" ht="72.75" customHeight="1" x14ac:dyDescent="0.25">
      <c r="A102" s="220">
        <f>'Unit Data from Audit Worksheet'!A116</f>
        <v>88</v>
      </c>
      <c r="B102" s="231" t="str">
        <f>'Unit Data from Audit Worksheet'!C116</f>
        <v>Water Sewer Revenue, Expenses &amp; Changes in Fund Net Position</v>
      </c>
      <c r="C102" s="218" t="str">
        <f>'Unit Data from Audit Worksheet'!D116</f>
        <v>Charges for services. 
Exclude tap, capacity fees and other misc. income .</v>
      </c>
      <c r="D102" s="404"/>
      <c r="E102" s="627">
        <f>'Unit Data from Audit Worksheet'!F116</f>
        <v>0</v>
      </c>
      <c r="F102" s="208"/>
      <c r="G102" s="278"/>
      <c r="H102" s="200">
        <f>'Unit Data from Audit Worksheet'!I116</f>
        <v>0</v>
      </c>
      <c r="I102" s="580"/>
      <c r="J102" s="196">
        <v>88</v>
      </c>
      <c r="K102" s="191" t="s">
        <v>306</v>
      </c>
      <c r="L102" s="628">
        <f t="shared" si="8"/>
        <v>0</v>
      </c>
      <c r="P102" s="562"/>
      <c r="Q102" s="330"/>
      <c r="R102" s="330"/>
      <c r="U102" s="682" t="b">
        <f t="shared" si="10"/>
        <v>1</v>
      </c>
      <c r="V102" s="362">
        <f t="shared" si="11"/>
        <v>0</v>
      </c>
    </row>
    <row r="103" spans="1:22" ht="72.75" customHeight="1" x14ac:dyDescent="0.25">
      <c r="A103" s="220">
        <f>'Unit Data from Audit Worksheet'!A117</f>
        <v>84</v>
      </c>
      <c r="B103" s="231" t="str">
        <f>'Unit Data from Audit Worksheet'!C117</f>
        <v>Water Sewer Revenue, Expenses &amp; Changes in Fund Net Position</v>
      </c>
      <c r="C103" s="218" t="str">
        <f>'Unit Data from Audit Worksheet'!D117</f>
        <v>Total Operating revenues</v>
      </c>
      <c r="D103" s="404"/>
      <c r="E103" s="627">
        <f>'Unit Data from Audit Worksheet'!F117</f>
        <v>0</v>
      </c>
      <c r="F103" s="208" t="str">
        <f>IF(L102&gt;L103,"Error: Charges for services exceed total operating revenues. Acct # 88&gt;84"," ")</f>
        <v xml:space="preserve"> </v>
      </c>
      <c r="G103" s="321" t="str">
        <f>IF(Q103=1," Included in error count"," ")</f>
        <v xml:space="preserve"> </v>
      </c>
      <c r="H103" s="200">
        <f>'Unit Data from Audit Worksheet'!I117</f>
        <v>0</v>
      </c>
      <c r="I103" s="580"/>
      <c r="J103" s="196">
        <v>84</v>
      </c>
      <c r="K103" s="191" t="s">
        <v>307</v>
      </c>
      <c r="L103" s="628">
        <f t="shared" si="8"/>
        <v>0</v>
      </c>
      <c r="P103" s="562"/>
      <c r="Q103" s="657">
        <f>IF(L102&gt;L103,1,)</f>
        <v>0</v>
      </c>
      <c r="U103" s="682" t="b">
        <f t="shared" si="10"/>
        <v>1</v>
      </c>
      <c r="V103" s="362">
        <f t="shared" si="11"/>
        <v>0</v>
      </c>
    </row>
    <row r="104" spans="1:22" ht="72.75" customHeight="1" x14ac:dyDescent="0.25">
      <c r="A104" s="220">
        <f>'Unit Data from Audit Worksheet'!A118</f>
        <v>49</v>
      </c>
      <c r="B104" s="231" t="str">
        <f>'Unit Data from Audit Worksheet'!C118</f>
        <v>Water Sewer Revenue, Expenses &amp; Changes in Fund Net Position</v>
      </c>
      <c r="C104" s="218" t="str">
        <f>'Unit Data from Audit Worksheet'!D118</f>
        <v>Depreciation and amortization expense</v>
      </c>
      <c r="D104" s="404"/>
      <c r="E104" s="627">
        <f>'Unit Data from Audit Worksheet'!F118</f>
        <v>0</v>
      </c>
      <c r="F104" s="401">
        <f>IF(L104&lt;0,"Error: Number is normally positive.",)</f>
        <v>0</v>
      </c>
      <c r="G104" s="278"/>
      <c r="H104" s="200">
        <f>'Unit Data from Audit Worksheet'!I118</f>
        <v>0</v>
      </c>
      <c r="I104" s="580"/>
      <c r="J104" s="196">
        <v>49</v>
      </c>
      <c r="K104" s="191" t="s">
        <v>308</v>
      </c>
      <c r="L104" s="628">
        <f t="shared" si="8"/>
        <v>0</v>
      </c>
      <c r="O104" s="696"/>
      <c r="P104" s="562"/>
      <c r="U104" s="682" t="b">
        <f t="shared" si="10"/>
        <v>1</v>
      </c>
      <c r="V104" s="362">
        <f t="shared" si="11"/>
        <v>0</v>
      </c>
    </row>
    <row r="105" spans="1:22" ht="72.75" customHeight="1" x14ac:dyDescent="0.25">
      <c r="A105" s="220">
        <f>'Unit Data from Audit Worksheet'!A119</f>
        <v>85</v>
      </c>
      <c r="B105" s="231" t="str">
        <f>'Unit Data from Audit Worksheet'!C119</f>
        <v>Water Sewer Revenue, Expenses &amp; Changes in Fund Net Position</v>
      </c>
      <c r="C105" s="218" t="str">
        <f>'Unit Data from Audit Worksheet'!D119</f>
        <v>Total Operating expenses</v>
      </c>
      <c r="D105" s="404"/>
      <c r="E105" s="627">
        <f>'Unit Data from Audit Worksheet'!F119</f>
        <v>0</v>
      </c>
      <c r="F105" s="401"/>
      <c r="G105" s="278"/>
      <c r="H105" s="200">
        <f>'Unit Data from Audit Worksheet'!I119</f>
        <v>0</v>
      </c>
      <c r="I105" s="580"/>
      <c r="J105" s="196">
        <v>85</v>
      </c>
      <c r="K105" s="191" t="s">
        <v>309</v>
      </c>
      <c r="L105" s="628">
        <f t="shared" si="8"/>
        <v>0</v>
      </c>
      <c r="P105" s="562"/>
      <c r="U105" s="682" t="b">
        <f t="shared" si="10"/>
        <v>1</v>
      </c>
      <c r="V105" s="362">
        <f t="shared" si="11"/>
        <v>0</v>
      </c>
    </row>
    <row r="106" spans="1:22" ht="54" customHeight="1" x14ac:dyDescent="0.25">
      <c r="A106" s="220">
        <f>'Unit Data from Audit Worksheet'!A120</f>
        <v>89</v>
      </c>
      <c r="B106" s="231" t="str">
        <f>'Unit Data from Audit Worksheet'!C120</f>
        <v>Water Sewer Revenue, Expenses &amp; Changes in Fund Net Position</v>
      </c>
      <c r="C106" s="218" t="str">
        <f>'Unit Data from Audit Worksheet'!D120</f>
        <v>Interest expense</v>
      </c>
      <c r="D106" s="404"/>
      <c r="E106" s="627">
        <f>'Unit Data from Audit Worksheet'!F120</f>
        <v>0</v>
      </c>
      <c r="F106" s="401"/>
      <c r="G106" s="278"/>
      <c r="H106" s="200">
        <f>'Unit Data from Audit Worksheet'!I120</f>
        <v>0</v>
      </c>
      <c r="I106" s="580"/>
      <c r="J106" s="196">
        <v>89</v>
      </c>
      <c r="K106" s="191" t="s">
        <v>310</v>
      </c>
      <c r="L106" s="628">
        <f t="shared" si="8"/>
        <v>0</v>
      </c>
      <c r="P106" s="562"/>
      <c r="U106" s="682" t="b">
        <f t="shared" si="10"/>
        <v>1</v>
      </c>
      <c r="V106" s="362">
        <f t="shared" si="11"/>
        <v>0</v>
      </c>
    </row>
    <row r="107" spans="1:22" ht="74.25" customHeight="1" x14ac:dyDescent="0.25">
      <c r="A107" s="220">
        <f>'Unit Data from Audit Worksheet'!A121</f>
        <v>350</v>
      </c>
      <c r="B107" s="231" t="str">
        <f>'Unit Data from Audit Worksheet'!C121</f>
        <v>Water Sewer Revenue, Expenses &amp; Changes in Fund Net Position</v>
      </c>
      <c r="C107" s="218" t="str">
        <f>'Unit Data from Audit Worksheet'!D121</f>
        <v>Total all non-operating revenues  
Exclude Capital contributions.</v>
      </c>
      <c r="D107" s="404"/>
      <c r="E107" s="627">
        <f>'Unit Data from Audit Worksheet'!F121</f>
        <v>0</v>
      </c>
      <c r="F107" s="401"/>
      <c r="G107" s="278"/>
      <c r="H107" s="200">
        <f>'Unit Data from Audit Worksheet'!I121</f>
        <v>0</v>
      </c>
      <c r="I107" s="580"/>
      <c r="J107" s="196">
        <v>350</v>
      </c>
      <c r="K107" s="191" t="s">
        <v>311</v>
      </c>
      <c r="L107" s="628">
        <f t="shared" si="8"/>
        <v>0</v>
      </c>
      <c r="P107" s="562"/>
      <c r="U107" s="682" t="b">
        <f t="shared" si="10"/>
        <v>1</v>
      </c>
      <c r="V107" s="362">
        <f t="shared" si="11"/>
        <v>0</v>
      </c>
    </row>
    <row r="108" spans="1:22" ht="79.5" customHeight="1" x14ac:dyDescent="0.25">
      <c r="A108" s="220">
        <f>'Unit Data from Audit Worksheet'!A122</f>
        <v>351</v>
      </c>
      <c r="B108" s="231" t="str">
        <f>'Unit Data from Audit Worksheet'!C122</f>
        <v>Water Sewer Revenue, Expenses &amp; Changes in Fund Net Position</v>
      </c>
      <c r="C108" s="218" t="str">
        <f>'Unit Data from Audit Worksheet'!D122</f>
        <v>Total all non-operating expenses.  
Include any negative special, extraordinary, or capital contribution.</v>
      </c>
      <c r="D108" s="404"/>
      <c r="E108" s="627">
        <f>'Unit Data from Audit Worksheet'!F122</f>
        <v>0</v>
      </c>
      <c r="F108" s="401"/>
      <c r="G108" s="278"/>
      <c r="H108" s="200">
        <f>'Unit Data from Audit Worksheet'!I122</f>
        <v>0</v>
      </c>
      <c r="I108" s="580"/>
      <c r="J108" s="196">
        <v>351</v>
      </c>
      <c r="K108" s="191" t="s">
        <v>312</v>
      </c>
      <c r="L108" s="628">
        <f t="shared" si="8"/>
        <v>0</v>
      </c>
      <c r="P108" s="562"/>
      <c r="U108" s="682" t="b">
        <f t="shared" si="10"/>
        <v>1</v>
      </c>
      <c r="V108" s="362">
        <f t="shared" si="11"/>
        <v>0</v>
      </c>
    </row>
    <row r="109" spans="1:22" ht="92.25" customHeight="1" x14ac:dyDescent="0.25">
      <c r="A109" s="220">
        <f>'Unit Data from Audit Worksheet'!A123</f>
        <v>191</v>
      </c>
      <c r="B109" s="231" t="str">
        <f>'Unit Data from Audit Worksheet'!C123</f>
        <v>Water Sewer Revenue, Expenses &amp; Changes in Fund Net Position</v>
      </c>
      <c r="C109" s="218" t="str">
        <f>'Unit Data from Audit Worksheet'!D123</f>
        <v>Capital contributions. Only include positive capital contributions.  Negative capital contributions should be included with 'Total all non-operating expenses.'</v>
      </c>
      <c r="D109" s="404"/>
      <c r="E109" s="627">
        <f>'Unit Data from Audit Worksheet'!F123</f>
        <v>0</v>
      </c>
      <c r="F109" s="208">
        <f>IF(L109&lt;0,"Error: Enter as a positive.",)</f>
        <v>0</v>
      </c>
      <c r="G109" s="278"/>
      <c r="H109" s="200">
        <f>'Unit Data from Audit Worksheet'!I123</f>
        <v>0</v>
      </c>
      <c r="I109" s="580"/>
      <c r="J109" s="196">
        <v>191</v>
      </c>
      <c r="K109" s="191" t="s">
        <v>313</v>
      </c>
      <c r="L109" s="628">
        <f t="shared" si="8"/>
        <v>0</v>
      </c>
      <c r="P109" s="562"/>
      <c r="U109" s="682" t="b">
        <f t="shared" si="10"/>
        <v>1</v>
      </c>
      <c r="V109" s="362">
        <f t="shared" si="11"/>
        <v>0</v>
      </c>
    </row>
    <row r="110" spans="1:22" ht="66.75" customHeight="1" x14ac:dyDescent="0.25">
      <c r="A110" s="220">
        <f>'Unit Data from Audit Worksheet'!A124</f>
        <v>352</v>
      </c>
      <c r="B110" s="231" t="str">
        <f>'Unit Data from Audit Worksheet'!C124</f>
        <v>Water Sewer Revenue, Expenses &amp; Changes in Fund Net Position</v>
      </c>
      <c r="C110" s="218" t="str">
        <f>'Unit Data from Audit Worksheet'!D124</f>
        <v>Total Transfers in</v>
      </c>
      <c r="D110" s="404"/>
      <c r="E110" s="627">
        <f>'Unit Data from Audit Worksheet'!F124</f>
        <v>0</v>
      </c>
      <c r="F110" s="208"/>
      <c r="G110" s="278"/>
      <c r="H110" s="200">
        <f>'Unit Data from Audit Worksheet'!I124</f>
        <v>0</v>
      </c>
      <c r="I110" s="580"/>
      <c r="J110" s="196">
        <v>352</v>
      </c>
      <c r="K110" s="191" t="s">
        <v>314</v>
      </c>
      <c r="L110" s="628">
        <f t="shared" si="8"/>
        <v>0</v>
      </c>
      <c r="P110" s="562"/>
      <c r="U110" s="682" t="b">
        <f t="shared" si="10"/>
        <v>1</v>
      </c>
      <c r="V110" s="362">
        <f t="shared" si="11"/>
        <v>0</v>
      </c>
    </row>
    <row r="111" spans="1:22" ht="66" customHeight="1" x14ac:dyDescent="0.25">
      <c r="A111" s="220">
        <f>'Unit Data from Audit Worksheet'!A125</f>
        <v>353</v>
      </c>
      <c r="B111" s="231" t="str">
        <f>'Unit Data from Audit Worksheet'!C125</f>
        <v>Water Sewer Revenue, Expenses &amp; Changes in Fund Net Position</v>
      </c>
      <c r="C111" s="218" t="str">
        <f>'Unit Data from Audit Worksheet'!D125</f>
        <v>Total Transfers out</v>
      </c>
      <c r="D111" s="404"/>
      <c r="E111" s="627">
        <f>'Unit Data from Audit Worksheet'!F125</f>
        <v>0</v>
      </c>
      <c r="F111" s="208">
        <f>IF(L111&lt;0,"Error: Enter as a positive.",)</f>
        <v>0</v>
      </c>
      <c r="G111" s="278"/>
      <c r="H111" s="200">
        <f>'Unit Data from Audit Worksheet'!I125</f>
        <v>0</v>
      </c>
      <c r="I111" s="580"/>
      <c r="J111" s="194">
        <v>353</v>
      </c>
      <c r="K111" s="191" t="s">
        <v>315</v>
      </c>
      <c r="L111" s="628">
        <f t="shared" si="8"/>
        <v>0</v>
      </c>
      <c r="P111" s="562"/>
      <c r="U111" s="682" t="b">
        <f t="shared" si="10"/>
        <v>1</v>
      </c>
      <c r="V111" s="362">
        <f t="shared" si="11"/>
        <v>0</v>
      </c>
    </row>
    <row r="112" spans="1:22" ht="69" customHeight="1" x14ac:dyDescent="0.25">
      <c r="A112" s="220">
        <f>'Unit Data from Audit Worksheet'!A126</f>
        <v>50</v>
      </c>
      <c r="B112" s="231" t="str">
        <f>'Unit Data from Audit Worksheet'!C126</f>
        <v>Water Sewer Revenue, Expenses &amp; Changes in Fund Net Position</v>
      </c>
      <c r="C112" s="218" t="str">
        <f>'Unit Data from Audit Worksheet'!D126</f>
        <v>Change in net position - Increase in net position is recorded as a positive and a (Decrease) in net position is recorded as a negative.</v>
      </c>
      <c r="D112" s="404"/>
      <c r="E112" s="617">
        <f>'Unit Data from Audit Worksheet'!F126</f>
        <v>0</v>
      </c>
      <c r="F112" s="317">
        <f>IF(L103-L105+L107-L108+L110+L109-L111-L112=0,,"Error:Total revenues less total expenses do not equal total change in net position. Acct # 84-85+350-351+191+352-353-50")</f>
        <v>0</v>
      </c>
      <c r="G112" s="338">
        <f>+L103-L105+L107-L108+L110+L109-L111-L112</f>
        <v>0</v>
      </c>
      <c r="H112" s="200">
        <f>'Unit Data from Audit Worksheet'!I126</f>
        <v>0</v>
      </c>
      <c r="I112" s="580"/>
      <c r="J112" s="196">
        <v>50</v>
      </c>
      <c r="K112" s="191" t="s">
        <v>123</v>
      </c>
      <c r="L112" s="628">
        <f t="shared" si="8"/>
        <v>0</v>
      </c>
      <c r="P112" s="562"/>
      <c r="Q112" s="657">
        <f>IF(G112&lt;&gt;0,1,)</f>
        <v>0</v>
      </c>
      <c r="U112" s="682" t="b">
        <f t="shared" si="10"/>
        <v>1</v>
      </c>
      <c r="V112" s="362">
        <f t="shared" si="11"/>
        <v>0</v>
      </c>
    </row>
    <row r="113" spans="1:22" ht="128.25" customHeight="1" x14ac:dyDescent="0.25">
      <c r="A113" s="220">
        <f>'Unit Data from Audit Worksheet'!A127</f>
        <v>377</v>
      </c>
      <c r="B113" s="231" t="str">
        <f>'Unit Data from Audit Worksheet'!C127</f>
        <v>Water Sewer Revenue, Expenses &amp; Changes in Fund Net Position</v>
      </c>
      <c r="C113" s="218" t="str">
        <f>'Unit Data from Audit Worksheet'!D127</f>
        <v>Increases or (decreases) to beginning water sewer net position due to rounding, prior period adjustments and restatements.  Increase amounts to beginning net position should be entered as a positive amount and (decreases) should be entered as a negative amount.</v>
      </c>
      <c r="D113" s="404"/>
      <c r="E113" s="617">
        <f>'Unit Data from Audit Worksheet'!F127</f>
        <v>0</v>
      </c>
      <c r="F113" s="207" t="e">
        <f>IF(L83-L112-L113=O83,,"Error:Beginning Balance does not agree with out records.Acct # 83-50-377=PY83")</f>
        <v>#N/A</v>
      </c>
      <c r="G113" s="338" t="e">
        <f>+L83-L112-L113-O83</f>
        <v>#N/A</v>
      </c>
      <c r="H113" s="200">
        <f>'Unit Data from Audit Worksheet'!I127</f>
        <v>0</v>
      </c>
      <c r="I113" s="580"/>
      <c r="J113" s="196">
        <v>377</v>
      </c>
      <c r="K113" s="191" t="s">
        <v>132</v>
      </c>
      <c r="L113" s="628">
        <f t="shared" si="8"/>
        <v>0</v>
      </c>
      <c r="P113" s="562"/>
      <c r="Q113" s="657" t="e">
        <f>IF(G113&lt;&gt;0,1,)</f>
        <v>#N/A</v>
      </c>
      <c r="U113" s="682" t="b">
        <f t="shared" ref="U113:U144" si="14">EXACT(A112,J112)</f>
        <v>1</v>
      </c>
      <c r="V113" s="362">
        <f t="shared" si="11"/>
        <v>0</v>
      </c>
    </row>
    <row r="114" spans="1:22" ht="64.5" customHeight="1" x14ac:dyDescent="0.25">
      <c r="A114" s="249">
        <f>'Unit Data from Audit Worksheet'!A128</f>
        <v>537</v>
      </c>
      <c r="B114" s="231" t="str">
        <f>'Unit Data from Audit Worksheet'!C128</f>
        <v>Water Sewer Revenue, Expenses &amp; Changes in Fund Net Position</v>
      </c>
      <c r="C114" s="239" t="str">
        <f>'Unit Data from Audit Worksheet'!D128</f>
        <v>Did unit raise Water Sewer rates during the audited fiscal period? - answer Yes or No</v>
      </c>
      <c r="D114" s="254"/>
      <c r="E114" s="627">
        <f>'Unit Data from Audit Worksheet'!F128</f>
        <v>0</v>
      </c>
      <c r="F114" s="208" t="s">
        <v>574</v>
      </c>
      <c r="G114" s="278"/>
      <c r="H114" s="200">
        <f>'Unit Data from Audit Worksheet'!I128</f>
        <v>0</v>
      </c>
      <c r="I114" s="580"/>
      <c r="J114" s="256">
        <v>537</v>
      </c>
      <c r="K114" s="253" t="s">
        <v>375</v>
      </c>
      <c r="L114" s="628">
        <f>IF(E114="Yes",1,2)</f>
        <v>2</v>
      </c>
      <c r="N114" s="784" t="s">
        <v>564</v>
      </c>
      <c r="P114" s="562"/>
      <c r="U114" s="682" t="b">
        <f t="shared" si="14"/>
        <v>1</v>
      </c>
      <c r="V114" s="362">
        <f t="shared" si="11"/>
        <v>0</v>
      </c>
    </row>
    <row r="115" spans="1:22" ht="62.25" customHeight="1" x14ac:dyDescent="0.25">
      <c r="A115" s="249">
        <f>'Unit Data from Audit Worksheet'!A129</f>
        <v>538</v>
      </c>
      <c r="B115" s="231" t="str">
        <f>'Unit Data from Audit Worksheet'!C129</f>
        <v>Water Sewer Revenue, Expenses &amp; Changes in Fund Net Position</v>
      </c>
      <c r="C115" s="239" t="str">
        <f>'Unit Data from Audit Worksheet'!D129</f>
        <v>Did unit raise Water Sewer rates during the budget year following the audited fiscal year? - answer Yes or No</v>
      </c>
      <c r="D115" s="254"/>
      <c r="E115" s="627">
        <f>'Unit Data from Audit Worksheet'!F129</f>
        <v>0</v>
      </c>
      <c r="F115" s="208" t="s">
        <v>574</v>
      </c>
      <c r="G115" s="278"/>
      <c r="H115" s="200">
        <f>'Unit Data from Audit Worksheet'!I129</f>
        <v>0</v>
      </c>
      <c r="I115" s="580"/>
      <c r="J115" s="256">
        <v>538</v>
      </c>
      <c r="K115" s="253" t="s">
        <v>374</v>
      </c>
      <c r="L115" s="628">
        <f>IF(E115="Yes",1,2)</f>
        <v>2</v>
      </c>
      <c r="N115" s="784" t="s">
        <v>564</v>
      </c>
      <c r="P115" s="562"/>
      <c r="U115" s="682" t="b">
        <f t="shared" si="14"/>
        <v>1</v>
      </c>
      <c r="V115" s="362"/>
    </row>
    <row r="116" spans="1:22" ht="72" customHeight="1" x14ac:dyDescent="0.25">
      <c r="A116" s="220">
        <f>'Unit Data from Audit Worksheet'!A131</f>
        <v>97</v>
      </c>
      <c r="B116" s="231" t="str">
        <f>'Unit Data from Audit Worksheet'!C131</f>
        <v>Electric Fund Revenue, Expenses &amp; Changes in Fund Net Position</v>
      </c>
      <c r="C116" s="218" t="str">
        <f>'Unit Data from Audit Worksheet'!D131</f>
        <v>Charges for services</v>
      </c>
      <c r="D116" s="209"/>
      <c r="E116" s="627">
        <f>'Unit Data from Audit Worksheet'!F131</f>
        <v>0</v>
      </c>
      <c r="F116" s="208">
        <f>IF(L116&lt;0,"Error: Enter as a positive.",)</f>
        <v>0</v>
      </c>
      <c r="G116" s="278"/>
      <c r="H116" s="200">
        <f>'Unit Data from Audit Worksheet'!I131</f>
        <v>0</v>
      </c>
      <c r="I116" s="580"/>
      <c r="J116" s="196">
        <v>97</v>
      </c>
      <c r="K116" s="191" t="s">
        <v>316</v>
      </c>
      <c r="L116" s="628">
        <f t="shared" ref="L116:L178" si="15">IF(D116="",E116,D116)</f>
        <v>0</v>
      </c>
      <c r="P116" s="562"/>
      <c r="U116" s="682" t="b">
        <f t="shared" si="14"/>
        <v>1</v>
      </c>
      <c r="V116" s="362"/>
    </row>
    <row r="117" spans="1:22" ht="72" customHeight="1" x14ac:dyDescent="0.25">
      <c r="A117" s="220">
        <f>'Unit Data from Audit Worksheet'!A132</f>
        <v>93</v>
      </c>
      <c r="B117" s="231" t="str">
        <f>'Unit Data from Audit Worksheet'!C132</f>
        <v>Electric Fund Revenue, Expenses &amp; Changes in Fund Net Position</v>
      </c>
      <c r="C117" s="218" t="str">
        <f>'Unit Data from Audit Worksheet'!D132</f>
        <v>Total Operating revenues</v>
      </c>
      <c r="D117" s="318"/>
      <c r="E117" s="627">
        <f>'Unit Data from Audit Worksheet'!F132</f>
        <v>0</v>
      </c>
      <c r="F117" s="208" t="str">
        <f>IF(L116&gt;L117,"Error: Charges for services exceeds total operating revenues Acct 97&gt;=93"," ")</f>
        <v xml:space="preserve"> </v>
      </c>
      <c r="G117" s="321" t="str">
        <f>IF(Q117=1," Included in error count"," ")</f>
        <v xml:space="preserve"> </v>
      </c>
      <c r="H117" s="200">
        <f>'Unit Data from Audit Worksheet'!I132</f>
        <v>0</v>
      </c>
      <c r="I117" s="580"/>
      <c r="J117" s="196">
        <v>93</v>
      </c>
      <c r="K117" s="191" t="s">
        <v>317</v>
      </c>
      <c r="L117" s="628">
        <f t="shared" si="15"/>
        <v>0</v>
      </c>
      <c r="P117" s="562"/>
      <c r="Q117" s="657">
        <f>IF(L116&gt;L117,1,0)</f>
        <v>0</v>
      </c>
      <c r="U117" s="682" t="b">
        <f t="shared" si="14"/>
        <v>1</v>
      </c>
      <c r="V117" s="362">
        <f t="shared" ref="V117:V148" si="16">E116-L116</f>
        <v>0</v>
      </c>
    </row>
    <row r="118" spans="1:22" ht="72" customHeight="1" x14ac:dyDescent="0.25">
      <c r="A118" s="220">
        <f>'Unit Data from Audit Worksheet'!A133</f>
        <v>99</v>
      </c>
      <c r="B118" s="231" t="str">
        <f>'Unit Data from Audit Worksheet'!C133</f>
        <v>Electric Fund Revenue, Expenses &amp; Changes in Fund Net Position</v>
      </c>
      <c r="C118" s="218" t="str">
        <f>'Unit Data from Audit Worksheet'!D133</f>
        <v>Electrical power purchases</v>
      </c>
      <c r="D118" s="318"/>
      <c r="E118" s="627">
        <f>'Unit Data from Audit Worksheet'!F133</f>
        <v>0</v>
      </c>
      <c r="F118" s="208">
        <f>IF(L118&lt;0,"Error: Enter as a positive.",)</f>
        <v>0</v>
      </c>
      <c r="G118" s="278"/>
      <c r="H118" s="200">
        <f>'Unit Data from Audit Worksheet'!I133</f>
        <v>0</v>
      </c>
      <c r="I118" s="580"/>
      <c r="J118" s="196">
        <v>99</v>
      </c>
      <c r="K118" s="191" t="s">
        <v>318</v>
      </c>
      <c r="L118" s="628">
        <f t="shared" si="15"/>
        <v>0</v>
      </c>
      <c r="P118" s="562"/>
      <c r="U118" s="682" t="b">
        <f t="shared" si="14"/>
        <v>1</v>
      </c>
      <c r="V118" s="362">
        <f t="shared" si="16"/>
        <v>0</v>
      </c>
    </row>
    <row r="119" spans="1:22" ht="72" customHeight="1" x14ac:dyDescent="0.25">
      <c r="A119" s="220">
        <f>'Unit Data from Audit Worksheet'!A134</f>
        <v>52</v>
      </c>
      <c r="B119" s="231" t="str">
        <f>'Unit Data from Audit Worksheet'!C134</f>
        <v>Electric Fund Revenue, Expenses &amp; Changes in Fund Net Position</v>
      </c>
      <c r="C119" s="218" t="str">
        <f>'Unit Data from Audit Worksheet'!D134</f>
        <v>Depreciation and amortization expense</v>
      </c>
      <c r="D119" s="318"/>
      <c r="E119" s="627">
        <f>'Unit Data from Audit Worksheet'!F134</f>
        <v>0</v>
      </c>
      <c r="F119" s="401">
        <f>IF(L119&lt;0,"Error: Enter as a positive.",)</f>
        <v>0</v>
      </c>
      <c r="G119" s="278"/>
      <c r="H119" s="200">
        <f>'Unit Data from Audit Worksheet'!I134</f>
        <v>0</v>
      </c>
      <c r="I119" s="580"/>
      <c r="J119" s="196">
        <v>52</v>
      </c>
      <c r="K119" s="191" t="s">
        <v>319</v>
      </c>
      <c r="L119" s="628">
        <f t="shared" si="15"/>
        <v>0</v>
      </c>
      <c r="P119" s="562"/>
      <c r="U119" s="682" t="b">
        <f t="shared" si="14"/>
        <v>1</v>
      </c>
      <c r="V119" s="362">
        <f t="shared" si="16"/>
        <v>0</v>
      </c>
    </row>
    <row r="120" spans="1:22" ht="72" customHeight="1" x14ac:dyDescent="0.25">
      <c r="A120" s="220">
        <f>'Unit Data from Audit Worksheet'!A135</f>
        <v>94</v>
      </c>
      <c r="B120" s="231" t="str">
        <f>'Unit Data from Audit Worksheet'!C135</f>
        <v>Electric Fund Revenue, Expenses &amp; Changes in Fund Net Position</v>
      </c>
      <c r="C120" s="218" t="str">
        <f>'Unit Data from Audit Worksheet'!D135</f>
        <v>Total Operating expenses</v>
      </c>
      <c r="D120" s="318"/>
      <c r="E120" s="627">
        <f>'Unit Data from Audit Worksheet'!F135</f>
        <v>0</v>
      </c>
      <c r="F120" s="401">
        <f>IF(L120&lt;0,"Error: Enter as a positive.",)</f>
        <v>0</v>
      </c>
      <c r="G120" s="278"/>
      <c r="H120" s="200">
        <f>'Unit Data from Audit Worksheet'!I135</f>
        <v>0</v>
      </c>
      <c r="I120" s="580"/>
      <c r="J120" s="196">
        <v>94</v>
      </c>
      <c r="K120" s="191" t="s">
        <v>320</v>
      </c>
      <c r="L120" s="628">
        <f t="shared" si="15"/>
        <v>0</v>
      </c>
      <c r="P120" s="562"/>
      <c r="U120" s="682" t="b">
        <f t="shared" si="14"/>
        <v>1</v>
      </c>
      <c r="V120" s="362">
        <f t="shared" si="16"/>
        <v>0</v>
      </c>
    </row>
    <row r="121" spans="1:22" ht="72" customHeight="1" x14ac:dyDescent="0.25">
      <c r="A121" s="220">
        <f>'Unit Data from Audit Worksheet'!A136</f>
        <v>98</v>
      </c>
      <c r="B121" s="231" t="str">
        <f>'Unit Data from Audit Worksheet'!C136</f>
        <v>Electric Fund Revenue, Expenses &amp; Changes in Fund Net Position</v>
      </c>
      <c r="C121" s="218" t="str">
        <f>'Unit Data from Audit Worksheet'!D136</f>
        <v>Interest expense</v>
      </c>
      <c r="D121" s="318"/>
      <c r="E121" s="627">
        <f>'Unit Data from Audit Worksheet'!F136</f>
        <v>0</v>
      </c>
      <c r="F121" s="401">
        <f>IF(L121&lt;0,"Error: Enter as a positive.",)</f>
        <v>0</v>
      </c>
      <c r="G121" s="278"/>
      <c r="H121" s="200">
        <f>'Unit Data from Audit Worksheet'!I136</f>
        <v>0</v>
      </c>
      <c r="I121" s="580"/>
      <c r="J121" s="196">
        <v>98</v>
      </c>
      <c r="K121" s="191" t="s">
        <v>321</v>
      </c>
      <c r="L121" s="628">
        <f t="shared" si="15"/>
        <v>0</v>
      </c>
      <c r="P121" s="562"/>
      <c r="U121" s="682" t="b">
        <f t="shared" si="14"/>
        <v>1</v>
      </c>
      <c r="V121" s="362">
        <f t="shared" si="16"/>
        <v>0</v>
      </c>
    </row>
    <row r="122" spans="1:22" ht="63" customHeight="1" x14ac:dyDescent="0.25">
      <c r="A122" s="220">
        <f>'Unit Data from Audit Worksheet'!A137</f>
        <v>363</v>
      </c>
      <c r="B122" s="231" t="str">
        <f>'Unit Data from Audit Worksheet'!C137</f>
        <v>Electric Fund Revenue, Expenses &amp; Changes in Fund Net Position</v>
      </c>
      <c r="C122" s="218" t="str">
        <f>'Unit Data from Audit Worksheet'!D137</f>
        <v>Total all the non-operating revenues  
Exclude Capital Contributions.</v>
      </c>
      <c r="D122" s="318"/>
      <c r="E122" s="627">
        <f>'Unit Data from Audit Worksheet'!F137</f>
        <v>0</v>
      </c>
      <c r="F122" s="208"/>
      <c r="G122" s="278"/>
      <c r="H122" s="200">
        <f>'Unit Data from Audit Worksheet'!I137</f>
        <v>0</v>
      </c>
      <c r="I122" s="580"/>
      <c r="J122" s="196">
        <v>363</v>
      </c>
      <c r="K122" s="191" t="s">
        <v>322</v>
      </c>
      <c r="L122" s="628">
        <f t="shared" si="15"/>
        <v>0</v>
      </c>
      <c r="P122" s="562"/>
      <c r="U122" s="682" t="b">
        <f t="shared" si="14"/>
        <v>1</v>
      </c>
      <c r="V122" s="362">
        <f t="shared" si="16"/>
        <v>0</v>
      </c>
    </row>
    <row r="123" spans="1:22" ht="63" customHeight="1" x14ac:dyDescent="0.25">
      <c r="A123" s="220">
        <f>'Unit Data from Audit Worksheet'!A138</f>
        <v>364</v>
      </c>
      <c r="B123" s="231" t="str">
        <f>'Unit Data from Audit Worksheet'!C138</f>
        <v>Electric Fund Revenue, Expenses &amp; Changes in Fund Net Position</v>
      </c>
      <c r="C123" s="218" t="str">
        <f>'Unit Data from Audit Worksheet'!D138</f>
        <v>Total all non-operating expenses.  
Include negative special, extraordinary, or capital contribution.</v>
      </c>
      <c r="D123" s="318"/>
      <c r="E123" s="627">
        <f>'Unit Data from Audit Worksheet'!F138</f>
        <v>0</v>
      </c>
      <c r="F123" s="401">
        <f>IF(L123&lt;0,"Error: Enter as a positive.",)</f>
        <v>0</v>
      </c>
      <c r="G123" s="278"/>
      <c r="H123" s="200">
        <f>'Unit Data from Audit Worksheet'!I138</f>
        <v>0</v>
      </c>
      <c r="I123" s="580"/>
      <c r="J123" s="196">
        <v>364</v>
      </c>
      <c r="K123" s="191" t="s">
        <v>323</v>
      </c>
      <c r="L123" s="628">
        <f t="shared" si="15"/>
        <v>0</v>
      </c>
      <c r="P123" s="562"/>
      <c r="U123" s="682" t="b">
        <f t="shared" si="14"/>
        <v>1</v>
      </c>
      <c r="V123" s="362">
        <f t="shared" si="16"/>
        <v>0</v>
      </c>
    </row>
    <row r="124" spans="1:22" ht="88.5" customHeight="1" x14ac:dyDescent="0.25">
      <c r="A124" s="220">
        <f>'Unit Data from Audit Worksheet'!A139</f>
        <v>192</v>
      </c>
      <c r="B124" s="231" t="str">
        <f>'Unit Data from Audit Worksheet'!C139</f>
        <v>Electric Fund Revenue, Expenses &amp; Changes in Fund Net Position</v>
      </c>
      <c r="C124" s="218" t="str">
        <f>'Unit Data from Audit Worksheet'!D139</f>
        <v>Capital Contributions.  
Include only positive capital Contributions.  Negative capital contributions should be included with 'Total all non-operating expenses.'</v>
      </c>
      <c r="D124" s="318"/>
      <c r="E124" s="627">
        <f>'Unit Data from Audit Worksheet'!F139</f>
        <v>0</v>
      </c>
      <c r="F124" s="401">
        <f>IF(L124&lt;0,"Error: Enter as a positive.",)</f>
        <v>0</v>
      </c>
      <c r="G124" s="278"/>
      <c r="H124" s="200">
        <f>'Unit Data from Audit Worksheet'!I139</f>
        <v>0</v>
      </c>
      <c r="I124" s="580"/>
      <c r="J124" s="196">
        <v>192</v>
      </c>
      <c r="K124" s="191" t="s">
        <v>324</v>
      </c>
      <c r="L124" s="628">
        <f t="shared" si="15"/>
        <v>0</v>
      </c>
      <c r="P124" s="562"/>
      <c r="U124" s="682" t="b">
        <f t="shared" si="14"/>
        <v>1</v>
      </c>
      <c r="V124" s="362">
        <f t="shared" si="16"/>
        <v>0</v>
      </c>
    </row>
    <row r="125" spans="1:22" ht="63" customHeight="1" x14ac:dyDescent="0.25">
      <c r="A125" s="220">
        <f>'Unit Data from Audit Worksheet'!A140</f>
        <v>365</v>
      </c>
      <c r="B125" s="231" t="str">
        <f>'Unit Data from Audit Worksheet'!C140</f>
        <v>Electric Fund Revenue, Expenses &amp; Changes in Fund Net Position</v>
      </c>
      <c r="C125" s="218" t="str">
        <f>'Unit Data from Audit Worksheet'!D140</f>
        <v>Total Transfers In (From all Funds)</v>
      </c>
      <c r="D125" s="318"/>
      <c r="E125" s="627">
        <f>'Unit Data from Audit Worksheet'!F140</f>
        <v>0</v>
      </c>
      <c r="F125" s="208"/>
      <c r="G125" s="278"/>
      <c r="H125" s="200">
        <f>'Unit Data from Audit Worksheet'!I140</f>
        <v>0</v>
      </c>
      <c r="I125" s="580"/>
      <c r="J125" s="196">
        <v>365</v>
      </c>
      <c r="K125" s="191" t="s">
        <v>325</v>
      </c>
      <c r="L125" s="628">
        <f t="shared" si="15"/>
        <v>0</v>
      </c>
      <c r="P125" s="562"/>
      <c r="U125" s="682" t="b">
        <f t="shared" si="14"/>
        <v>1</v>
      </c>
      <c r="V125" s="362">
        <f t="shared" si="16"/>
        <v>0</v>
      </c>
    </row>
    <row r="126" spans="1:22" ht="63" customHeight="1" x14ac:dyDescent="0.25">
      <c r="A126" s="220">
        <f>'Unit Data from Audit Worksheet'!A141</f>
        <v>366</v>
      </c>
      <c r="B126" s="231" t="str">
        <f>'Unit Data from Audit Worksheet'!C141</f>
        <v>Electric Fund Revenue, Expenses &amp; Changes in Fund Net Position</v>
      </c>
      <c r="C126" s="218" t="str">
        <f>'Unit Data from Audit Worksheet'!D141</f>
        <v>Total Transfers Out (To all funds)</v>
      </c>
      <c r="D126" s="318"/>
      <c r="E126" s="627">
        <f>'Unit Data from Audit Worksheet'!F141</f>
        <v>0</v>
      </c>
      <c r="F126" s="401">
        <f>IF(L126&lt;0,"Error: Enter as a positive.",)</f>
        <v>0</v>
      </c>
      <c r="G126" s="278"/>
      <c r="H126" s="200">
        <f>'Unit Data from Audit Worksheet'!I141</f>
        <v>0</v>
      </c>
      <c r="I126" s="580"/>
      <c r="J126" s="196">
        <v>366</v>
      </c>
      <c r="K126" s="191" t="s">
        <v>553</v>
      </c>
      <c r="L126" s="628">
        <f t="shared" si="15"/>
        <v>0</v>
      </c>
      <c r="P126" s="562"/>
      <c r="U126" s="682" t="b">
        <f t="shared" si="14"/>
        <v>1</v>
      </c>
      <c r="V126" s="362">
        <f t="shared" si="16"/>
        <v>0</v>
      </c>
    </row>
    <row r="127" spans="1:22" ht="90" customHeight="1" x14ac:dyDescent="0.25">
      <c r="A127" s="403">
        <f>'Unit Data from Audit Worksheet'!A142</f>
        <v>53</v>
      </c>
      <c r="B127" s="405" t="str">
        <f>'Unit Data from Audit Worksheet'!C142</f>
        <v>Electric Fund Revenue, Expenses &amp; Changes in Fund Net Position</v>
      </c>
      <c r="C127" s="402" t="str">
        <f>'Unit Data from Audit Worksheet'!D142</f>
        <v>Change in net position - Increase in net position is recorded as a positive and a (decrease) in net position is recorded as a negative.</v>
      </c>
      <c r="D127" s="377"/>
      <c r="E127" s="627">
        <f>'Unit Data from Audit Worksheet'!F142</f>
        <v>0</v>
      </c>
      <c r="F127" s="401">
        <f>IF(L117-L120+L122-L123+L124+L125-L126-L127=0,,"Error: Total revenues less total exp. does not equal change in net position Acct 93-94+363-364+192+365-366-53=0")</f>
        <v>0</v>
      </c>
      <c r="G127" s="338">
        <f>+L117-L120-L123+L122+L124+L125-L126-L127</f>
        <v>0</v>
      </c>
      <c r="H127" s="399">
        <f>'Unit Data from Audit Worksheet'!I142</f>
        <v>0</v>
      </c>
      <c r="I127" s="580"/>
      <c r="J127" s="410">
        <v>53</v>
      </c>
      <c r="K127" s="409" t="s">
        <v>124</v>
      </c>
      <c r="L127" s="628">
        <f t="shared" si="15"/>
        <v>0</v>
      </c>
      <c r="P127" s="562"/>
      <c r="Q127" s="657">
        <f>IF(G127&lt;&gt;0,1,)</f>
        <v>0</v>
      </c>
      <c r="U127" s="682" t="b">
        <f t="shared" si="14"/>
        <v>1</v>
      </c>
      <c r="V127" s="362">
        <f t="shared" si="16"/>
        <v>0</v>
      </c>
    </row>
    <row r="128" spans="1:22" ht="131.25" customHeight="1" x14ac:dyDescent="0.25">
      <c r="A128" s="220">
        <f>'Unit Data from Audit Worksheet'!A143</f>
        <v>378</v>
      </c>
      <c r="B128" s="231" t="str">
        <f>'Unit Data from Audit Worksheet'!C143</f>
        <v>Electric Fund Revenue, Expenses &amp; Changes in Fund Net Position</v>
      </c>
      <c r="C128" s="218" t="str">
        <f>'Unit Data from Audit Worksheet'!D143</f>
        <v>Increases or (decreases) to beginning electric net position due to rounding, prior period adjustments and restatements.  Increase amounts to beginning net position should be entered as a positive amount and (decreases) should be entered as a negative amount.</v>
      </c>
      <c r="D128" s="318"/>
      <c r="E128" s="627">
        <f>+'Unit Data from Audit Worksheet'!F143</f>
        <v>0</v>
      </c>
      <c r="F128" s="208" t="e">
        <f>IF(L101-L127-L128=O101,,"Error: Beg. Bal does not agree with our records Acct 362-53-378= pr yr 362")</f>
        <v>#N/A</v>
      </c>
      <c r="G128" s="338" t="e">
        <f>L101-L127-L128-O101</f>
        <v>#N/A</v>
      </c>
      <c r="H128" s="200">
        <f>'Unit Data from Audit Worksheet'!I143</f>
        <v>0</v>
      </c>
      <c r="I128" s="580"/>
      <c r="J128" s="196">
        <v>378</v>
      </c>
      <c r="K128" s="191" t="s">
        <v>133</v>
      </c>
      <c r="L128" s="628">
        <f t="shared" si="15"/>
        <v>0</v>
      </c>
      <c r="P128" s="562"/>
      <c r="Q128" s="657" t="e">
        <f>IF(G128&lt;&gt;0,1,)</f>
        <v>#N/A</v>
      </c>
      <c r="U128" s="682" t="b">
        <f t="shared" si="14"/>
        <v>1</v>
      </c>
      <c r="V128" s="362">
        <f t="shared" si="16"/>
        <v>0</v>
      </c>
    </row>
    <row r="129" spans="1:22" ht="59.25" customHeight="1" x14ac:dyDescent="0.25">
      <c r="A129" s="220">
        <f>'Unit Data from Audit Worksheet'!A148</f>
        <v>51</v>
      </c>
      <c r="B129" s="231" t="str">
        <f>'Unit Data from Audit Worksheet'!C148</f>
        <v>Water Sewer Cash Flow Statement</v>
      </c>
      <c r="C129" s="218" t="str">
        <f>'Unit Data from Audit Worksheet'!D148</f>
        <v>Total Cash flow from operating activities  - (Enter negative cash flows as negative)</v>
      </c>
      <c r="D129" s="318"/>
      <c r="E129" s="627">
        <f>'Unit Data from Audit Worksheet'!F148</f>
        <v>0</v>
      </c>
      <c r="F129" s="208"/>
      <c r="G129" s="278"/>
      <c r="H129" s="200">
        <f>'Unit Data from Audit Worksheet'!I148</f>
        <v>0</v>
      </c>
      <c r="I129" s="580"/>
      <c r="J129" s="196">
        <v>51</v>
      </c>
      <c r="K129" s="191" t="s">
        <v>326</v>
      </c>
      <c r="L129" s="628">
        <f t="shared" si="15"/>
        <v>0</v>
      </c>
      <c r="P129" s="562"/>
      <c r="U129" s="682" t="b">
        <f t="shared" si="14"/>
        <v>1</v>
      </c>
      <c r="V129" s="362">
        <f t="shared" si="16"/>
        <v>0</v>
      </c>
    </row>
    <row r="130" spans="1:22" ht="59.25" customHeight="1" x14ac:dyDescent="0.25">
      <c r="A130" s="220">
        <f>'Unit Data from Audit Worksheet'!A149</f>
        <v>332</v>
      </c>
      <c r="B130" s="231" t="str">
        <f>'Unit Data from Audit Worksheet'!C149</f>
        <v>Water Sewer Cash Flow Statement</v>
      </c>
      <c r="C130" s="218" t="str">
        <f>'Unit Data from Audit Worksheet'!D149</f>
        <v>Total Capital outlay. 
Include acquisition and construction of capital assets.</v>
      </c>
      <c r="D130" s="318"/>
      <c r="E130" s="627">
        <f>'Unit Data from Audit Worksheet'!F149</f>
        <v>0</v>
      </c>
      <c r="F130" s="401">
        <f>IF(L130&lt;0,"Error: Enter as a positive.",)</f>
        <v>0</v>
      </c>
      <c r="G130" s="278"/>
      <c r="H130" s="200">
        <f>'Unit Data from Audit Worksheet'!I149</f>
        <v>0</v>
      </c>
      <c r="I130" s="580"/>
      <c r="J130" s="196">
        <v>332</v>
      </c>
      <c r="K130" s="191" t="s">
        <v>328</v>
      </c>
      <c r="L130" s="628">
        <f t="shared" si="15"/>
        <v>0</v>
      </c>
      <c r="O130" s="696"/>
      <c r="P130" s="562"/>
      <c r="U130" s="682" t="b">
        <f t="shared" si="14"/>
        <v>1</v>
      </c>
      <c r="V130" s="362">
        <f t="shared" si="16"/>
        <v>0</v>
      </c>
    </row>
    <row r="131" spans="1:22" ht="75" customHeight="1" x14ac:dyDescent="0.25">
      <c r="A131" s="220">
        <f>'Unit Data from Audit Worksheet'!A150</f>
        <v>331</v>
      </c>
      <c r="B131" s="231" t="str">
        <f>'Unit Data from Audit Worksheet'!C150</f>
        <v>Water Sewer Cash Flow Statement</v>
      </c>
      <c r="C131" s="218" t="str">
        <f>'Unit Data from Audit Worksheet'!D150</f>
        <v>Principal paid on long-term debt.  Amount should be reduced by principal payments for debt refunding.</v>
      </c>
      <c r="D131" s="318"/>
      <c r="E131" s="627">
        <f>'Unit Data from Audit Worksheet'!F150</f>
        <v>0</v>
      </c>
      <c r="F131" s="401">
        <f>IF(L131&lt;0,"Error: Enter as a positive.",)</f>
        <v>0</v>
      </c>
      <c r="G131" s="278"/>
      <c r="H131" s="200">
        <f>'Unit Data from Audit Worksheet'!I150</f>
        <v>0</v>
      </c>
      <c r="I131" s="580"/>
      <c r="J131" s="196">
        <v>331</v>
      </c>
      <c r="K131" s="191" t="s">
        <v>327</v>
      </c>
      <c r="L131" s="628">
        <f t="shared" si="15"/>
        <v>0</v>
      </c>
      <c r="O131" s="696"/>
      <c r="P131" s="562"/>
      <c r="U131" s="682" t="b">
        <f t="shared" si="14"/>
        <v>1</v>
      </c>
      <c r="V131" s="362">
        <f t="shared" si="16"/>
        <v>0</v>
      </c>
    </row>
    <row r="132" spans="1:22" ht="59.25" customHeight="1" x14ac:dyDescent="0.25">
      <c r="A132" s="220">
        <f>'Unit Data from Audit Worksheet'!A152</f>
        <v>55</v>
      </c>
      <c r="B132" s="231" t="str">
        <f>'Unit Data from Audit Worksheet'!C152</f>
        <v>Electric Fund Cash Flow Statement</v>
      </c>
      <c r="C132" s="218" t="str">
        <f>'Unit Data from Audit Worksheet'!D152</f>
        <v>Cash flow from operating activities - (enter negative cash flows as negative)</v>
      </c>
      <c r="D132" s="318"/>
      <c r="E132" s="627">
        <f>'Unit Data from Audit Worksheet'!F152</f>
        <v>0</v>
      </c>
      <c r="F132" s="208"/>
      <c r="G132" s="278"/>
      <c r="H132" s="200">
        <f>'Unit Data from Audit Worksheet'!I152</f>
        <v>0</v>
      </c>
      <c r="I132" s="580"/>
      <c r="J132" s="196">
        <v>55</v>
      </c>
      <c r="K132" s="191" t="s">
        <v>329</v>
      </c>
      <c r="L132" s="628">
        <f t="shared" si="15"/>
        <v>0</v>
      </c>
      <c r="P132" s="562"/>
      <c r="U132" s="682" t="b">
        <f t="shared" si="14"/>
        <v>1</v>
      </c>
      <c r="V132" s="362">
        <f t="shared" si="16"/>
        <v>0</v>
      </c>
    </row>
    <row r="133" spans="1:22" ht="59.25" customHeight="1" x14ac:dyDescent="0.25">
      <c r="A133" s="220">
        <f>'Unit Data from Audit Worksheet'!A153</f>
        <v>101</v>
      </c>
      <c r="B133" s="231" t="str">
        <f>'Unit Data from Audit Worksheet'!C153</f>
        <v>Electric Fund Cash Flow Statement</v>
      </c>
      <c r="C133" s="218" t="str">
        <f>'Unit Data from Audit Worksheet'!D153</f>
        <v>Total Capital outlay.  
Include acquisition and construction of capital assets.</v>
      </c>
      <c r="D133" s="318"/>
      <c r="E133" s="627">
        <f>'Unit Data from Audit Worksheet'!F153</f>
        <v>0</v>
      </c>
      <c r="F133" s="401">
        <f>IF(L133&lt;0,"Error: Enter as a positive.",)</f>
        <v>0</v>
      </c>
      <c r="G133" s="278"/>
      <c r="H133" s="200">
        <f>'Unit Data from Audit Worksheet'!I153</f>
        <v>0</v>
      </c>
      <c r="I133" s="580"/>
      <c r="J133" s="196">
        <v>101</v>
      </c>
      <c r="K133" s="191" t="s">
        <v>330</v>
      </c>
      <c r="L133" s="628">
        <f t="shared" si="15"/>
        <v>0</v>
      </c>
      <c r="P133" s="562"/>
      <c r="U133" s="682" t="b">
        <f t="shared" si="14"/>
        <v>1</v>
      </c>
      <c r="V133" s="362">
        <f t="shared" si="16"/>
        <v>0</v>
      </c>
    </row>
    <row r="134" spans="1:22" ht="73.5" customHeight="1" x14ac:dyDescent="0.25">
      <c r="A134" s="220">
        <f>'Unit Data from Audit Worksheet'!A154</f>
        <v>100</v>
      </c>
      <c r="B134" s="231" t="str">
        <f>'Unit Data from Audit Worksheet'!C154</f>
        <v>Electric Fund Cash Flow Statement</v>
      </c>
      <c r="C134" s="218" t="str">
        <f>'Unit Data from Audit Worksheet'!D154</f>
        <v>Principal paid on long-term debt.  Amount should be reduced by principal payments for debt refunding.</v>
      </c>
      <c r="D134" s="318"/>
      <c r="E134" s="627">
        <f>'Unit Data from Audit Worksheet'!F154</f>
        <v>0</v>
      </c>
      <c r="F134" s="401">
        <f>IF(L134&lt;0,"Error: Enter as a positive.",)</f>
        <v>0</v>
      </c>
      <c r="G134" s="278"/>
      <c r="H134" s="200">
        <f>'Unit Data from Audit Worksheet'!I154</f>
        <v>0</v>
      </c>
      <c r="I134" s="580"/>
      <c r="J134" s="196">
        <v>100</v>
      </c>
      <c r="K134" s="191" t="s">
        <v>331</v>
      </c>
      <c r="L134" s="628">
        <f t="shared" si="15"/>
        <v>0</v>
      </c>
      <c r="P134" s="562"/>
      <c r="U134" s="682" t="b">
        <f t="shared" si="14"/>
        <v>1</v>
      </c>
      <c r="V134" s="362">
        <f t="shared" si="16"/>
        <v>0</v>
      </c>
    </row>
    <row r="135" spans="1:22" ht="78.75" customHeight="1" x14ac:dyDescent="0.25">
      <c r="A135" s="220">
        <f>'Unit Data from Audit Worksheet'!A156</f>
        <v>512</v>
      </c>
      <c r="B135" s="231" t="str">
        <f>'Unit Data from Audit Worksheet'!C156</f>
        <v>Fiduciary Statements</v>
      </c>
      <c r="C135" s="218" t="str">
        <f>'Unit Data from Audit Worksheet'!D156</f>
        <v>Cash and investments.  
Include:  unrestricted and restricted.  
                 cash and investments held by a third party</v>
      </c>
      <c r="D135" s="318"/>
      <c r="E135" s="627">
        <f>'Unit Data from Audit Worksheet'!F156</f>
        <v>0</v>
      </c>
      <c r="F135" s="208">
        <f>IF(L135&lt;0,"Error: Number is normally positive.",)</f>
        <v>0</v>
      </c>
      <c r="G135" s="278"/>
      <c r="H135" s="200">
        <f>'Unit Data from Audit Worksheet'!I156</f>
        <v>0</v>
      </c>
      <c r="I135" s="580"/>
      <c r="J135" s="196">
        <v>512</v>
      </c>
      <c r="K135" s="191" t="s">
        <v>332</v>
      </c>
      <c r="L135" s="628">
        <f t="shared" si="15"/>
        <v>0</v>
      </c>
      <c r="P135" s="562"/>
      <c r="U135" s="682" t="b">
        <f t="shared" si="14"/>
        <v>1</v>
      </c>
      <c r="V135" s="362">
        <f t="shared" si="16"/>
        <v>0</v>
      </c>
    </row>
    <row r="136" spans="1:22" ht="108" customHeight="1" x14ac:dyDescent="0.25">
      <c r="A136" s="403">
        <f>'Unit Data from Audit Worksheet'!A158</f>
        <v>535</v>
      </c>
      <c r="B136" s="405" t="str">
        <f>'Unit Data from Audit Worksheet'!C158</f>
        <v>Cash and Investment Note</v>
      </c>
      <c r="C136" s="402" t="str">
        <f>'Unit Data from Audit Worksheet'!D158</f>
        <v>Cash and Investment - Please list the book value of any unspent debt proceeds (bonds, installment, etc.) in any funds as of June 30.  This information may be on the face of your statements or in the notes</v>
      </c>
      <c r="D136" s="377"/>
      <c r="E136" s="627">
        <f>'Unit Data from Audit Worksheet'!F158</f>
        <v>0</v>
      </c>
      <c r="F136" s="316" t="str">
        <f>IF(L136&gt;1,,"Reminder: Please make sure you have entered all cash and investments from bond proceeds, if applicable")</f>
        <v>Reminder: Please make sure you have entered all cash and investments from bond proceeds, if applicable</v>
      </c>
      <c r="G136" s="406"/>
      <c r="H136" s="399">
        <f>'Unit Data from Audit Worksheet'!I158</f>
        <v>0</v>
      </c>
      <c r="I136" s="580"/>
      <c r="J136" s="410">
        <v>535</v>
      </c>
      <c r="K136" s="248" t="s">
        <v>333</v>
      </c>
      <c r="L136" s="628">
        <f t="shared" si="15"/>
        <v>0</v>
      </c>
      <c r="P136" s="562"/>
      <c r="U136" s="682" t="b">
        <f t="shared" si="14"/>
        <v>1</v>
      </c>
      <c r="V136" s="362">
        <f t="shared" si="16"/>
        <v>0</v>
      </c>
    </row>
    <row r="137" spans="1:22" ht="47.25" customHeight="1" x14ac:dyDescent="0.25">
      <c r="A137" s="220">
        <f>'Unit Data from Audit Worksheet'!A162</f>
        <v>334</v>
      </c>
      <c r="B137" s="231" t="str">
        <f>'Unit Data from Audit Worksheet'!C162</f>
        <v>Gov.-Capital Assets Schedule in the Notes</v>
      </c>
      <c r="C137" s="239" t="str">
        <f>'Unit Data from Audit Worksheet'!D162</f>
        <v>Gross value.  
Exclude non-depreciable.</v>
      </c>
      <c r="D137" s="318"/>
      <c r="E137" s="627">
        <f>'Unit Data from Audit Worksheet'!F162</f>
        <v>0</v>
      </c>
      <c r="F137" s="207"/>
      <c r="G137" s="278"/>
      <c r="H137" s="200">
        <f>'Unit Data from Audit Worksheet'!I162</f>
        <v>0</v>
      </c>
      <c r="I137" s="580"/>
      <c r="J137" s="196">
        <v>334</v>
      </c>
      <c r="K137" s="248" t="s">
        <v>356</v>
      </c>
      <c r="L137" s="628">
        <f t="shared" si="15"/>
        <v>0</v>
      </c>
      <c r="P137" s="562"/>
      <c r="U137" s="682" t="b">
        <f t="shared" si="14"/>
        <v>1</v>
      </c>
      <c r="V137" s="362">
        <f t="shared" si="16"/>
        <v>0</v>
      </c>
    </row>
    <row r="138" spans="1:22" ht="47.25" customHeight="1" x14ac:dyDescent="0.25">
      <c r="A138" s="220">
        <f>'Unit Data from Audit Worksheet'!A163</f>
        <v>373</v>
      </c>
      <c r="B138" s="231" t="str">
        <f>'Unit Data from Audit Worksheet'!C163</f>
        <v>Gov.-Capital Assets Schedule in the Notes</v>
      </c>
      <c r="C138" s="239" t="str">
        <f>'Unit Data from Audit Worksheet'!D163</f>
        <v>Accumulated depreciation</v>
      </c>
      <c r="D138" s="318"/>
      <c r="E138" s="627">
        <f>'Unit Data from Audit Worksheet'!F163</f>
        <v>0</v>
      </c>
      <c r="F138" s="207"/>
      <c r="G138" s="278"/>
      <c r="H138" s="200">
        <f>'Unit Data from Audit Worksheet'!I163</f>
        <v>0</v>
      </c>
      <c r="I138" s="580"/>
      <c r="J138" s="196">
        <v>373</v>
      </c>
      <c r="K138" s="259" t="s">
        <v>567</v>
      </c>
      <c r="L138" s="628">
        <f t="shared" si="15"/>
        <v>0</v>
      </c>
      <c r="P138" s="562"/>
      <c r="U138" s="682" t="b">
        <f t="shared" si="14"/>
        <v>1</v>
      </c>
      <c r="V138" s="362">
        <f t="shared" si="16"/>
        <v>0</v>
      </c>
    </row>
    <row r="139" spans="1:22" ht="47.25" customHeight="1" x14ac:dyDescent="0.25">
      <c r="A139" s="220">
        <f>'Unit Data from Audit Worksheet'!A167</f>
        <v>327</v>
      </c>
      <c r="B139" s="231" t="str">
        <f>'Unit Data from Audit Worksheet'!C167</f>
        <v>WS-Capital Assets Schedule in the Notes</v>
      </c>
      <c r="C139" s="239" t="str">
        <f>'Unit Data from Audit Worksheet'!D167</f>
        <v>Land and all other non depreciable capital assets 
Exclude construction in progress</v>
      </c>
      <c r="D139" s="318"/>
      <c r="E139" s="627">
        <f>'Unit Data from Audit Worksheet'!F167</f>
        <v>0</v>
      </c>
      <c r="F139" s="207"/>
      <c r="G139" s="278"/>
      <c r="H139" s="200">
        <f>'Unit Data from Audit Worksheet'!I167</f>
        <v>0</v>
      </c>
      <c r="I139" s="580"/>
      <c r="J139" s="196">
        <v>327</v>
      </c>
      <c r="K139" s="260" t="s">
        <v>568</v>
      </c>
      <c r="L139" s="628">
        <f t="shared" si="15"/>
        <v>0</v>
      </c>
      <c r="P139" s="562"/>
      <c r="U139" s="682" t="b">
        <f t="shared" si="14"/>
        <v>1</v>
      </c>
      <c r="V139" s="362">
        <f t="shared" si="16"/>
        <v>0</v>
      </c>
    </row>
    <row r="140" spans="1:22" ht="47.25" customHeight="1" x14ac:dyDescent="0.25">
      <c r="A140" s="220">
        <f>'Unit Data from Audit Worksheet'!A168</f>
        <v>328</v>
      </c>
      <c r="B140" s="231" t="str">
        <f>'Unit Data from Audit Worksheet'!C168</f>
        <v>WS-Capital Assets Schedule in the Notes</v>
      </c>
      <c r="C140" s="239" t="str">
        <f>'Unit Data from Audit Worksheet'!D168</f>
        <v>Construction in progress</v>
      </c>
      <c r="D140" s="318"/>
      <c r="E140" s="627">
        <f>'Unit Data from Audit Worksheet'!F168</f>
        <v>0</v>
      </c>
      <c r="F140" s="207"/>
      <c r="G140" s="278"/>
      <c r="H140" s="200">
        <f>'Unit Data from Audit Worksheet'!I168</f>
        <v>0</v>
      </c>
      <c r="I140" s="580"/>
      <c r="J140" s="196">
        <v>328</v>
      </c>
      <c r="K140" s="261" t="s">
        <v>569</v>
      </c>
      <c r="L140" s="628">
        <f t="shared" si="15"/>
        <v>0</v>
      </c>
      <c r="P140" s="562"/>
      <c r="U140" s="682" t="b">
        <f t="shared" si="14"/>
        <v>1</v>
      </c>
      <c r="V140" s="362">
        <f t="shared" si="16"/>
        <v>0</v>
      </c>
    </row>
    <row r="141" spans="1:22" ht="47.25" customHeight="1" x14ac:dyDescent="0.25">
      <c r="A141" s="220">
        <f>'Unit Data from Audit Worksheet'!A172</f>
        <v>515</v>
      </c>
      <c r="B141" s="231" t="str">
        <f>'Unit Data from Audit Worksheet'!C172</f>
        <v>WS Capital Assets Schedule-Gross Value</v>
      </c>
      <c r="C141" s="239" t="str">
        <f>'Unit Data from Audit Worksheet'!D172</f>
        <v>Buildings</v>
      </c>
      <c r="D141" s="318"/>
      <c r="E141" s="627">
        <f>'Unit Data from Audit Worksheet'!F172</f>
        <v>0</v>
      </c>
      <c r="F141" s="207"/>
      <c r="G141" s="278"/>
      <c r="H141" s="200">
        <f>'Unit Data from Audit Worksheet'!I172</f>
        <v>0</v>
      </c>
      <c r="I141" s="580"/>
      <c r="J141" s="196">
        <v>515</v>
      </c>
      <c r="K141" s="262" t="s">
        <v>357</v>
      </c>
      <c r="L141" s="628">
        <f t="shared" si="15"/>
        <v>0</v>
      </c>
      <c r="P141" s="562"/>
      <c r="U141" s="682" t="b">
        <f t="shared" si="14"/>
        <v>1</v>
      </c>
      <c r="V141" s="362">
        <f t="shared" si="16"/>
        <v>0</v>
      </c>
    </row>
    <row r="142" spans="1:22" ht="47.25" customHeight="1" x14ac:dyDescent="0.25">
      <c r="A142" s="220">
        <f>'Unit Data from Audit Worksheet'!A173</f>
        <v>516</v>
      </c>
      <c r="B142" s="231" t="str">
        <f>'Unit Data from Audit Worksheet'!C173</f>
        <v>WS Capital Assets Schedule-Gross Value</v>
      </c>
      <c r="C142" s="239" t="str">
        <f>'Unit Data from Audit Worksheet'!D173</f>
        <v>Plant / distributions systems / water lines</v>
      </c>
      <c r="D142" s="318"/>
      <c r="E142" s="627">
        <f>'Unit Data from Audit Worksheet'!F173</f>
        <v>0</v>
      </c>
      <c r="F142" s="207"/>
      <c r="G142" s="278"/>
      <c r="H142" s="200">
        <f>'Unit Data from Audit Worksheet'!I173</f>
        <v>0</v>
      </c>
      <c r="I142" s="580"/>
      <c r="J142" s="196">
        <v>516</v>
      </c>
      <c r="K142" s="262" t="s">
        <v>358</v>
      </c>
      <c r="L142" s="628">
        <f t="shared" si="15"/>
        <v>0</v>
      </c>
      <c r="P142" s="562"/>
      <c r="U142" s="682" t="b">
        <f t="shared" si="14"/>
        <v>1</v>
      </c>
      <c r="V142" s="362">
        <f t="shared" si="16"/>
        <v>0</v>
      </c>
    </row>
    <row r="143" spans="1:22" ht="47.25" customHeight="1" x14ac:dyDescent="0.25">
      <c r="A143" s="220">
        <f>'Unit Data from Audit Worksheet'!A174</f>
        <v>517</v>
      </c>
      <c r="B143" s="231" t="str">
        <f>'Unit Data from Audit Worksheet'!C174</f>
        <v>WS Capital Assets Schedule-Gross Value</v>
      </c>
      <c r="C143" s="239" t="str">
        <f>'Unit Data from Audit Worksheet'!D174</f>
        <v>Infrastructure(other infrastructure)</v>
      </c>
      <c r="D143" s="318"/>
      <c r="E143" s="627">
        <f>'Unit Data from Audit Worksheet'!F174</f>
        <v>0</v>
      </c>
      <c r="F143" s="207"/>
      <c r="G143" s="278"/>
      <c r="H143" s="200">
        <f>'Unit Data from Audit Worksheet'!I174</f>
        <v>0</v>
      </c>
      <c r="I143" s="580"/>
      <c r="J143" s="196">
        <v>517</v>
      </c>
      <c r="K143" s="263" t="s">
        <v>359</v>
      </c>
      <c r="L143" s="628">
        <f t="shared" si="15"/>
        <v>0</v>
      </c>
      <c r="P143" s="562"/>
      <c r="U143" s="682" t="b">
        <f t="shared" si="14"/>
        <v>1</v>
      </c>
      <c r="V143" s="362">
        <f t="shared" si="16"/>
        <v>0</v>
      </c>
    </row>
    <row r="144" spans="1:22" ht="47.25" customHeight="1" x14ac:dyDescent="0.25">
      <c r="A144" s="220">
        <f>'Unit Data from Audit Worksheet'!A175</f>
        <v>518</v>
      </c>
      <c r="B144" s="231" t="str">
        <f>'Unit Data from Audit Worksheet'!C175</f>
        <v>WS Capital Assets Schedule-Gross Value</v>
      </c>
      <c r="C144" s="239" t="str">
        <f>'Unit Data from Audit Worksheet'!D175</f>
        <v>All other depreciable capital assets</v>
      </c>
      <c r="D144" s="318"/>
      <c r="E144" s="627">
        <f>'Unit Data from Audit Worksheet'!F175</f>
        <v>0</v>
      </c>
      <c r="F144" s="207"/>
      <c r="G144" s="278"/>
      <c r="H144" s="200">
        <f>'Unit Data from Audit Worksheet'!I175</f>
        <v>0</v>
      </c>
      <c r="I144" s="580"/>
      <c r="J144" s="196">
        <v>518</v>
      </c>
      <c r="K144" s="263" t="s">
        <v>360</v>
      </c>
      <c r="L144" s="628">
        <f t="shared" si="15"/>
        <v>0</v>
      </c>
      <c r="P144" s="562"/>
      <c r="U144" s="682" t="b">
        <f t="shared" si="14"/>
        <v>1</v>
      </c>
      <c r="V144" s="362">
        <f t="shared" si="16"/>
        <v>0</v>
      </c>
    </row>
    <row r="145" spans="1:22" ht="47.25" customHeight="1" x14ac:dyDescent="0.25">
      <c r="A145" s="220">
        <f>'Unit Data from Audit Worksheet'!A178</f>
        <v>519</v>
      </c>
      <c r="B145" s="231" t="str">
        <f>'Unit Data from Audit Worksheet'!C178</f>
        <v>WS Capital Assets Schedule-Annual Depreciation</v>
      </c>
      <c r="C145" s="239" t="str">
        <f>'Unit Data from Audit Worksheet'!D178</f>
        <v>Buildings annual depreciation</v>
      </c>
      <c r="D145" s="318"/>
      <c r="E145" s="627">
        <f>'Unit Data from Audit Worksheet'!F178</f>
        <v>0</v>
      </c>
      <c r="F145" s="207"/>
      <c r="G145" s="278"/>
      <c r="H145" s="200">
        <f>'Unit Data from Audit Worksheet'!I178</f>
        <v>0</v>
      </c>
      <c r="I145" s="580"/>
      <c r="J145" s="196">
        <v>519</v>
      </c>
      <c r="K145" s="263" t="s">
        <v>361</v>
      </c>
      <c r="L145" s="628">
        <f t="shared" si="15"/>
        <v>0</v>
      </c>
      <c r="P145" s="562"/>
      <c r="U145" s="682" t="b">
        <f t="shared" ref="U145:U176" si="17">EXACT(A144,J144)</f>
        <v>1</v>
      </c>
      <c r="V145" s="362">
        <f t="shared" si="16"/>
        <v>0</v>
      </c>
    </row>
    <row r="146" spans="1:22" ht="47.25" customHeight="1" x14ac:dyDescent="0.25">
      <c r="A146" s="220">
        <f>'Unit Data from Audit Worksheet'!A179</f>
        <v>520</v>
      </c>
      <c r="B146" s="231" t="str">
        <f>'Unit Data from Audit Worksheet'!C179</f>
        <v>WS Capital Assets Schedule-Annual Depreciation</v>
      </c>
      <c r="C146" s="239" t="str">
        <f>'Unit Data from Audit Worksheet'!D179</f>
        <v>Plant / distributions systems / water lines annual depreciation</v>
      </c>
      <c r="D146" s="318"/>
      <c r="E146" s="627">
        <f>'Unit Data from Audit Worksheet'!F179</f>
        <v>0</v>
      </c>
      <c r="F146" s="207"/>
      <c r="G146" s="278"/>
      <c r="H146" s="200">
        <f>'Unit Data from Audit Worksheet'!I179</f>
        <v>0</v>
      </c>
      <c r="I146" s="580"/>
      <c r="J146" s="196">
        <v>520</v>
      </c>
      <c r="K146" s="265" t="s">
        <v>362</v>
      </c>
      <c r="L146" s="628">
        <f t="shared" si="15"/>
        <v>0</v>
      </c>
      <c r="P146" s="562"/>
      <c r="U146" s="682" t="b">
        <f t="shared" si="17"/>
        <v>1</v>
      </c>
      <c r="V146" s="362">
        <f t="shared" si="16"/>
        <v>0</v>
      </c>
    </row>
    <row r="147" spans="1:22" ht="47.25" customHeight="1" x14ac:dyDescent="0.25">
      <c r="A147" s="220">
        <f>'Unit Data from Audit Worksheet'!A180</f>
        <v>521</v>
      </c>
      <c r="B147" s="231" t="str">
        <f>'Unit Data from Audit Worksheet'!C180</f>
        <v>WS Capital Assets Schedule-Annual Depreciation</v>
      </c>
      <c r="C147" s="239" t="str">
        <f>'Unit Data from Audit Worksheet'!D180</f>
        <v>Infrastructure(other infrastructure) annual depreciation</v>
      </c>
      <c r="D147" s="318"/>
      <c r="E147" s="627">
        <f>'Unit Data from Audit Worksheet'!F180</f>
        <v>0</v>
      </c>
      <c r="F147" s="207"/>
      <c r="G147" s="278"/>
      <c r="H147" s="200">
        <f>'Unit Data from Audit Worksheet'!I180</f>
        <v>0</v>
      </c>
      <c r="I147" s="580"/>
      <c r="J147" s="196">
        <v>521</v>
      </c>
      <c r="K147" s="264" t="s">
        <v>363</v>
      </c>
      <c r="L147" s="628">
        <f t="shared" si="15"/>
        <v>0</v>
      </c>
      <c r="P147" s="562"/>
      <c r="U147" s="682" t="b">
        <f t="shared" si="17"/>
        <v>1</v>
      </c>
      <c r="V147" s="362">
        <f t="shared" si="16"/>
        <v>0</v>
      </c>
    </row>
    <row r="148" spans="1:22" ht="47.25" customHeight="1" x14ac:dyDescent="0.25">
      <c r="A148" s="220">
        <f>'Unit Data from Audit Worksheet'!A181</f>
        <v>522</v>
      </c>
      <c r="B148" s="231" t="str">
        <f>'Unit Data from Audit Worksheet'!C181</f>
        <v>WS Capital Assets Schedule-Annual Depreciation</v>
      </c>
      <c r="C148" s="239" t="str">
        <f>'Unit Data from Audit Worksheet'!D181</f>
        <v>All other depreciable capital assets annual depreciation</v>
      </c>
      <c r="D148" s="318"/>
      <c r="E148" s="627">
        <f>'Unit Data from Audit Worksheet'!F181</f>
        <v>0</v>
      </c>
      <c r="F148" s="207"/>
      <c r="G148" s="278"/>
      <c r="H148" s="200">
        <f>'Unit Data from Audit Worksheet'!I181</f>
        <v>0</v>
      </c>
      <c r="I148" s="580"/>
      <c r="J148" s="196">
        <v>522</v>
      </c>
      <c r="K148" s="264" t="s">
        <v>364</v>
      </c>
      <c r="L148" s="628">
        <f t="shared" si="15"/>
        <v>0</v>
      </c>
      <c r="P148" s="562"/>
      <c r="U148" s="682" t="b">
        <f t="shared" si="17"/>
        <v>1</v>
      </c>
      <c r="V148" s="362">
        <f t="shared" si="16"/>
        <v>0</v>
      </c>
    </row>
    <row r="149" spans="1:22" ht="64.5" customHeight="1" x14ac:dyDescent="0.25">
      <c r="A149" s="220">
        <f>'Unit Data from Audit Worksheet'!A184</f>
        <v>523</v>
      </c>
      <c r="B149" s="231" t="str">
        <f>'Unit Data from Audit Worksheet'!C184</f>
        <v>WS Capital Assets Schedule-Accumulated Depreciation</v>
      </c>
      <c r="C149" s="239" t="str">
        <f>'Unit Data from Audit Worksheet'!D184</f>
        <v>Building accumulated depreciation</v>
      </c>
      <c r="D149" s="318"/>
      <c r="E149" s="627">
        <f>'Unit Data from Audit Worksheet'!F184</f>
        <v>0</v>
      </c>
      <c r="F149" s="207"/>
      <c r="G149" s="278"/>
      <c r="H149" s="200">
        <f>'Unit Data from Audit Worksheet'!I184</f>
        <v>0</v>
      </c>
      <c r="I149" s="580"/>
      <c r="J149" s="196">
        <v>523</v>
      </c>
      <c r="K149" s="264" t="s">
        <v>365</v>
      </c>
      <c r="L149" s="628">
        <f t="shared" si="15"/>
        <v>0</v>
      </c>
      <c r="P149" s="562"/>
      <c r="U149" s="682" t="b">
        <f t="shared" si="17"/>
        <v>1</v>
      </c>
      <c r="V149" s="362">
        <f t="shared" ref="V149:V176" si="18">E148-L148</f>
        <v>0</v>
      </c>
    </row>
    <row r="150" spans="1:22" ht="64.5" customHeight="1" x14ac:dyDescent="0.25">
      <c r="A150" s="220">
        <f>'Unit Data from Audit Worksheet'!A185</f>
        <v>524</v>
      </c>
      <c r="B150" s="231" t="str">
        <f>'Unit Data from Audit Worksheet'!C185</f>
        <v>WS Capital Assets Schedule-Accumulated Depreciation</v>
      </c>
      <c r="C150" s="239" t="str">
        <f>'Unit Data from Audit Worksheet'!D185</f>
        <v>Plant / distributions systems / water lines accumulated depreciation</v>
      </c>
      <c r="D150" s="318"/>
      <c r="E150" s="627">
        <f>'Unit Data from Audit Worksheet'!F185</f>
        <v>0</v>
      </c>
      <c r="F150" s="207"/>
      <c r="G150" s="278"/>
      <c r="H150" s="200">
        <f>'Unit Data from Audit Worksheet'!I185</f>
        <v>0</v>
      </c>
      <c r="I150" s="580"/>
      <c r="J150" s="196">
        <v>524</v>
      </c>
      <c r="K150" s="264" t="s">
        <v>366</v>
      </c>
      <c r="L150" s="628">
        <f t="shared" si="15"/>
        <v>0</v>
      </c>
      <c r="P150" s="562"/>
      <c r="U150" s="682" t="b">
        <f t="shared" si="17"/>
        <v>1</v>
      </c>
      <c r="V150" s="362">
        <f t="shared" si="18"/>
        <v>0</v>
      </c>
    </row>
    <row r="151" spans="1:22" ht="64.5" customHeight="1" x14ac:dyDescent="0.25">
      <c r="A151" s="220">
        <f>'Unit Data from Audit Worksheet'!A186</f>
        <v>525</v>
      </c>
      <c r="B151" s="231" t="str">
        <f>'Unit Data from Audit Worksheet'!C186</f>
        <v>WS Capital Assets Schedule-Accumulated Depreciation</v>
      </c>
      <c r="C151" s="239" t="str">
        <f>'Unit Data from Audit Worksheet'!D186</f>
        <v>Infrastructure(other infrastructure) accumulated depreciation</v>
      </c>
      <c r="D151" s="318"/>
      <c r="E151" s="627">
        <f>'Unit Data from Audit Worksheet'!F186</f>
        <v>0</v>
      </c>
      <c r="F151" s="207"/>
      <c r="G151" s="278"/>
      <c r="H151" s="200">
        <f>'Unit Data from Audit Worksheet'!I186</f>
        <v>0</v>
      </c>
      <c r="I151" s="580"/>
      <c r="J151" s="196">
        <v>525</v>
      </c>
      <c r="K151" s="264" t="s">
        <v>367</v>
      </c>
      <c r="L151" s="628">
        <f t="shared" si="15"/>
        <v>0</v>
      </c>
      <c r="P151" s="562"/>
      <c r="U151" s="682" t="b">
        <f t="shared" si="17"/>
        <v>1</v>
      </c>
      <c r="V151" s="362">
        <f t="shared" si="18"/>
        <v>0</v>
      </c>
    </row>
    <row r="152" spans="1:22" ht="64.5" customHeight="1" x14ac:dyDescent="0.25">
      <c r="A152" s="220">
        <f>'Unit Data from Audit Worksheet'!A187</f>
        <v>526</v>
      </c>
      <c r="B152" s="231" t="str">
        <f>'Unit Data from Audit Worksheet'!C187</f>
        <v>WS Capital Assets Schedule-Accumulated Depreciation</v>
      </c>
      <c r="C152" s="239" t="str">
        <f>'Unit Data from Audit Worksheet'!D187</f>
        <v>All other depreciable capital assets accumulated depreciation</v>
      </c>
      <c r="D152" s="318"/>
      <c r="E152" s="627">
        <f>'Unit Data from Audit Worksheet'!F187</f>
        <v>0</v>
      </c>
      <c r="F152" s="207"/>
      <c r="G152" s="278"/>
      <c r="H152" s="200">
        <f>'Unit Data from Audit Worksheet'!I187</f>
        <v>0</v>
      </c>
      <c r="I152" s="580"/>
      <c r="J152" s="196">
        <v>526</v>
      </c>
      <c r="K152" s="266" t="s">
        <v>368</v>
      </c>
      <c r="L152" s="628">
        <f t="shared" si="15"/>
        <v>0</v>
      </c>
      <c r="P152" s="562"/>
      <c r="U152" s="682" t="b">
        <f t="shared" si="17"/>
        <v>1</v>
      </c>
      <c r="V152" s="362">
        <f t="shared" si="18"/>
        <v>0</v>
      </c>
    </row>
    <row r="153" spans="1:22" ht="47.25" customHeight="1" x14ac:dyDescent="0.25">
      <c r="A153" s="220">
        <f>'Unit Data from Audit Worksheet'!A192</f>
        <v>527</v>
      </c>
      <c r="B153" s="231" t="str">
        <f>'Unit Data from Audit Worksheet'!C192</f>
        <v>Electric Assets</v>
      </c>
      <c r="C153" s="239" t="str">
        <f>'Unit Data from Audit Worksheet'!D192</f>
        <v>Total Assets Gross value not being depreciated for Electric Fund</v>
      </c>
      <c r="D153" s="318"/>
      <c r="E153" s="627">
        <f>'Unit Data from Audit Worksheet'!F192</f>
        <v>0</v>
      </c>
      <c r="F153" s="207"/>
      <c r="G153" s="278"/>
      <c r="H153" s="200">
        <f>'Unit Data from Audit Worksheet'!I192</f>
        <v>0</v>
      </c>
      <c r="I153" s="580"/>
      <c r="J153" s="196">
        <v>527</v>
      </c>
      <c r="K153" s="266" t="s">
        <v>369</v>
      </c>
      <c r="L153" s="628">
        <f t="shared" si="15"/>
        <v>0</v>
      </c>
      <c r="P153" s="562"/>
      <c r="U153" s="682" t="b">
        <f t="shared" si="17"/>
        <v>1</v>
      </c>
      <c r="V153" s="362">
        <f t="shared" si="18"/>
        <v>0</v>
      </c>
    </row>
    <row r="154" spans="1:22" ht="47.25" customHeight="1" x14ac:dyDescent="0.25">
      <c r="A154" s="220">
        <f>'Unit Data from Audit Worksheet'!A193</f>
        <v>356</v>
      </c>
      <c r="B154" s="231" t="str">
        <f>'Unit Data from Audit Worksheet'!C193</f>
        <v>Electric Assets</v>
      </c>
      <c r="C154" s="239" t="str">
        <f>'Unit Data from Audit Worksheet'!D193</f>
        <v>Total Assets Gross value of assets being depreciated for Electric Fund</v>
      </c>
      <c r="D154" s="318"/>
      <c r="E154" s="627">
        <f>'Unit Data from Audit Worksheet'!F193</f>
        <v>0</v>
      </c>
      <c r="F154" s="207"/>
      <c r="G154" s="278"/>
      <c r="H154" s="200">
        <f>'Unit Data from Audit Worksheet'!I193</f>
        <v>0</v>
      </c>
      <c r="I154" s="580"/>
      <c r="J154" s="196">
        <v>356</v>
      </c>
      <c r="K154" s="267" t="s">
        <v>570</v>
      </c>
      <c r="L154" s="628">
        <f t="shared" si="15"/>
        <v>0</v>
      </c>
      <c r="P154" s="562"/>
      <c r="U154" s="682" t="b">
        <f t="shared" si="17"/>
        <v>1</v>
      </c>
      <c r="V154" s="362">
        <f t="shared" si="18"/>
        <v>0</v>
      </c>
    </row>
    <row r="155" spans="1:22" ht="47.25" customHeight="1" x14ac:dyDescent="0.25">
      <c r="A155" s="220">
        <f>'Unit Data from Audit Worksheet'!A194</f>
        <v>357</v>
      </c>
      <c r="B155" s="231" t="str">
        <f>'Unit Data from Audit Worksheet'!C194</f>
        <v>Electric Accumulated Depreciation</v>
      </c>
      <c r="C155" s="239" t="str">
        <f>'Unit Data from Audit Worksheet'!D194</f>
        <v>Total accumulated depreciation for Electric Fund assets</v>
      </c>
      <c r="D155" s="318"/>
      <c r="E155" s="627">
        <f>'Unit Data from Audit Worksheet'!F194</f>
        <v>0</v>
      </c>
      <c r="F155" s="207"/>
      <c r="G155" s="278"/>
      <c r="H155" s="200">
        <f>'Unit Data from Audit Worksheet'!I194</f>
        <v>0</v>
      </c>
      <c r="I155" s="580"/>
      <c r="J155" s="196">
        <v>357</v>
      </c>
      <c r="K155" s="268" t="s">
        <v>571</v>
      </c>
      <c r="L155" s="628">
        <f t="shared" si="15"/>
        <v>0</v>
      </c>
      <c r="P155" s="562"/>
      <c r="U155" s="682" t="b">
        <f t="shared" si="17"/>
        <v>1</v>
      </c>
      <c r="V155" s="362">
        <f t="shared" si="18"/>
        <v>0</v>
      </c>
    </row>
    <row r="156" spans="1:22" ht="186" customHeight="1" x14ac:dyDescent="0.25">
      <c r="A156" s="328">
        <f>'Unit Data from Audit Worksheet'!A196</f>
        <v>337</v>
      </c>
      <c r="B156" s="231" t="str">
        <f>'Unit Data from Audit Worksheet'!C196</f>
        <v>Long-Term Liability Note - Governmental Activities</v>
      </c>
      <c r="C156" s="231" t="str">
        <f>'Unit Data from Audit Worksheet'!D196</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56" s="318"/>
      <c r="E156" s="627">
        <f>'Unit Data from Audit Worksheet'!F196</f>
        <v>0</v>
      </c>
      <c r="F156" s="401">
        <f>IF(L156&lt;0,"Error: Enter as a positive.",)</f>
        <v>0</v>
      </c>
      <c r="G156" s="278"/>
      <c r="H156" s="200">
        <f>'Unit Data from Audit Worksheet'!I196</f>
        <v>0</v>
      </c>
      <c r="I156" s="580"/>
      <c r="J156" s="326">
        <v>337</v>
      </c>
      <c r="K156" s="191" t="s">
        <v>334</v>
      </c>
      <c r="L156" s="628">
        <f t="shared" si="15"/>
        <v>0</v>
      </c>
      <c r="P156" s="562"/>
      <c r="U156" s="682" t="b">
        <f t="shared" si="17"/>
        <v>1</v>
      </c>
      <c r="V156" s="362">
        <f t="shared" si="18"/>
        <v>0</v>
      </c>
    </row>
    <row r="157" spans="1:22" ht="63" customHeight="1" x14ac:dyDescent="0.25">
      <c r="A157" s="220">
        <f>'Unit Data from Audit Worksheet'!A197</f>
        <v>343</v>
      </c>
      <c r="B157" s="231" t="str">
        <f>'Unit Data from Audit Worksheet'!C197</f>
        <v>Long-Term Liability Note - Governmental Activities</v>
      </c>
      <c r="C157" s="218" t="str">
        <f>'Unit Data from Audit Worksheet'!D197</f>
        <v>Decreases made (principal paid) on Long-Term Debt in current fiscal year.  Reduce for debt refunding.</v>
      </c>
      <c r="D157" s="318"/>
      <c r="E157" s="627">
        <f>'Unit Data from Audit Worksheet'!F197</f>
        <v>0</v>
      </c>
      <c r="F157" s="401">
        <f>IF(L157&lt;0,"Error: Enter as a positive.",)</f>
        <v>0</v>
      </c>
      <c r="G157" s="278"/>
      <c r="H157" s="200">
        <f>'Unit Data from Audit Worksheet'!I197</f>
        <v>0</v>
      </c>
      <c r="I157" s="580"/>
      <c r="J157" s="196">
        <v>343</v>
      </c>
      <c r="K157" s="191" t="s">
        <v>335</v>
      </c>
      <c r="L157" s="628">
        <f t="shared" si="15"/>
        <v>0</v>
      </c>
      <c r="P157" s="562"/>
      <c r="U157" s="682" t="b">
        <f t="shared" si="17"/>
        <v>1</v>
      </c>
      <c r="V157" s="362">
        <f t="shared" si="18"/>
        <v>0</v>
      </c>
    </row>
    <row r="158" spans="1:22" ht="179.25" customHeight="1" x14ac:dyDescent="0.25">
      <c r="A158" s="220">
        <f>'Unit Data from Audit Worksheet'!A198</f>
        <v>82</v>
      </c>
      <c r="B158" s="231" t="str">
        <f>'Unit Data from Audit Worksheet'!C198</f>
        <v>Long-Term Liability Note - Water Sewer Activities</v>
      </c>
      <c r="C158" s="231" t="str">
        <f>'Unit Data from Audit Worksheet'!D198</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58" s="318"/>
      <c r="E158" s="627">
        <f>'Unit Data from Audit Worksheet'!F198</f>
        <v>0</v>
      </c>
      <c r="F158" s="401">
        <f>IF(L158&lt;0,"Error: Enter as a positive.",)</f>
        <v>0</v>
      </c>
      <c r="G158" s="278"/>
      <c r="H158" s="200">
        <f>'Unit Data from Audit Worksheet'!I198</f>
        <v>0</v>
      </c>
      <c r="I158" s="580"/>
      <c r="J158" s="196">
        <v>82</v>
      </c>
      <c r="K158" s="269" t="s">
        <v>572</v>
      </c>
      <c r="L158" s="628">
        <f t="shared" si="15"/>
        <v>0</v>
      </c>
      <c r="P158" s="562"/>
      <c r="U158" s="682" t="b">
        <f t="shared" si="17"/>
        <v>1</v>
      </c>
      <c r="V158" s="362">
        <f t="shared" si="18"/>
        <v>0</v>
      </c>
    </row>
    <row r="159" spans="1:22" ht="177" customHeight="1" x14ac:dyDescent="0.25">
      <c r="A159" s="220">
        <f>'Unit Data from Audit Worksheet'!A199</f>
        <v>359</v>
      </c>
      <c r="B159" s="231" t="str">
        <f>'Unit Data from Audit Worksheet'!C199</f>
        <v>Long-Term Liability Note - Electric Activities</v>
      </c>
      <c r="C159" s="231" t="str">
        <f>'Unit Data from Audit Worksheet'!D199</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59" s="318"/>
      <c r="E159" s="627">
        <f>'Unit Data from Audit Worksheet'!F199</f>
        <v>0</v>
      </c>
      <c r="F159" s="401">
        <f>IF(L159&lt;0,"Error: Enter as a positive.",)</f>
        <v>0</v>
      </c>
      <c r="G159" s="278"/>
      <c r="H159" s="200">
        <f>'Unit Data from Audit Worksheet'!I199</f>
        <v>0</v>
      </c>
      <c r="I159" s="580"/>
      <c r="J159" s="196">
        <v>359</v>
      </c>
      <c r="K159" s="191" t="s">
        <v>336</v>
      </c>
      <c r="L159" s="628">
        <f t="shared" si="15"/>
        <v>0</v>
      </c>
      <c r="P159" s="562"/>
      <c r="U159" s="682" t="b">
        <f t="shared" si="17"/>
        <v>1</v>
      </c>
      <c r="V159" s="362">
        <f t="shared" si="18"/>
        <v>0</v>
      </c>
    </row>
    <row r="160" spans="1:22" ht="75.75" customHeight="1" x14ac:dyDescent="0.25">
      <c r="A160" s="403">
        <f>'Unit Data from Audit Worksheet'!A201</f>
        <v>622</v>
      </c>
      <c r="B160" s="405" t="str">
        <f>'Unit Data from Audit Worksheet'!C201</f>
        <v>FS., Pension note or RSI</v>
      </c>
      <c r="C160" s="405" t="str">
        <f>'Unit Data from Audit Worksheet'!D201</f>
        <v xml:space="preserve">Unit's Share of Net Pension Liability ($s)
- unit of government is a participating employer in the State's TSERS (Teachers' and State Employees' Retirement System) or the LGERS (Local Governmental Employees' Retirement System).  </v>
      </c>
      <c r="D160" s="377"/>
      <c r="E160" s="627">
        <f>'Unit Data from Audit Worksheet'!F201</f>
        <v>0</v>
      </c>
      <c r="F160" s="401"/>
      <c r="G160" s="406"/>
      <c r="H160" s="399"/>
      <c r="I160" s="580"/>
      <c r="J160" s="410">
        <v>622</v>
      </c>
      <c r="K160" s="336" t="s">
        <v>673</v>
      </c>
      <c r="L160" s="628">
        <f t="shared" si="15"/>
        <v>0</v>
      </c>
      <c r="P160" s="562"/>
      <c r="U160" s="682" t="b">
        <f t="shared" si="17"/>
        <v>1</v>
      </c>
      <c r="V160" s="362">
        <f t="shared" si="18"/>
        <v>0</v>
      </c>
    </row>
    <row r="161" spans="1:25" ht="114.75" customHeight="1" x14ac:dyDescent="0.25">
      <c r="A161" s="328">
        <f>'Unit Data from Audit Worksheet'!A202</f>
        <v>577</v>
      </c>
      <c r="B161" s="329" t="str">
        <f>'Unit Data from Audit Worksheet'!C202</f>
        <v>Pension Notes</v>
      </c>
      <c r="C161" s="329" t="str">
        <f>'Unit Data from Audit Worksheet'!D202</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v>
      </c>
      <c r="D161" s="318"/>
      <c r="E161" s="627" t="str">
        <f>IF('Unit Data from Audit Worksheet'!F202="Yes",1,IF('Unit Data from Audit Worksheet'!F202="No",2,IF('Unit Data from Audit Worksheet'!F202&lt;1,"",IF('Unit Data from Audit Worksheet'!F202=0&gt;2,""))))</f>
        <v/>
      </c>
      <c r="F161" s="324"/>
      <c r="G161" s="321"/>
      <c r="H161" s="200"/>
      <c r="I161" s="580"/>
      <c r="J161" s="326">
        <v>577</v>
      </c>
      <c r="K161" s="303" t="s">
        <v>604</v>
      </c>
      <c r="L161" s="628" t="str">
        <f t="shared" si="15"/>
        <v/>
      </c>
      <c r="P161" s="562"/>
      <c r="U161" s="682" t="b">
        <f t="shared" si="17"/>
        <v>1</v>
      </c>
      <c r="V161" s="362">
        <f t="shared" si="18"/>
        <v>0</v>
      </c>
    </row>
    <row r="162" spans="1:25" ht="90" x14ac:dyDescent="0.25">
      <c r="A162" s="250">
        <f>'Unit Data from Audit Worksheet'!A204</f>
        <v>598</v>
      </c>
      <c r="B162" s="329" t="str">
        <f>'Unit Data from Audit Worksheet'!C204</f>
        <v>LEO Note</v>
      </c>
      <c r="C162" s="327" t="str">
        <f>'Unit Data from Audit Worksheet'!D204</f>
        <v>Amount the unit paid out in benefits under LEO special separation allowance to retired law enforcement officers this fiscal year if you report under GASB 68 or GASB 73.</v>
      </c>
      <c r="D162" s="318"/>
      <c r="E162" s="627">
        <f>'Unit Data from Audit Worksheet'!F204</f>
        <v>0</v>
      </c>
      <c r="F162" s="401">
        <f>IF(L162&lt;0,"Error: Enter as a positive.",)</f>
        <v>0</v>
      </c>
      <c r="G162" s="278"/>
      <c r="H162" s="200">
        <f>'Unit Data from Audit Worksheet'!I204</f>
        <v>0</v>
      </c>
      <c r="I162" s="580"/>
      <c r="J162" s="344" t="s">
        <v>640</v>
      </c>
      <c r="K162" s="346" t="s">
        <v>642</v>
      </c>
      <c r="L162" s="628">
        <f t="shared" si="15"/>
        <v>0</v>
      </c>
      <c r="P162" s="562"/>
      <c r="U162" s="682" t="b">
        <f t="shared" si="17"/>
        <v>1</v>
      </c>
      <c r="V162" s="362" t="e">
        <f t="shared" si="18"/>
        <v>#VALUE!</v>
      </c>
    </row>
    <row r="163" spans="1:25" ht="51" customHeight="1" x14ac:dyDescent="0.25">
      <c r="A163" s="328">
        <f>'Unit Data from Audit Worksheet'!A205</f>
        <v>599</v>
      </c>
      <c r="B163" s="329" t="str">
        <f>'Unit Data from Audit Worksheet'!C205</f>
        <v>LEO Note</v>
      </c>
      <c r="C163" s="327" t="str">
        <f>'Unit Data from Audit Worksheet'!D205</f>
        <v>The total LEO pension liability if you report under GASB 68 or GASB 73.</v>
      </c>
      <c r="D163" s="318"/>
      <c r="E163" s="627">
        <f>'Unit Data from Audit Worksheet'!F205</f>
        <v>0</v>
      </c>
      <c r="F163" s="401">
        <f>IF(L163&lt;0,"Error: Enter as a positive.",)</f>
        <v>0</v>
      </c>
      <c r="G163" s="321"/>
      <c r="H163" s="200">
        <f>'Unit Data from Audit Worksheet'!I205</f>
        <v>0</v>
      </c>
      <c r="I163" s="580"/>
      <c r="J163" s="326">
        <v>599</v>
      </c>
      <c r="K163" s="345" t="s">
        <v>641</v>
      </c>
      <c r="L163" s="628">
        <f t="shared" si="15"/>
        <v>0</v>
      </c>
      <c r="M163" s="55"/>
      <c r="P163" s="562"/>
      <c r="U163" s="682" t="b">
        <f t="shared" si="17"/>
        <v>1</v>
      </c>
      <c r="V163" s="362">
        <f t="shared" si="18"/>
        <v>0</v>
      </c>
    </row>
    <row r="164" spans="1:25" ht="92.25" customHeight="1" x14ac:dyDescent="0.25">
      <c r="A164" s="328">
        <f>'Unit Data from Audit Worksheet'!A206</f>
        <v>602</v>
      </c>
      <c r="B164" s="329" t="str">
        <f>'Unit Data from Audit Worksheet'!C206</f>
        <v>LEO Note</v>
      </c>
      <c r="C164" s="327" t="str">
        <f>'Unit Data from Audit Worksheet'!D206</f>
        <v>If you have LEO pension assets and are reporting under GASB 68 please enter "Plan Fiduciary Net Position" which can be found on your RSI schedules and the Notes.</v>
      </c>
      <c r="D164" s="318"/>
      <c r="E164" s="627">
        <f>'Unit Data from Audit Worksheet'!F206</f>
        <v>0</v>
      </c>
      <c r="F164" s="401">
        <f>IF(L164&lt;0,"Error: Enter as a positive.",)</f>
        <v>0</v>
      </c>
      <c r="G164" s="321"/>
      <c r="H164" s="200">
        <f>'Unit Data from Audit Worksheet'!I206</f>
        <v>0</v>
      </c>
      <c r="I164" s="580"/>
      <c r="J164" s="326">
        <v>602</v>
      </c>
      <c r="K164" s="341" t="s">
        <v>643</v>
      </c>
      <c r="L164" s="628">
        <f t="shared" si="15"/>
        <v>0</v>
      </c>
      <c r="M164" s="55"/>
      <c r="P164" s="562"/>
      <c r="R164" s="364"/>
      <c r="U164" s="682" t="b">
        <f t="shared" si="17"/>
        <v>1</v>
      </c>
      <c r="V164" s="362">
        <f t="shared" si="18"/>
        <v>0</v>
      </c>
    </row>
    <row r="165" spans="1:25" ht="119.25" customHeight="1" x14ac:dyDescent="0.25">
      <c r="A165" s="328">
        <f>'Unit Data from Audit Worksheet'!A207</f>
        <v>619</v>
      </c>
      <c r="B165" s="329" t="str">
        <f>'Unit Data from Audit Worksheet'!C207</f>
        <v>LEO
RSI</v>
      </c>
      <c r="C165" s="363" t="str">
        <f>'Unit Data from Audit Worksheet'!D207</f>
        <v>LEOSSA – What is the plan’s fiduciary net position as a percentage of the total pension liability?  Please enter as percentage value; for example, 83.5% should be entered as 83.5.  If assets have not been set aside in a trust, please enter 0.0</v>
      </c>
      <c r="D165" s="347"/>
      <c r="E165" s="619">
        <f>'Unit Data from Audit Worksheet'!F207</f>
        <v>0</v>
      </c>
      <c r="F165" s="324" t="str">
        <f>IF(H165=L165,"","Column L does not equal Column H")</f>
        <v/>
      </c>
      <c r="G165" s="321"/>
      <c r="H165" s="368">
        <f>ROUND(IFERROR((L164/L163)*100,0),1)</f>
        <v>0</v>
      </c>
      <c r="I165" s="580"/>
      <c r="J165" s="854">
        <v>619</v>
      </c>
      <c r="K165" s="857" t="s">
        <v>1023</v>
      </c>
      <c r="L165" s="855">
        <f t="shared" si="15"/>
        <v>0</v>
      </c>
      <c r="M165" s="55"/>
      <c r="P165" s="562"/>
      <c r="Q165" s="657" t="str">
        <f>IF(H165=L165,"",1)</f>
        <v/>
      </c>
      <c r="R165" s="364"/>
      <c r="U165" s="682" t="b">
        <f t="shared" si="17"/>
        <v>1</v>
      </c>
      <c r="V165" s="362">
        <f t="shared" si="18"/>
        <v>0</v>
      </c>
    </row>
    <row r="166" spans="1:25" ht="90" customHeight="1" x14ac:dyDescent="0.25">
      <c r="A166" s="342">
        <v>621</v>
      </c>
      <c r="B166" s="851" t="s">
        <v>666</v>
      </c>
      <c r="C166" s="853" t="str">
        <f>'Unit Data from Audit Worksheet'!D209</f>
        <v>Unit's share of RHBF Net OPEB Liability ($s)
- unit of government is a participating employer in the State's RHBF (Retiree Health Benefit Fund)</v>
      </c>
      <c r="D166" s="852"/>
      <c r="E166" s="630">
        <f>'Unit Data from Audit Worksheet'!F209</f>
        <v>0</v>
      </c>
      <c r="F166" s="359">
        <f>IF(L166&lt;0,"Error: Enter as a positive.",)</f>
        <v>0</v>
      </c>
      <c r="G166" s="820"/>
      <c r="H166" s="361"/>
      <c r="I166" s="580"/>
      <c r="J166" s="821">
        <v>621</v>
      </c>
      <c r="K166" s="856" t="s">
        <v>1024</v>
      </c>
      <c r="L166" s="623">
        <f t="shared" si="15"/>
        <v>0</v>
      </c>
      <c r="M166" s="55"/>
      <c r="P166" s="562"/>
      <c r="Q166" s="364"/>
      <c r="R166" s="364"/>
      <c r="U166" s="682" t="b">
        <f t="shared" si="17"/>
        <v>1</v>
      </c>
      <c r="V166" s="362">
        <f t="shared" si="18"/>
        <v>0</v>
      </c>
    </row>
    <row r="167" spans="1:25" ht="123" customHeight="1" x14ac:dyDescent="0.25">
      <c r="A167" s="250">
        <f>'Unit Data from Audit Worksheet'!A210</f>
        <v>547</v>
      </c>
      <c r="B167" s="231" t="str">
        <f>'Unit Data from Audit Worksheet'!C210</f>
        <v>OPEB Note</v>
      </c>
      <c r="C167" s="234" t="str">
        <f>'Unit Data from Audit Worksheet'!D210</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v>
      </c>
      <c r="D167" s="318"/>
      <c r="E167" s="627">
        <f>'Unit Data from Audit Worksheet'!F210</f>
        <v>0</v>
      </c>
      <c r="F167" s="208" t="str">
        <f>IF(L170&lt;1,"Please answer this question","")</f>
        <v>Please answer this question</v>
      </c>
      <c r="G167" s="278"/>
      <c r="H167" s="200">
        <f>'Unit Data from Audit Worksheet'!I210</f>
        <v>0</v>
      </c>
      <c r="I167" s="580"/>
      <c r="J167" s="196">
        <v>547</v>
      </c>
      <c r="K167" s="847" t="s">
        <v>555</v>
      </c>
      <c r="L167" s="628">
        <f t="shared" si="15"/>
        <v>0</v>
      </c>
      <c r="M167" s="55"/>
      <c r="P167" s="562"/>
      <c r="R167" s="364"/>
      <c r="U167" s="682" t="b">
        <f t="shared" si="17"/>
        <v>1</v>
      </c>
      <c r="V167" s="362">
        <f t="shared" si="18"/>
        <v>0</v>
      </c>
    </row>
    <row r="168" spans="1:25" ht="111.75" customHeight="1" x14ac:dyDescent="0.25">
      <c r="A168" s="601">
        <f>'Unit Data from Audit Worksheet'!A211</f>
        <v>659</v>
      </c>
      <c r="B168" s="343" t="str">
        <f>'Unit Data from Audit Worksheet'!C211</f>
        <v>OPEB
 Note or RSI</v>
      </c>
      <c r="C168" s="602" t="str">
        <f>'Unit Data from Audit Worksheet'!D211</f>
        <v>Total OPEB benefits - total OPEB liability
If you do not provide benefit, please enter 0</v>
      </c>
      <c r="D168" s="318"/>
      <c r="E168" s="630">
        <f>'Unit Data from Audit Worksheet'!F211</f>
        <v>0</v>
      </c>
      <c r="F168" s="359">
        <f>IF(L168&lt;0,"Error: Enter as a positive.",)</f>
        <v>0</v>
      </c>
      <c r="G168" s="724" t="s">
        <v>1026</v>
      </c>
      <c r="H168" s="361">
        <f>'Unit Data from Audit Worksheet'!I211</f>
        <v>0</v>
      </c>
      <c r="I168" s="580"/>
      <c r="J168" s="845">
        <v>659</v>
      </c>
      <c r="K168" s="848" t="s">
        <v>805</v>
      </c>
      <c r="L168" s="846">
        <f t="shared" si="15"/>
        <v>0</v>
      </c>
      <c r="M168" s="55"/>
      <c r="P168" s="562"/>
      <c r="R168" s="364"/>
      <c r="U168" s="682" t="b">
        <f t="shared" si="17"/>
        <v>1</v>
      </c>
      <c r="V168" s="362">
        <f t="shared" si="18"/>
        <v>0</v>
      </c>
    </row>
    <row r="169" spans="1:25" ht="116.25" customHeight="1" x14ac:dyDescent="0.25">
      <c r="A169" s="342">
        <f>'Unit Data from Audit Worksheet'!A212</f>
        <v>660</v>
      </c>
      <c r="B169" s="343" t="str">
        <f>'Unit Data from Audit Worksheet'!C212</f>
        <v>OPEB
 Note or RSI</v>
      </c>
      <c r="C169" s="461" t="str">
        <f>'Unit Data from Audit Worksheet'!D212</f>
        <v>Total OPEB benefits- OPEB plan fiduciary net position
If no fiduciary net position, enter 0</v>
      </c>
      <c r="D169" s="318"/>
      <c r="E169" s="630">
        <f>'Unit Data from Audit Worksheet'!F212</f>
        <v>0</v>
      </c>
      <c r="F169" s="450">
        <f>IF(L169&lt;0,"Note: Number is normally positive.",)</f>
        <v>0</v>
      </c>
      <c r="G169" s="724" t="s">
        <v>1026</v>
      </c>
      <c r="H169" s="361">
        <f>'Unit Data from Audit Worksheet'!I212</f>
        <v>0</v>
      </c>
      <c r="I169" s="580"/>
      <c r="J169" s="775">
        <v>660</v>
      </c>
      <c r="K169" s="595" t="s">
        <v>806</v>
      </c>
      <c r="L169" s="623">
        <f t="shared" si="15"/>
        <v>0</v>
      </c>
      <c r="M169" s="55"/>
      <c r="P169" s="562"/>
      <c r="R169" s="364"/>
      <c r="U169" s="682" t="b">
        <f t="shared" si="17"/>
        <v>1</v>
      </c>
      <c r="V169" s="362">
        <f t="shared" si="18"/>
        <v>0</v>
      </c>
    </row>
    <row r="170" spans="1:25" ht="125.25" customHeight="1" x14ac:dyDescent="0.25">
      <c r="A170" s="342">
        <f>'Unit Data from Audit Worksheet'!A213</f>
        <v>661</v>
      </c>
      <c r="B170" s="343" t="str">
        <f>'Unit Data from Audit Worksheet'!C213</f>
        <v>OPEB
RSI</v>
      </c>
      <c r="C170" s="461" t="str">
        <f>'Unit Data from Audit Worksheet'!D213</f>
        <v>Total OPEB benefits - What is the plan’s fiduciary net position as a percentage of the total OPEB liability?  Please enter as percentage value; for example, 83.5% should be entered as 83.5.  If assets have not been set aside in a trust, please enter 0.0</v>
      </c>
      <c r="D170" s="347"/>
      <c r="E170" s="776">
        <f>'Unit Data from Audit Worksheet'!F213</f>
        <v>0</v>
      </c>
      <c r="F170" s="359" t="str">
        <f>IF(H170=L170,"","Column L does not equal Column H")</f>
        <v/>
      </c>
      <c r="G170" s="724" t="s">
        <v>1026</v>
      </c>
      <c r="H170" s="777">
        <f>ROUND(IFERROR((L169/L168)*100,0),1)</f>
        <v>0</v>
      </c>
      <c r="I170" s="580"/>
      <c r="J170" s="775">
        <v>661</v>
      </c>
      <c r="K170" s="593" t="s">
        <v>849</v>
      </c>
      <c r="L170" s="635">
        <f t="shared" si="15"/>
        <v>0</v>
      </c>
      <c r="M170" s="684"/>
      <c r="N170" s="684"/>
      <c r="O170" s="684"/>
      <c r="P170" s="562"/>
      <c r="Q170" s="657" t="str">
        <f>IF(H170=L170,"",1)</f>
        <v/>
      </c>
      <c r="R170" s="364"/>
      <c r="U170" s="682" t="b">
        <f t="shared" si="17"/>
        <v>1</v>
      </c>
      <c r="V170" s="362">
        <f t="shared" si="18"/>
        <v>0</v>
      </c>
    </row>
    <row r="171" spans="1:25" s="684" customFormat="1" ht="60.75" customHeight="1" x14ac:dyDescent="0.25">
      <c r="A171" s="220">
        <f>'Unit Data from Audit Worksheet'!A216</f>
        <v>513</v>
      </c>
      <c r="B171" s="231" t="str">
        <f>'Unit Data from Audit Worksheet'!C216</f>
        <v>Transfer Note</v>
      </c>
      <c r="C171" s="218" t="str">
        <f>'Unit Data from Audit Worksheet'!D216</f>
        <v>Amount of Transfers from the General Fund to the Electric Fund  (Enter as positive)</v>
      </c>
      <c r="D171" s="318"/>
      <c r="E171" s="627">
        <f>'Unit Data from Audit Worksheet'!F216</f>
        <v>0</v>
      </c>
      <c r="F171" s="401">
        <f>IF(L171&lt;0,"Error: Enter as a positive.",)</f>
        <v>0</v>
      </c>
      <c r="G171" s="278"/>
      <c r="H171" s="200">
        <f>'Unit Data from Audit Worksheet'!I216</f>
        <v>0</v>
      </c>
      <c r="I171" s="580"/>
      <c r="J171" s="196">
        <v>513</v>
      </c>
      <c r="K171" s="191" t="s">
        <v>344</v>
      </c>
      <c r="L171" s="628">
        <f t="shared" si="15"/>
        <v>0</v>
      </c>
      <c r="M171" s="682"/>
      <c r="N171" s="682"/>
      <c r="O171" s="682"/>
      <c r="P171" s="562"/>
      <c r="Q171" s="657"/>
      <c r="R171" s="657"/>
      <c r="U171" s="682" t="b">
        <f t="shared" si="17"/>
        <v>1</v>
      </c>
      <c r="V171" s="362">
        <f t="shared" si="18"/>
        <v>0</v>
      </c>
      <c r="Y171" s="682"/>
    </row>
    <row r="172" spans="1:25" ht="83.25" customHeight="1" x14ac:dyDescent="0.25">
      <c r="A172" s="220">
        <f>'Unit Data from Audit Worksheet'!A217</f>
        <v>514</v>
      </c>
      <c r="B172" s="231" t="str">
        <f>'Unit Data from Audit Worksheet'!C217</f>
        <v>Transfer Note</v>
      </c>
      <c r="C172" s="218" t="str">
        <f>'Unit Data from Audit Worksheet'!D217</f>
        <v>Amount of Transfers from the Electric Fund to the General Fund  (Enter as positive)
Include:  Payment in Lieu of Taxes (PILOT)</v>
      </c>
      <c r="D172" s="318"/>
      <c r="E172" s="627">
        <f>'Unit Data from Audit Worksheet'!F217</f>
        <v>0</v>
      </c>
      <c r="F172" s="401">
        <f>IF(L172&lt;0,"Error: Enter as a positive.",)</f>
        <v>0</v>
      </c>
      <c r="G172" s="278"/>
      <c r="H172" s="200">
        <f>'Unit Data from Audit Worksheet'!I217</f>
        <v>0</v>
      </c>
      <c r="I172" s="580"/>
      <c r="J172" s="196">
        <v>514</v>
      </c>
      <c r="K172" s="191" t="s">
        <v>345</v>
      </c>
      <c r="L172" s="628">
        <f t="shared" si="15"/>
        <v>0</v>
      </c>
      <c r="P172" s="562"/>
      <c r="U172" s="682" t="b">
        <f t="shared" si="17"/>
        <v>1</v>
      </c>
      <c r="V172" s="362">
        <f t="shared" si="18"/>
        <v>0</v>
      </c>
    </row>
    <row r="173" spans="1:25" ht="86.25" customHeight="1" x14ac:dyDescent="0.25">
      <c r="A173" s="205">
        <f>'Unit Data from Audit Worksheet'!A219</f>
        <v>6</v>
      </c>
      <c r="B173" s="232" t="str">
        <f>'Unit Data from Audit Worksheet'!C219</f>
        <v>Fund Balance Note</v>
      </c>
      <c r="C173" s="212" t="str">
        <f>'Unit Data from Audit Worksheet'!D219</f>
        <v>General Fund -  Total Encumbrances.  You will probably have to refer to the note disclosure where the amount of encumbrances is listed.</v>
      </c>
      <c r="D173" s="318"/>
      <c r="E173" s="632">
        <f>'Unit Data from Audit Worksheet'!F219</f>
        <v>0</v>
      </c>
      <c r="F173" s="192">
        <f>IF(L173&lt;0,"Error: Enter as a positive.",)</f>
        <v>0</v>
      </c>
      <c r="G173" s="279"/>
      <c r="H173" s="200">
        <f>'Unit Data from Audit Worksheet'!I219</f>
        <v>0</v>
      </c>
      <c r="I173" s="580"/>
      <c r="J173" s="195">
        <v>6</v>
      </c>
      <c r="K173" s="548" t="s">
        <v>346</v>
      </c>
      <c r="L173" s="628">
        <f t="shared" si="15"/>
        <v>0</v>
      </c>
      <c r="P173" s="562"/>
      <c r="U173" s="682" t="b">
        <f t="shared" si="17"/>
        <v>1</v>
      </c>
      <c r="V173" s="362">
        <f t="shared" si="18"/>
        <v>0</v>
      </c>
    </row>
    <row r="174" spans="1:25" ht="123.75" customHeight="1" x14ac:dyDescent="0.25">
      <c r="A174" s="220">
        <f>'Unit Data from Audit Worksheet'!A221</f>
        <v>541</v>
      </c>
      <c r="B174" s="231" t="str">
        <f>'Unit Data from Audit Worksheet'!C221</f>
        <v>Water Sewer - Budget Actual Statement</v>
      </c>
      <c r="C174" s="231" t="str">
        <f>'Unit Data from Audit Worksheet'!D221</f>
        <v>Amount of Water Sewer revenues and other financing sources over expenditures and other uses
Exclude:  All transfers and capital contributions
Exclude:  Capital Project funds
This schedule is usually found behind the notes and should be entered as a positive or negative as indicated on your audit report</v>
      </c>
      <c r="D174" s="318"/>
      <c r="E174" s="627">
        <f>'Unit Data from Audit Worksheet'!F221</f>
        <v>0</v>
      </c>
      <c r="F174" s="208"/>
      <c r="G174" s="278"/>
      <c r="H174" s="200">
        <f>'Unit Data from Audit Worksheet'!I221</f>
        <v>0</v>
      </c>
      <c r="I174" s="580"/>
      <c r="J174" s="196">
        <v>541</v>
      </c>
      <c r="K174" s="270" t="s">
        <v>573</v>
      </c>
      <c r="L174" s="628">
        <f t="shared" si="15"/>
        <v>0</v>
      </c>
      <c r="P174" s="562"/>
      <c r="U174" s="682" t="b">
        <f t="shared" si="17"/>
        <v>1</v>
      </c>
      <c r="V174" s="362">
        <f t="shared" si="18"/>
        <v>0</v>
      </c>
    </row>
    <row r="175" spans="1:25" ht="67.5" x14ac:dyDescent="0.25">
      <c r="A175" s="220">
        <f>'Unit Data from Audit Worksheet'!A223</f>
        <v>542</v>
      </c>
      <c r="B175" s="405" t="str">
        <f>'Unit Data from Audit Worksheet'!C223</f>
        <v>Water Sewer - Disclosed in the Notes or in the recently approved Budget for next year.</v>
      </c>
      <c r="C175" s="239" t="str">
        <f>'Unit Data from Audit Worksheet'!D223</f>
        <v>Amount of the Water Sewer Fund Balance appropriated in next year's budget?</v>
      </c>
      <c r="D175" s="318"/>
      <c r="E175" s="627">
        <f>'Unit Data from Audit Worksheet'!F223</f>
        <v>0</v>
      </c>
      <c r="F175" s="208"/>
      <c r="G175" s="278"/>
      <c r="H175" s="399">
        <f>'Unit Data from Audit Worksheet'!I223</f>
        <v>0</v>
      </c>
      <c r="I175" s="580"/>
      <c r="J175" s="196">
        <v>542</v>
      </c>
      <c r="K175" s="191" t="s">
        <v>347</v>
      </c>
      <c r="L175" s="628">
        <f t="shared" si="15"/>
        <v>0</v>
      </c>
      <c r="N175" s="784" t="s">
        <v>564</v>
      </c>
      <c r="P175" s="562"/>
      <c r="U175" s="682" t="b">
        <f t="shared" si="17"/>
        <v>1</v>
      </c>
      <c r="V175" s="362">
        <f t="shared" si="18"/>
        <v>0</v>
      </c>
    </row>
    <row r="176" spans="1:25" ht="87.75" customHeight="1" x14ac:dyDescent="0.25">
      <c r="A176" s="220">
        <f>'Unit Data from Audit Worksheet'!A226</f>
        <v>528</v>
      </c>
      <c r="B176" s="231" t="str">
        <f>'Unit Data from Audit Worksheet'!C226</f>
        <v>Analysis of Current Tax Levy Schedule</v>
      </c>
      <c r="C176" s="239" t="str">
        <f>'Unit Data from Audit Worksheet'!D226</f>
        <v>Please enter the Net Current year's levy for property excluding registered motor vehicles-- (after adjusting for discoveries and abatements)
Exclude Supplemental Taxes</v>
      </c>
      <c r="D176" s="318"/>
      <c r="E176" s="627">
        <f>'Unit Data from Audit Worksheet'!F226</f>
        <v>0</v>
      </c>
      <c r="F176" s="307" t="str">
        <f>IF(L176=0,"Must be completed if unit levys taxes","")</f>
        <v>Must be completed if unit levys taxes</v>
      </c>
      <c r="G176" s="278"/>
      <c r="H176" s="200"/>
      <c r="I176" s="580"/>
      <c r="J176" s="196">
        <v>528</v>
      </c>
      <c r="K176" s="271" t="s">
        <v>352</v>
      </c>
      <c r="L176" s="628">
        <f t="shared" si="15"/>
        <v>0</v>
      </c>
      <c r="N176" s="308"/>
      <c r="P176" s="562"/>
      <c r="U176" s="682" t="b">
        <f t="shared" si="17"/>
        <v>1</v>
      </c>
      <c r="V176" s="362">
        <f t="shared" si="18"/>
        <v>0</v>
      </c>
    </row>
    <row r="177" spans="1:22" ht="84.75" customHeight="1" x14ac:dyDescent="0.25">
      <c r="A177" s="220">
        <f>'Unit Data from Audit Worksheet'!A227</f>
        <v>529</v>
      </c>
      <c r="B177" s="231" t="str">
        <f>'Unit Data from Audit Worksheet'!C227</f>
        <v>Analysis of Current Tax Levy Schedule</v>
      </c>
      <c r="C177" s="239" t="str">
        <f>'Unit Data from Audit Worksheet'!D227</f>
        <v>Please enter the Net Current year's levy -- Motor vehicles (only) (after adjusting for discoveries and abatements)
Exclude supplemental taxes</v>
      </c>
      <c r="D177" s="318"/>
      <c r="E177" s="627">
        <f>'Unit Data from Audit Worksheet'!F227</f>
        <v>0</v>
      </c>
      <c r="F177" s="307" t="str">
        <f>IF(L177=0,"Must be completed if unit levys taxes","")</f>
        <v>Must be completed if unit levys taxes</v>
      </c>
      <c r="G177" s="278"/>
      <c r="H177" s="200"/>
      <c r="I177" s="580"/>
      <c r="J177" s="196">
        <v>529</v>
      </c>
      <c r="K177" s="271" t="s">
        <v>353</v>
      </c>
      <c r="L177" s="628">
        <f t="shared" si="15"/>
        <v>0</v>
      </c>
      <c r="N177" s="308"/>
      <c r="P177" s="562"/>
      <c r="U177" s="682" t="b">
        <f t="shared" ref="U177:U186" si="19">EXACT(A176,J176)</f>
        <v>1</v>
      </c>
      <c r="V177" s="362">
        <f t="shared" ref="V177:V186" si="20">E176-L176</f>
        <v>0</v>
      </c>
    </row>
    <row r="178" spans="1:22" ht="69" customHeight="1" x14ac:dyDescent="0.25">
      <c r="A178" s="220">
        <f>'Unit Data from Audit Worksheet'!A228</f>
        <v>530</v>
      </c>
      <c r="B178" s="231" t="str">
        <f>'Unit Data from Audit Worksheet'!C228</f>
        <v>Analysis of Current Tax Levy Schedule</v>
      </c>
      <c r="C178" s="239" t="str">
        <f>'Unit Data from Audit Worksheet'!D228</f>
        <v>Uncollected Taxes - Curr Year's Levy Exclude Motor Vehicles
Exclude supplemental taxes</v>
      </c>
      <c r="D178" s="318"/>
      <c r="E178" s="627">
        <f>'Unit Data from Audit Worksheet'!F228</f>
        <v>0</v>
      </c>
      <c r="F178" s="307" t="str">
        <f>IF(L178=0,"Must be completed if unit levys taxes","")</f>
        <v>Must be completed if unit levys taxes</v>
      </c>
      <c r="G178" s="278"/>
      <c r="H178" s="200"/>
      <c r="I178" s="580"/>
      <c r="J178" s="196">
        <v>530</v>
      </c>
      <c r="K178" s="271" t="s">
        <v>354</v>
      </c>
      <c r="L178" s="628">
        <f t="shared" si="15"/>
        <v>0</v>
      </c>
      <c r="N178" s="308"/>
      <c r="P178" s="562"/>
      <c r="U178" s="682" t="b">
        <f t="shared" si="19"/>
        <v>1</v>
      </c>
      <c r="V178" s="362">
        <f t="shared" si="20"/>
        <v>0</v>
      </c>
    </row>
    <row r="179" spans="1:22" ht="72" customHeight="1" x14ac:dyDescent="0.25">
      <c r="A179" s="220">
        <f>'Unit Data from Audit Worksheet'!A229</f>
        <v>531</v>
      </c>
      <c r="B179" s="231" t="str">
        <f>'Unit Data from Audit Worksheet'!C229</f>
        <v>Analysis of Current Tax Levy Schedule</v>
      </c>
      <c r="C179" s="239" t="str">
        <f>'Unit Data from Audit Worksheet'!D229</f>
        <v>Uncollected Taxes - Curr Year's Levy Motor Vehicles
Exclude supplemental taxes</v>
      </c>
      <c r="D179" s="318"/>
      <c r="E179" s="627">
        <f>'Unit Data from Audit Worksheet'!F229</f>
        <v>0</v>
      </c>
      <c r="F179" s="307" t="str">
        <f>IF(L179=0,"Must be completed if unit levys taxes","")</f>
        <v>Must be completed if unit levys taxes</v>
      </c>
      <c r="G179" s="278"/>
      <c r="H179" s="200"/>
      <c r="I179" s="580"/>
      <c r="J179" s="196">
        <v>531</v>
      </c>
      <c r="K179" s="271" t="s">
        <v>355</v>
      </c>
      <c r="L179" s="628">
        <f t="shared" ref="L179:L185" si="21">IF(D179="",E179,D179)</f>
        <v>0</v>
      </c>
      <c r="N179" s="308" t="str">
        <f t="shared" ref="N179" si="22">IF(T184=0,"Must be completed if unit levys taxes, zero acceptable if Motor Vehicle collection rate is 100%","")</f>
        <v>Must be completed if unit levys taxes, zero acceptable if Motor Vehicle collection rate is 100%</v>
      </c>
      <c r="P179" s="562"/>
      <c r="U179" s="682" t="b">
        <f t="shared" si="19"/>
        <v>1</v>
      </c>
      <c r="V179" s="362">
        <f t="shared" si="20"/>
        <v>0</v>
      </c>
    </row>
    <row r="180" spans="1:22" ht="86.25" customHeight="1" x14ac:dyDescent="0.25">
      <c r="A180" s="220">
        <f>'Unit Data from Audit Worksheet'!A230</f>
        <v>61</v>
      </c>
      <c r="B180" s="231" t="str">
        <f>'Unit Data from Audit Worksheet'!C230</f>
        <v>Analysis of Current Tax Levy Schedule</v>
      </c>
      <c r="C180" s="239" t="str">
        <f>'Unit Data from Audit Worksheet'!D230</f>
        <v>Tax collection rate- Total Levy UNIT-WIDE
Exclude supplemental taxes
(Enter as a percentage with two decimal places)</v>
      </c>
      <c r="D180" s="323"/>
      <c r="E180" s="620">
        <f>'Unit Data from Audit Worksheet'!F230</f>
        <v>0</v>
      </c>
      <c r="F180" s="316" t="str">
        <f>IF(L180=H180,"","Column H calculates the percentage using accounts 528, 529, 530, 531, please enter the correct amounts from the audit schedule for these cells")</f>
        <v/>
      </c>
      <c r="G180" s="321" t="str">
        <f>IF(Q180=1," Included in error count"," ")</f>
        <v xml:space="preserve"> </v>
      </c>
      <c r="H180" s="321">
        <f>ROUND(IFERROR(((L176+L177)-(L178+L179))/(L176+L177)*100,0),2)</f>
        <v>0</v>
      </c>
      <c r="I180" s="580"/>
      <c r="J180" s="196">
        <v>61</v>
      </c>
      <c r="K180" s="272" t="s">
        <v>349</v>
      </c>
      <c r="L180" s="584">
        <f t="shared" si="21"/>
        <v>0</v>
      </c>
      <c r="N180" s="308"/>
      <c r="P180" s="562"/>
      <c r="Q180" s="657">
        <f>IF(L180-H180&lt;&gt;0,1,)</f>
        <v>0</v>
      </c>
      <c r="U180" s="682" t="b">
        <f t="shared" si="19"/>
        <v>1</v>
      </c>
      <c r="V180" s="362">
        <f t="shared" si="20"/>
        <v>0</v>
      </c>
    </row>
    <row r="181" spans="1:22" ht="90" customHeight="1" x14ac:dyDescent="0.25">
      <c r="A181" s="220">
        <f>'Unit Data from Audit Worksheet'!A231</f>
        <v>102</v>
      </c>
      <c r="B181" s="231" t="str">
        <f>'Unit Data from Audit Worksheet'!C231</f>
        <v>Analysis of Current Tax Levy Schedule</v>
      </c>
      <c r="C181" s="239" t="str">
        <f>'Unit Data from Audit Worksheet'!D231</f>
        <v>Tax collection rate - Excluding Registered motor vehicles
Exclude supplemental taxes
(Enter as a percentage with two decimal places)</v>
      </c>
      <c r="D181" s="323"/>
      <c r="E181" s="620">
        <f>'Unit Data from Audit Worksheet'!F231</f>
        <v>0</v>
      </c>
      <c r="F181" s="316" t="str">
        <f>IF(L181=H181,"","Column H calculates the percentage using accounts 528 and 530,  please enter the correct amounts from the audit schedule for these cells")</f>
        <v/>
      </c>
      <c r="G181" s="321" t="str">
        <f>IF(Q181=1," Included in error count"," ")</f>
        <v xml:space="preserve"> </v>
      </c>
      <c r="H181" s="321">
        <f>ROUND(IFERROR(((L176)-(L178))/(L176)*100,0),2)</f>
        <v>0</v>
      </c>
      <c r="I181" s="580"/>
      <c r="J181" s="196">
        <v>102</v>
      </c>
      <c r="K181" s="273" t="s">
        <v>350</v>
      </c>
      <c r="L181" s="584">
        <f t="shared" si="21"/>
        <v>0</v>
      </c>
      <c r="N181" s="308"/>
      <c r="P181" s="562"/>
      <c r="Q181" s="657">
        <f>IF(L181-H181&lt;&gt;0,1,)</f>
        <v>0</v>
      </c>
      <c r="U181" s="682" t="b">
        <f t="shared" si="19"/>
        <v>1</v>
      </c>
      <c r="V181" s="362">
        <f t="shared" si="20"/>
        <v>0</v>
      </c>
    </row>
    <row r="182" spans="1:22" ht="88.5" customHeight="1" x14ac:dyDescent="0.25">
      <c r="A182" s="220">
        <f>'Unit Data from Audit Worksheet'!A232</f>
        <v>103</v>
      </c>
      <c r="B182" s="231" t="str">
        <f>'Unit Data from Audit Worksheet'!C232</f>
        <v>Analysis of Current Tax Levy Schedule</v>
      </c>
      <c r="C182" s="239" t="str">
        <f>'Unit Data from Audit Worksheet'!D232</f>
        <v>Tax collection rate - Registered motor vehicles
Exclude supplemental taxes
(Enter as a percentage with two decimal places)</v>
      </c>
      <c r="D182" s="323"/>
      <c r="E182" s="620">
        <f>'Unit Data from Audit Worksheet'!F232</f>
        <v>0</v>
      </c>
      <c r="F182" s="316" t="str">
        <f>IF(L182=H182,"","Column H calculates the percentage using accounts 529 and 531, please enter the correct amounts from the audit schedule for these cells")</f>
        <v/>
      </c>
      <c r="G182" s="321" t="str">
        <f>IF(Q182=1," Included in error count"," ")</f>
        <v xml:space="preserve"> </v>
      </c>
      <c r="H182" s="321">
        <f>ROUND(IFERROR(((L177)-(L179))/(L177)*100,0),2)</f>
        <v>0</v>
      </c>
      <c r="I182" s="580"/>
      <c r="J182" s="196">
        <v>103</v>
      </c>
      <c r="K182" s="273" t="s">
        <v>351</v>
      </c>
      <c r="L182" s="584">
        <f t="shared" si="21"/>
        <v>0</v>
      </c>
      <c r="N182" s="308"/>
      <c r="P182" s="562"/>
      <c r="Q182" s="657">
        <f>IF(L182-H182&lt;&gt;0,1,)</f>
        <v>0</v>
      </c>
      <c r="U182" s="682" t="b">
        <f t="shared" si="19"/>
        <v>1</v>
      </c>
      <c r="V182" s="362">
        <f t="shared" si="20"/>
        <v>0</v>
      </c>
    </row>
    <row r="183" spans="1:22" ht="93.75" customHeight="1" x14ac:dyDescent="0.25">
      <c r="A183" s="220">
        <f>'Unit Data from Audit Worksheet'!A233</f>
        <v>544</v>
      </c>
      <c r="B183" s="231" t="str">
        <f>'Unit Data from Audit Worksheet'!C233</f>
        <v>Analysis of Current Tax Levy Schedule</v>
      </c>
      <c r="C183" s="239" t="str">
        <f>'Unit Data from Audit Worksheet'!D233</f>
        <v>Property Tax Increase for Year Audited- enter amount of  increase in cents per $100 - leave blank if no increase 
Exclude supplemental taxes</v>
      </c>
      <c r="D183" s="318"/>
      <c r="E183" s="613">
        <f>'Unit Data from Audit Worksheet'!F233</f>
        <v>0</v>
      </c>
      <c r="F183" s="204"/>
      <c r="G183" s="278"/>
      <c r="H183" s="200">
        <f>'Unit Data from Audit Worksheet'!I233</f>
        <v>0</v>
      </c>
      <c r="I183" s="580"/>
      <c r="J183" s="196">
        <v>544</v>
      </c>
      <c r="K183" s="273" t="s">
        <v>76</v>
      </c>
      <c r="L183" s="624">
        <f t="shared" si="21"/>
        <v>0</v>
      </c>
      <c r="N183" s="784" t="s">
        <v>564</v>
      </c>
      <c r="P183" s="562"/>
      <c r="U183" s="682" t="b">
        <f t="shared" si="19"/>
        <v>1</v>
      </c>
      <c r="V183" s="362">
        <f t="shared" si="20"/>
        <v>0</v>
      </c>
    </row>
    <row r="184" spans="1:22" ht="89.25" customHeight="1" x14ac:dyDescent="0.25">
      <c r="A184" s="220">
        <f>'Unit Data from Audit Worksheet'!A234</f>
        <v>545</v>
      </c>
      <c r="B184" s="231" t="str">
        <f>'Unit Data from Audit Worksheet'!C234</f>
        <v>Analysis of Current Tax Levy Schedule</v>
      </c>
      <c r="C184" s="239" t="str">
        <f>'Unit Data from Audit Worksheet'!D234</f>
        <v>Property Tax Increase for budget year after fiscal year being reported - enter amount of increase in cents per $100- leave blank if no increase
Exclude supplemental taxes</v>
      </c>
      <c r="D184" s="318"/>
      <c r="E184" s="613">
        <f>'Unit Data from Audit Worksheet'!F234</f>
        <v>0</v>
      </c>
      <c r="F184" s="208"/>
      <c r="G184" s="278"/>
      <c r="H184" s="200">
        <f>'Unit Data from Audit Worksheet'!I234</f>
        <v>0</v>
      </c>
      <c r="I184" s="580"/>
      <c r="J184" s="340">
        <v>545</v>
      </c>
      <c r="K184" s="273" t="s">
        <v>77</v>
      </c>
      <c r="L184" s="624">
        <f t="shared" si="21"/>
        <v>0</v>
      </c>
      <c r="N184" s="784" t="s">
        <v>564</v>
      </c>
      <c r="O184" s="783"/>
      <c r="P184" s="562"/>
      <c r="U184" s="682" t="b">
        <f t="shared" si="19"/>
        <v>1</v>
      </c>
      <c r="V184" s="362">
        <f t="shared" si="20"/>
        <v>0</v>
      </c>
    </row>
    <row r="185" spans="1:22" ht="82.5" customHeight="1" x14ac:dyDescent="0.25">
      <c r="A185" s="379">
        <f>'Unit Data from Audit Worksheet'!A236</f>
        <v>620</v>
      </c>
      <c r="B185" s="380"/>
      <c r="C185" s="378" t="str">
        <f>'Unit Data from Audit Worksheet'!D236</f>
        <v>Do you expect to issue debt requiring LGC approval within 12 months from the date that the audit is submitted - select "1" for yes and "2" for no</v>
      </c>
      <c r="D185" s="377"/>
      <c r="E185" s="636">
        <f>'Unit Data from Audit Worksheet'!F236</f>
        <v>0</v>
      </c>
      <c r="F185" s="376"/>
      <c r="G185" s="382"/>
      <c r="H185" s="374">
        <f>'Unit Data from Audit Worksheet'!I236</f>
        <v>0</v>
      </c>
      <c r="I185" s="580"/>
      <c r="J185" s="383">
        <v>620</v>
      </c>
      <c r="K185" s="381" t="s">
        <v>662</v>
      </c>
      <c r="L185" s="639">
        <f t="shared" si="21"/>
        <v>0</v>
      </c>
      <c r="N185" s="785"/>
      <c r="P185" s="562"/>
      <c r="U185" s="682" t="b">
        <f t="shared" ref="U185" si="23">EXACT(A184,J184)</f>
        <v>1</v>
      </c>
      <c r="V185" s="362">
        <f t="shared" ref="V185" si="24">E184-L184</f>
        <v>0</v>
      </c>
    </row>
    <row r="186" spans="1:22" ht="35.25" customHeight="1" x14ac:dyDescent="0.25">
      <c r="A186" s="352"/>
      <c r="B186" s="353"/>
      <c r="C186" s="354"/>
      <c r="D186" s="569"/>
      <c r="E186" s="819"/>
      <c r="F186" s="254"/>
      <c r="G186" s="570"/>
      <c r="H186" s="571"/>
      <c r="I186" s="580"/>
      <c r="J186" s="754">
        <v>998</v>
      </c>
      <c r="K186" s="755" t="s">
        <v>372</v>
      </c>
      <c r="L186" s="756" t="e">
        <f>HLOOKUP('Unit Data from Audit Worksheet'!$D$3,'2019 Data(H)'!$E$2:$BS$295,173,FALSE)</f>
        <v>#N/A</v>
      </c>
      <c r="N186" s="785"/>
      <c r="P186" s="562"/>
      <c r="U186" s="682" t="b">
        <f t="shared" si="19"/>
        <v>1</v>
      </c>
      <c r="V186" s="362">
        <f t="shared" si="20"/>
        <v>0</v>
      </c>
    </row>
    <row r="187" spans="1:22" ht="35.25" customHeight="1" x14ac:dyDescent="0.25">
      <c r="A187" s="352"/>
      <c r="B187" s="353"/>
      <c r="C187" s="354"/>
      <c r="D187" s="569"/>
      <c r="E187" s="819"/>
      <c r="F187" s="254"/>
      <c r="G187" s="570"/>
      <c r="H187" s="571"/>
      <c r="I187" s="580"/>
      <c r="J187" s="757">
        <v>995</v>
      </c>
      <c r="K187" s="758" t="s">
        <v>370</v>
      </c>
      <c r="L187" s="759" t="e">
        <f>HLOOKUP('Unit Data from Audit Worksheet'!$D$3,'2019 Data(H)'!$E$2:$BS$295,171,FALSE)</f>
        <v>#N/A</v>
      </c>
      <c r="N187" s="785"/>
      <c r="P187" s="562"/>
      <c r="V187" s="362"/>
    </row>
    <row r="188" spans="1:22" ht="35.25" customHeight="1" x14ac:dyDescent="0.25">
      <c r="A188" s="352"/>
      <c r="B188" s="353"/>
      <c r="C188" s="354"/>
      <c r="D188" s="569"/>
      <c r="E188" s="606"/>
      <c r="F188" s="254"/>
      <c r="G188" s="570"/>
      <c r="H188" s="571"/>
      <c r="I188" s="580"/>
      <c r="J188" s="757">
        <v>996</v>
      </c>
      <c r="K188" s="758" t="s">
        <v>371</v>
      </c>
      <c r="L188" s="759" t="e">
        <f>HLOOKUP('Unit Data from Audit Worksheet'!$D$3,'2019 Data(H)'!$E$2:$BS$295,172,FALSE)</f>
        <v>#N/A</v>
      </c>
      <c r="N188" s="785"/>
      <c r="P188" s="562"/>
      <c r="V188" s="362"/>
    </row>
    <row r="189" spans="1:22" ht="60.75" customHeight="1" x14ac:dyDescent="0.25">
      <c r="A189" s="352"/>
      <c r="B189" s="353"/>
      <c r="C189" s="354"/>
      <c r="D189" s="569"/>
      <c r="E189" s="606"/>
      <c r="F189" s="254"/>
      <c r="G189" s="570"/>
      <c r="H189" s="571"/>
      <c r="I189" s="580"/>
      <c r="J189" s="725">
        <v>554</v>
      </c>
      <c r="K189" s="644" t="s">
        <v>591</v>
      </c>
      <c r="L189" s="628"/>
      <c r="N189" s="785"/>
      <c r="P189" s="562"/>
      <c r="V189" s="362"/>
    </row>
    <row r="190" spans="1:22" ht="60.75" customHeight="1" x14ac:dyDescent="0.25">
      <c r="A190" s="352"/>
      <c r="B190" s="353"/>
      <c r="C190" s="354"/>
      <c r="D190" s="569"/>
      <c r="E190" s="606"/>
      <c r="F190" s="254"/>
      <c r="G190" s="570"/>
      <c r="H190" s="571"/>
      <c r="I190" s="580"/>
      <c r="J190" s="725">
        <v>555</v>
      </c>
      <c r="K190" s="644" t="s">
        <v>592</v>
      </c>
      <c r="L190" s="628"/>
      <c r="N190" s="785"/>
      <c r="P190" s="562"/>
      <c r="V190" s="362"/>
    </row>
    <row r="191" spans="1:22" ht="60.75" customHeight="1" x14ac:dyDescent="0.25">
      <c r="A191" s="352"/>
      <c r="B191" s="353"/>
      <c r="C191" s="354"/>
      <c r="D191" s="569"/>
      <c r="E191" s="606"/>
      <c r="F191" s="254"/>
      <c r="G191" s="570"/>
      <c r="H191" s="571"/>
      <c r="I191" s="580"/>
      <c r="J191" s="725">
        <v>556</v>
      </c>
      <c r="K191" s="644" t="s">
        <v>593</v>
      </c>
      <c r="L191" s="628"/>
      <c r="N191" s="785"/>
      <c r="P191" s="562"/>
      <c r="V191" s="362"/>
    </row>
    <row r="192" spans="1:22" ht="60.75" customHeight="1" x14ac:dyDescent="0.25">
      <c r="A192" s="352"/>
      <c r="B192" s="353"/>
      <c r="C192" s="354"/>
      <c r="D192" s="569"/>
      <c r="E192" s="606"/>
      <c r="F192" s="254"/>
      <c r="G192" s="570"/>
      <c r="H192" s="571"/>
      <c r="I192" s="580"/>
      <c r="J192" s="725">
        <v>557</v>
      </c>
      <c r="K192" s="644" t="s">
        <v>594</v>
      </c>
      <c r="L192" s="628"/>
      <c r="N192" s="785"/>
      <c r="P192" s="562"/>
      <c r="V192" s="362"/>
    </row>
    <row r="193" spans="1:22" ht="60.75" customHeight="1" x14ac:dyDescent="0.25">
      <c r="A193" s="352"/>
      <c r="B193" s="353"/>
      <c r="C193" s="354"/>
      <c r="D193" s="569"/>
      <c r="E193" s="606"/>
      <c r="F193" s="254"/>
      <c r="G193" s="570"/>
      <c r="H193" s="571"/>
      <c r="I193" s="580"/>
      <c r="J193" s="725">
        <v>606</v>
      </c>
      <c r="K193" s="644" t="s">
        <v>1027</v>
      </c>
      <c r="L193" s="618"/>
      <c r="N193" s="785"/>
      <c r="P193" s="562"/>
      <c r="V193" s="362"/>
    </row>
    <row r="194" spans="1:22" ht="39.75" customHeight="1" x14ac:dyDescent="0.25">
      <c r="A194" s="352"/>
      <c r="B194" s="353"/>
      <c r="C194" s="354"/>
      <c r="D194" s="569"/>
      <c r="E194" s="606"/>
      <c r="F194" s="254"/>
      <c r="G194" s="570"/>
      <c r="H194" s="571"/>
      <c r="I194" s="580"/>
      <c r="J194" s="760">
        <v>662</v>
      </c>
      <c r="K194" s="739" t="s">
        <v>1028</v>
      </c>
      <c r="L194" s="763"/>
      <c r="N194" s="785"/>
      <c r="P194" s="562"/>
      <c r="V194" s="362"/>
    </row>
    <row r="195" spans="1:22" ht="42" customHeight="1" x14ac:dyDescent="0.25">
      <c r="A195" s="352"/>
      <c r="B195" s="353"/>
      <c r="C195" s="354"/>
      <c r="D195" s="569"/>
      <c r="E195" s="606"/>
      <c r="F195" s="254"/>
      <c r="G195" s="570"/>
      <c r="H195" s="571"/>
      <c r="I195" s="580"/>
      <c r="J195" s="760">
        <v>663</v>
      </c>
      <c r="K195" s="762" t="s">
        <v>1029</v>
      </c>
      <c r="L195" s="763"/>
      <c r="N195" s="785"/>
      <c r="P195" s="562"/>
      <c r="V195" s="362"/>
    </row>
    <row r="196" spans="1:22" x14ac:dyDescent="0.25">
      <c r="A196" s="352"/>
      <c r="B196" s="353"/>
      <c r="C196" s="354"/>
      <c r="D196" s="203">
        <v>1</v>
      </c>
      <c r="E196" s="202"/>
      <c r="F196" s="217"/>
      <c r="G196" s="280"/>
      <c r="H196" s="199"/>
      <c r="I196" s="580"/>
      <c r="J196" s="572"/>
      <c r="K196" s="573"/>
      <c r="L196" s="761"/>
      <c r="N196" s="785"/>
      <c r="P196" s="562"/>
      <c r="U196" s="682" t="b">
        <f>EXACT(A188,J186)</f>
        <v>0</v>
      </c>
      <c r="V196" s="362" t="e">
        <f>E188-L186</f>
        <v>#N/A</v>
      </c>
    </row>
    <row r="197" spans="1:22" ht="68.25" customHeight="1" x14ac:dyDescent="0.25">
      <c r="A197" s="816">
        <f>'Unit Data from Audit Worksheet'!A238</f>
        <v>947</v>
      </c>
      <c r="B197" s="817"/>
      <c r="C197" s="818" t="str">
        <f>'Unit Data from Audit Worksheet'!D238</f>
        <v>First name of finance officer or interim finance officer (please enter “vacant” for first name if the position is currently vacant)</v>
      </c>
      <c r="D197" s="659"/>
      <c r="E197" s="860">
        <f>'Unit Data from Audit Worksheet'!F238</f>
        <v>0</v>
      </c>
      <c r="F197" s="401"/>
      <c r="G197" s="406"/>
      <c r="H197" s="399"/>
      <c r="I197" s="580"/>
      <c r="J197" s="585">
        <v>947</v>
      </c>
      <c r="K197" s="586" t="s">
        <v>770</v>
      </c>
      <c r="L197" s="823">
        <f t="shared" ref="L197:L209" si="25">IF(D197="",E197,D197)</f>
        <v>0</v>
      </c>
      <c r="P197" s="562"/>
      <c r="Q197" s="815">
        <f t="shared" ref="Q197:Q204" si="26">IF(L197=0,1,0)</f>
        <v>1</v>
      </c>
      <c r="R197" s="364"/>
      <c r="U197" s="682" t="b">
        <f>EXACT(A197,J197)</f>
        <v>1</v>
      </c>
      <c r="V197" s="786"/>
    </row>
    <row r="198" spans="1:22" ht="68.25" customHeight="1" x14ac:dyDescent="0.25">
      <c r="A198" s="816">
        <f>'Unit Data from Audit Worksheet'!A239</f>
        <v>948</v>
      </c>
      <c r="B198" s="817"/>
      <c r="C198" s="818" t="str">
        <f>'Unit Data from Audit Worksheet'!D239</f>
        <v>Last name of finance officer or interim finance officer (please enter “vacant” for last name if the position is currently vacant)</v>
      </c>
      <c r="D198" s="659"/>
      <c r="E198" s="860">
        <f>'Unit Data from Audit Worksheet'!F239</f>
        <v>0</v>
      </c>
      <c r="F198" s="401"/>
      <c r="G198" s="406"/>
      <c r="H198" s="399"/>
      <c r="I198" s="580"/>
      <c r="J198" s="585">
        <v>948</v>
      </c>
      <c r="K198" s="586" t="s">
        <v>772</v>
      </c>
      <c r="L198" s="823">
        <f t="shared" si="25"/>
        <v>0</v>
      </c>
      <c r="N198" s="5"/>
      <c r="P198" s="562"/>
      <c r="Q198" s="815">
        <f t="shared" si="26"/>
        <v>1</v>
      </c>
      <c r="R198" s="364"/>
      <c r="U198" s="682" t="b">
        <f t="shared" ref="U198:U210" si="27">EXACT(A198,J198)</f>
        <v>1</v>
      </c>
      <c r="V198" s="786"/>
    </row>
    <row r="199" spans="1:22" ht="68.25" customHeight="1" x14ac:dyDescent="0.25">
      <c r="A199" s="816">
        <f>'Unit Data from Audit Worksheet'!A240</f>
        <v>949</v>
      </c>
      <c r="B199" s="817"/>
      <c r="C199" s="818" t="str">
        <f>'Unit Data from Audit Worksheet'!D240</f>
        <v>Is the finance officer serving in a permanent role or an interim role? (select permanent/interim/vacant)</v>
      </c>
      <c r="D199" s="659"/>
      <c r="E199" s="860">
        <f>'Unit Data from Audit Worksheet'!F240</f>
        <v>0</v>
      </c>
      <c r="F199" s="401"/>
      <c r="G199" s="406"/>
      <c r="H199" s="399"/>
      <c r="I199" s="580"/>
      <c r="J199" s="585">
        <v>949</v>
      </c>
      <c r="K199" s="586" t="s">
        <v>1006</v>
      </c>
      <c r="L199" s="823">
        <f t="shared" si="25"/>
        <v>0</v>
      </c>
      <c r="N199" s="5"/>
      <c r="P199" s="562"/>
      <c r="Q199" s="815">
        <f t="shared" si="26"/>
        <v>1</v>
      </c>
      <c r="R199" s="364"/>
      <c r="U199" s="682" t="b">
        <f t="shared" si="27"/>
        <v>1</v>
      </c>
      <c r="V199" s="362"/>
    </row>
    <row r="200" spans="1:22" s="364" customFormat="1" ht="84" customHeight="1" x14ac:dyDescent="0.25">
      <c r="A200" s="816">
        <f>'Unit Data from Audit Worksheet'!A241</f>
        <v>950</v>
      </c>
      <c r="B200" s="817"/>
      <c r="C200" s="818" t="str">
        <f>'Unit Data from Audit Worksheet'!D241</f>
        <v>Has the finance officer been formally appointed by the local government, public authority, or designated official?  (Y/N)</v>
      </c>
      <c r="D200" s="659"/>
      <c r="E200" s="860">
        <f>'Unit Data from Audit Worksheet'!F241</f>
        <v>0</v>
      </c>
      <c r="F200" s="401"/>
      <c r="G200" s="406"/>
      <c r="H200" s="399"/>
      <c r="I200" s="580"/>
      <c r="J200" s="585">
        <v>950</v>
      </c>
      <c r="K200" s="586" t="s">
        <v>1007</v>
      </c>
      <c r="L200" s="823">
        <f t="shared" si="25"/>
        <v>0</v>
      </c>
      <c r="M200" s="682"/>
      <c r="N200" s="5"/>
      <c r="O200" s="682"/>
      <c r="P200" s="562"/>
      <c r="Q200" s="815">
        <f t="shared" si="26"/>
        <v>1</v>
      </c>
      <c r="S200" s="682"/>
      <c r="T200" s="682"/>
      <c r="U200" s="682" t="b">
        <f t="shared" si="27"/>
        <v>1</v>
      </c>
      <c r="V200" s="362"/>
    </row>
    <row r="201" spans="1:22" ht="114" customHeight="1" x14ac:dyDescent="0.25">
      <c r="A201" s="816">
        <f>'Unit Data from Audit Worksheet'!A242</f>
        <v>952</v>
      </c>
      <c r="B201" s="817"/>
      <c r="C201" s="818" t="str">
        <f>'Unit Data from Audit Worksheet'!D242</f>
        <v>Date on which the local government, public authority, or designated official appointed the finance officer? (If the date of appointment by the board is difficult to find you may enter January 1 and the year)   Date Format  MM/DD/YYYY</v>
      </c>
      <c r="D201" s="659"/>
      <c r="E201" s="563">
        <f>'Unit Data from Audit Worksheet'!F242</f>
        <v>0</v>
      </c>
      <c r="F201" s="401"/>
      <c r="G201" s="406"/>
      <c r="H201" s="399"/>
      <c r="I201" s="580"/>
      <c r="J201" s="585">
        <v>952</v>
      </c>
      <c r="K201" s="586" t="s">
        <v>1008</v>
      </c>
      <c r="L201" s="822">
        <f t="shared" si="25"/>
        <v>0</v>
      </c>
      <c r="N201" s="5"/>
      <c r="P201" s="562"/>
      <c r="Q201" s="815">
        <f t="shared" si="26"/>
        <v>1</v>
      </c>
      <c r="R201" s="364"/>
      <c r="U201" s="682" t="b">
        <f t="shared" si="27"/>
        <v>1</v>
      </c>
      <c r="V201" s="362"/>
    </row>
    <row r="202" spans="1:22" ht="104.25" customHeight="1" x14ac:dyDescent="0.25">
      <c r="A202" s="816">
        <f>'Unit Data from Audit Worksheet'!A243</f>
        <v>954</v>
      </c>
      <c r="B202" s="817"/>
      <c r="C202" s="818" t="str">
        <f>'Unit Data from Audit Worksheet'!D243</f>
        <v>Has the finance officer or interim finance officer read, understand, and is in compliance with the requirements of N.C.G.S. 159, as applicable based on unit type and circumstances? (Y/N)</v>
      </c>
      <c r="D202" s="659"/>
      <c r="E202" s="860">
        <f>'Unit Data from Audit Worksheet'!F243</f>
        <v>0</v>
      </c>
      <c r="F202" s="401"/>
      <c r="G202" s="406"/>
      <c r="H202" s="399"/>
      <c r="I202" s="580"/>
      <c r="J202" s="585">
        <v>954</v>
      </c>
      <c r="K202" s="586" t="s">
        <v>1009</v>
      </c>
      <c r="L202" s="823">
        <f t="shared" si="25"/>
        <v>0</v>
      </c>
      <c r="N202" s="5"/>
      <c r="P202" s="562"/>
      <c r="Q202" s="815">
        <f t="shared" si="26"/>
        <v>1</v>
      </c>
      <c r="R202" s="364"/>
      <c r="U202" s="682" t="b">
        <f t="shared" si="27"/>
        <v>1</v>
      </c>
      <c r="V202" s="362"/>
    </row>
    <row r="203" spans="1:22" ht="123.75" customHeight="1" x14ac:dyDescent="0.25">
      <c r="A203" s="816">
        <f>'Unit Data from Audit Worksheet'!A244</f>
        <v>956</v>
      </c>
      <c r="B203" s="817"/>
      <c r="C203" s="818" t="str">
        <f>'Unit Data from Audit Worksheet'!D244</f>
        <v>Does the finance officer or interim finance officer maintain and update (or ensures the maintenance and update of)  financial records monthly, including reconciliation of bank accounts to the general ledger? (Y/N)</v>
      </c>
      <c r="D203" s="659"/>
      <c r="E203" s="860">
        <f>'Unit Data from Audit Worksheet'!F244</f>
        <v>0</v>
      </c>
      <c r="F203" s="401"/>
      <c r="G203" s="406"/>
      <c r="H203" s="399"/>
      <c r="I203" s="580"/>
      <c r="J203" s="585">
        <v>956</v>
      </c>
      <c r="K203" s="586" t="s">
        <v>1010</v>
      </c>
      <c r="L203" s="823">
        <f t="shared" si="25"/>
        <v>0</v>
      </c>
      <c r="N203" s="5"/>
      <c r="P203" s="562"/>
      <c r="Q203" s="815">
        <f t="shared" si="26"/>
        <v>1</v>
      </c>
      <c r="R203" s="364"/>
      <c r="U203" s="682" t="b">
        <f t="shared" si="27"/>
        <v>1</v>
      </c>
      <c r="V203" s="362"/>
    </row>
    <row r="204" spans="1:22" ht="215.25" customHeight="1" x14ac:dyDescent="0.25">
      <c r="A204" s="830">
        <f>'Unit Data from Audit Worksheet'!A245</f>
        <v>958</v>
      </c>
      <c r="B204" s="831"/>
      <c r="C204" s="832" t="str">
        <f>'Unit Data from Audit Worksheet'!D245</f>
        <v>Has the finance officer or interim finance officer submitted (or ensured or confirmed submission of) all required and applicable reports including but not limited to  the FY2019 annual audit report (N.C.G.S. 159-34), the semi-annual report on cash and investments (LGC-203) due July 25, 2019 and January 25, 2020 (N.C.G.S. 159-33), and the annual financial information report (AFIR) due by counites and municipalities October 31, 2019 (N.C.G.S. 159-33.1), and any other reports due  during the fiscal year corresponding to the audit report being submitted? (Y/N)</v>
      </c>
      <c r="D204" s="659"/>
      <c r="E204" s="861">
        <f>'Unit Data from Audit Worksheet'!F245</f>
        <v>0</v>
      </c>
      <c r="F204" s="401"/>
      <c r="G204" s="406"/>
      <c r="H204" s="399"/>
      <c r="I204" s="580"/>
      <c r="J204" s="585">
        <v>958</v>
      </c>
      <c r="K204" s="586" t="s">
        <v>1011</v>
      </c>
      <c r="L204" s="824">
        <f t="shared" si="25"/>
        <v>0</v>
      </c>
      <c r="N204" s="5"/>
      <c r="P204" s="562"/>
      <c r="Q204" s="815">
        <f t="shared" si="26"/>
        <v>1</v>
      </c>
      <c r="R204" s="364"/>
      <c r="U204" s="682" t="b">
        <f t="shared" si="27"/>
        <v>1</v>
      </c>
      <c r="V204" s="362"/>
    </row>
    <row r="205" spans="1:22" ht="30.75" customHeight="1" x14ac:dyDescent="0.25">
      <c r="A205" s="836">
        <f>'Unit Data from Audit Worksheet'!A253</f>
        <v>960</v>
      </c>
      <c r="B205" s="837"/>
      <c r="C205" s="838" t="str">
        <f>'Unit Data from Audit Worksheet'!B253</f>
        <v>Name of Finance Officer</v>
      </c>
      <c r="D205" s="839"/>
      <c r="E205" s="862">
        <f>'Unit Data from Audit Worksheet'!D253</f>
        <v>0</v>
      </c>
      <c r="F205" s="840"/>
      <c r="G205" s="583"/>
      <c r="H205" s="581"/>
      <c r="I205" s="580"/>
      <c r="J205" s="825">
        <v>960</v>
      </c>
      <c r="K205" s="829" t="s">
        <v>907</v>
      </c>
      <c r="L205" s="826">
        <f t="shared" si="25"/>
        <v>0</v>
      </c>
      <c r="N205" s="5"/>
      <c r="P205" s="562"/>
      <c r="Q205" s="815">
        <f>IF(L205=0,1,0)</f>
        <v>1</v>
      </c>
      <c r="R205" s="364"/>
      <c r="V205" s="362"/>
    </row>
    <row r="206" spans="1:22" ht="30.75" customHeight="1" x14ac:dyDescent="0.25">
      <c r="A206" s="836">
        <f>'Unit Data from Audit Worksheet'!A254</f>
        <v>962</v>
      </c>
      <c r="B206" s="837"/>
      <c r="C206" s="838" t="str">
        <f>'Unit Data from Audit Worksheet'!B254</f>
        <v>Title of Official</v>
      </c>
      <c r="D206" s="839"/>
      <c r="E206" s="862">
        <f>'Unit Data from Audit Worksheet'!D254</f>
        <v>0</v>
      </c>
      <c r="F206" s="840"/>
      <c r="G206" s="583"/>
      <c r="H206" s="581"/>
      <c r="I206" s="580"/>
      <c r="J206" s="825">
        <v>962</v>
      </c>
      <c r="K206" s="829" t="s">
        <v>759</v>
      </c>
      <c r="L206" s="826">
        <f t="shared" si="25"/>
        <v>0</v>
      </c>
      <c r="N206" s="5"/>
      <c r="P206" s="562"/>
      <c r="Q206" s="815">
        <f t="shared" ref="Q206:Q209" si="28">IF(L206=0,1,0)</f>
        <v>1</v>
      </c>
      <c r="R206" s="364"/>
      <c r="V206" s="362"/>
    </row>
    <row r="207" spans="1:22" ht="30.75" customHeight="1" x14ac:dyDescent="0.25">
      <c r="A207" s="836">
        <f>'Unit Data from Audit Worksheet'!A255</f>
        <v>964</v>
      </c>
      <c r="B207" s="837"/>
      <c r="C207" s="838" t="str">
        <f>'Unit Data from Audit Worksheet'!B255</f>
        <v>Date                        (Enter as "MM/DD/YYYY")</v>
      </c>
      <c r="D207" s="839"/>
      <c r="E207" s="842">
        <f>'Unit Data from Audit Worksheet'!D255</f>
        <v>0</v>
      </c>
      <c r="F207" s="840"/>
      <c r="G207" s="583"/>
      <c r="H207" s="581"/>
      <c r="I207" s="580"/>
      <c r="J207" s="825">
        <v>964</v>
      </c>
      <c r="K207" s="829" t="s">
        <v>1048</v>
      </c>
      <c r="L207" s="827">
        <f t="shared" si="25"/>
        <v>0</v>
      </c>
      <c r="N207" s="5"/>
      <c r="P207" s="562"/>
      <c r="Q207" s="815">
        <f t="shared" si="28"/>
        <v>1</v>
      </c>
      <c r="R207" s="364"/>
      <c r="V207" s="362"/>
    </row>
    <row r="208" spans="1:22" ht="30.75" customHeight="1" x14ac:dyDescent="0.25">
      <c r="A208" s="836">
        <f>'Unit Data from Audit Worksheet'!A256</f>
        <v>966</v>
      </c>
      <c r="B208" s="837"/>
      <c r="C208" s="838" t="str">
        <f>'Unit Data from Audit Worksheet'!B256</f>
        <v>Telephone number</v>
      </c>
      <c r="D208" s="839"/>
      <c r="E208" s="862">
        <f>'Unit Data from Audit Worksheet'!D256</f>
        <v>0</v>
      </c>
      <c r="F208" s="840"/>
      <c r="G208" s="583"/>
      <c r="H208" s="581"/>
      <c r="I208" s="580"/>
      <c r="J208" s="825">
        <v>966</v>
      </c>
      <c r="K208" s="829" t="s">
        <v>761</v>
      </c>
      <c r="L208" s="826">
        <f t="shared" si="25"/>
        <v>0</v>
      </c>
      <c r="N208" s="5"/>
      <c r="P208" s="562"/>
      <c r="Q208" s="815">
        <f t="shared" si="28"/>
        <v>1</v>
      </c>
      <c r="R208" s="364"/>
      <c r="V208" s="362"/>
    </row>
    <row r="209" spans="1:22" ht="30.75" customHeight="1" x14ac:dyDescent="0.25">
      <c r="A209" s="836">
        <f>'Unit Data from Audit Worksheet'!A257</f>
        <v>968</v>
      </c>
      <c r="B209" s="837"/>
      <c r="C209" s="838" t="str">
        <f>'Unit Data from Audit Worksheet'!B257</f>
        <v>E-mail address</v>
      </c>
      <c r="D209" s="839"/>
      <c r="E209" s="862">
        <f>'Unit Data from Audit Worksheet'!D257</f>
        <v>0</v>
      </c>
      <c r="F209" s="840"/>
      <c r="G209" s="583"/>
      <c r="H209" s="581"/>
      <c r="I209" s="580"/>
      <c r="J209" s="825">
        <v>968</v>
      </c>
      <c r="K209" s="829" t="s">
        <v>762</v>
      </c>
      <c r="L209" s="826">
        <f t="shared" si="25"/>
        <v>0</v>
      </c>
      <c r="N209" s="5"/>
      <c r="P209" s="562"/>
      <c r="Q209" s="815">
        <f t="shared" si="28"/>
        <v>1</v>
      </c>
      <c r="R209" s="364"/>
      <c r="V209" s="362"/>
    </row>
    <row r="210" spans="1:22" ht="34.5" customHeight="1" x14ac:dyDescent="0.25">
      <c r="A210" s="833"/>
      <c r="B210" s="834"/>
      <c r="C210" s="835"/>
      <c r="D210" s="203"/>
      <c r="E210" s="841"/>
      <c r="F210" s="217"/>
      <c r="G210" s="280"/>
      <c r="H210" s="199"/>
      <c r="I210" s="580"/>
      <c r="J210" s="585">
        <v>999</v>
      </c>
      <c r="K210" s="828" t="s">
        <v>373</v>
      </c>
      <c r="L210" s="587" t="e">
        <f>'Unit Data from Audit Worksheet'!D3</f>
        <v>#N/A</v>
      </c>
      <c r="N210" s="5" t="s">
        <v>1049</v>
      </c>
      <c r="P210" s="562"/>
      <c r="R210" s="364"/>
      <c r="U210" s="682" t="b">
        <f t="shared" si="27"/>
        <v>0</v>
      </c>
      <c r="V210" s="362"/>
    </row>
    <row r="211" spans="1:22" customFormat="1" x14ac:dyDescent="0.25"/>
    <row r="212" spans="1:22" x14ac:dyDescent="0.25">
      <c r="A212" s="706"/>
      <c r="B212" s="707"/>
      <c r="C212" s="708"/>
      <c r="D212" s="709"/>
      <c r="E212" s="710"/>
      <c r="F212" s="711"/>
      <c r="G212" s="712"/>
      <c r="H212" s="713"/>
      <c r="I212" s="714"/>
      <c r="J212" s="1"/>
      <c r="K212" s="1"/>
      <c r="L212" s="1"/>
      <c r="N212" s="787"/>
      <c r="P212" s="562"/>
      <c r="R212" s="364"/>
      <c r="U212" s="682" t="e">
        <f>EXACT(L4,L210)</f>
        <v>#N/A</v>
      </c>
      <c r="V212" s="362"/>
    </row>
    <row r="213" spans="1:22" x14ac:dyDescent="0.25">
      <c r="A213" s="719" t="s">
        <v>672</v>
      </c>
      <c r="B213" s="720"/>
      <c r="C213" s="715"/>
      <c r="D213" s="716"/>
      <c r="E213" s="717"/>
      <c r="F213" s="717"/>
      <c r="G213" s="718"/>
      <c r="H213" s="717"/>
      <c r="I213" s="714"/>
      <c r="L213" s="400"/>
      <c r="N213" s="787"/>
      <c r="P213" s="562"/>
      <c r="R213" s="364"/>
      <c r="V213" s="362"/>
    </row>
    <row r="214" spans="1:22" ht="108" customHeight="1" x14ac:dyDescent="0.55000000000000004">
      <c r="A214" s="220">
        <f>'Unit Data from Audit Worksheet'!A70</f>
        <v>590</v>
      </c>
      <c r="B214" s="220" t="str">
        <f>'Unit Data from Audit Worksheet'!B70</f>
        <v>Fiscal Review</v>
      </c>
      <c r="C214" s="299" t="str">
        <f>'Unit Data from Audit Worksheet'!D70</f>
        <v>If you appropriated General Fund Balance in your 2020 budget and your "change in fund balance": (row 69 above) is negative, please select from the drop down box in column F either "operations" or "capital", whichever best describes what the fund balance was used for.  If you select "Capital" please briefly describe in column G to the right the capital items.</v>
      </c>
      <c r="D214" s="298"/>
      <c r="E214" s="375">
        <f>'Unit Data from Audit Worksheet'!F70</f>
        <v>0</v>
      </c>
      <c r="F214" s="298">
        <f>'Unit Data from Audit Worksheet'!G70</f>
        <v>0</v>
      </c>
      <c r="G214" s="281"/>
      <c r="H214" s="27"/>
      <c r="I214" s="598"/>
      <c r="J214" s="656" t="e">
        <f>SUM(Q5:Q214)</f>
        <v>#N/A</v>
      </c>
      <c r="K214" s="655" t="s">
        <v>904</v>
      </c>
      <c r="L214" s="702" t="e">
        <f>SUM(G5:G187)</f>
        <v>#N/A</v>
      </c>
      <c r="N214" s="787"/>
      <c r="P214" s="562"/>
      <c r="R214" s="364"/>
    </row>
    <row r="215" spans="1:22" ht="36" x14ac:dyDescent="0.25">
      <c r="A215"/>
      <c r="B215"/>
      <c r="C215"/>
      <c r="D215"/>
      <c r="E215"/>
      <c r="F215" s="27"/>
      <c r="G215" s="281"/>
      <c r="H215" s="27"/>
      <c r="I215" s="598"/>
      <c r="K215" s="43"/>
      <c r="L215" s="255"/>
      <c r="P215" s="562"/>
      <c r="Q215" s="310"/>
      <c r="R215" s="310"/>
    </row>
    <row r="216" spans="1:22" customFormat="1" ht="18.75" customHeight="1" x14ac:dyDescent="0.25"/>
    <row r="217" spans="1:22" customFormat="1" ht="29.25" customHeight="1" x14ac:dyDescent="0.25"/>
    <row r="218" spans="1:22" customFormat="1" ht="25.5" customHeight="1" x14ac:dyDescent="0.25"/>
    <row r="219" spans="1:22" customFormat="1" ht="25.5" customHeight="1" x14ac:dyDescent="0.25"/>
    <row r="220" spans="1:22" customFormat="1" ht="25.5" customHeight="1" x14ac:dyDescent="0.25"/>
    <row r="221" spans="1:22" customFormat="1" ht="25.5" customHeight="1" x14ac:dyDescent="0.25"/>
    <row r="222" spans="1:22" customFormat="1" ht="25.5" customHeight="1" x14ac:dyDescent="0.25"/>
    <row r="223" spans="1:22" x14ac:dyDescent="0.25">
      <c r="D223" s="31"/>
      <c r="F223" s="239"/>
      <c r="G223" s="282"/>
      <c r="H223" s="27"/>
      <c r="I223" s="598"/>
      <c r="K223" s="43"/>
      <c r="L223" s="255"/>
    </row>
    <row r="224" spans="1:22" x14ac:dyDescent="0.25">
      <c r="D224" s="31"/>
      <c r="I224" s="598"/>
      <c r="K224" s="43"/>
      <c r="L224" s="255"/>
    </row>
    <row r="225" spans="1:12" x14ac:dyDescent="0.25">
      <c r="A225" s="20"/>
      <c r="B225" s="233"/>
      <c r="C225" s="227"/>
      <c r="D225" s="31"/>
      <c r="I225" s="598"/>
      <c r="L225" s="255"/>
    </row>
    <row r="226" spans="1:12" x14ac:dyDescent="0.25">
      <c r="A226" s="20"/>
      <c r="B226" s="233"/>
      <c r="C226" s="227"/>
      <c r="D226" s="31"/>
      <c r="I226" s="598"/>
      <c r="L226" s="255"/>
    </row>
    <row r="227" spans="1:12" x14ac:dyDescent="0.25">
      <c r="A227" s="20"/>
      <c r="B227" s="233"/>
      <c r="C227" s="227"/>
      <c r="D227" s="31"/>
      <c r="I227" s="598"/>
      <c r="L227" s="255"/>
    </row>
    <row r="228" spans="1:12" x14ac:dyDescent="0.25">
      <c r="D228" s="31"/>
      <c r="I228" s="598"/>
    </row>
    <row r="229" spans="1:12" x14ac:dyDescent="0.25">
      <c r="D229" s="31"/>
    </row>
    <row r="230" spans="1:12" x14ac:dyDescent="0.25">
      <c r="D230" s="31"/>
    </row>
    <row r="231" spans="1:12" x14ac:dyDescent="0.25">
      <c r="D231" s="31"/>
    </row>
    <row r="232" spans="1:12" x14ac:dyDescent="0.25">
      <c r="A232" s="20"/>
      <c r="B232" s="233"/>
      <c r="C232" s="227"/>
      <c r="D232" s="31"/>
    </row>
    <row r="233" spans="1:12" x14ac:dyDescent="0.25">
      <c r="A233" s="20"/>
      <c r="B233" s="233"/>
      <c r="C233" s="227"/>
      <c r="D233" s="31"/>
    </row>
    <row r="234" spans="1:12" x14ac:dyDescent="0.25">
      <c r="D234" s="31"/>
    </row>
    <row r="235" spans="1:12" x14ac:dyDescent="0.25">
      <c r="D235" s="31"/>
    </row>
    <row r="236" spans="1:12" x14ac:dyDescent="0.25">
      <c r="D236" s="31"/>
    </row>
    <row r="237" spans="1:12" x14ac:dyDescent="0.25">
      <c r="D237" s="31"/>
    </row>
    <row r="238" spans="1:12" x14ac:dyDescent="0.25">
      <c r="A238" s="20"/>
      <c r="B238" s="233"/>
      <c r="C238" s="227"/>
      <c r="D238" s="31"/>
    </row>
    <row r="239" spans="1:12" x14ac:dyDescent="0.25">
      <c r="A239" s="20"/>
      <c r="B239" s="233"/>
      <c r="C239" s="227"/>
      <c r="D239" s="31"/>
    </row>
    <row r="240" spans="1:12" x14ac:dyDescent="0.25">
      <c r="D240" s="31"/>
    </row>
    <row r="241" spans="1:4" x14ac:dyDescent="0.25">
      <c r="D241" s="31"/>
    </row>
    <row r="242" spans="1:4" x14ac:dyDescent="0.25">
      <c r="D242" s="31"/>
    </row>
    <row r="243" spans="1:4" x14ac:dyDescent="0.25">
      <c r="D243" s="31"/>
    </row>
    <row r="244" spans="1:4" x14ac:dyDescent="0.25">
      <c r="A244" s="20"/>
      <c r="B244" s="233"/>
      <c r="C244" s="227"/>
      <c r="D244" s="31"/>
    </row>
    <row r="245" spans="1:4" x14ac:dyDescent="0.25">
      <c r="A245" s="20"/>
      <c r="B245" s="233"/>
      <c r="C245" s="227"/>
      <c r="D245" s="31"/>
    </row>
    <row r="246" spans="1:4" x14ac:dyDescent="0.25">
      <c r="A246" s="20"/>
      <c r="B246" s="233"/>
      <c r="C246" s="227"/>
      <c r="D246" s="31"/>
    </row>
    <row r="247" spans="1:4" x14ac:dyDescent="0.25">
      <c r="A247" s="20"/>
      <c r="B247" s="233"/>
      <c r="C247" s="227"/>
      <c r="D247" s="31"/>
    </row>
    <row r="248" spans="1:4" x14ac:dyDescent="0.25">
      <c r="D248" s="31"/>
    </row>
    <row r="249" spans="1:4" x14ac:dyDescent="0.25">
      <c r="D249" s="31"/>
    </row>
    <row r="250" spans="1:4" x14ac:dyDescent="0.25">
      <c r="D250" s="31"/>
    </row>
    <row r="251" spans="1:4" x14ac:dyDescent="0.25">
      <c r="A251" s="20"/>
      <c r="B251" s="233"/>
      <c r="C251" s="227"/>
      <c r="D251" s="31"/>
    </row>
    <row r="252" spans="1:4" x14ac:dyDescent="0.25">
      <c r="A252" s="20"/>
      <c r="B252" s="233"/>
      <c r="C252" s="227"/>
      <c r="D252" s="31"/>
    </row>
    <row r="253" spans="1:4" x14ac:dyDescent="0.25">
      <c r="A253" s="20"/>
      <c r="B253" s="233"/>
      <c r="C253" s="227"/>
      <c r="D253" s="31"/>
    </row>
    <row r="254" spans="1:4" x14ac:dyDescent="0.25">
      <c r="A254" s="20"/>
      <c r="B254" s="233"/>
      <c r="C254" s="227"/>
      <c r="D254" s="31"/>
    </row>
    <row r="255" spans="1:4" x14ac:dyDescent="0.25">
      <c r="A255" s="20"/>
      <c r="B255" s="233"/>
      <c r="C255" s="227"/>
      <c r="D255" s="31"/>
    </row>
    <row r="256" spans="1:4" x14ac:dyDescent="0.25">
      <c r="A256" s="20"/>
      <c r="B256" s="233"/>
      <c r="C256" s="227"/>
      <c r="D256" s="31"/>
    </row>
    <row r="257" spans="1:4" x14ac:dyDescent="0.25">
      <c r="A257" s="20"/>
      <c r="B257" s="233"/>
      <c r="C257" s="227"/>
      <c r="D257" s="31"/>
    </row>
    <row r="258" spans="1:4" x14ac:dyDescent="0.25">
      <c r="A258" s="20"/>
      <c r="B258" s="233"/>
      <c r="C258" s="227"/>
      <c r="D258" s="31"/>
    </row>
    <row r="259" spans="1:4" x14ac:dyDescent="0.25">
      <c r="A259" s="20"/>
      <c r="B259" s="233"/>
      <c r="C259" s="227"/>
      <c r="D259" s="31"/>
    </row>
    <row r="260" spans="1:4" x14ac:dyDescent="0.25">
      <c r="A260" s="20"/>
      <c r="B260" s="233"/>
      <c r="C260" s="227"/>
      <c r="D260" s="31"/>
    </row>
    <row r="261" spans="1:4" x14ac:dyDescent="0.25">
      <c r="A261" s="20"/>
      <c r="B261" s="233"/>
      <c r="C261" s="227"/>
      <c r="D261" s="31"/>
    </row>
    <row r="262" spans="1:4" x14ac:dyDescent="0.25">
      <c r="A262" s="20"/>
      <c r="B262" s="233"/>
      <c r="C262" s="227"/>
      <c r="D262" s="31"/>
    </row>
    <row r="263" spans="1:4" x14ac:dyDescent="0.25">
      <c r="A263" s="20"/>
      <c r="B263" s="233"/>
      <c r="C263" s="227"/>
      <c r="D263" s="31"/>
    </row>
    <row r="264" spans="1:4" x14ac:dyDescent="0.25">
      <c r="A264" s="20"/>
      <c r="B264" s="233"/>
      <c r="C264" s="227"/>
      <c r="D264" s="31"/>
    </row>
    <row r="265" spans="1:4" x14ac:dyDescent="0.25">
      <c r="A265" s="20"/>
      <c r="B265" s="233"/>
      <c r="C265" s="227"/>
      <c r="D265" s="31"/>
    </row>
    <row r="266" spans="1:4" x14ac:dyDescent="0.25">
      <c r="A266" s="20"/>
      <c r="B266" s="233"/>
      <c r="C266" s="227"/>
      <c r="D266" s="31"/>
    </row>
    <row r="267" spans="1:4" x14ac:dyDescent="0.25">
      <c r="A267" s="20"/>
      <c r="B267" s="233"/>
      <c r="C267" s="227"/>
      <c r="D267" s="31"/>
    </row>
    <row r="268" spans="1:4" x14ac:dyDescent="0.25">
      <c r="A268" s="20"/>
      <c r="B268" s="233"/>
      <c r="C268" s="227"/>
      <c r="D268" s="31"/>
    </row>
    <row r="269" spans="1:4" x14ac:dyDescent="0.25">
      <c r="A269" s="20"/>
      <c r="B269" s="233"/>
      <c r="C269" s="227"/>
      <c r="D269" s="31"/>
    </row>
    <row r="270" spans="1:4" x14ac:dyDescent="0.25">
      <c r="A270" s="20"/>
      <c r="B270" s="233"/>
      <c r="C270" s="227"/>
      <c r="D270" s="31"/>
    </row>
    <row r="271" spans="1:4" x14ac:dyDescent="0.25">
      <c r="A271" s="20"/>
      <c r="B271" s="233"/>
      <c r="C271" s="227"/>
      <c r="D271" s="31"/>
    </row>
    <row r="272" spans="1:4" x14ac:dyDescent="0.25">
      <c r="A272" s="20"/>
      <c r="B272" s="233"/>
      <c r="C272" s="227"/>
      <c r="D272" s="31"/>
    </row>
    <row r="273" spans="1:4" x14ac:dyDescent="0.25">
      <c r="A273" s="20"/>
      <c r="B273" s="233"/>
      <c r="C273" s="227"/>
      <c r="D273" s="31"/>
    </row>
    <row r="274" spans="1:4" x14ac:dyDescent="0.25">
      <c r="A274" s="20"/>
      <c r="B274" s="233"/>
      <c r="C274" s="227"/>
      <c r="D274" s="31"/>
    </row>
    <row r="275" spans="1:4" x14ac:dyDescent="0.25">
      <c r="A275" s="20"/>
      <c r="B275" s="233"/>
      <c r="C275" s="227"/>
      <c r="D275" s="31"/>
    </row>
    <row r="276" spans="1:4" x14ac:dyDescent="0.25">
      <c r="A276" s="20"/>
      <c r="B276" s="233"/>
      <c r="C276" s="227"/>
      <c r="D276" s="31"/>
    </row>
    <row r="277" spans="1:4" x14ac:dyDescent="0.25">
      <c r="A277" s="20"/>
      <c r="B277" s="233"/>
      <c r="C277" s="227"/>
      <c r="D277" s="31"/>
    </row>
    <row r="278" spans="1:4" x14ac:dyDescent="0.25">
      <c r="A278" s="20"/>
      <c r="B278" s="233"/>
      <c r="C278" s="227"/>
      <c r="D278" s="31"/>
    </row>
    <row r="279" spans="1:4" x14ac:dyDescent="0.25">
      <c r="A279" s="20"/>
      <c r="B279" s="233"/>
      <c r="C279" s="227"/>
      <c r="D279" s="31"/>
    </row>
    <row r="280" spans="1:4" x14ac:dyDescent="0.25">
      <c r="A280" s="20"/>
      <c r="B280" s="233"/>
      <c r="C280" s="227"/>
      <c r="D280" s="31"/>
    </row>
    <row r="281" spans="1:4" x14ac:dyDescent="0.25">
      <c r="A281" s="20"/>
      <c r="B281" s="233"/>
      <c r="C281" s="227"/>
      <c r="D281" s="31"/>
    </row>
    <row r="282" spans="1:4" x14ac:dyDescent="0.25">
      <c r="A282" s="20"/>
      <c r="B282" s="233"/>
      <c r="C282" s="227"/>
      <c r="D282" s="31"/>
    </row>
    <row r="283" spans="1:4" x14ac:dyDescent="0.25">
      <c r="A283" s="20"/>
      <c r="B283" s="233"/>
      <c r="C283" s="227"/>
      <c r="D283" s="31"/>
    </row>
    <row r="284" spans="1:4" x14ac:dyDescent="0.25">
      <c r="A284" s="20"/>
      <c r="B284" s="233"/>
      <c r="C284" s="227"/>
      <c r="D284" s="31"/>
    </row>
    <row r="285" spans="1:4" x14ac:dyDescent="0.25">
      <c r="A285" s="20"/>
      <c r="B285" s="233"/>
      <c r="C285" s="227"/>
      <c r="D285" s="31"/>
    </row>
    <row r="286" spans="1:4" x14ac:dyDescent="0.25">
      <c r="A286" s="20"/>
      <c r="B286" s="233"/>
      <c r="C286" s="227"/>
      <c r="D286" s="31"/>
    </row>
    <row r="287" spans="1:4" x14ac:dyDescent="0.25">
      <c r="A287" s="20"/>
      <c r="B287" s="233"/>
      <c r="C287" s="227"/>
      <c r="D287" s="31"/>
    </row>
    <row r="288" spans="1:4" x14ac:dyDescent="0.25">
      <c r="A288" s="20"/>
      <c r="B288" s="233"/>
      <c r="C288" s="227"/>
      <c r="D288" s="31"/>
    </row>
    <row r="289" spans="1:4" x14ac:dyDescent="0.25">
      <c r="A289" s="20"/>
      <c r="B289" s="233"/>
      <c r="C289" s="227"/>
      <c r="D289" s="31"/>
    </row>
    <row r="290" spans="1:4" x14ac:dyDescent="0.25">
      <c r="A290" s="20"/>
      <c r="B290" s="233"/>
      <c r="C290" s="227"/>
      <c r="D290" s="31"/>
    </row>
    <row r="291" spans="1:4" x14ac:dyDescent="0.25">
      <c r="A291" s="20"/>
      <c r="B291" s="233"/>
      <c r="C291" s="227"/>
      <c r="D291" s="31"/>
    </row>
    <row r="292" spans="1:4" x14ac:dyDescent="0.25">
      <c r="A292" s="20"/>
      <c r="B292" s="233"/>
      <c r="C292" s="227"/>
      <c r="D292" s="31"/>
    </row>
    <row r="293" spans="1:4" x14ac:dyDescent="0.25">
      <c r="A293" s="20"/>
      <c r="B293" s="233"/>
      <c r="C293" s="227"/>
      <c r="D293" s="31"/>
    </row>
    <row r="294" spans="1:4" x14ac:dyDescent="0.25">
      <c r="A294" s="20"/>
      <c r="B294" s="233"/>
      <c r="C294" s="227"/>
      <c r="D294" s="31"/>
    </row>
    <row r="295" spans="1:4" x14ac:dyDescent="0.25">
      <c r="A295" s="20"/>
      <c r="B295" s="233"/>
      <c r="C295" s="227"/>
      <c r="D295" s="31"/>
    </row>
    <row r="296" spans="1:4" x14ac:dyDescent="0.25">
      <c r="A296" s="20"/>
      <c r="B296" s="233"/>
      <c r="C296" s="227"/>
      <c r="D296" s="31"/>
    </row>
    <row r="297" spans="1:4" x14ac:dyDescent="0.25">
      <c r="A297" s="20"/>
      <c r="B297" s="233"/>
      <c r="C297" s="227"/>
      <c r="D297" s="31"/>
    </row>
    <row r="298" spans="1:4" x14ac:dyDescent="0.25">
      <c r="A298" s="20"/>
      <c r="B298" s="233"/>
      <c r="C298" s="227"/>
      <c r="D298" s="31"/>
    </row>
    <row r="299" spans="1:4" x14ac:dyDescent="0.25">
      <c r="A299" s="20"/>
      <c r="B299" s="233"/>
      <c r="C299" s="227"/>
      <c r="D299" s="31"/>
    </row>
    <row r="300" spans="1:4" x14ac:dyDescent="0.25">
      <c r="A300" s="20"/>
      <c r="B300" s="233"/>
      <c r="C300" s="227"/>
      <c r="D300" s="31"/>
    </row>
    <row r="301" spans="1:4" x14ac:dyDescent="0.25">
      <c r="A301" s="20"/>
      <c r="B301" s="233"/>
      <c r="C301" s="227"/>
      <c r="D301" s="31"/>
    </row>
    <row r="302" spans="1:4" x14ac:dyDescent="0.25">
      <c r="A302" s="20"/>
      <c r="B302" s="233"/>
      <c r="C302" s="227"/>
      <c r="D302" s="31"/>
    </row>
    <row r="303" spans="1:4" x14ac:dyDescent="0.25">
      <c r="A303" s="20"/>
      <c r="B303" s="233"/>
      <c r="C303" s="227"/>
      <c r="D303" s="31"/>
    </row>
    <row r="304" spans="1:4" x14ac:dyDescent="0.25">
      <c r="A304" s="20"/>
      <c r="B304" s="233"/>
      <c r="C304" s="227"/>
      <c r="D304" s="31"/>
    </row>
    <row r="305" spans="1:4" x14ac:dyDescent="0.25">
      <c r="A305" s="20"/>
      <c r="B305" s="233"/>
      <c r="C305" s="227"/>
      <c r="D305" s="31"/>
    </row>
    <row r="306" spans="1:4" x14ac:dyDescent="0.25">
      <c r="A306" s="20"/>
      <c r="B306" s="233"/>
      <c r="C306" s="227"/>
      <c r="D306" s="31"/>
    </row>
    <row r="307" spans="1:4" x14ac:dyDescent="0.25">
      <c r="A307" s="20"/>
      <c r="B307" s="233"/>
      <c r="C307" s="227"/>
      <c r="D307" s="31"/>
    </row>
    <row r="308" spans="1:4" x14ac:dyDescent="0.25">
      <c r="A308" s="20"/>
      <c r="B308" s="233"/>
      <c r="C308" s="227"/>
      <c r="D308" s="31"/>
    </row>
    <row r="309" spans="1:4" x14ac:dyDescent="0.25">
      <c r="A309" s="20"/>
      <c r="B309" s="233"/>
      <c r="C309" s="227"/>
      <c r="D309" s="31"/>
    </row>
    <row r="310" spans="1:4" x14ac:dyDescent="0.25">
      <c r="A310" s="20"/>
      <c r="B310" s="233"/>
      <c r="C310" s="227"/>
      <c r="D310" s="31"/>
    </row>
    <row r="311" spans="1:4" x14ac:dyDescent="0.25">
      <c r="A311" s="20"/>
      <c r="B311" s="233"/>
      <c r="C311" s="227"/>
      <c r="D311" s="31"/>
    </row>
    <row r="312" spans="1:4" x14ac:dyDescent="0.25">
      <c r="A312" s="20"/>
      <c r="B312" s="233"/>
      <c r="C312" s="227"/>
      <c r="D312" s="31"/>
    </row>
    <row r="313" spans="1:4" x14ac:dyDescent="0.25">
      <c r="A313" s="20"/>
      <c r="B313" s="233"/>
      <c r="C313" s="227"/>
      <c r="D313" s="31"/>
    </row>
    <row r="314" spans="1:4" x14ac:dyDescent="0.25">
      <c r="A314" s="20"/>
      <c r="B314" s="233"/>
      <c r="C314" s="227"/>
      <c r="D314" s="31"/>
    </row>
    <row r="315" spans="1:4" x14ac:dyDescent="0.25">
      <c r="A315" s="20"/>
      <c r="B315" s="233"/>
      <c r="C315" s="227"/>
      <c r="D315" s="31"/>
    </row>
    <row r="316" spans="1:4" x14ac:dyDescent="0.25">
      <c r="A316" s="20"/>
      <c r="B316" s="233"/>
      <c r="C316" s="227"/>
      <c r="D316" s="31"/>
    </row>
    <row r="317" spans="1:4" x14ac:dyDescent="0.25">
      <c r="A317" s="20"/>
      <c r="B317" s="233"/>
      <c r="C317" s="227"/>
      <c r="D317" s="31"/>
    </row>
    <row r="318" spans="1:4" x14ac:dyDescent="0.25">
      <c r="A318" s="20"/>
      <c r="B318" s="233"/>
      <c r="C318" s="227"/>
      <c r="D318" s="31"/>
    </row>
    <row r="319" spans="1:4" x14ac:dyDescent="0.25">
      <c r="A319" s="20"/>
      <c r="B319" s="233"/>
      <c r="C319" s="227"/>
      <c r="D319" s="31"/>
    </row>
    <row r="320" spans="1:4" x14ac:dyDescent="0.25">
      <c r="A320" s="20"/>
      <c r="B320" s="233"/>
      <c r="C320" s="227"/>
      <c r="D320" s="31"/>
    </row>
    <row r="321" spans="1:4" x14ac:dyDescent="0.25">
      <c r="A321" s="20"/>
      <c r="B321" s="233"/>
      <c r="C321" s="227"/>
      <c r="D321" s="31"/>
    </row>
    <row r="322" spans="1:4" x14ac:dyDescent="0.25">
      <c r="A322" s="20"/>
      <c r="B322" s="233"/>
      <c r="C322" s="227"/>
      <c r="D322" s="31"/>
    </row>
    <row r="323" spans="1:4" x14ac:dyDescent="0.25">
      <c r="A323" s="20"/>
      <c r="B323" s="233"/>
      <c r="C323" s="227"/>
      <c r="D323" s="31"/>
    </row>
    <row r="324" spans="1:4" x14ac:dyDescent="0.25">
      <c r="A324" s="20"/>
      <c r="B324" s="233"/>
      <c r="C324" s="227"/>
      <c r="D324" s="31"/>
    </row>
    <row r="325" spans="1:4" x14ac:dyDescent="0.25">
      <c r="A325" s="20"/>
      <c r="B325" s="233"/>
      <c r="C325" s="227"/>
      <c r="D325" s="31"/>
    </row>
    <row r="326" spans="1:4" x14ac:dyDescent="0.25">
      <c r="A326" s="20"/>
      <c r="B326" s="233"/>
      <c r="C326" s="227"/>
      <c r="D326" s="31"/>
    </row>
    <row r="327" spans="1:4" x14ac:dyDescent="0.25">
      <c r="A327" s="20"/>
      <c r="B327" s="233"/>
      <c r="C327" s="227"/>
      <c r="D327" s="31"/>
    </row>
    <row r="328" spans="1:4" x14ac:dyDescent="0.25">
      <c r="A328" s="20"/>
      <c r="B328" s="233"/>
      <c r="C328" s="227"/>
      <c r="D328" s="31"/>
    </row>
    <row r="329" spans="1:4" x14ac:dyDescent="0.25">
      <c r="A329" s="20"/>
      <c r="B329" s="233"/>
      <c r="C329" s="227"/>
      <c r="D329" s="31"/>
    </row>
    <row r="330" spans="1:4" x14ac:dyDescent="0.25">
      <c r="A330" s="20"/>
      <c r="B330" s="233"/>
      <c r="C330" s="227"/>
      <c r="D330" s="31"/>
    </row>
    <row r="331" spans="1:4" x14ac:dyDescent="0.25">
      <c r="A331" s="20"/>
      <c r="B331" s="233"/>
      <c r="C331" s="227"/>
      <c r="D331" s="31"/>
    </row>
    <row r="332" spans="1:4" x14ac:dyDescent="0.25">
      <c r="A332" s="20"/>
      <c r="B332" s="233"/>
      <c r="C332" s="227"/>
      <c r="D332" s="31"/>
    </row>
    <row r="333" spans="1:4" x14ac:dyDescent="0.25">
      <c r="A333" s="20"/>
      <c r="B333" s="233"/>
      <c r="C333" s="227"/>
      <c r="D333" s="31"/>
    </row>
    <row r="334" spans="1:4" x14ac:dyDescent="0.25">
      <c r="A334" s="20"/>
      <c r="B334" s="233"/>
      <c r="C334" s="227"/>
      <c r="D334" s="31"/>
    </row>
    <row r="335" spans="1:4" x14ac:dyDescent="0.25">
      <c r="A335" s="20"/>
      <c r="B335" s="233"/>
      <c r="C335" s="227"/>
      <c r="D335" s="31"/>
    </row>
    <row r="336" spans="1:4" x14ac:dyDescent="0.25">
      <c r="A336" s="20"/>
      <c r="B336" s="233"/>
      <c r="C336" s="227"/>
      <c r="D336" s="31"/>
    </row>
    <row r="337" spans="1:4" x14ac:dyDescent="0.25">
      <c r="A337" s="20"/>
      <c r="B337" s="233"/>
      <c r="C337" s="227"/>
      <c r="D337" s="31"/>
    </row>
    <row r="338" spans="1:4" x14ac:dyDescent="0.25">
      <c r="A338" s="20"/>
      <c r="B338" s="233"/>
      <c r="C338" s="227"/>
      <c r="D338" s="31"/>
    </row>
    <row r="339" spans="1:4" x14ac:dyDescent="0.25">
      <c r="A339" s="20"/>
      <c r="B339" s="233"/>
      <c r="C339" s="227"/>
      <c r="D339" s="31"/>
    </row>
    <row r="340" spans="1:4" x14ac:dyDescent="0.25">
      <c r="A340" s="20"/>
      <c r="B340" s="233"/>
      <c r="C340" s="227"/>
      <c r="D340" s="31"/>
    </row>
    <row r="341" spans="1:4" x14ac:dyDescent="0.25">
      <c r="A341" s="20"/>
      <c r="B341" s="233"/>
      <c r="C341" s="227"/>
      <c r="D341" s="31"/>
    </row>
    <row r="342" spans="1:4" x14ac:dyDescent="0.25">
      <c r="A342" s="20"/>
      <c r="B342" s="233"/>
      <c r="C342" s="227"/>
      <c r="D342" s="31"/>
    </row>
    <row r="343" spans="1:4" x14ac:dyDescent="0.25">
      <c r="A343" s="20"/>
      <c r="B343" s="233"/>
      <c r="C343" s="227"/>
      <c r="D343" s="31"/>
    </row>
    <row r="344" spans="1:4" x14ac:dyDescent="0.25">
      <c r="A344" s="20"/>
      <c r="B344" s="233"/>
      <c r="C344" s="227"/>
      <c r="D344" s="31"/>
    </row>
    <row r="345" spans="1:4" x14ac:dyDescent="0.25">
      <c r="A345" s="20"/>
      <c r="B345" s="233"/>
      <c r="C345" s="227"/>
      <c r="D345" s="31"/>
    </row>
    <row r="346" spans="1:4" x14ac:dyDescent="0.25">
      <c r="A346" s="20"/>
      <c r="B346" s="233"/>
      <c r="C346" s="227"/>
      <c r="D346" s="31"/>
    </row>
    <row r="347" spans="1:4" x14ac:dyDescent="0.25">
      <c r="A347" s="20"/>
      <c r="B347" s="233"/>
      <c r="C347" s="227"/>
      <c r="D347" s="31"/>
    </row>
    <row r="348" spans="1:4" x14ac:dyDescent="0.25">
      <c r="A348" s="20"/>
      <c r="B348" s="233"/>
      <c r="C348" s="227"/>
      <c r="D348" s="31"/>
    </row>
    <row r="349" spans="1:4" x14ac:dyDescent="0.25">
      <c r="A349" s="20"/>
      <c r="B349" s="233"/>
      <c r="C349" s="227"/>
      <c r="D349" s="31"/>
    </row>
    <row r="350" spans="1:4" x14ac:dyDescent="0.25">
      <c r="A350" s="20"/>
      <c r="B350" s="233"/>
      <c r="C350" s="227"/>
      <c r="D350" s="31"/>
    </row>
    <row r="351" spans="1:4" x14ac:dyDescent="0.25">
      <c r="A351" s="20"/>
      <c r="B351" s="233"/>
      <c r="C351" s="227"/>
      <c r="D351" s="31"/>
    </row>
    <row r="352" spans="1:4" x14ac:dyDescent="0.25">
      <c r="A352" s="20"/>
      <c r="B352" s="233"/>
      <c r="C352" s="227"/>
      <c r="D352" s="31"/>
    </row>
    <row r="353" spans="1:4" x14ac:dyDescent="0.25">
      <c r="A353" s="20"/>
      <c r="B353" s="233"/>
      <c r="C353" s="227"/>
      <c r="D353" s="31"/>
    </row>
    <row r="354" spans="1:4" x14ac:dyDescent="0.25">
      <c r="A354" s="20"/>
      <c r="B354" s="233"/>
      <c r="C354" s="227"/>
      <c r="D354" s="31"/>
    </row>
    <row r="355" spans="1:4" x14ac:dyDescent="0.25">
      <c r="A355" s="20"/>
      <c r="B355" s="233"/>
      <c r="C355" s="227"/>
      <c r="D355" s="31"/>
    </row>
    <row r="356" spans="1:4" x14ac:dyDescent="0.25">
      <c r="A356" s="20"/>
      <c r="B356" s="233"/>
      <c r="C356" s="227"/>
      <c r="D356" s="31"/>
    </row>
    <row r="357" spans="1:4" x14ac:dyDescent="0.25">
      <c r="A357" s="20"/>
      <c r="B357" s="233"/>
      <c r="C357" s="227"/>
      <c r="D357" s="31"/>
    </row>
    <row r="358" spans="1:4" x14ac:dyDescent="0.25">
      <c r="A358" s="20"/>
      <c r="B358" s="233"/>
      <c r="C358" s="227"/>
      <c r="D358" s="31"/>
    </row>
    <row r="359" spans="1:4" x14ac:dyDescent="0.25">
      <c r="A359" s="20"/>
      <c r="B359" s="233"/>
      <c r="C359" s="227"/>
      <c r="D359" s="31"/>
    </row>
    <row r="360" spans="1:4" x14ac:dyDescent="0.25">
      <c r="A360" s="20"/>
      <c r="B360" s="233"/>
      <c r="C360" s="227"/>
      <c r="D360" s="31"/>
    </row>
    <row r="361" spans="1:4" x14ac:dyDescent="0.25">
      <c r="A361" s="20"/>
      <c r="B361" s="233"/>
      <c r="C361" s="227"/>
      <c r="D361" s="31"/>
    </row>
    <row r="362" spans="1:4" x14ac:dyDescent="0.25">
      <c r="A362" s="20"/>
      <c r="B362" s="233"/>
      <c r="C362" s="227"/>
      <c r="D362" s="31"/>
    </row>
    <row r="363" spans="1:4" x14ac:dyDescent="0.25">
      <c r="D363" s="31"/>
    </row>
    <row r="364" spans="1:4" x14ac:dyDescent="0.25">
      <c r="D364" s="31"/>
    </row>
    <row r="365" spans="1:4" x14ac:dyDescent="0.25">
      <c r="D365" s="31"/>
    </row>
    <row r="366" spans="1:4" x14ac:dyDescent="0.25">
      <c r="D366" s="31"/>
    </row>
    <row r="367" spans="1:4" x14ac:dyDescent="0.25">
      <c r="D367" s="31"/>
    </row>
    <row r="368" spans="1:4" x14ac:dyDescent="0.25">
      <c r="D368" s="31"/>
    </row>
    <row r="369" spans="4:4" x14ac:dyDescent="0.25">
      <c r="D369" s="31"/>
    </row>
    <row r="370" spans="4:4" x14ac:dyDescent="0.25">
      <c r="D370" s="31"/>
    </row>
    <row r="371" spans="4:4" x14ac:dyDescent="0.25">
      <c r="D371" s="31"/>
    </row>
    <row r="372" spans="4:4" x14ac:dyDescent="0.25">
      <c r="D372" s="31"/>
    </row>
    <row r="373" spans="4:4" x14ac:dyDescent="0.25">
      <c r="D373" s="31"/>
    </row>
    <row r="374" spans="4:4" x14ac:dyDescent="0.25">
      <c r="D374" s="31"/>
    </row>
    <row r="375" spans="4:4" x14ac:dyDescent="0.25">
      <c r="D375" s="31"/>
    </row>
    <row r="376" spans="4:4" x14ac:dyDescent="0.25">
      <c r="D376" s="31"/>
    </row>
    <row r="377" spans="4:4" x14ac:dyDescent="0.25">
      <c r="D377" s="31"/>
    </row>
    <row r="378" spans="4:4" x14ac:dyDescent="0.25">
      <c r="D378" s="31"/>
    </row>
    <row r="379" spans="4:4" x14ac:dyDescent="0.25">
      <c r="D379" s="31"/>
    </row>
    <row r="380" spans="4:4" x14ac:dyDescent="0.25">
      <c r="D380" s="31"/>
    </row>
    <row r="381" spans="4:4" x14ac:dyDescent="0.25">
      <c r="D381" s="31"/>
    </row>
    <row r="382" spans="4:4" x14ac:dyDescent="0.25">
      <c r="D382" s="31"/>
    </row>
    <row r="383" spans="4:4" x14ac:dyDescent="0.25">
      <c r="D383" s="31"/>
    </row>
    <row r="384" spans="4:4" x14ac:dyDescent="0.25">
      <c r="D384" s="31"/>
    </row>
    <row r="385" spans="4:4" x14ac:dyDescent="0.25">
      <c r="D385" s="31"/>
    </row>
    <row r="386" spans="4:4" x14ac:dyDescent="0.25">
      <c r="D386" s="31"/>
    </row>
    <row r="387" spans="4:4" x14ac:dyDescent="0.25">
      <c r="D387" s="31"/>
    </row>
    <row r="388" spans="4:4" x14ac:dyDescent="0.25">
      <c r="D388" s="31"/>
    </row>
    <row r="389" spans="4:4" x14ac:dyDescent="0.25">
      <c r="D389" s="31"/>
    </row>
    <row r="390" spans="4:4" x14ac:dyDescent="0.25">
      <c r="D390" s="31"/>
    </row>
    <row r="391" spans="4:4" x14ac:dyDescent="0.25">
      <c r="D391" s="31"/>
    </row>
    <row r="392" spans="4:4" x14ac:dyDescent="0.25">
      <c r="D392" s="31"/>
    </row>
    <row r="393" spans="4:4" x14ac:dyDescent="0.25">
      <c r="D393" s="31"/>
    </row>
    <row r="394" spans="4:4" x14ac:dyDescent="0.25">
      <c r="D394" s="31"/>
    </row>
    <row r="395" spans="4:4" x14ac:dyDescent="0.25">
      <c r="D395" s="31"/>
    </row>
    <row r="396" spans="4:4" x14ac:dyDescent="0.25">
      <c r="D396" s="31"/>
    </row>
    <row r="397" spans="4:4" x14ac:dyDescent="0.25">
      <c r="D397" s="31"/>
    </row>
    <row r="398" spans="4:4" x14ac:dyDescent="0.25">
      <c r="D398" s="31"/>
    </row>
    <row r="399" spans="4:4" x14ac:dyDescent="0.25">
      <c r="D399" s="31"/>
    </row>
    <row r="400" spans="4:4" x14ac:dyDescent="0.25">
      <c r="D400" s="31"/>
    </row>
    <row r="401" spans="4:4" x14ac:dyDescent="0.25">
      <c r="D401" s="31"/>
    </row>
    <row r="402" spans="4:4" x14ac:dyDescent="0.25">
      <c r="D402" s="31"/>
    </row>
    <row r="403" spans="4:4" x14ac:dyDescent="0.25">
      <c r="D403" s="31"/>
    </row>
    <row r="404" spans="4:4" x14ac:dyDescent="0.25">
      <c r="D404" s="31"/>
    </row>
    <row r="405" spans="4:4" x14ac:dyDescent="0.25">
      <c r="D405" s="31"/>
    </row>
    <row r="406" spans="4:4" x14ac:dyDescent="0.25">
      <c r="D406" s="31"/>
    </row>
    <row r="407" spans="4:4" x14ac:dyDescent="0.25">
      <c r="D407" s="31"/>
    </row>
    <row r="408" spans="4:4" x14ac:dyDescent="0.25">
      <c r="D408" s="31"/>
    </row>
    <row r="409" spans="4:4" x14ac:dyDescent="0.25">
      <c r="D409" s="31"/>
    </row>
    <row r="410" spans="4:4" x14ac:dyDescent="0.25">
      <c r="D410" s="31"/>
    </row>
    <row r="411" spans="4:4" x14ac:dyDescent="0.25">
      <c r="D411" s="31"/>
    </row>
    <row r="412" spans="4:4" x14ac:dyDescent="0.25">
      <c r="D412" s="31"/>
    </row>
    <row r="413" spans="4:4" x14ac:dyDescent="0.25">
      <c r="D413" s="31"/>
    </row>
    <row r="414" spans="4:4" x14ac:dyDescent="0.25">
      <c r="D414" s="31"/>
    </row>
    <row r="415" spans="4:4" x14ac:dyDescent="0.25">
      <c r="D415" s="31"/>
    </row>
    <row r="416" spans="4:4" x14ac:dyDescent="0.25">
      <c r="D416" s="31"/>
    </row>
    <row r="417" spans="4:4" x14ac:dyDescent="0.25">
      <c r="D417" s="31"/>
    </row>
    <row r="418" spans="4:4" x14ac:dyDescent="0.25">
      <c r="D418" s="31"/>
    </row>
    <row r="419" spans="4:4" x14ac:dyDescent="0.25">
      <c r="D419" s="31"/>
    </row>
    <row r="420" spans="4:4" x14ac:dyDescent="0.25">
      <c r="D420" s="31"/>
    </row>
    <row r="421" spans="4:4" x14ac:dyDescent="0.25">
      <c r="D421" s="31"/>
    </row>
    <row r="422" spans="4:4" x14ac:dyDescent="0.25">
      <c r="D422" s="31"/>
    </row>
    <row r="423" spans="4:4" x14ac:dyDescent="0.25">
      <c r="D423" s="31"/>
    </row>
    <row r="424" spans="4:4" x14ac:dyDescent="0.25">
      <c r="D424" s="31"/>
    </row>
    <row r="425" spans="4:4" x14ac:dyDescent="0.25">
      <c r="D425" s="31"/>
    </row>
    <row r="426" spans="4:4" x14ac:dyDescent="0.25">
      <c r="D426" s="31"/>
    </row>
    <row r="427" spans="4:4" x14ac:dyDescent="0.25">
      <c r="D427" s="31"/>
    </row>
    <row r="428" spans="4:4" x14ac:dyDescent="0.25">
      <c r="D428" s="31"/>
    </row>
    <row r="429" spans="4:4" x14ac:dyDescent="0.25">
      <c r="D429" s="31"/>
    </row>
    <row r="430" spans="4:4" x14ac:dyDescent="0.25">
      <c r="D430" s="31"/>
    </row>
    <row r="431" spans="4:4" x14ac:dyDescent="0.25">
      <c r="D431" s="31"/>
    </row>
    <row r="432" spans="4:4" x14ac:dyDescent="0.25">
      <c r="D432" s="31"/>
    </row>
    <row r="433" spans="4:4" x14ac:dyDescent="0.25">
      <c r="D433" s="31"/>
    </row>
    <row r="434" spans="4:4" x14ac:dyDescent="0.25">
      <c r="D434" s="31"/>
    </row>
    <row r="435" spans="4:4" x14ac:dyDescent="0.25">
      <c r="D435" s="31"/>
    </row>
    <row r="436" spans="4:4" x14ac:dyDescent="0.25">
      <c r="D436" s="31"/>
    </row>
    <row r="437" spans="4:4" x14ac:dyDescent="0.25">
      <c r="D437" s="31"/>
    </row>
    <row r="438" spans="4:4" x14ac:dyDescent="0.25">
      <c r="D438" s="31"/>
    </row>
    <row r="439" spans="4:4" x14ac:dyDescent="0.25">
      <c r="D439" s="31"/>
    </row>
    <row r="440" spans="4:4" x14ac:dyDescent="0.25">
      <c r="D440" s="31"/>
    </row>
    <row r="441" spans="4:4" x14ac:dyDescent="0.25">
      <c r="D441" s="31"/>
    </row>
    <row r="442" spans="4:4" x14ac:dyDescent="0.25">
      <c r="D442" s="31"/>
    </row>
    <row r="443" spans="4:4" x14ac:dyDescent="0.25">
      <c r="D443" s="31"/>
    </row>
    <row r="444" spans="4:4" x14ac:dyDescent="0.25">
      <c r="D444" s="31"/>
    </row>
    <row r="445" spans="4:4" x14ac:dyDescent="0.25">
      <c r="D445" s="31"/>
    </row>
    <row r="446" spans="4:4" x14ac:dyDescent="0.25">
      <c r="D446" s="31"/>
    </row>
    <row r="447" spans="4:4" x14ac:dyDescent="0.25">
      <c r="D447" s="31"/>
    </row>
    <row r="448" spans="4:4" x14ac:dyDescent="0.25">
      <c r="D448" s="31"/>
    </row>
    <row r="449" spans="4:4" x14ac:dyDescent="0.25">
      <c r="D449" s="31"/>
    </row>
    <row r="450" spans="4:4" x14ac:dyDescent="0.25">
      <c r="D450" s="31"/>
    </row>
    <row r="451" spans="4:4" x14ac:dyDescent="0.25">
      <c r="D451" s="31"/>
    </row>
    <row r="452" spans="4:4" x14ac:dyDescent="0.25">
      <c r="D452" s="31"/>
    </row>
    <row r="453" spans="4:4" x14ac:dyDescent="0.25">
      <c r="D453" s="31"/>
    </row>
    <row r="454" spans="4:4" x14ac:dyDescent="0.25">
      <c r="D454" s="31"/>
    </row>
    <row r="455" spans="4:4" x14ac:dyDescent="0.25">
      <c r="D455" s="31"/>
    </row>
    <row r="456" spans="4:4" x14ac:dyDescent="0.25">
      <c r="D456" s="31"/>
    </row>
    <row r="457" spans="4:4" x14ac:dyDescent="0.25">
      <c r="D457" s="31"/>
    </row>
    <row r="458" spans="4:4" x14ac:dyDescent="0.25">
      <c r="D458" s="31"/>
    </row>
    <row r="459" spans="4:4" x14ac:dyDescent="0.25">
      <c r="D459" s="31"/>
    </row>
    <row r="460" spans="4:4" x14ac:dyDescent="0.25">
      <c r="D460" s="31"/>
    </row>
    <row r="461" spans="4:4" x14ac:dyDescent="0.25">
      <c r="D461" s="31"/>
    </row>
    <row r="462" spans="4:4" x14ac:dyDescent="0.25">
      <c r="D462" s="31"/>
    </row>
    <row r="463" spans="4:4" x14ac:dyDescent="0.25">
      <c r="D463" s="31"/>
    </row>
    <row r="464" spans="4:4" x14ac:dyDescent="0.25">
      <c r="D464" s="31"/>
    </row>
    <row r="465" spans="4:4" x14ac:dyDescent="0.25">
      <c r="D465" s="31"/>
    </row>
    <row r="466" spans="4:4" x14ac:dyDescent="0.25">
      <c r="D466" s="31"/>
    </row>
    <row r="467" spans="4:4" x14ac:dyDescent="0.25">
      <c r="D467" s="31"/>
    </row>
    <row r="468" spans="4:4" x14ac:dyDescent="0.25">
      <c r="D468" s="31"/>
    </row>
    <row r="469" spans="4:4" x14ac:dyDescent="0.25">
      <c r="D469" s="31"/>
    </row>
    <row r="470" spans="4:4" x14ac:dyDescent="0.25">
      <c r="D470" s="31"/>
    </row>
    <row r="471" spans="4:4" x14ac:dyDescent="0.25">
      <c r="D471" s="31"/>
    </row>
    <row r="472" spans="4:4" x14ac:dyDescent="0.25">
      <c r="D472" s="31"/>
    </row>
    <row r="473" spans="4:4" x14ac:dyDescent="0.25">
      <c r="D473" s="31"/>
    </row>
    <row r="474" spans="4:4" x14ac:dyDescent="0.25">
      <c r="D474" s="31"/>
    </row>
    <row r="475" spans="4:4" x14ac:dyDescent="0.25">
      <c r="D475" s="31"/>
    </row>
    <row r="476" spans="4:4" x14ac:dyDescent="0.25">
      <c r="D476" s="31"/>
    </row>
    <row r="477" spans="4:4" x14ac:dyDescent="0.25">
      <c r="D477" s="31"/>
    </row>
    <row r="478" spans="4:4" x14ac:dyDescent="0.25">
      <c r="D478" s="31"/>
    </row>
    <row r="479" spans="4:4" x14ac:dyDescent="0.25">
      <c r="D479" s="31"/>
    </row>
    <row r="480" spans="4:4" x14ac:dyDescent="0.25">
      <c r="D480" s="31"/>
    </row>
    <row r="481" spans="4:4" x14ac:dyDescent="0.25">
      <c r="D481" s="31"/>
    </row>
    <row r="482" spans="4:4" x14ac:dyDescent="0.25">
      <c r="D482" s="31"/>
    </row>
    <row r="483" spans="4:4" x14ac:dyDescent="0.25">
      <c r="D483" s="31"/>
    </row>
    <row r="484" spans="4:4" x14ac:dyDescent="0.25">
      <c r="D484" s="31"/>
    </row>
    <row r="485" spans="4:4" x14ac:dyDescent="0.25">
      <c r="D485" s="31"/>
    </row>
    <row r="486" spans="4:4" x14ac:dyDescent="0.25">
      <c r="D486" s="31"/>
    </row>
    <row r="487" spans="4:4" x14ac:dyDescent="0.25">
      <c r="D487" s="31"/>
    </row>
    <row r="488" spans="4:4" x14ac:dyDescent="0.25">
      <c r="D488" s="31"/>
    </row>
    <row r="489" spans="4:4" x14ac:dyDescent="0.25">
      <c r="D489" s="31"/>
    </row>
    <row r="490" spans="4:4" x14ac:dyDescent="0.25">
      <c r="D490" s="31"/>
    </row>
    <row r="491" spans="4:4" x14ac:dyDescent="0.25">
      <c r="D491" s="31"/>
    </row>
    <row r="492" spans="4:4" x14ac:dyDescent="0.25">
      <c r="D492" s="31"/>
    </row>
    <row r="493" spans="4:4" x14ac:dyDescent="0.25">
      <c r="D493" s="31"/>
    </row>
    <row r="494" spans="4:4" x14ac:dyDescent="0.25">
      <c r="D494" s="31"/>
    </row>
    <row r="495" spans="4:4" x14ac:dyDescent="0.25">
      <c r="D495" s="31"/>
    </row>
    <row r="496" spans="4:4" x14ac:dyDescent="0.25">
      <c r="D496" s="31"/>
    </row>
    <row r="497" spans="4:4" x14ac:dyDescent="0.25">
      <c r="D497" s="31"/>
    </row>
    <row r="498" spans="4:4" x14ac:dyDescent="0.25">
      <c r="D498" s="31"/>
    </row>
    <row r="499" spans="4:4" x14ac:dyDescent="0.25">
      <c r="D499" s="31"/>
    </row>
    <row r="500" spans="4:4" x14ac:dyDescent="0.25">
      <c r="D500" s="31"/>
    </row>
    <row r="501" spans="4:4" x14ac:dyDescent="0.25">
      <c r="D501" s="31"/>
    </row>
    <row r="502" spans="4:4" x14ac:dyDescent="0.25">
      <c r="D502" s="31"/>
    </row>
    <row r="503" spans="4:4" x14ac:dyDescent="0.25">
      <c r="D503" s="31"/>
    </row>
    <row r="504" spans="4:4" x14ac:dyDescent="0.25">
      <c r="D504" s="31"/>
    </row>
    <row r="505" spans="4:4" x14ac:dyDescent="0.25">
      <c r="D505" s="31"/>
    </row>
    <row r="506" spans="4:4" x14ac:dyDescent="0.25">
      <c r="D506" s="31"/>
    </row>
    <row r="507" spans="4:4" x14ac:dyDescent="0.25">
      <c r="D507" s="31"/>
    </row>
    <row r="508" spans="4:4" x14ac:dyDescent="0.25">
      <c r="D508" s="31"/>
    </row>
    <row r="509" spans="4:4" x14ac:dyDescent="0.25">
      <c r="D509" s="31"/>
    </row>
    <row r="510" spans="4:4" x14ac:dyDescent="0.25">
      <c r="D510" s="31"/>
    </row>
    <row r="511" spans="4:4" x14ac:dyDescent="0.25">
      <c r="D511" s="31"/>
    </row>
    <row r="512" spans="4:4" x14ac:dyDescent="0.25">
      <c r="D512" s="31"/>
    </row>
    <row r="513" spans="4:4" x14ac:dyDescent="0.25">
      <c r="D513" s="31"/>
    </row>
    <row r="514" spans="4:4" x14ac:dyDescent="0.25">
      <c r="D514" s="31"/>
    </row>
    <row r="515" spans="4:4" x14ac:dyDescent="0.25">
      <c r="D515" s="31"/>
    </row>
    <row r="516" spans="4:4" x14ac:dyDescent="0.25">
      <c r="D516" s="31"/>
    </row>
    <row r="517" spans="4:4" x14ac:dyDescent="0.25">
      <c r="D517" s="31"/>
    </row>
    <row r="518" spans="4:4" x14ac:dyDescent="0.25">
      <c r="D518" s="31"/>
    </row>
    <row r="519" spans="4:4" x14ac:dyDescent="0.25">
      <c r="D519" s="31"/>
    </row>
    <row r="520" spans="4:4" x14ac:dyDescent="0.25">
      <c r="D520" s="31"/>
    </row>
    <row r="521" spans="4:4" x14ac:dyDescent="0.25">
      <c r="D521" s="31"/>
    </row>
    <row r="522" spans="4:4" x14ac:dyDescent="0.25">
      <c r="D522" s="31"/>
    </row>
    <row r="523" spans="4:4" x14ac:dyDescent="0.25">
      <c r="D523" s="31"/>
    </row>
    <row r="524" spans="4:4" x14ac:dyDescent="0.25">
      <c r="D524" s="31"/>
    </row>
    <row r="525" spans="4:4" x14ac:dyDescent="0.25">
      <c r="D525" s="31"/>
    </row>
    <row r="526" spans="4:4" x14ac:dyDescent="0.25">
      <c r="D526" s="31"/>
    </row>
    <row r="527" spans="4:4" x14ac:dyDescent="0.25">
      <c r="D527" s="31"/>
    </row>
    <row r="528" spans="4:4" x14ac:dyDescent="0.25">
      <c r="D528" s="31"/>
    </row>
    <row r="529" spans="4:4" x14ac:dyDescent="0.25">
      <c r="D529" s="31"/>
    </row>
    <row r="530" spans="4:4" x14ac:dyDescent="0.25">
      <c r="D530" s="31"/>
    </row>
    <row r="531" spans="4:4" x14ac:dyDescent="0.25">
      <c r="D531" s="31"/>
    </row>
    <row r="532" spans="4:4" x14ac:dyDescent="0.25">
      <c r="D532" s="31"/>
    </row>
    <row r="533" spans="4:4" x14ac:dyDescent="0.25">
      <c r="D533" s="31"/>
    </row>
    <row r="534" spans="4:4" x14ac:dyDescent="0.25">
      <c r="D534" s="31"/>
    </row>
    <row r="535" spans="4:4" x14ac:dyDescent="0.25">
      <c r="D535" s="31"/>
    </row>
    <row r="536" spans="4:4" x14ac:dyDescent="0.25">
      <c r="D536" s="31"/>
    </row>
    <row r="537" spans="4:4" x14ac:dyDescent="0.25">
      <c r="D537" s="31"/>
    </row>
    <row r="538" spans="4:4" x14ac:dyDescent="0.25">
      <c r="D538" s="31"/>
    </row>
    <row r="539" spans="4:4" x14ac:dyDescent="0.25">
      <c r="D539" s="31"/>
    </row>
    <row r="540" spans="4:4" x14ac:dyDescent="0.25">
      <c r="D540" s="31"/>
    </row>
    <row r="541" spans="4:4" x14ac:dyDescent="0.25">
      <c r="D541" s="31"/>
    </row>
    <row r="542" spans="4:4" x14ac:dyDescent="0.25">
      <c r="D542" s="31"/>
    </row>
    <row r="543" spans="4:4" x14ac:dyDescent="0.25">
      <c r="D543" s="31"/>
    </row>
    <row r="544" spans="4:4" x14ac:dyDescent="0.25">
      <c r="D544" s="31"/>
    </row>
    <row r="545" spans="4:4" x14ac:dyDescent="0.25">
      <c r="D545" s="31"/>
    </row>
    <row r="546" spans="4:4" x14ac:dyDescent="0.25">
      <c r="D546" s="31"/>
    </row>
    <row r="547" spans="4:4" x14ac:dyDescent="0.25">
      <c r="D547" s="31"/>
    </row>
    <row r="548" spans="4:4" x14ac:dyDescent="0.25">
      <c r="D548" s="31"/>
    </row>
    <row r="549" spans="4:4" x14ac:dyDescent="0.25">
      <c r="D549" s="31"/>
    </row>
    <row r="550" spans="4:4" x14ac:dyDescent="0.25">
      <c r="D550" s="31"/>
    </row>
    <row r="551" spans="4:4" x14ac:dyDescent="0.25">
      <c r="D551" s="31"/>
    </row>
    <row r="552" spans="4:4" x14ac:dyDescent="0.25">
      <c r="D552" s="31"/>
    </row>
    <row r="553" spans="4:4" x14ac:dyDescent="0.25">
      <c r="D553" s="31"/>
    </row>
    <row r="554" spans="4:4" x14ac:dyDescent="0.25">
      <c r="D554" s="31"/>
    </row>
    <row r="555" spans="4:4" x14ac:dyDescent="0.25">
      <c r="D555" s="31"/>
    </row>
    <row r="556" spans="4:4" x14ac:dyDescent="0.25">
      <c r="D556" s="31"/>
    </row>
    <row r="557" spans="4:4" x14ac:dyDescent="0.25">
      <c r="D557" s="31"/>
    </row>
    <row r="558" spans="4:4" x14ac:dyDescent="0.25">
      <c r="D558" s="31"/>
    </row>
    <row r="559" spans="4:4" x14ac:dyDescent="0.25">
      <c r="D559" s="31"/>
    </row>
    <row r="560" spans="4:4" x14ac:dyDescent="0.25">
      <c r="D560" s="31"/>
    </row>
    <row r="561" spans="4:4" x14ac:dyDescent="0.25">
      <c r="D561" s="31"/>
    </row>
    <row r="562" spans="4:4" x14ac:dyDescent="0.25">
      <c r="D562" s="31"/>
    </row>
    <row r="563" spans="4:4" x14ac:dyDescent="0.25">
      <c r="D563" s="31"/>
    </row>
    <row r="564" spans="4:4" x14ac:dyDescent="0.25">
      <c r="D564" s="31"/>
    </row>
    <row r="565" spans="4:4" x14ac:dyDescent="0.25">
      <c r="D565" s="31"/>
    </row>
    <row r="566" spans="4:4" x14ac:dyDescent="0.25">
      <c r="D566" s="31"/>
    </row>
    <row r="567" spans="4:4" x14ac:dyDescent="0.25">
      <c r="D567" s="31"/>
    </row>
    <row r="568" spans="4:4" x14ac:dyDescent="0.25">
      <c r="D568" s="31"/>
    </row>
    <row r="569" spans="4:4" x14ac:dyDescent="0.25">
      <c r="D569" s="31"/>
    </row>
    <row r="570" spans="4:4" x14ac:dyDescent="0.25">
      <c r="D570" s="31"/>
    </row>
    <row r="571" spans="4:4" x14ac:dyDescent="0.25">
      <c r="D571" s="31"/>
    </row>
    <row r="572" spans="4:4" x14ac:dyDescent="0.25">
      <c r="D572" s="31"/>
    </row>
    <row r="573" spans="4:4" x14ac:dyDescent="0.25">
      <c r="D573" s="31"/>
    </row>
    <row r="574" spans="4:4" x14ac:dyDescent="0.25">
      <c r="D574" s="31"/>
    </row>
    <row r="575" spans="4:4" x14ac:dyDescent="0.25">
      <c r="D575" s="31"/>
    </row>
    <row r="576" spans="4:4" x14ac:dyDescent="0.25">
      <c r="D576" s="31"/>
    </row>
    <row r="577" spans="4:4" x14ac:dyDescent="0.25">
      <c r="D577" s="31"/>
    </row>
    <row r="578" spans="4:4" x14ac:dyDescent="0.25">
      <c r="D578" s="31"/>
    </row>
    <row r="579" spans="4:4" x14ac:dyDescent="0.25">
      <c r="D579" s="31"/>
    </row>
    <row r="580" spans="4:4" x14ac:dyDescent="0.25">
      <c r="D580" s="31"/>
    </row>
    <row r="581" spans="4:4" x14ac:dyDescent="0.25">
      <c r="D581" s="31"/>
    </row>
    <row r="582" spans="4:4" x14ac:dyDescent="0.25">
      <c r="D582" s="31"/>
    </row>
    <row r="583" spans="4:4" x14ac:dyDescent="0.25">
      <c r="D583" s="31"/>
    </row>
    <row r="584" spans="4:4" x14ac:dyDescent="0.25">
      <c r="D584" s="31"/>
    </row>
    <row r="585" spans="4:4" x14ac:dyDescent="0.25">
      <c r="D585" s="31"/>
    </row>
    <row r="586" spans="4:4" x14ac:dyDescent="0.25">
      <c r="D586" s="31"/>
    </row>
    <row r="587" spans="4:4" x14ac:dyDescent="0.25">
      <c r="D587" s="31"/>
    </row>
    <row r="588" spans="4:4" x14ac:dyDescent="0.25">
      <c r="D588" s="31"/>
    </row>
    <row r="589" spans="4:4" x14ac:dyDescent="0.25">
      <c r="D589" s="31"/>
    </row>
    <row r="590" spans="4:4" x14ac:dyDescent="0.25">
      <c r="D590" s="31"/>
    </row>
    <row r="591" spans="4:4" x14ac:dyDescent="0.25">
      <c r="D591" s="31"/>
    </row>
    <row r="592" spans="4:4" x14ac:dyDescent="0.25">
      <c r="D592" s="31"/>
    </row>
    <row r="593" spans="4:4" x14ac:dyDescent="0.25">
      <c r="D593" s="31"/>
    </row>
    <row r="594" spans="4:4" x14ac:dyDescent="0.25">
      <c r="D594" s="31"/>
    </row>
    <row r="595" spans="4:4" x14ac:dyDescent="0.25">
      <c r="D595" s="31"/>
    </row>
    <row r="596" spans="4:4" x14ac:dyDescent="0.25">
      <c r="D596" s="31"/>
    </row>
    <row r="597" spans="4:4" x14ac:dyDescent="0.25">
      <c r="D597" s="31"/>
    </row>
    <row r="598" spans="4:4" x14ac:dyDescent="0.25">
      <c r="D598" s="31"/>
    </row>
    <row r="599" spans="4:4" x14ac:dyDescent="0.25">
      <c r="D599" s="31"/>
    </row>
    <row r="600" spans="4:4" x14ac:dyDescent="0.25">
      <c r="D600" s="31"/>
    </row>
    <row r="601" spans="4:4" x14ac:dyDescent="0.25">
      <c r="D601" s="31"/>
    </row>
    <row r="602" spans="4:4" x14ac:dyDescent="0.25">
      <c r="D602" s="31"/>
    </row>
    <row r="603" spans="4:4" x14ac:dyDescent="0.25">
      <c r="D603" s="31"/>
    </row>
    <row r="604" spans="4:4" x14ac:dyDescent="0.25">
      <c r="D604" s="31"/>
    </row>
    <row r="605" spans="4:4" x14ac:dyDescent="0.25">
      <c r="D605" s="31"/>
    </row>
    <row r="606" spans="4:4" x14ac:dyDescent="0.25">
      <c r="D606" s="31"/>
    </row>
    <row r="607" spans="4:4" x14ac:dyDescent="0.25">
      <c r="D607" s="31"/>
    </row>
    <row r="608" spans="4:4" x14ac:dyDescent="0.25">
      <c r="D608" s="31"/>
    </row>
    <row r="609" spans="4:4" x14ac:dyDescent="0.25">
      <c r="D609" s="31"/>
    </row>
    <row r="610" spans="4:4" x14ac:dyDescent="0.25">
      <c r="D610" s="31"/>
    </row>
    <row r="611" spans="4:4" x14ac:dyDescent="0.25">
      <c r="D611" s="31"/>
    </row>
    <row r="612" spans="4:4" x14ac:dyDescent="0.25">
      <c r="D612" s="31"/>
    </row>
    <row r="613" spans="4:4" x14ac:dyDescent="0.25">
      <c r="D613" s="31"/>
    </row>
    <row r="614" spans="4:4" x14ac:dyDescent="0.25">
      <c r="D614" s="31"/>
    </row>
    <row r="615" spans="4:4" x14ac:dyDescent="0.25">
      <c r="D615" s="31"/>
    </row>
    <row r="616" spans="4:4" x14ac:dyDescent="0.25">
      <c r="D616" s="31"/>
    </row>
    <row r="617" spans="4:4" x14ac:dyDescent="0.25">
      <c r="D617" s="31"/>
    </row>
    <row r="618" spans="4:4" x14ac:dyDescent="0.25">
      <c r="D618" s="31"/>
    </row>
    <row r="619" spans="4:4" x14ac:dyDescent="0.25">
      <c r="D619" s="31"/>
    </row>
    <row r="620" spans="4:4" x14ac:dyDescent="0.25">
      <c r="D620" s="31"/>
    </row>
    <row r="621" spans="4:4" x14ac:dyDescent="0.25">
      <c r="D621" s="31"/>
    </row>
    <row r="622" spans="4:4" x14ac:dyDescent="0.25">
      <c r="D622" s="31"/>
    </row>
    <row r="623" spans="4:4" x14ac:dyDescent="0.25">
      <c r="D623" s="31"/>
    </row>
    <row r="624" spans="4:4" x14ac:dyDescent="0.25">
      <c r="D624" s="31"/>
    </row>
    <row r="625" spans="4:4" x14ac:dyDescent="0.25">
      <c r="D625" s="31"/>
    </row>
    <row r="626" spans="4:4" x14ac:dyDescent="0.25">
      <c r="D626" s="31"/>
    </row>
    <row r="627" spans="4:4" x14ac:dyDescent="0.25">
      <c r="D627" s="31"/>
    </row>
    <row r="628" spans="4:4" x14ac:dyDescent="0.25">
      <c r="D628" s="31"/>
    </row>
    <row r="629" spans="4:4" x14ac:dyDescent="0.25">
      <c r="D629" s="31"/>
    </row>
    <row r="630" spans="4:4" x14ac:dyDescent="0.25">
      <c r="D630" s="31"/>
    </row>
    <row r="631" spans="4:4" x14ac:dyDescent="0.25">
      <c r="D631" s="31"/>
    </row>
    <row r="632" spans="4:4" x14ac:dyDescent="0.25">
      <c r="D632" s="31"/>
    </row>
    <row r="633" spans="4:4" x14ac:dyDescent="0.25">
      <c r="D633" s="31"/>
    </row>
    <row r="634" spans="4:4" x14ac:dyDescent="0.25">
      <c r="D634" s="31"/>
    </row>
    <row r="635" spans="4:4" x14ac:dyDescent="0.25">
      <c r="D635" s="31"/>
    </row>
    <row r="636" spans="4:4" x14ac:dyDescent="0.25">
      <c r="D636" s="31"/>
    </row>
    <row r="637" spans="4:4" x14ac:dyDescent="0.25">
      <c r="D637" s="31"/>
    </row>
    <row r="638" spans="4:4" x14ac:dyDescent="0.25">
      <c r="D638" s="31"/>
    </row>
    <row r="639" spans="4:4" x14ac:dyDescent="0.25">
      <c r="D639" s="31"/>
    </row>
    <row r="640" spans="4:4" x14ac:dyDescent="0.25">
      <c r="D640" s="31"/>
    </row>
    <row r="641" spans="4:4" x14ac:dyDescent="0.25">
      <c r="D641" s="31"/>
    </row>
    <row r="642" spans="4:4" x14ac:dyDescent="0.25">
      <c r="D642" s="31"/>
    </row>
    <row r="643" spans="4:4" x14ac:dyDescent="0.25">
      <c r="D643" s="31"/>
    </row>
    <row r="644" spans="4:4" x14ac:dyDescent="0.25">
      <c r="D644" s="31"/>
    </row>
    <row r="645" spans="4:4" x14ac:dyDescent="0.25">
      <c r="D645" s="31"/>
    </row>
    <row r="646" spans="4:4" x14ac:dyDescent="0.25">
      <c r="D646" s="31"/>
    </row>
    <row r="647" spans="4:4" x14ac:dyDescent="0.25">
      <c r="D647" s="31"/>
    </row>
    <row r="648" spans="4:4" x14ac:dyDescent="0.25">
      <c r="D648" s="31"/>
    </row>
    <row r="649" spans="4:4" x14ac:dyDescent="0.25">
      <c r="D649" s="31"/>
    </row>
    <row r="650" spans="4:4" x14ac:dyDescent="0.25">
      <c r="D650" s="31"/>
    </row>
    <row r="651" spans="4:4" x14ac:dyDescent="0.25">
      <c r="D651" s="31"/>
    </row>
    <row r="652" spans="4:4" x14ac:dyDescent="0.25">
      <c r="D652" s="31"/>
    </row>
    <row r="653" spans="4:4" x14ac:dyDescent="0.25">
      <c r="D653" s="31"/>
    </row>
    <row r="654" spans="4:4" x14ac:dyDescent="0.25">
      <c r="D654" s="31"/>
    </row>
    <row r="655" spans="4:4" x14ac:dyDescent="0.25">
      <c r="D655" s="31"/>
    </row>
    <row r="656" spans="4:4" x14ac:dyDescent="0.25">
      <c r="D656" s="31"/>
    </row>
    <row r="657" spans="4:4" x14ac:dyDescent="0.25">
      <c r="D657" s="31"/>
    </row>
    <row r="658" spans="4:4" x14ac:dyDescent="0.25">
      <c r="D658" s="31"/>
    </row>
    <row r="659" spans="4:4" x14ac:dyDescent="0.25">
      <c r="D659" s="31"/>
    </row>
    <row r="660" spans="4:4" x14ac:dyDescent="0.25">
      <c r="D660" s="31"/>
    </row>
    <row r="661" spans="4:4" x14ac:dyDescent="0.25">
      <c r="D661" s="31"/>
    </row>
    <row r="662" spans="4:4" x14ac:dyDescent="0.25">
      <c r="D662" s="31"/>
    </row>
    <row r="663" spans="4:4" x14ac:dyDescent="0.25">
      <c r="D663" s="31"/>
    </row>
    <row r="664" spans="4:4" x14ac:dyDescent="0.25">
      <c r="D664" s="31"/>
    </row>
  </sheetData>
  <sheetProtection formatCells="0" formatColumns="0" formatRows="0"/>
  <conditionalFormatting sqref="G33">
    <cfRule type="cellIs" dxfId="37" priority="94" stopIfTrue="1" operator="notEqual">
      <formula>0</formula>
    </cfRule>
  </conditionalFormatting>
  <conditionalFormatting sqref="G34">
    <cfRule type="cellIs" dxfId="36" priority="93" stopIfTrue="1" operator="notEqual">
      <formula>0</formula>
    </cfRule>
  </conditionalFormatting>
  <conditionalFormatting sqref="G50">
    <cfRule type="cellIs" dxfId="35" priority="92" stopIfTrue="1" operator="notEqual">
      <formula>0</formula>
    </cfRule>
  </conditionalFormatting>
  <conditionalFormatting sqref="G62">
    <cfRule type="cellIs" dxfId="34" priority="91" stopIfTrue="1" operator="notEqual">
      <formula>0</formula>
    </cfRule>
  </conditionalFormatting>
  <conditionalFormatting sqref="G63:G64">
    <cfRule type="cellIs" dxfId="33" priority="90" stopIfTrue="1" operator="notEqual">
      <formula>0</formula>
    </cfRule>
  </conditionalFormatting>
  <conditionalFormatting sqref="G83">
    <cfRule type="cellIs" dxfId="32" priority="89" stopIfTrue="1" operator="notEqual">
      <formula>0</formula>
    </cfRule>
  </conditionalFormatting>
  <conditionalFormatting sqref="G101">
    <cfRule type="cellIs" dxfId="31" priority="88" stopIfTrue="1" operator="notEqual">
      <formula>0</formula>
    </cfRule>
  </conditionalFormatting>
  <conditionalFormatting sqref="G112">
    <cfRule type="cellIs" dxfId="30" priority="87" stopIfTrue="1" operator="notEqual">
      <formula>0</formula>
    </cfRule>
  </conditionalFormatting>
  <conditionalFormatting sqref="G113">
    <cfRule type="cellIs" dxfId="29" priority="86" stopIfTrue="1" operator="notEqual">
      <formula>0</formula>
    </cfRule>
  </conditionalFormatting>
  <conditionalFormatting sqref="G127">
    <cfRule type="cellIs" dxfId="28" priority="85" stopIfTrue="1" operator="notEqual">
      <formula>0</formula>
    </cfRule>
  </conditionalFormatting>
  <conditionalFormatting sqref="G128">
    <cfRule type="cellIs" dxfId="27" priority="84" stopIfTrue="1" operator="notEqual">
      <formula>0</formula>
    </cfRule>
  </conditionalFormatting>
  <conditionalFormatting sqref="H180:H182">
    <cfRule type="cellIs" priority="80" stopIfTrue="1" operator="equal">
      <formula>";;;"</formula>
    </cfRule>
  </conditionalFormatting>
  <conditionalFormatting sqref="H180">
    <cfRule type="cellIs" dxfId="26" priority="79" stopIfTrue="1" operator="equal">
      <formula>0</formula>
    </cfRule>
  </conditionalFormatting>
  <conditionalFormatting sqref="H181">
    <cfRule type="cellIs" dxfId="25" priority="78" stopIfTrue="1" operator="equal">
      <formula>0</formula>
    </cfRule>
  </conditionalFormatting>
  <conditionalFormatting sqref="H182">
    <cfRule type="cellIs" dxfId="24" priority="77" stopIfTrue="1" operator="equal">
      <formula>0</formula>
    </cfRule>
  </conditionalFormatting>
  <conditionalFormatting sqref="H182">
    <cfRule type="cellIs" dxfId="23" priority="76" stopIfTrue="1" operator="equal">
      <formula>0</formula>
    </cfRule>
  </conditionalFormatting>
  <conditionalFormatting sqref="H180">
    <cfRule type="cellIs" dxfId="22" priority="75" stopIfTrue="1" operator="equal">
      <formula>0</formula>
    </cfRule>
  </conditionalFormatting>
  <conditionalFormatting sqref="G21">
    <cfRule type="cellIs" dxfId="21" priority="74" stopIfTrue="1" operator="notEqual">
      <formula>0</formula>
    </cfRule>
  </conditionalFormatting>
  <conditionalFormatting sqref="G7">
    <cfRule type="containsText" dxfId="20" priority="72" stopIfTrue="1" operator="containsText" text="Included in error count">
      <formula>NOT(ISERROR(SEARCH("Included in error count",G7)))</formula>
    </cfRule>
    <cfRule type="cellIs" dxfId="19" priority="73" stopIfTrue="1" operator="equal">
      <formula>1</formula>
    </cfRule>
  </conditionalFormatting>
  <conditionalFormatting sqref="G41">
    <cfRule type="containsText" dxfId="18" priority="70" stopIfTrue="1" operator="containsText" text="Included in error count">
      <formula>NOT(ISERROR(SEARCH("Included in error count",G41)))</formula>
    </cfRule>
    <cfRule type="cellIs" dxfId="17" priority="71" stopIfTrue="1" operator="equal">
      <formula>1</formula>
    </cfRule>
  </conditionalFormatting>
  <conditionalFormatting sqref="G70:G71">
    <cfRule type="containsText" dxfId="16" priority="68" stopIfTrue="1" operator="containsText" text="Included in error count">
      <formula>NOT(ISERROR(SEARCH("Included in error count",G70)))</formula>
    </cfRule>
    <cfRule type="cellIs" dxfId="15" priority="69" stopIfTrue="1" operator="equal">
      <formula>1</formula>
    </cfRule>
  </conditionalFormatting>
  <conditionalFormatting sqref="G72">
    <cfRule type="containsText" dxfId="14" priority="66" stopIfTrue="1" operator="containsText" text="Included in error count">
      <formula>NOT(ISERROR(SEARCH("Included in error count",G72)))</formula>
    </cfRule>
    <cfRule type="cellIs" dxfId="13" priority="67" stopIfTrue="1" operator="equal">
      <formula>1</formula>
    </cfRule>
  </conditionalFormatting>
  <conditionalFormatting sqref="G81">
    <cfRule type="containsText" dxfId="12" priority="62" stopIfTrue="1" operator="containsText" text="Included in error count">
      <formula>NOT(ISERROR(SEARCH("Included in error count",G81)))</formula>
    </cfRule>
    <cfRule type="cellIs" dxfId="11" priority="63" stopIfTrue="1" operator="equal">
      <formula>1</formula>
    </cfRule>
  </conditionalFormatting>
  <conditionalFormatting sqref="G103">
    <cfRule type="containsText" dxfId="10" priority="58" stopIfTrue="1" operator="containsText" text="Included in error count">
      <formula>NOT(ISERROR(SEARCH("Included in error count",G103)))</formula>
    </cfRule>
    <cfRule type="cellIs" dxfId="9" priority="59" stopIfTrue="1" operator="equal">
      <formula>1</formula>
    </cfRule>
  </conditionalFormatting>
  <conditionalFormatting sqref="G180">
    <cfRule type="containsText" dxfId="8" priority="47" stopIfTrue="1" operator="containsText" text="Included in error count">
      <formula>NOT(ISERROR(SEARCH("Included in error count",G180)))</formula>
    </cfRule>
    <cfRule type="cellIs" dxfId="7" priority="48" stopIfTrue="1" operator="equal">
      <formula>1</formula>
    </cfRule>
  </conditionalFormatting>
  <conditionalFormatting sqref="G181">
    <cfRule type="containsText" dxfId="6" priority="45" stopIfTrue="1" operator="containsText" text="Included in error count">
      <formula>NOT(ISERROR(SEARCH("Included in error count",G181)))</formula>
    </cfRule>
    <cfRule type="cellIs" dxfId="5" priority="46" stopIfTrue="1" operator="equal">
      <formula>1</formula>
    </cfRule>
  </conditionalFormatting>
  <conditionalFormatting sqref="G182">
    <cfRule type="containsText" dxfId="4" priority="43" stopIfTrue="1" operator="containsText" text="Included in error count">
      <formula>NOT(ISERROR(SEARCH("Included in error count",G182)))</formula>
    </cfRule>
    <cfRule type="cellIs" dxfId="3" priority="44" stopIfTrue="1" operator="equal">
      <formula>1</formula>
    </cfRule>
  </conditionalFormatting>
  <conditionalFormatting sqref="G117">
    <cfRule type="containsText" dxfId="2" priority="41" stopIfTrue="1" operator="containsText" text="Included in error count">
      <formula>NOT(ISERROR(SEARCH("Included in error count",G117)))</formula>
    </cfRule>
    <cfRule type="cellIs" dxfId="1" priority="42" stopIfTrue="1" operator="equal">
      <formula>1</formula>
    </cfRule>
  </conditionalFormatting>
  <conditionalFormatting sqref="L214">
    <cfRule type="cellIs" dxfId="0" priority="1" stopIfTrue="1" operator="notEqual">
      <formula>0</formula>
    </cfRule>
  </conditionalFormatting>
  <pageMargins left="0.7" right="0.7" top="0.75" bottom="0.75" header="0.3" footer="0.3"/>
  <pageSetup scale="46" fitToHeight="0" orientation="landscape" r:id="rId1"/>
  <ignoredErrors>
    <ignoredError sqref="F7"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41"/>
  <sheetViews>
    <sheetView showGridLines="0" workbookViewId="0">
      <selection activeCell="F5" sqref="F5"/>
    </sheetView>
  </sheetViews>
  <sheetFormatPr defaultRowHeight="15" x14ac:dyDescent="0.25"/>
  <cols>
    <col min="2" max="2" width="10.42578125" bestFit="1" customWidth="1"/>
    <col min="3" max="3" width="29.85546875" customWidth="1"/>
    <col min="4" max="4" width="40.5703125" customWidth="1"/>
    <col min="5" max="5" width="3.7109375" customWidth="1"/>
    <col min="6" max="6" width="13.42578125" customWidth="1"/>
    <col min="7" max="7" width="3.5703125" customWidth="1"/>
    <col min="8" max="8" width="14.140625" customWidth="1"/>
  </cols>
  <sheetData>
    <row r="1" spans="1:8" s="66" customFormat="1" x14ac:dyDescent="0.25"/>
    <row r="2" spans="1:8" ht="54.75" customHeight="1" x14ac:dyDescent="0.25">
      <c r="A2" s="890" t="s">
        <v>135</v>
      </c>
      <c r="B2" s="890"/>
      <c r="C2" s="890"/>
      <c r="D2" s="890"/>
      <c r="E2" s="890"/>
      <c r="F2" s="118"/>
      <c r="G2" s="118"/>
      <c r="H2" s="117"/>
    </row>
    <row r="3" spans="1:8" x14ac:dyDescent="0.25">
      <c r="A3" s="66"/>
      <c r="B3" s="66"/>
      <c r="C3" s="66"/>
      <c r="D3" s="66"/>
      <c r="E3" s="66"/>
      <c r="F3" s="66"/>
      <c r="G3" s="66"/>
      <c r="H3" s="66"/>
    </row>
    <row r="4" spans="1:8" ht="15.75" x14ac:dyDescent="0.25">
      <c r="A4" s="69"/>
      <c r="B4" s="70">
        <f>'Unit Data from Audit Worksheet'!D2</f>
        <v>0</v>
      </c>
      <c r="C4" s="71"/>
      <c r="D4" s="72"/>
      <c r="E4" s="73"/>
      <c r="F4" s="76">
        <f>'Unit Data from Audit Worksheet'!F5</f>
        <v>2020</v>
      </c>
      <c r="G4" s="69"/>
      <c r="H4" s="76">
        <f>'Unit Data from Audit Worksheet'!F5</f>
        <v>2020</v>
      </c>
    </row>
    <row r="5" spans="1:8" ht="38.25" x14ac:dyDescent="0.3">
      <c r="A5" s="74"/>
      <c r="B5" s="75" t="s">
        <v>95</v>
      </c>
      <c r="C5" s="74"/>
      <c r="D5" s="74"/>
      <c r="E5" s="74"/>
      <c r="F5" s="76" t="s">
        <v>96</v>
      </c>
      <c r="G5" s="74"/>
      <c r="H5" s="77" t="s">
        <v>97</v>
      </c>
    </row>
    <row r="6" spans="1:8" x14ac:dyDescent="0.25">
      <c r="A6" s="69"/>
      <c r="B6" s="78" t="s">
        <v>98</v>
      </c>
      <c r="C6" s="69"/>
      <c r="D6" s="79"/>
      <c r="E6" s="79"/>
      <c r="F6" s="79"/>
      <c r="G6" s="79"/>
      <c r="H6" s="79"/>
    </row>
    <row r="7" spans="1:8" x14ac:dyDescent="0.25">
      <c r="A7" s="69"/>
      <c r="B7" s="79" t="s">
        <v>99</v>
      </c>
      <c r="C7" s="69"/>
      <c r="D7" s="79"/>
      <c r="E7" s="79" t="s">
        <v>35</v>
      </c>
      <c r="F7" s="80">
        <f>IMPORT!L38</f>
        <v>0</v>
      </c>
      <c r="G7" s="81"/>
      <c r="H7" s="80">
        <f>F7</f>
        <v>0</v>
      </c>
    </row>
    <row r="8" spans="1:8" ht="44.25" customHeight="1" x14ac:dyDescent="0.25">
      <c r="A8" s="69"/>
      <c r="B8" s="887" t="s">
        <v>100</v>
      </c>
      <c r="C8" s="887"/>
      <c r="D8" s="887"/>
      <c r="E8" s="79" t="s">
        <v>35</v>
      </c>
      <c r="F8" s="82">
        <f>IMPORT!L39</f>
        <v>0</v>
      </c>
      <c r="G8" s="83"/>
      <c r="H8" s="83"/>
    </row>
    <row r="9" spans="1:8" x14ac:dyDescent="0.25">
      <c r="A9" s="69"/>
      <c r="B9" s="69"/>
      <c r="C9" s="79" t="s">
        <v>260</v>
      </c>
      <c r="D9" s="69"/>
      <c r="E9" s="79" t="s">
        <v>35</v>
      </c>
      <c r="F9" s="84">
        <f>IMPORT!L43</f>
        <v>0</v>
      </c>
      <c r="G9" s="83"/>
      <c r="H9" s="84">
        <f>F9</f>
        <v>0</v>
      </c>
    </row>
    <row r="10" spans="1:8" x14ac:dyDescent="0.25">
      <c r="A10" s="69"/>
      <c r="B10" s="69"/>
      <c r="C10" s="79" t="s">
        <v>101</v>
      </c>
      <c r="D10" s="69"/>
      <c r="E10" s="79" t="s">
        <v>35</v>
      </c>
      <c r="F10" s="84">
        <f>IMPORT!L173</f>
        <v>0</v>
      </c>
      <c r="G10" s="83"/>
      <c r="H10" s="84">
        <f>F10</f>
        <v>0</v>
      </c>
    </row>
    <row r="11" spans="1:8" x14ac:dyDescent="0.25">
      <c r="A11" s="69"/>
      <c r="B11" s="69"/>
      <c r="C11" s="79" t="s">
        <v>102</v>
      </c>
      <c r="D11" s="69"/>
      <c r="E11" s="79" t="s">
        <v>35</v>
      </c>
      <c r="F11" s="85">
        <f>IMPORT!L44</f>
        <v>0</v>
      </c>
      <c r="G11" s="86"/>
      <c r="H11" s="85">
        <f>F11</f>
        <v>0</v>
      </c>
    </row>
    <row r="12" spans="1:8" x14ac:dyDescent="0.25">
      <c r="A12" s="69"/>
      <c r="B12" s="87" t="s">
        <v>103</v>
      </c>
      <c r="C12" s="88" t="s">
        <v>104</v>
      </c>
      <c r="D12" s="89"/>
      <c r="E12" s="90" t="s">
        <v>35</v>
      </c>
      <c r="F12" s="91">
        <f>F7+F8-SUM(F9:F11)</f>
        <v>0</v>
      </c>
      <c r="G12" s="92"/>
      <c r="H12" s="91">
        <f>H7+H8-SUM(H9:H11)</f>
        <v>0</v>
      </c>
    </row>
    <row r="13" spans="1:8" x14ac:dyDescent="0.25">
      <c r="A13" s="69"/>
      <c r="B13" s="69"/>
      <c r="C13" s="79"/>
      <c r="D13" s="79"/>
      <c r="E13" s="79" t="s">
        <v>35</v>
      </c>
      <c r="F13" s="79"/>
      <c r="G13" s="79"/>
      <c r="H13" s="79"/>
    </row>
    <row r="14" spans="1:8" x14ac:dyDescent="0.25">
      <c r="A14" s="69"/>
      <c r="B14" s="79" t="s">
        <v>105</v>
      </c>
      <c r="C14" s="69"/>
      <c r="D14" s="79"/>
      <c r="E14" s="79" t="s">
        <v>35</v>
      </c>
      <c r="F14" s="93">
        <f>IMPORT!L50</f>
        <v>0</v>
      </c>
      <c r="G14" s="79"/>
      <c r="H14" s="79"/>
    </row>
    <row r="15" spans="1:8" x14ac:dyDescent="0.25">
      <c r="A15" s="69"/>
      <c r="B15" s="79" t="s">
        <v>106</v>
      </c>
      <c r="C15" s="69"/>
      <c r="D15" s="79"/>
      <c r="E15" s="79" t="s">
        <v>35</v>
      </c>
      <c r="F15" s="94">
        <f>F14-F12</f>
        <v>0</v>
      </c>
      <c r="G15" s="79"/>
      <c r="H15" s="79"/>
    </row>
    <row r="16" spans="1:8" x14ac:dyDescent="0.25">
      <c r="A16" s="69"/>
      <c r="B16" s="95" t="s">
        <v>107</v>
      </c>
      <c r="C16" s="69"/>
      <c r="D16" s="79"/>
      <c r="E16" s="79"/>
      <c r="F16" s="79"/>
      <c r="G16" s="79"/>
      <c r="H16" s="79"/>
    </row>
    <row r="17" spans="1:8" x14ac:dyDescent="0.25">
      <c r="A17" s="66"/>
      <c r="B17" s="96" t="s">
        <v>108</v>
      </c>
      <c r="C17" s="79" t="s">
        <v>109</v>
      </c>
      <c r="D17" s="69"/>
      <c r="E17" s="79" t="s">
        <v>35</v>
      </c>
      <c r="F17" s="97">
        <f>IMPORT!L47</f>
        <v>0</v>
      </c>
      <c r="G17" s="79"/>
      <c r="H17" s="79"/>
    </row>
    <row r="18" spans="1:8" ht="15.75" thickBot="1" x14ac:dyDescent="0.3">
      <c r="A18" s="66"/>
      <c r="B18" s="87" t="s">
        <v>103</v>
      </c>
      <c r="C18" s="88" t="s">
        <v>110</v>
      </c>
      <c r="D18" s="89"/>
      <c r="E18" s="90" t="s">
        <v>35</v>
      </c>
      <c r="F18" s="98">
        <f>(F15-SUM(F17:F17))</f>
        <v>0</v>
      </c>
      <c r="G18" s="79"/>
      <c r="H18" s="79"/>
    </row>
    <row r="19" spans="1:8" ht="15.75" thickTop="1" x14ac:dyDescent="0.25">
      <c r="A19" s="66"/>
      <c r="B19" s="69"/>
      <c r="C19" s="79"/>
      <c r="D19" s="79"/>
      <c r="E19" s="79"/>
      <c r="F19" s="79"/>
      <c r="G19" s="79"/>
      <c r="H19" s="79"/>
    </row>
    <row r="20" spans="1:8" ht="15.75" thickBot="1" x14ac:dyDescent="0.3">
      <c r="A20" s="66"/>
      <c r="B20" s="79" t="s">
        <v>111</v>
      </c>
      <c r="C20" s="69"/>
      <c r="D20" s="79"/>
      <c r="E20" s="79" t="s">
        <v>35</v>
      </c>
      <c r="F20" s="99">
        <f>IMPORT!L46</f>
        <v>0</v>
      </c>
      <c r="G20" s="79"/>
      <c r="H20" s="79"/>
    </row>
    <row r="21" spans="1:8" ht="16.5" thickTop="1" thickBot="1" x14ac:dyDescent="0.3">
      <c r="A21" s="66"/>
      <c r="B21" s="69"/>
      <c r="C21" s="100" t="str">
        <f>IF(F18&gt;F20, "Restricted-Stabilization by State Statute understated by ",IF(F20&gt;F18, "Restricted-Stabilization by State Statute overstated by ","Restricted-Stabilization by State Statutue Reportedly Correctly. "))</f>
        <v xml:space="preserve">Restricted-Stabilization by State Statutue Reportedly Correctly. </v>
      </c>
      <c r="D21" s="69"/>
      <c r="E21" s="79" t="s">
        <v>35</v>
      </c>
      <c r="F21" s="101">
        <f>ABS(F18-F20)</f>
        <v>0</v>
      </c>
      <c r="G21" s="79"/>
      <c r="H21" s="79"/>
    </row>
    <row r="22" spans="1:8" ht="50.25" customHeight="1" thickTop="1" x14ac:dyDescent="0.25">
      <c r="A22" s="66"/>
      <c r="B22" s="69"/>
      <c r="C22" s="888" t="str">
        <f>IF(F18&gt;F20,"Since Restricted-Stabilization by State Statute was understated, verfiy that the unit did not appropriate fund balance in excess of legal amount available in row 12 above.","")</f>
        <v/>
      </c>
      <c r="D22" s="888"/>
      <c r="E22" s="888"/>
      <c r="F22" s="888"/>
      <c r="G22" s="79"/>
      <c r="H22" s="79"/>
    </row>
    <row r="23" spans="1:8" x14ac:dyDescent="0.25">
      <c r="A23" s="66"/>
      <c r="B23" s="69"/>
      <c r="C23" s="889" t="s">
        <v>112</v>
      </c>
      <c r="D23" s="79"/>
      <c r="E23" s="79"/>
      <c r="F23" s="79"/>
      <c r="G23" s="79"/>
      <c r="H23" s="102" t="s">
        <v>113</v>
      </c>
    </row>
    <row r="24" spans="1:8" x14ac:dyDescent="0.25">
      <c r="A24" s="66"/>
      <c r="B24" s="69"/>
      <c r="C24" s="889"/>
      <c r="D24" s="79"/>
      <c r="E24" s="79"/>
      <c r="F24" s="76" t="s">
        <v>114</v>
      </c>
      <c r="G24" s="79"/>
      <c r="H24" s="76" t="s">
        <v>122</v>
      </c>
    </row>
    <row r="25" spans="1:8" x14ac:dyDescent="0.25">
      <c r="A25" s="66"/>
      <c r="B25" s="69"/>
      <c r="C25" s="78" t="s">
        <v>115</v>
      </c>
      <c r="D25" s="79"/>
      <c r="E25" s="79"/>
      <c r="F25" s="79"/>
      <c r="G25" s="79"/>
      <c r="H25" s="79"/>
    </row>
    <row r="26" spans="1:8" ht="25.15" customHeight="1" x14ac:dyDescent="0.25">
      <c r="A26" s="66"/>
      <c r="B26" s="69"/>
      <c r="C26" s="79" t="s">
        <v>116</v>
      </c>
      <c r="D26" s="79"/>
      <c r="E26" s="79" t="s">
        <v>35</v>
      </c>
      <c r="F26" s="80">
        <f>IMPORT!L55</f>
        <v>0</v>
      </c>
      <c r="G26" s="81"/>
      <c r="H26" s="103">
        <f>F26</f>
        <v>0</v>
      </c>
    </row>
    <row r="27" spans="1:8" x14ac:dyDescent="0.25">
      <c r="A27" s="66"/>
      <c r="B27" s="69"/>
      <c r="C27" s="96" t="s">
        <v>117</v>
      </c>
      <c r="D27" s="79"/>
      <c r="E27" s="79"/>
      <c r="F27" s="79"/>
      <c r="G27" s="79"/>
      <c r="H27" s="79"/>
    </row>
    <row r="28" spans="1:8" x14ac:dyDescent="0.25">
      <c r="A28" s="66"/>
      <c r="B28" s="69"/>
      <c r="C28" s="79" t="s">
        <v>118</v>
      </c>
      <c r="D28" s="69"/>
      <c r="E28" s="79" t="s">
        <v>35</v>
      </c>
      <c r="F28" s="113">
        <f>IMPORT!L57</f>
        <v>0</v>
      </c>
      <c r="G28" s="83"/>
      <c r="H28" s="104">
        <f>F28</f>
        <v>0</v>
      </c>
    </row>
    <row r="29" spans="1:8" x14ac:dyDescent="0.25">
      <c r="A29" s="66"/>
      <c r="B29" s="69"/>
      <c r="C29" s="79" t="s">
        <v>119</v>
      </c>
      <c r="D29" s="69"/>
      <c r="E29" s="79" t="s">
        <v>35</v>
      </c>
      <c r="F29" s="114">
        <f>IMPORT!L58+IMPORT!L59</f>
        <v>0</v>
      </c>
      <c r="G29" s="83"/>
      <c r="H29" s="105">
        <f>F29</f>
        <v>0</v>
      </c>
    </row>
    <row r="30" spans="1:8" ht="15.75" thickBot="1" x14ac:dyDescent="0.3">
      <c r="A30" s="66"/>
      <c r="B30" s="69"/>
      <c r="C30" s="79" t="s">
        <v>120</v>
      </c>
      <c r="D30" s="79"/>
      <c r="E30" s="79" t="s">
        <v>35</v>
      </c>
      <c r="F30" s="106">
        <f>SUM(F26:F28)-F29</f>
        <v>0</v>
      </c>
      <c r="G30" s="81"/>
      <c r="H30" s="106">
        <f>SUM(H26:H28)-H29</f>
        <v>0</v>
      </c>
    </row>
    <row r="31" spans="1:8" ht="15.75" thickTop="1" x14ac:dyDescent="0.25">
      <c r="A31" s="66"/>
      <c r="B31" s="69"/>
      <c r="C31" s="79"/>
      <c r="D31" s="79"/>
      <c r="E31" s="79"/>
      <c r="F31" s="79"/>
      <c r="G31" s="79"/>
      <c r="H31" s="79"/>
    </row>
    <row r="32" spans="1:8" ht="15.75" thickBot="1" x14ac:dyDescent="0.3">
      <c r="A32" s="66"/>
      <c r="B32" s="87" t="s">
        <v>103</v>
      </c>
      <c r="C32" s="100" t="s">
        <v>121</v>
      </c>
      <c r="D32" s="107"/>
      <c r="E32" s="100" t="s">
        <v>35</v>
      </c>
      <c r="F32" s="108" t="e">
        <f>F12/F30</f>
        <v>#DIV/0!</v>
      </c>
      <c r="G32" s="79"/>
      <c r="H32" s="108" t="e">
        <f>H12/H30</f>
        <v>#DIV/0!</v>
      </c>
    </row>
    <row r="33" spans="1:8" ht="15.75" thickTop="1" x14ac:dyDescent="0.25">
      <c r="A33" s="66"/>
      <c r="B33" s="66"/>
      <c r="C33" s="79"/>
      <c r="D33" s="79"/>
      <c r="E33" s="79"/>
      <c r="F33" s="79"/>
      <c r="G33" s="79"/>
      <c r="H33" s="79"/>
    </row>
    <row r="34" spans="1:8" ht="15.75" x14ac:dyDescent="0.25">
      <c r="A34" s="111"/>
      <c r="C34" s="110"/>
    </row>
    <row r="36" spans="1:8" x14ac:dyDescent="0.25">
      <c r="F36" s="112"/>
    </row>
    <row r="37" spans="1:8" x14ac:dyDescent="0.25">
      <c r="F37" s="109"/>
    </row>
    <row r="38" spans="1:8" x14ac:dyDescent="0.25">
      <c r="F38" s="109"/>
    </row>
    <row r="39" spans="1:8" x14ac:dyDescent="0.25">
      <c r="F39" s="109"/>
    </row>
    <row r="40" spans="1:8" x14ac:dyDescent="0.25">
      <c r="F40" s="109"/>
    </row>
    <row r="41" spans="1:8" x14ac:dyDescent="0.25">
      <c r="F41" s="109"/>
    </row>
  </sheetData>
  <sheetProtection password="CEAA" sheet="1" formatCells="0" formatColumns="0" formatRows="0"/>
  <mergeCells count="4">
    <mergeCell ref="B8:D8"/>
    <mergeCell ref="C22:F22"/>
    <mergeCell ref="C23:C24"/>
    <mergeCell ref="A2:E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0B3E5-E0E3-4F34-A696-12C41D1BBE55}">
  <sheetPr codeName="Sheet5"/>
  <dimension ref="A1:O41"/>
  <sheetViews>
    <sheetView workbookViewId="0">
      <selection activeCell="E7" sqref="E7"/>
    </sheetView>
  </sheetViews>
  <sheetFormatPr defaultRowHeight="15" x14ac:dyDescent="0.25"/>
  <cols>
    <col min="1" max="1" width="41.85546875" style="474" customWidth="1"/>
    <col min="2" max="2" width="2.140625" style="474" customWidth="1"/>
    <col min="3" max="5" width="20.7109375" style="474" customWidth="1"/>
    <col min="6" max="6" width="47.5703125" style="296" customWidth="1"/>
    <col min="7" max="7" width="46.28515625" style="474" customWidth="1"/>
    <col min="8" max="8" width="9.140625" style="474"/>
    <col min="9" max="9" width="14.42578125" style="474" customWidth="1"/>
    <col min="10" max="10" width="16.5703125" style="474" customWidth="1"/>
    <col min="11" max="16384" width="9.140625" style="474"/>
  </cols>
  <sheetData>
    <row r="1" spans="1:15" ht="20.25" customHeight="1" thickBot="1" x14ac:dyDescent="0.35">
      <c r="A1" s="891">
        <f>'Unit Data from Audit Worksheet'!D2</f>
        <v>0</v>
      </c>
      <c r="B1" s="892"/>
      <c r="C1" s="892"/>
      <c r="D1" s="893"/>
      <c r="F1" s="45" t="s">
        <v>768</v>
      </c>
      <c r="G1" s="369" t="s">
        <v>769</v>
      </c>
    </row>
    <row r="2" spans="1:15" ht="21.75" customHeight="1" thickBot="1" x14ac:dyDescent="0.35">
      <c r="A2" s="894" t="e">
        <f>'Unit Data from Audit Worksheet'!D3</f>
        <v>#N/A</v>
      </c>
      <c r="B2" s="895"/>
      <c r="C2" s="895"/>
      <c r="D2" s="896"/>
      <c r="E2" s="475"/>
      <c r="G2" s="5"/>
    </row>
    <row r="3" spans="1:15" ht="141.75" customHeight="1" x14ac:dyDescent="0.25">
      <c r="A3" s="897" t="s">
        <v>1050</v>
      </c>
      <c r="B3" s="897"/>
      <c r="C3" s="897"/>
      <c r="D3" s="897"/>
      <c r="E3" s="897"/>
      <c r="F3" s="479"/>
      <c r="G3" s="779" t="s">
        <v>1033</v>
      </c>
    </row>
    <row r="4" spans="1:15" ht="77.25" customHeight="1" x14ac:dyDescent="0.35">
      <c r="A4" s="608"/>
      <c r="C4" s="480">
        <v>2018</v>
      </c>
      <c r="D4" s="480">
        <v>2019</v>
      </c>
      <c r="E4" s="480">
        <v>2020</v>
      </c>
      <c r="F4" s="778" t="s">
        <v>1051</v>
      </c>
      <c r="G4" s="481"/>
      <c r="H4" s="481"/>
      <c r="L4" s="481"/>
      <c r="M4" s="481"/>
      <c r="N4" s="481"/>
      <c r="O4" s="481"/>
    </row>
    <row r="5" spans="1:15" ht="33" customHeight="1" x14ac:dyDescent="0.3">
      <c r="A5" s="482" t="s">
        <v>689</v>
      </c>
      <c r="C5" s="45"/>
      <c r="D5" s="45"/>
      <c r="E5" s="45"/>
      <c r="F5" s="483"/>
      <c r="G5" s="483"/>
      <c r="H5" s="483"/>
      <c r="L5" s="483"/>
      <c r="M5" s="483"/>
      <c r="N5" s="483"/>
      <c r="O5" s="483"/>
    </row>
    <row r="6" spans="1:15" ht="15" customHeight="1" x14ac:dyDescent="0.25">
      <c r="A6" s="492"/>
      <c r="B6" s="492"/>
      <c r="C6" s="493"/>
      <c r="D6" s="493"/>
      <c r="E6" s="493"/>
      <c r="F6" s="607"/>
      <c r="G6" s="495"/>
      <c r="H6" s="494"/>
      <c r="I6" s="494"/>
      <c r="J6" s="494"/>
      <c r="K6" s="494"/>
      <c r="L6" s="483"/>
      <c r="M6" s="483"/>
      <c r="N6" s="483"/>
      <c r="O6" s="483"/>
    </row>
    <row r="7" spans="1:15" ht="33" customHeight="1" thickBot="1" x14ac:dyDescent="0.35">
      <c r="A7" s="484" t="s">
        <v>697</v>
      </c>
      <c r="C7" s="485"/>
      <c r="D7" s="485"/>
      <c r="E7" s="485"/>
      <c r="F7" s="483"/>
      <c r="G7" s="496"/>
      <c r="H7" s="483"/>
      <c r="I7" s="483"/>
      <c r="J7" s="483"/>
      <c r="K7" s="483"/>
      <c r="L7" s="483"/>
      <c r="M7" s="483"/>
      <c r="N7" s="483"/>
      <c r="O7" s="483"/>
    </row>
    <row r="8" spans="1:15" ht="33" customHeight="1" x14ac:dyDescent="0.25">
      <c r="A8" s="497" t="s">
        <v>690</v>
      </c>
      <c r="B8" s="486"/>
      <c r="C8" s="487" t="e">
        <f>HLOOKUP($A$2,'2018 Data(H)'!$E$2:$BB$220,215,FALSE)</f>
        <v>#N/A</v>
      </c>
      <c r="D8" s="487" t="e">
        <f>HLOOKUP($A$2,'2019 Data(H)'!$E$2:$BB$220,218,FALSE)</f>
        <v>#N/A</v>
      </c>
      <c r="E8" s="498">
        <f>+IMPORT!L70-IMPORT!L71-IMPORT!L68-IMPORT!L69</f>
        <v>0</v>
      </c>
      <c r="F8" s="512" t="s">
        <v>851</v>
      </c>
      <c r="G8" s="496"/>
      <c r="H8" s="483"/>
      <c r="I8" s="483"/>
      <c r="J8" s="483"/>
      <c r="K8" s="609"/>
      <c r="L8" s="483"/>
      <c r="M8" s="483"/>
      <c r="N8" s="483"/>
      <c r="O8" s="483"/>
    </row>
    <row r="9" spans="1:15" ht="33" customHeight="1" thickBot="1" x14ac:dyDescent="0.3">
      <c r="A9" s="499" t="s">
        <v>691</v>
      </c>
      <c r="B9" s="500"/>
      <c r="C9" s="489" t="e">
        <f>HLOOKUP($A$2,'2018 Data(H)'!$E$2:$BB$220,14,FALSE)</f>
        <v>#N/A</v>
      </c>
      <c r="D9" s="489" t="e">
        <f>HLOOKUP($A$2,'2019 Data(H)'!$E$2:$BB$220,14,FALSE)</f>
        <v>#N/A</v>
      </c>
      <c r="E9" s="513">
        <f>+IMPORT!L74-IMPORT!L75-IMPORT!L76-IMPORT!L77-IMPORT!L78-IMPORT!L79-IMPORT!L73</f>
        <v>0</v>
      </c>
      <c r="F9" s="641" t="s">
        <v>853</v>
      </c>
      <c r="G9" s="496"/>
      <c r="H9" s="483"/>
      <c r="I9" s="483"/>
      <c r="J9" s="501"/>
      <c r="K9" s="483"/>
      <c r="L9" s="483"/>
      <c r="M9" s="483"/>
      <c r="N9" s="483"/>
      <c r="O9" s="483"/>
    </row>
    <row r="10" spans="1:15" ht="46.5" customHeight="1" thickBot="1" x14ac:dyDescent="0.3">
      <c r="A10" s="502" t="s">
        <v>681</v>
      </c>
      <c r="B10" s="491"/>
      <c r="C10" s="692" t="e">
        <f>C8/C9</f>
        <v>#N/A</v>
      </c>
      <c r="D10" s="693" t="e">
        <f>D8/D9</f>
        <v>#N/A</v>
      </c>
      <c r="E10" s="514" t="e">
        <f>E8/E9</f>
        <v>#DIV/0!</v>
      </c>
      <c r="F10" s="512" t="s">
        <v>867</v>
      </c>
      <c r="G10" s="504" t="s">
        <v>729</v>
      </c>
      <c r="H10" s="512"/>
      <c r="I10" s="512"/>
      <c r="J10" s="640"/>
      <c r="K10" s="483"/>
      <c r="L10" s="483"/>
      <c r="M10" s="483"/>
      <c r="N10" s="483"/>
      <c r="O10" s="483"/>
    </row>
    <row r="11" spans="1:15" ht="17.25" customHeight="1" thickBot="1" x14ac:dyDescent="0.3">
      <c r="A11" s="475"/>
      <c r="B11" s="475"/>
      <c r="C11" s="505"/>
      <c r="D11" s="505"/>
      <c r="E11" s="505"/>
      <c r="F11" s="483"/>
      <c r="G11" s="496"/>
      <c r="H11" s="483"/>
      <c r="I11" s="483"/>
      <c r="J11" s="483"/>
      <c r="K11" s="483"/>
      <c r="L11" s="483"/>
      <c r="M11" s="483"/>
      <c r="N11" s="483"/>
      <c r="O11" s="483"/>
    </row>
    <row r="12" spans="1:15" ht="46.5" customHeight="1" x14ac:dyDescent="0.25">
      <c r="A12" s="497" t="s">
        <v>692</v>
      </c>
      <c r="B12" s="486"/>
      <c r="C12" s="487" t="e">
        <f>HLOOKUP($A$2,'2018 Data(H)'!$E$2:$BB$22,19,FALSE)</f>
        <v>#N/A</v>
      </c>
      <c r="D12" s="487" t="e">
        <f>HLOOKUP($A$2,'2019 Data(H)'!$E$2:$BB$220,19,FALSE)</f>
        <v>#N/A</v>
      </c>
      <c r="E12" s="488">
        <f>+IMPORT!L129</f>
        <v>0</v>
      </c>
      <c r="F12" s="490">
        <v>51</v>
      </c>
      <c r="G12" s="504" t="s">
        <v>730</v>
      </c>
      <c r="H12" s="483"/>
      <c r="I12" s="483"/>
      <c r="J12" s="483"/>
      <c r="K12" s="483"/>
      <c r="L12" s="483"/>
      <c r="M12" s="483"/>
      <c r="N12" s="483"/>
      <c r="O12" s="483"/>
    </row>
    <row r="13" spans="1:15" ht="33" customHeight="1" thickBot="1" x14ac:dyDescent="0.3">
      <c r="A13" s="499" t="s">
        <v>693</v>
      </c>
      <c r="B13" s="500"/>
      <c r="C13" s="489" t="e">
        <f>HLOOKUP($A$2,'2018 Data(H)'!$E$2:$BB$220,213,FALSE)</f>
        <v>#N/A</v>
      </c>
      <c r="D13" s="489" t="e">
        <f>HLOOKUP($A$2,'2019 Data(H)'!$E$2:$BB$220,213,FALSE)</f>
        <v>#N/A</v>
      </c>
      <c r="E13" s="564">
        <f>+IMPORT!L131+IMPORT!L106</f>
        <v>0</v>
      </c>
      <c r="F13" s="490" t="s">
        <v>765</v>
      </c>
      <c r="G13" s="496"/>
      <c r="H13" s="483"/>
      <c r="I13" s="483"/>
      <c r="J13" s="483"/>
      <c r="K13" s="483"/>
      <c r="L13" s="483"/>
      <c r="M13" s="483"/>
      <c r="N13" s="483"/>
      <c r="O13" s="483"/>
    </row>
    <row r="14" spans="1:15" ht="41.25" customHeight="1" thickBot="1" x14ac:dyDescent="0.3">
      <c r="A14" s="502" t="s">
        <v>694</v>
      </c>
      <c r="B14" s="491"/>
      <c r="C14" s="506" t="e">
        <f>C12-C13</f>
        <v>#N/A</v>
      </c>
      <c r="D14" s="506" t="e">
        <f>+D12-D13</f>
        <v>#N/A</v>
      </c>
      <c r="E14" s="565">
        <f>E12-E13</f>
        <v>0</v>
      </c>
      <c r="F14" s="490" t="s">
        <v>850</v>
      </c>
      <c r="G14" s="507" t="s">
        <v>780</v>
      </c>
      <c r="H14" s="483"/>
      <c r="I14" s="483"/>
      <c r="J14" s="490"/>
      <c r="K14" s="483"/>
      <c r="L14" s="483"/>
      <c r="M14" s="483"/>
      <c r="N14" s="483"/>
      <c r="O14" s="483"/>
    </row>
    <row r="15" spans="1:15" ht="16.5" customHeight="1" x14ac:dyDescent="0.25">
      <c r="A15" s="508"/>
      <c r="B15" s="508"/>
      <c r="C15" s="509"/>
      <c r="D15" s="509"/>
      <c r="E15" s="509"/>
      <c r="F15" s="510"/>
      <c r="G15" s="511"/>
      <c r="H15" s="494"/>
      <c r="I15" s="494"/>
      <c r="J15" s="494"/>
      <c r="K15" s="494"/>
      <c r="L15" s="483"/>
      <c r="M15" s="483"/>
      <c r="N15" s="483"/>
      <c r="O15" s="483"/>
    </row>
    <row r="16" spans="1:15" ht="33" customHeight="1" thickBot="1" x14ac:dyDescent="0.35">
      <c r="A16" s="484" t="s">
        <v>696</v>
      </c>
      <c r="C16" s="485"/>
      <c r="D16" s="485"/>
      <c r="E16" s="485"/>
      <c r="F16" s="483"/>
      <c r="G16" s="512"/>
      <c r="H16" s="483"/>
      <c r="I16" s="483"/>
      <c r="J16" s="483"/>
      <c r="K16" s="483"/>
      <c r="L16" s="483"/>
      <c r="M16" s="483"/>
      <c r="N16" s="483"/>
      <c r="O16" s="483"/>
    </row>
    <row r="17" spans="1:15" ht="33" customHeight="1" x14ac:dyDescent="0.25">
      <c r="A17" s="497" t="s">
        <v>690</v>
      </c>
      <c r="B17" s="486"/>
      <c r="C17" s="487" t="e">
        <f>HLOOKUP($A$2,'2018 Data(H)'!$E$2:$BB$220,218,FALSE)</f>
        <v>#N/A</v>
      </c>
      <c r="D17" s="487" t="e">
        <f>HLOOKUP($A$2,'2019 Data(H)'!$E$2:$BB$220,219,FALSE)</f>
        <v>#N/A</v>
      </c>
      <c r="E17" s="498">
        <f>+IMPORT!L88-IMPORT!L87-IMPORT!L89-IMPORT!L86</f>
        <v>0</v>
      </c>
      <c r="F17" s="512" t="s">
        <v>852</v>
      </c>
      <c r="G17" s="496"/>
      <c r="H17" s="483"/>
      <c r="I17" s="483"/>
      <c r="J17" s="483"/>
      <c r="K17" s="483"/>
      <c r="L17" s="483"/>
      <c r="M17" s="483"/>
      <c r="N17" s="483"/>
      <c r="O17" s="483"/>
    </row>
    <row r="18" spans="1:15" ht="33" customHeight="1" thickBot="1" x14ac:dyDescent="0.3">
      <c r="A18" s="499" t="s">
        <v>691</v>
      </c>
      <c r="B18" s="500"/>
      <c r="C18" s="489" t="e">
        <f>HLOOKUP($A$2,'2018 Data(H)'!$E$2:$BB$220,16,FALSE)</f>
        <v>#N/A</v>
      </c>
      <c r="D18" s="489" t="e">
        <f>HLOOKUP($A$2,'2019 Data(H)'!$E$2:$BB$220,16,FALSE)</f>
        <v>#N/A</v>
      </c>
      <c r="E18" s="513">
        <f>+IMPORT!L93-IMPORT!L94-IMPORT!L95-IMPORT!L96-IMPORT!L97-IMPORT!L98-IMPORT!L92</f>
        <v>0</v>
      </c>
      <c r="F18" s="641" t="s">
        <v>801</v>
      </c>
      <c r="G18" s="496"/>
      <c r="H18" s="483"/>
      <c r="I18" s="483"/>
      <c r="J18" s="490"/>
      <c r="K18" s="483"/>
      <c r="L18" s="483"/>
      <c r="M18" s="483"/>
      <c r="N18" s="483"/>
      <c r="O18" s="483"/>
    </row>
    <row r="19" spans="1:15" ht="41.25" customHeight="1" thickBot="1" x14ac:dyDescent="0.3">
      <c r="A19" s="502" t="s">
        <v>681</v>
      </c>
      <c r="B19" s="491"/>
      <c r="C19" s="503" t="e">
        <f>C17/C18</f>
        <v>#N/A</v>
      </c>
      <c r="D19" s="503" t="e">
        <f>D17/D18</f>
        <v>#N/A</v>
      </c>
      <c r="E19" s="514" t="e">
        <f>E17/E18</f>
        <v>#DIV/0!</v>
      </c>
      <c r="F19" s="512" t="s">
        <v>868</v>
      </c>
      <c r="G19" s="504" t="s">
        <v>729</v>
      </c>
      <c r="H19" s="512"/>
      <c r="I19" s="512"/>
      <c r="J19" s="512"/>
      <c r="K19" s="483"/>
      <c r="L19" s="483"/>
      <c r="M19" s="483"/>
      <c r="N19" s="483"/>
      <c r="O19" s="483"/>
    </row>
    <row r="20" spans="1:15" ht="17.25" customHeight="1" thickBot="1" x14ac:dyDescent="0.3">
      <c r="A20" s="475"/>
      <c r="B20" s="475"/>
      <c r="C20" s="505"/>
      <c r="D20" s="505"/>
      <c r="E20" s="505"/>
      <c r="F20" s="483"/>
      <c r="G20" s="496"/>
      <c r="H20" s="483"/>
      <c r="I20" s="483"/>
      <c r="J20" s="483"/>
      <c r="K20" s="483"/>
      <c r="L20" s="483"/>
      <c r="M20" s="483"/>
      <c r="N20" s="483"/>
      <c r="O20" s="483"/>
    </row>
    <row r="21" spans="1:15" ht="48.75" customHeight="1" x14ac:dyDescent="0.25">
      <c r="A21" s="497" t="s">
        <v>692</v>
      </c>
      <c r="B21" s="486"/>
      <c r="C21" s="487" t="e">
        <f>HLOOKUP($A$2,'2018 Data(H)'!$E$2:$BB$220,22,FALSE)</f>
        <v>#N/A</v>
      </c>
      <c r="D21" s="487" t="e">
        <f>HLOOKUP($A$2,'2019 Data(H)'!$E$2:$BB$220,22,FALSE)</f>
        <v>#N/A</v>
      </c>
      <c r="E21" s="488">
        <f>+IMPORT!L132</f>
        <v>0</v>
      </c>
      <c r="F21" s="490">
        <v>55</v>
      </c>
      <c r="G21" s="504" t="s">
        <v>730</v>
      </c>
      <c r="H21" s="483"/>
      <c r="I21" s="483"/>
      <c r="J21" s="483"/>
      <c r="K21" s="483"/>
      <c r="L21" s="483"/>
      <c r="M21" s="483"/>
      <c r="N21" s="483"/>
      <c r="O21" s="483"/>
    </row>
    <row r="22" spans="1:15" ht="33" customHeight="1" thickBot="1" x14ac:dyDescent="0.3">
      <c r="A22" s="499" t="s">
        <v>693</v>
      </c>
      <c r="B22" s="500"/>
      <c r="C22" s="489" t="e">
        <f>HLOOKUP($A$2,'2018 Data(H)'!$E$2:$BB$220,214,FALSE)</f>
        <v>#N/A</v>
      </c>
      <c r="D22" s="489" t="e">
        <f>HLOOKUP($A$2,'2019 Data(H)'!$E$2:$BB$220,214,FALSE)</f>
        <v>#N/A</v>
      </c>
      <c r="E22" s="564">
        <f>+IMPORT!L134+IMPORT!L121</f>
        <v>0</v>
      </c>
      <c r="F22" s="490" t="s">
        <v>763</v>
      </c>
      <c r="G22" s="496"/>
      <c r="H22" s="483"/>
      <c r="I22" s="483"/>
      <c r="J22" s="483"/>
      <c r="K22" s="483"/>
      <c r="L22" s="483"/>
      <c r="M22" s="483"/>
      <c r="N22" s="483"/>
      <c r="O22" s="483"/>
    </row>
    <row r="23" spans="1:15" ht="33" customHeight="1" thickBot="1" x14ac:dyDescent="0.3">
      <c r="A23" s="502" t="s">
        <v>694</v>
      </c>
      <c r="B23" s="491"/>
      <c r="C23" s="506" t="e">
        <f>C21-C22</f>
        <v>#N/A</v>
      </c>
      <c r="D23" s="506" t="e">
        <f>D21-D22</f>
        <v>#N/A</v>
      </c>
      <c r="E23" s="565">
        <f>E21-E22</f>
        <v>0</v>
      </c>
      <c r="F23" s="490" t="s">
        <v>764</v>
      </c>
      <c r="G23" s="507" t="s">
        <v>780</v>
      </c>
      <c r="H23" s="483"/>
      <c r="I23" s="483"/>
      <c r="J23" s="483"/>
      <c r="K23" s="483"/>
      <c r="L23" s="483"/>
      <c r="M23" s="483"/>
      <c r="N23" s="483"/>
      <c r="O23" s="483"/>
    </row>
    <row r="24" spans="1:15" ht="10.5" customHeight="1" x14ac:dyDescent="0.25">
      <c r="A24" s="193"/>
      <c r="B24" s="193"/>
      <c r="C24" s="515"/>
      <c r="D24" s="515"/>
      <c r="E24" s="515"/>
      <c r="F24" s="483"/>
      <c r="G24" s="516"/>
      <c r="H24" s="483"/>
      <c r="I24" s="483"/>
      <c r="J24" s="483"/>
      <c r="K24" s="483"/>
      <c r="L24" s="483"/>
      <c r="M24" s="483"/>
      <c r="N24" s="483"/>
      <c r="O24" s="483"/>
    </row>
    <row r="25" spans="1:15" ht="33" customHeight="1" x14ac:dyDescent="0.25">
      <c r="A25" s="55"/>
      <c r="B25" s="56"/>
      <c r="C25" s="517"/>
      <c r="D25" s="517"/>
      <c r="E25" s="517"/>
      <c r="F25" s="483"/>
      <c r="G25" s="483"/>
      <c r="H25" s="483"/>
      <c r="I25" s="483"/>
      <c r="J25" s="483"/>
      <c r="K25" s="483"/>
      <c r="L25" s="483"/>
      <c r="M25" s="483"/>
      <c r="N25" s="483"/>
      <c r="O25" s="483"/>
    </row>
    <row r="26" spans="1:15" ht="82.5" customHeight="1" x14ac:dyDescent="0.35">
      <c r="A26" s="482" t="s">
        <v>695</v>
      </c>
      <c r="B26" s="56"/>
      <c r="C26" s="480">
        <v>2018</v>
      </c>
      <c r="D26" s="480">
        <v>2019</v>
      </c>
      <c r="E26" s="480">
        <v>2020</v>
      </c>
      <c r="F26" s="43"/>
      <c r="G26" s="483"/>
      <c r="H26" s="483"/>
      <c r="I26" s="483"/>
      <c r="J26" s="483"/>
      <c r="K26" s="483"/>
      <c r="L26" s="483"/>
      <c r="M26" s="483"/>
      <c r="N26" s="483"/>
      <c r="O26" s="483"/>
    </row>
    <row r="27" spans="1:15" x14ac:dyDescent="0.25">
      <c r="C27" s="521"/>
      <c r="D27" s="521"/>
      <c r="E27" s="520"/>
    </row>
    <row r="28" spans="1:15" ht="18.75" x14ac:dyDescent="0.3">
      <c r="A28" s="518" t="s">
        <v>683</v>
      </c>
      <c r="C28" s="521"/>
      <c r="D28" s="521"/>
      <c r="E28" s="520"/>
    </row>
    <row r="29" spans="1:15" x14ac:dyDescent="0.25">
      <c r="A29" s="23" t="s">
        <v>684</v>
      </c>
      <c r="C29" s="519" t="e">
        <f>HLOOKUP($A$2,'2018 Data(H)'!$E$2:$BB$220,28,FALSE)</f>
        <v>#N/A</v>
      </c>
      <c r="D29" s="519" t="e">
        <f>HLOOKUP($A$2,'2019 Data(H)'!$E$2:$BB$220,28,FALSE)</f>
        <v>#N/A</v>
      </c>
      <c r="E29" s="566">
        <f>+IMPORT!L103</f>
        <v>0</v>
      </c>
      <c r="F29" s="296">
        <v>84</v>
      </c>
    </row>
    <row r="30" spans="1:15" x14ac:dyDescent="0.25">
      <c r="A30" s="23" t="s">
        <v>685</v>
      </c>
      <c r="C30" s="519" t="e">
        <f>HLOOKUP($A$2,'2018 Data(H)'!$E$2:$BB$220,29,FALSE)</f>
        <v>#N/A</v>
      </c>
      <c r="D30" s="519" t="e">
        <f>HLOOKUP($A$2,'2019 Data(H)'!$E$2:$BB$220,29,FALSE)</f>
        <v>#N/A</v>
      </c>
      <c r="E30" s="566">
        <f>+IMPORT!L105</f>
        <v>0</v>
      </c>
      <c r="F30" s="296">
        <v>85</v>
      </c>
    </row>
    <row r="31" spans="1:15" x14ac:dyDescent="0.25">
      <c r="A31" s="23" t="s">
        <v>686</v>
      </c>
      <c r="C31" s="519" t="e">
        <f>C29-C30</f>
        <v>#N/A</v>
      </c>
      <c r="D31" s="519" t="e">
        <f>D29-D30</f>
        <v>#N/A</v>
      </c>
      <c r="E31" s="566">
        <f>+E29-E30</f>
        <v>0</v>
      </c>
      <c r="F31" s="296" t="s">
        <v>687</v>
      </c>
    </row>
    <row r="32" spans="1:15" x14ac:dyDescent="0.25">
      <c r="A32" s="23" t="s">
        <v>781</v>
      </c>
      <c r="C32" s="522" t="e">
        <f>HLOOKUP($A$2,'2018 Data(H)'!$E$2:$BB$220,216,FALSE)</f>
        <v>#N/A</v>
      </c>
      <c r="D32" s="522" t="e">
        <f>HLOOKUP($A$2,'2019 Data(H)'!$E$2:$BB$220,216,FALSE)</f>
        <v>#N/A</v>
      </c>
      <c r="E32" s="522" t="e">
        <f>+IMPORT!L67*365/IMPORT!L102</f>
        <v>#DIV/0!</v>
      </c>
      <c r="F32" s="296" t="s">
        <v>766</v>
      </c>
      <c r="G32" s="523"/>
    </row>
    <row r="33" spans="1:7" x14ac:dyDescent="0.25">
      <c r="C33" s="521"/>
      <c r="D33" s="521"/>
      <c r="E33" s="520"/>
    </row>
    <row r="34" spans="1:7" ht="18.75" x14ac:dyDescent="0.3">
      <c r="A34" s="518" t="s">
        <v>682</v>
      </c>
      <c r="C34" s="521"/>
      <c r="D34" s="521"/>
      <c r="E34" s="520"/>
    </row>
    <row r="35" spans="1:7" x14ac:dyDescent="0.25">
      <c r="A35" s="23" t="s">
        <v>684</v>
      </c>
      <c r="C35" s="519" t="e">
        <f>HLOOKUP($A$2,'2018 Data(H)'!$E$2:$BB$220,34,FALSE)</f>
        <v>#N/A</v>
      </c>
      <c r="D35" s="519" t="e">
        <f>HLOOKUP($A$2,'2019 Data(H)'!$E$2:$BB$220,34,FALSE)</f>
        <v>#N/A</v>
      </c>
      <c r="E35" s="520">
        <f>+IMPORT!L117</f>
        <v>0</v>
      </c>
      <c r="F35" s="296">
        <v>93</v>
      </c>
    </row>
    <row r="36" spans="1:7" x14ac:dyDescent="0.25">
      <c r="A36" s="23" t="s">
        <v>685</v>
      </c>
      <c r="C36" s="519" t="e">
        <f>HLOOKUP($A$2,'2018 Data(H)'!$E$2:$BB$220,35,FALSE)</f>
        <v>#N/A</v>
      </c>
      <c r="D36" s="519" t="e">
        <f>HLOOKUP($A$2,'2019 Data(H)'!$E$2:$BB$220,35,FALSE)</f>
        <v>#N/A</v>
      </c>
      <c r="E36" s="520">
        <f>+IMPORT!L120</f>
        <v>0</v>
      </c>
      <c r="F36" s="296">
        <v>94</v>
      </c>
    </row>
    <row r="37" spans="1:7" x14ac:dyDescent="0.25">
      <c r="A37" s="23" t="s">
        <v>686</v>
      </c>
      <c r="C37" s="519" t="e">
        <f>+C35-C36</f>
        <v>#N/A</v>
      </c>
      <c r="D37" s="519" t="e">
        <f>+D35-D36</f>
        <v>#N/A</v>
      </c>
      <c r="E37" s="520">
        <f>+E35-E36</f>
        <v>0</v>
      </c>
      <c r="F37" s="296" t="s">
        <v>688</v>
      </c>
    </row>
    <row r="38" spans="1:7" x14ac:dyDescent="0.25">
      <c r="A38" s="23" t="s">
        <v>781</v>
      </c>
      <c r="C38" s="722" t="e">
        <f>HLOOKUP($A$2,'2018 Data(H)'!$E$2:$BB$220,217,FALSE)</f>
        <v>#N/A</v>
      </c>
      <c r="D38" s="722" t="e">
        <f>HLOOKUP($A$2,'2019 Data(H)'!$E$2:$BB$220,217,FALSE)</f>
        <v>#N/A</v>
      </c>
      <c r="E38" s="723" t="e">
        <f>+IMPORT!L85*365/IMPORT!L116</f>
        <v>#DIV/0!</v>
      </c>
      <c r="F38" s="296" t="s">
        <v>767</v>
      </c>
      <c r="G38" s="523"/>
    </row>
    <row r="41" spans="1:7" ht="60.75" customHeight="1" x14ac:dyDescent="0.25">
      <c r="A41" s="3"/>
      <c r="B41" s="3"/>
      <c r="C41" s="3"/>
      <c r="D41" s="3"/>
      <c r="E41" s="3"/>
      <c r="F41" s="3"/>
    </row>
  </sheetData>
  <sheetProtection password="CEAA" sheet="1" objects="1" scenarios="1"/>
  <mergeCells count="3">
    <mergeCell ref="A1:D1"/>
    <mergeCell ref="A2:D2"/>
    <mergeCell ref="A3:E3"/>
  </mergeCells>
  <phoneticPr fontId="97"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AC20D-573D-4CAC-BFD0-B45CD70D0C16}">
  <sheetPr codeName="Sheet6"/>
  <dimension ref="A1:H53"/>
  <sheetViews>
    <sheetView workbookViewId="0">
      <selection activeCell="C14" sqref="C14"/>
    </sheetView>
  </sheetViews>
  <sheetFormatPr defaultRowHeight="15" x14ac:dyDescent="0.25"/>
  <cols>
    <col min="1" max="1" width="36.7109375" style="594" customWidth="1"/>
    <col min="2" max="2" width="12.7109375" style="594" customWidth="1"/>
    <col min="3" max="3" width="57.5703125" style="594" customWidth="1"/>
    <col min="4" max="4" width="35" style="594" customWidth="1"/>
    <col min="5" max="5" width="66.7109375" style="612" customWidth="1"/>
    <col min="6" max="6" width="2.140625" style="612" customWidth="1"/>
    <col min="7" max="7" width="9.140625" style="594"/>
    <col min="8" max="8" width="34.28515625" style="594" customWidth="1"/>
    <col min="9" max="16384" width="9.140625" style="594"/>
  </cols>
  <sheetData>
    <row r="1" spans="1:7" s="592" customFormat="1" ht="63.75" customHeight="1" x14ac:dyDescent="0.3">
      <c r="B1" s="898" t="s">
        <v>882</v>
      </c>
      <c r="C1" s="898"/>
      <c r="D1" s="898"/>
      <c r="E1" s="898"/>
      <c r="F1" s="650"/>
    </row>
    <row r="2" spans="1:7" ht="30" x14ac:dyDescent="0.25">
      <c r="B2" s="612" t="s">
        <v>869</v>
      </c>
      <c r="C2" s="364" t="s">
        <v>870</v>
      </c>
      <c r="D2" s="364" t="s">
        <v>785</v>
      </c>
      <c r="E2" s="612" t="s">
        <v>786</v>
      </c>
      <c r="G2" s="612"/>
    </row>
    <row r="3" spans="1:7" x14ac:dyDescent="0.25">
      <c r="B3" s="612"/>
      <c r="C3" s="364"/>
      <c r="D3" s="364"/>
      <c r="G3" s="612"/>
    </row>
    <row r="4" spans="1:7" ht="136.5" x14ac:dyDescent="0.35">
      <c r="A4" s="591" t="s">
        <v>871</v>
      </c>
      <c r="B4" s="589">
        <v>336</v>
      </c>
      <c r="C4" s="651" t="s">
        <v>872</v>
      </c>
      <c r="D4" s="651" t="s">
        <v>873</v>
      </c>
      <c r="G4" s="612"/>
    </row>
    <row r="5" spans="1:7" x14ac:dyDescent="0.25">
      <c r="D5" s="643">
        <v>626</v>
      </c>
      <c r="E5" s="644" t="s">
        <v>789</v>
      </c>
      <c r="G5" s="612"/>
    </row>
    <row r="6" spans="1:7" x14ac:dyDescent="0.25">
      <c r="D6" s="643">
        <v>627</v>
      </c>
      <c r="E6" s="644" t="s">
        <v>790</v>
      </c>
      <c r="G6" s="612"/>
    </row>
    <row r="7" spans="1:7" x14ac:dyDescent="0.25">
      <c r="D7" s="643">
        <v>628</v>
      </c>
      <c r="E7" s="644" t="s">
        <v>791</v>
      </c>
      <c r="G7" s="612"/>
    </row>
    <row r="8" spans="1:7" x14ac:dyDescent="0.25">
      <c r="D8" s="643">
        <v>629</v>
      </c>
      <c r="E8" s="644" t="s">
        <v>792</v>
      </c>
      <c r="G8" s="612"/>
    </row>
    <row r="9" spans="1:7" x14ac:dyDescent="0.25">
      <c r="D9" s="643">
        <v>630</v>
      </c>
      <c r="E9" s="644" t="s">
        <v>793</v>
      </c>
      <c r="G9" s="612"/>
    </row>
    <row r="10" spans="1:7" x14ac:dyDescent="0.25">
      <c r="D10" s="643">
        <v>631</v>
      </c>
      <c r="E10" s="644" t="s">
        <v>794</v>
      </c>
      <c r="G10" s="612"/>
    </row>
    <row r="11" spans="1:7" x14ac:dyDescent="0.25">
      <c r="G11" s="612"/>
    </row>
    <row r="12" spans="1:7" ht="90" x14ac:dyDescent="0.35">
      <c r="A12" s="589" t="s">
        <v>795</v>
      </c>
      <c r="C12" s="594" t="s">
        <v>796</v>
      </c>
      <c r="D12" s="643">
        <v>647</v>
      </c>
      <c r="E12" s="645" t="s">
        <v>797</v>
      </c>
      <c r="G12" s="612"/>
    </row>
    <row r="13" spans="1:7" ht="21" x14ac:dyDescent="0.35">
      <c r="A13" s="589"/>
      <c r="D13" s="643"/>
      <c r="E13" s="645"/>
      <c r="G13" s="612"/>
    </row>
    <row r="14" spans="1:7" ht="61.5" x14ac:dyDescent="0.35">
      <c r="A14" s="591" t="s">
        <v>874</v>
      </c>
      <c r="B14" s="589">
        <v>44</v>
      </c>
      <c r="C14" s="612" t="s">
        <v>787</v>
      </c>
      <c r="D14" s="652" t="s">
        <v>875</v>
      </c>
    </row>
    <row r="15" spans="1:7" x14ac:dyDescent="0.25">
      <c r="D15" s="594">
        <v>654</v>
      </c>
      <c r="E15" s="612" t="s">
        <v>788</v>
      </c>
    </row>
    <row r="16" spans="1:7" ht="30" x14ac:dyDescent="0.25">
      <c r="D16" s="594">
        <v>655</v>
      </c>
      <c r="E16" s="612" t="s">
        <v>876</v>
      </c>
    </row>
    <row r="17" spans="1:6" ht="45" x14ac:dyDescent="0.25">
      <c r="D17" s="594">
        <v>579</v>
      </c>
      <c r="E17" s="646" t="s">
        <v>581</v>
      </c>
    </row>
    <row r="18" spans="1:6" x14ac:dyDescent="0.25">
      <c r="D18" s="594">
        <v>510</v>
      </c>
      <c r="E18" s="644" t="s">
        <v>543</v>
      </c>
    </row>
    <row r="21" spans="1:6" ht="196.5" x14ac:dyDescent="0.35">
      <c r="A21" s="591" t="s">
        <v>877</v>
      </c>
      <c r="B21" s="589">
        <v>45</v>
      </c>
      <c r="C21" s="612" t="s">
        <v>798</v>
      </c>
      <c r="D21" s="594" t="s">
        <v>799</v>
      </c>
    </row>
    <row r="22" spans="1:6" x14ac:dyDescent="0.25">
      <c r="D22" s="643">
        <v>633</v>
      </c>
      <c r="E22" s="644" t="s">
        <v>708</v>
      </c>
      <c r="F22" s="644"/>
    </row>
    <row r="23" spans="1:6" x14ac:dyDescent="0.25">
      <c r="D23" s="643">
        <v>634</v>
      </c>
      <c r="E23" s="644" t="s">
        <v>709</v>
      </c>
      <c r="F23" s="644"/>
    </row>
    <row r="24" spans="1:6" x14ac:dyDescent="0.25">
      <c r="D24" s="643">
        <v>635</v>
      </c>
      <c r="E24" s="644" t="s">
        <v>710</v>
      </c>
      <c r="F24" s="644"/>
    </row>
    <row r="25" spans="1:6" x14ac:dyDescent="0.25">
      <c r="D25" s="643">
        <v>636</v>
      </c>
      <c r="E25" s="644" t="s">
        <v>705</v>
      </c>
      <c r="F25" s="644"/>
    </row>
    <row r="26" spans="1:6" x14ac:dyDescent="0.25">
      <c r="D26" s="647">
        <v>637</v>
      </c>
      <c r="E26" s="644" t="s">
        <v>706</v>
      </c>
      <c r="F26" s="644"/>
    </row>
    <row r="27" spans="1:6" x14ac:dyDescent="0.25">
      <c r="D27" s="647">
        <v>638</v>
      </c>
      <c r="E27" s="644" t="s">
        <v>711</v>
      </c>
      <c r="F27" s="644"/>
    </row>
    <row r="28" spans="1:6" x14ac:dyDescent="0.25">
      <c r="D28" s="643">
        <v>578</v>
      </c>
      <c r="E28" s="644" t="s">
        <v>621</v>
      </c>
      <c r="F28" s="644"/>
    </row>
    <row r="32" spans="1:6" ht="29.25" customHeight="1" x14ac:dyDescent="0.35">
      <c r="A32" s="592" t="s">
        <v>878</v>
      </c>
      <c r="B32" s="589">
        <v>47</v>
      </c>
      <c r="C32" s="612" t="s">
        <v>808</v>
      </c>
      <c r="D32" s="594" t="s">
        <v>879</v>
      </c>
    </row>
    <row r="33" spans="1:8" x14ac:dyDescent="0.25">
      <c r="D33" s="594">
        <v>657</v>
      </c>
      <c r="E33" s="594" t="s">
        <v>808</v>
      </c>
      <c r="H33" s="642"/>
    </row>
    <row r="34" spans="1:8" ht="30" x14ac:dyDescent="0.25">
      <c r="D34" s="594">
        <v>658</v>
      </c>
      <c r="E34" s="644" t="s">
        <v>804</v>
      </c>
    </row>
    <row r="35" spans="1:8" ht="45" x14ac:dyDescent="0.25">
      <c r="D35" s="594">
        <v>581</v>
      </c>
      <c r="E35" s="646" t="s">
        <v>880</v>
      </c>
    </row>
    <row r="36" spans="1:8" x14ac:dyDescent="0.25">
      <c r="E36" s="644"/>
    </row>
    <row r="41" spans="1:8" ht="181.5" x14ac:dyDescent="0.35">
      <c r="A41" s="592" t="s">
        <v>881</v>
      </c>
      <c r="B41" s="589">
        <v>48</v>
      </c>
      <c r="C41" s="612" t="s">
        <v>800</v>
      </c>
      <c r="D41" s="588" t="s">
        <v>801</v>
      </c>
    </row>
    <row r="42" spans="1:8" ht="30" x14ac:dyDescent="0.25">
      <c r="D42" s="648">
        <v>639</v>
      </c>
      <c r="E42" s="649" t="s">
        <v>712</v>
      </c>
      <c r="F42" s="644"/>
    </row>
    <row r="43" spans="1:8" x14ac:dyDescent="0.25">
      <c r="D43" s="648">
        <v>640</v>
      </c>
      <c r="E43" s="649" t="s">
        <v>713</v>
      </c>
      <c r="F43" s="644"/>
    </row>
    <row r="44" spans="1:8" x14ac:dyDescent="0.25">
      <c r="D44" s="648">
        <v>641</v>
      </c>
      <c r="E44" s="649" t="s">
        <v>714</v>
      </c>
      <c r="F44" s="644"/>
    </row>
    <row r="45" spans="1:8" x14ac:dyDescent="0.25">
      <c r="D45" s="648">
        <v>642</v>
      </c>
      <c r="E45" s="649" t="s">
        <v>715</v>
      </c>
      <c r="F45" s="644"/>
    </row>
    <row r="46" spans="1:8" ht="30" x14ac:dyDescent="0.25">
      <c r="D46" s="648">
        <v>643</v>
      </c>
      <c r="E46" s="649" t="s">
        <v>716</v>
      </c>
      <c r="F46" s="644"/>
    </row>
    <row r="47" spans="1:8" x14ac:dyDescent="0.25">
      <c r="D47" s="648">
        <v>644</v>
      </c>
      <c r="E47" s="649" t="s">
        <v>717</v>
      </c>
      <c r="F47" s="644"/>
    </row>
    <row r="48" spans="1:8" x14ac:dyDescent="0.25">
      <c r="D48" s="648" t="s">
        <v>802</v>
      </c>
      <c r="E48" s="644" t="s">
        <v>625</v>
      </c>
      <c r="F48" s="644"/>
    </row>
    <row r="53" spans="1:1" ht="18.75" x14ac:dyDescent="0.3">
      <c r="A53" s="653" t="s">
        <v>803</v>
      </c>
    </row>
  </sheetData>
  <mergeCells count="1">
    <mergeCell ref="B1:E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4CC87-E13B-4F65-8BC5-C28CE910D5ED}">
  <sheetPr codeName="Sheet7"/>
  <dimension ref="A3:M27"/>
  <sheetViews>
    <sheetView workbookViewId="0">
      <pane xSplit="2" ySplit="4" topLeftCell="C5" activePane="bottomRight" state="frozen"/>
      <selection pane="topRight" activeCell="B1" sqref="B1"/>
      <selection pane="bottomLeft" activeCell="A5" sqref="A5"/>
      <selection pane="bottomRight" activeCell="E35" sqref="E35"/>
    </sheetView>
  </sheetViews>
  <sheetFormatPr defaultRowHeight="15" x14ac:dyDescent="0.25"/>
  <cols>
    <col min="1" max="3" width="22.7109375" style="473" customWidth="1"/>
    <col min="4" max="4" width="18.7109375" style="465" customWidth="1"/>
    <col min="5" max="10" width="18.7109375" style="473" customWidth="1"/>
    <col min="11" max="16384" width="9.140625" style="473"/>
  </cols>
  <sheetData>
    <row r="3" spans="1:13" x14ac:dyDescent="0.25">
      <c r="D3" s="464">
        <v>2019</v>
      </c>
      <c r="E3" s="464">
        <v>2018</v>
      </c>
      <c r="F3" s="464">
        <v>2017</v>
      </c>
      <c r="G3" s="464">
        <v>2016</v>
      </c>
      <c r="H3" s="464">
        <v>2015</v>
      </c>
      <c r="I3" s="464">
        <v>2014</v>
      </c>
      <c r="J3" s="464">
        <v>2013</v>
      </c>
      <c r="K3" s="465"/>
      <c r="L3" s="465"/>
      <c r="M3" s="465"/>
    </row>
    <row r="4" spans="1:13" ht="18.75" x14ac:dyDescent="0.25">
      <c r="A4" s="466" t="s">
        <v>755</v>
      </c>
      <c r="B4" s="466"/>
      <c r="C4" s="466" t="s">
        <v>756</v>
      </c>
      <c r="D4" s="467" t="s">
        <v>680</v>
      </c>
      <c r="E4" s="467" t="s">
        <v>680</v>
      </c>
      <c r="F4" s="467" t="s">
        <v>680</v>
      </c>
      <c r="G4" s="467" t="s">
        <v>680</v>
      </c>
      <c r="H4" s="467" t="s">
        <v>680</v>
      </c>
      <c r="I4" s="467" t="s">
        <v>680</v>
      </c>
      <c r="J4" s="467" t="s">
        <v>680</v>
      </c>
      <c r="K4" s="468"/>
    </row>
    <row r="5" spans="1:13" x14ac:dyDescent="0.25">
      <c r="A5" s="469">
        <v>5119</v>
      </c>
      <c r="B5" s="469" t="s">
        <v>732</v>
      </c>
      <c r="C5" s="469">
        <v>647</v>
      </c>
      <c r="D5" s="465">
        <v>20578691</v>
      </c>
      <c r="E5" s="465">
        <v>3249248</v>
      </c>
      <c r="F5" s="465">
        <v>2957570</v>
      </c>
      <c r="G5" s="465">
        <v>5709008</v>
      </c>
      <c r="H5" s="465">
        <v>5114434</v>
      </c>
      <c r="I5" s="465">
        <v>4562229</v>
      </c>
      <c r="J5" s="465">
        <v>4029652</v>
      </c>
    </row>
    <row r="6" spans="1:13" x14ac:dyDescent="0.25">
      <c r="A6" s="469">
        <v>5120</v>
      </c>
      <c r="B6" s="469" t="s">
        <v>733</v>
      </c>
      <c r="C6" s="469">
        <v>647</v>
      </c>
      <c r="D6" s="465">
        <v>0</v>
      </c>
      <c r="E6" s="465">
        <v>0</v>
      </c>
      <c r="F6" s="465">
        <v>0</v>
      </c>
      <c r="G6" s="465">
        <v>0</v>
      </c>
      <c r="H6" s="465">
        <v>0</v>
      </c>
      <c r="I6" s="465">
        <v>0</v>
      </c>
      <c r="J6" s="465">
        <v>0</v>
      </c>
    </row>
    <row r="7" spans="1:13" x14ac:dyDescent="0.25">
      <c r="A7" s="469">
        <v>5131</v>
      </c>
      <c r="B7" s="469" t="s">
        <v>734</v>
      </c>
      <c r="C7" s="469">
        <v>647</v>
      </c>
      <c r="D7" s="465">
        <v>37089245</v>
      </c>
      <c r="E7" s="465">
        <v>20299814</v>
      </c>
      <c r="F7" s="465">
        <v>8051571</v>
      </c>
      <c r="G7" s="465">
        <v>7371500</v>
      </c>
      <c r="H7" s="465">
        <v>5966665</v>
      </c>
      <c r="I7" s="465">
        <v>8207298</v>
      </c>
      <c r="J7" s="465">
        <v>7347048</v>
      </c>
    </row>
    <row r="8" spans="1:13" x14ac:dyDescent="0.25">
      <c r="A8" s="469">
        <v>5135</v>
      </c>
      <c r="B8" s="469" t="s">
        <v>735</v>
      </c>
      <c r="C8" s="469">
        <v>647</v>
      </c>
      <c r="D8" s="465">
        <v>0</v>
      </c>
      <c r="E8" s="465">
        <v>0</v>
      </c>
      <c r="F8" s="465">
        <v>4056482</v>
      </c>
      <c r="G8" s="465">
        <v>3922669</v>
      </c>
      <c r="H8" s="465">
        <v>3148233</v>
      </c>
      <c r="I8" s="465">
        <v>2755127</v>
      </c>
      <c r="J8" s="465">
        <v>2755127</v>
      </c>
    </row>
    <row r="9" spans="1:13" x14ac:dyDescent="0.25">
      <c r="A9" s="469">
        <v>5144</v>
      </c>
      <c r="B9" s="469" t="s">
        <v>736</v>
      </c>
      <c r="C9" s="469">
        <v>647</v>
      </c>
      <c r="D9" s="465">
        <v>7441890</v>
      </c>
      <c r="E9" s="465">
        <v>7441890</v>
      </c>
      <c r="F9" s="465">
        <v>4932241</v>
      </c>
      <c r="G9" s="465">
        <v>590997</v>
      </c>
      <c r="H9" s="465">
        <v>0</v>
      </c>
      <c r="I9" s="465">
        <v>3000000</v>
      </c>
      <c r="J9" s="465">
        <v>2390166</v>
      </c>
    </row>
    <row r="10" spans="1:13" x14ac:dyDescent="0.25">
      <c r="A10" s="469">
        <v>5155</v>
      </c>
      <c r="B10" s="469" t="s">
        <v>737</v>
      </c>
      <c r="C10" s="469">
        <v>647</v>
      </c>
      <c r="D10" s="465">
        <v>1008755</v>
      </c>
      <c r="E10" s="465">
        <v>781534</v>
      </c>
      <c r="F10" s="465">
        <v>663572</v>
      </c>
      <c r="G10" s="465">
        <v>6557774</v>
      </c>
      <c r="H10" s="465">
        <v>611355</v>
      </c>
      <c r="I10" s="465">
        <v>784361</v>
      </c>
      <c r="J10" s="465">
        <v>1022379</v>
      </c>
    </row>
    <row r="11" spans="1:13" x14ac:dyDescent="0.25">
      <c r="A11" s="469">
        <v>5158</v>
      </c>
      <c r="B11" s="469" t="s">
        <v>738</v>
      </c>
      <c r="C11" s="469">
        <v>647</v>
      </c>
      <c r="D11" s="465">
        <v>9</v>
      </c>
      <c r="E11" s="465">
        <v>9</v>
      </c>
      <c r="F11" s="465">
        <v>9</v>
      </c>
      <c r="G11" s="465">
        <v>9</v>
      </c>
      <c r="H11" s="465">
        <v>9</v>
      </c>
      <c r="I11" s="465">
        <v>9</v>
      </c>
      <c r="J11" s="465">
        <v>9</v>
      </c>
    </row>
    <row r="12" spans="1:13" x14ac:dyDescent="0.25">
      <c r="A12" s="469">
        <v>5159</v>
      </c>
      <c r="B12" s="469" t="s">
        <v>739</v>
      </c>
      <c r="C12" s="469">
        <v>647</v>
      </c>
      <c r="D12" s="465">
        <v>225639888</v>
      </c>
      <c r="E12" s="465">
        <v>219009306</v>
      </c>
      <c r="F12" s="465">
        <v>181812071</v>
      </c>
      <c r="G12" s="465">
        <v>193933610</v>
      </c>
      <c r="H12" s="465">
        <v>181583886</v>
      </c>
      <c r="I12" s="465">
        <v>0</v>
      </c>
      <c r="J12" s="465">
        <v>0</v>
      </c>
    </row>
    <row r="13" spans="1:13" x14ac:dyDescent="0.25">
      <c r="A13" s="469">
        <v>5164</v>
      </c>
      <c r="B13" s="469" t="s">
        <v>740</v>
      </c>
      <c r="C13" s="469">
        <v>647</v>
      </c>
      <c r="D13" s="465">
        <v>7132135</v>
      </c>
      <c r="E13" s="465">
        <v>5438631</v>
      </c>
      <c r="F13" s="465">
        <v>2427428</v>
      </c>
      <c r="G13" s="465">
        <v>157674</v>
      </c>
      <c r="H13" s="465">
        <v>0</v>
      </c>
      <c r="I13" s="465">
        <v>0</v>
      </c>
      <c r="J13" s="465">
        <v>0</v>
      </c>
    </row>
    <row r="14" spans="1:13" x14ac:dyDescent="0.25">
      <c r="A14" s="469">
        <v>5173</v>
      </c>
      <c r="B14" s="469" t="s">
        <v>741</v>
      </c>
      <c r="C14" s="469">
        <v>647</v>
      </c>
      <c r="D14" s="465">
        <v>422216</v>
      </c>
      <c r="E14" s="465">
        <v>2615544</v>
      </c>
      <c r="F14" s="465">
        <v>880554</v>
      </c>
      <c r="G14" s="465">
        <v>154942</v>
      </c>
      <c r="H14" s="465">
        <v>107456</v>
      </c>
      <c r="I14" s="465">
        <v>46240</v>
      </c>
      <c r="J14" s="465">
        <v>23390</v>
      </c>
    </row>
    <row r="15" spans="1:13" x14ac:dyDescent="0.25">
      <c r="A15" s="469">
        <v>5178</v>
      </c>
      <c r="B15" s="469" t="s">
        <v>742</v>
      </c>
      <c r="C15" s="469">
        <v>647</v>
      </c>
      <c r="D15" s="465">
        <v>75835</v>
      </c>
      <c r="E15" s="465">
        <v>66039</v>
      </c>
      <c r="F15" s="465">
        <v>57100</v>
      </c>
      <c r="G15" s="465">
        <v>52316</v>
      </c>
      <c r="H15" s="465">
        <v>23715</v>
      </c>
      <c r="I15" s="465">
        <v>899285</v>
      </c>
      <c r="J15" s="465">
        <v>1169608</v>
      </c>
    </row>
    <row r="16" spans="1:13" x14ac:dyDescent="0.25">
      <c r="A16" s="469">
        <v>5180</v>
      </c>
      <c r="B16" s="469" t="s">
        <v>743</v>
      </c>
      <c r="C16" s="469">
        <v>647</v>
      </c>
      <c r="D16" s="465">
        <v>4586780</v>
      </c>
      <c r="E16" s="465">
        <v>5165281</v>
      </c>
      <c r="F16" s="465">
        <v>4432068</v>
      </c>
      <c r="G16" s="465">
        <v>3558985</v>
      </c>
      <c r="H16" s="465">
        <v>2657915</v>
      </c>
      <c r="I16" s="465">
        <v>2071596</v>
      </c>
      <c r="J16" s="465">
        <v>1986034</v>
      </c>
    </row>
    <row r="17" spans="1:10" x14ac:dyDescent="0.25">
      <c r="A17" s="469">
        <v>5191</v>
      </c>
      <c r="B17" s="469" t="s">
        <v>744</v>
      </c>
      <c r="C17" s="469">
        <v>647</v>
      </c>
      <c r="D17" s="465">
        <v>111303046</v>
      </c>
      <c r="E17" s="465">
        <v>108974619</v>
      </c>
      <c r="F17" s="465">
        <v>120290900</v>
      </c>
      <c r="G17" s="465">
        <v>127448981</v>
      </c>
      <c r="H17" s="465">
        <v>153873846</v>
      </c>
      <c r="I17" s="465">
        <v>135252125</v>
      </c>
      <c r="J17" s="465">
        <v>169055200</v>
      </c>
    </row>
    <row r="18" spans="1:10" x14ac:dyDescent="0.25">
      <c r="A18" s="469">
        <v>50074</v>
      </c>
      <c r="B18" s="469" t="s">
        <v>745</v>
      </c>
      <c r="C18" s="469">
        <v>647</v>
      </c>
      <c r="D18" s="465">
        <v>7494829</v>
      </c>
      <c r="E18" s="465">
        <v>7189658</v>
      </c>
      <c r="F18" s="465">
        <v>7048523</v>
      </c>
      <c r="G18" s="465">
        <v>6615510</v>
      </c>
      <c r="H18" s="465">
        <v>5452410</v>
      </c>
      <c r="I18" s="465">
        <v>4803926</v>
      </c>
      <c r="J18" s="465">
        <v>5340180</v>
      </c>
    </row>
    <row r="19" spans="1:10" x14ac:dyDescent="0.25">
      <c r="A19" s="469">
        <v>50075</v>
      </c>
      <c r="B19" s="469" t="s">
        <v>746</v>
      </c>
      <c r="C19" s="469">
        <v>647</v>
      </c>
      <c r="D19" s="465">
        <v>266214000</v>
      </c>
      <c r="E19" s="465">
        <v>265541000</v>
      </c>
      <c r="F19" s="465">
        <v>274532000</v>
      </c>
      <c r="G19" s="465">
        <v>286138000</v>
      </c>
      <c r="H19" s="465">
        <v>295124000</v>
      </c>
      <c r="I19" s="465">
        <v>264645000</v>
      </c>
      <c r="J19" s="465">
        <v>231434000</v>
      </c>
    </row>
    <row r="20" spans="1:10" x14ac:dyDescent="0.25">
      <c r="A20" s="469">
        <v>50110</v>
      </c>
      <c r="B20" s="469" t="s">
        <v>747</v>
      </c>
      <c r="C20" s="469">
        <v>647</v>
      </c>
      <c r="D20" s="465">
        <v>46833536</v>
      </c>
      <c r="E20" s="465">
        <v>45660075</v>
      </c>
      <c r="F20" s="465">
        <v>8463820</v>
      </c>
      <c r="G20" s="465">
        <v>2663591</v>
      </c>
      <c r="H20" s="465">
        <v>2371109</v>
      </c>
      <c r="I20" s="465">
        <v>2878268</v>
      </c>
      <c r="J20" s="465">
        <v>4203755</v>
      </c>
    </row>
    <row r="21" spans="1:10" x14ac:dyDescent="0.25">
      <c r="A21" s="469">
        <v>50144</v>
      </c>
      <c r="B21" s="469" t="s">
        <v>748</v>
      </c>
      <c r="C21" s="469">
        <v>647</v>
      </c>
      <c r="D21" s="465">
        <v>4258932</v>
      </c>
      <c r="E21" s="465">
        <v>853434</v>
      </c>
      <c r="F21" s="465">
        <v>1622119</v>
      </c>
      <c r="G21" s="465">
        <v>1743258</v>
      </c>
      <c r="H21" s="465">
        <v>1740179</v>
      </c>
      <c r="I21" s="465">
        <v>1739958</v>
      </c>
      <c r="J21" s="465">
        <v>1739695</v>
      </c>
    </row>
    <row r="22" spans="1:10" x14ac:dyDescent="0.25">
      <c r="A22" s="469">
        <v>50159</v>
      </c>
      <c r="B22" s="469" t="s">
        <v>749</v>
      </c>
      <c r="C22" s="469">
        <v>647</v>
      </c>
      <c r="D22" s="465">
        <v>28636370</v>
      </c>
      <c r="E22" s="465">
        <v>23180822</v>
      </c>
      <c r="F22" s="465">
        <v>16487675</v>
      </c>
      <c r="G22" s="465">
        <v>10909425</v>
      </c>
      <c r="H22" s="465">
        <v>7878571</v>
      </c>
      <c r="I22" s="465">
        <v>5300679</v>
      </c>
      <c r="J22" s="465">
        <v>4801051</v>
      </c>
    </row>
    <row r="23" spans="1:10" x14ac:dyDescent="0.25">
      <c r="A23" s="469">
        <v>50160</v>
      </c>
      <c r="B23" s="469" t="s">
        <v>750</v>
      </c>
      <c r="C23" s="469">
        <v>647</v>
      </c>
      <c r="D23" s="465">
        <v>1134799</v>
      </c>
      <c r="E23" s="465">
        <v>894858</v>
      </c>
      <c r="F23" s="465">
        <v>1002425</v>
      </c>
      <c r="G23" s="465">
        <v>354061</v>
      </c>
      <c r="H23" s="465">
        <v>392698</v>
      </c>
      <c r="I23" s="465">
        <v>442800</v>
      </c>
      <c r="J23" s="465">
        <v>942821</v>
      </c>
    </row>
    <row r="24" spans="1:10" x14ac:dyDescent="0.25">
      <c r="A24" s="469">
        <v>50180</v>
      </c>
      <c r="B24" s="469" t="s">
        <v>751</v>
      </c>
      <c r="C24" s="469">
        <v>647</v>
      </c>
      <c r="D24" s="465">
        <v>13193040</v>
      </c>
      <c r="E24" s="465">
        <v>17058564</v>
      </c>
      <c r="F24" s="465">
        <v>16187505</v>
      </c>
      <c r="G24" s="465">
        <v>16428100</v>
      </c>
      <c r="H24" s="465">
        <v>16688416</v>
      </c>
      <c r="I24" s="465">
        <v>17840940</v>
      </c>
      <c r="J24" s="465">
        <v>18042019</v>
      </c>
    </row>
    <row r="25" spans="1:10" x14ac:dyDescent="0.25">
      <c r="A25" s="469">
        <v>50405</v>
      </c>
      <c r="B25" s="469" t="s">
        <v>752</v>
      </c>
      <c r="C25" s="469">
        <v>647</v>
      </c>
      <c r="D25" s="465">
        <v>302046</v>
      </c>
      <c r="E25" s="465">
        <v>1055143</v>
      </c>
      <c r="F25" s="465">
        <v>0</v>
      </c>
      <c r="G25" s="465">
        <v>0</v>
      </c>
      <c r="H25" s="465">
        <v>0</v>
      </c>
      <c r="I25" s="465">
        <v>0</v>
      </c>
      <c r="J25" s="465">
        <v>0</v>
      </c>
    </row>
    <row r="26" spans="1:10" x14ac:dyDescent="0.25">
      <c r="A26" s="469">
        <v>50425</v>
      </c>
      <c r="B26" s="469" t="s">
        <v>753</v>
      </c>
      <c r="C26" s="469">
        <v>647</v>
      </c>
      <c r="D26" s="465">
        <v>20836222</v>
      </c>
      <c r="E26" s="465">
        <v>16328642</v>
      </c>
      <c r="F26" s="465">
        <v>15202516</v>
      </c>
      <c r="G26" s="465">
        <v>12384500</v>
      </c>
      <c r="H26" s="465">
        <v>9788553</v>
      </c>
      <c r="I26" s="465">
        <v>7967199</v>
      </c>
      <c r="J26" s="465">
        <v>6398918</v>
      </c>
    </row>
    <row r="27" spans="1:10" x14ac:dyDescent="0.25">
      <c r="A27" s="469">
        <v>50431</v>
      </c>
      <c r="B27" s="469" t="s">
        <v>754</v>
      </c>
      <c r="C27" s="469">
        <v>647</v>
      </c>
      <c r="D27" s="465">
        <v>25542629</v>
      </c>
      <c r="E27" s="465">
        <v>24964077</v>
      </c>
      <c r="F27" s="465">
        <v>23618105</v>
      </c>
      <c r="G27" s="465">
        <v>22744716</v>
      </c>
      <c r="H27" s="465">
        <v>16714796</v>
      </c>
      <c r="I27" s="465">
        <v>13788676</v>
      </c>
      <c r="J27" s="465">
        <v>10895689</v>
      </c>
    </row>
  </sheetData>
  <sheetProtection algorithmName="SHA-512" hashValue="bJzbnlqZaAK7ALs5bbQL+h64q8lABUlOGnBJfq4edhEiaOw/yThmKllXr+onjgJZbpQlIehGNuA9UmmlsFljzQ==" saltValue="fa5rt8OM/kZZXsoqtjrM/Q==" spinCount="100000" sheet="1" objects="1" scenarios="1"/>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66171-2DE4-4F44-8E45-7B5D21D2ED38}">
  <sheetPr codeName="Sheet8"/>
  <dimension ref="A1:I62"/>
  <sheetViews>
    <sheetView topLeftCell="A37" workbookViewId="0">
      <selection activeCell="F65" sqref="F65"/>
    </sheetView>
  </sheetViews>
  <sheetFormatPr defaultRowHeight="15" x14ac:dyDescent="0.25"/>
  <sheetData>
    <row r="1" spans="1:1" ht="15.75" x14ac:dyDescent="0.25">
      <c r="A1" s="597" t="s">
        <v>811</v>
      </c>
    </row>
    <row r="2" spans="1:1" ht="15.75" x14ac:dyDescent="0.25">
      <c r="A2" s="597" t="s">
        <v>812</v>
      </c>
    </row>
    <row r="3" spans="1:1" ht="15.75" x14ac:dyDescent="0.25">
      <c r="A3" s="597" t="s">
        <v>813</v>
      </c>
    </row>
    <row r="4" spans="1:1" ht="15.75" x14ac:dyDescent="0.25">
      <c r="A4" s="597" t="s">
        <v>814</v>
      </c>
    </row>
    <row r="5" spans="1:1" ht="15.75" x14ac:dyDescent="0.25">
      <c r="A5" s="597"/>
    </row>
    <row r="6" spans="1:1" ht="15.75" x14ac:dyDescent="0.25">
      <c r="A6" s="597" t="s">
        <v>815</v>
      </c>
    </row>
    <row r="7" spans="1:1" ht="15.75" x14ac:dyDescent="0.25">
      <c r="A7" s="597" t="s">
        <v>816</v>
      </c>
    </row>
    <row r="8" spans="1:1" ht="15.75" x14ac:dyDescent="0.25">
      <c r="A8" s="597" t="s">
        <v>817</v>
      </c>
    </row>
    <row r="9" spans="1:1" ht="15.75" x14ac:dyDescent="0.25">
      <c r="A9" s="597" t="s">
        <v>818</v>
      </c>
    </row>
    <row r="10" spans="1:1" ht="15.75" x14ac:dyDescent="0.25">
      <c r="A10" s="597"/>
    </row>
    <row r="11" spans="1:1" ht="15.75" x14ac:dyDescent="0.25">
      <c r="A11" s="597" t="s">
        <v>819</v>
      </c>
    </row>
    <row r="12" spans="1:1" ht="15.75" x14ac:dyDescent="0.25">
      <c r="A12" s="597" t="s">
        <v>820</v>
      </c>
    </row>
    <row r="13" spans="1:1" ht="15.75" x14ac:dyDescent="0.25">
      <c r="A13" s="597" t="s">
        <v>821</v>
      </c>
    </row>
    <row r="14" spans="1:1" ht="15.75" x14ac:dyDescent="0.25">
      <c r="A14" s="597"/>
    </row>
    <row r="15" spans="1:1" ht="15.75" x14ac:dyDescent="0.25">
      <c r="A15" s="597" t="s">
        <v>822</v>
      </c>
    </row>
    <row r="16" spans="1:1" ht="15.75" x14ac:dyDescent="0.25">
      <c r="A16" s="597" t="s">
        <v>823</v>
      </c>
    </row>
    <row r="17" spans="1:1" ht="15.75" x14ac:dyDescent="0.25">
      <c r="A17" s="597" t="s">
        <v>824</v>
      </c>
    </row>
    <row r="18" spans="1:1" ht="15.75" x14ac:dyDescent="0.25">
      <c r="A18" s="597" t="s">
        <v>825</v>
      </c>
    </row>
    <row r="19" spans="1:1" ht="15.75" x14ac:dyDescent="0.25">
      <c r="A19" s="597"/>
    </row>
    <row r="20" spans="1:1" ht="15.75" x14ac:dyDescent="0.25">
      <c r="A20" s="597" t="s">
        <v>826</v>
      </c>
    </row>
    <row r="21" spans="1:1" ht="15.75" x14ac:dyDescent="0.25">
      <c r="A21" s="597" t="s">
        <v>827</v>
      </c>
    </row>
    <row r="22" spans="1:1" ht="15.75" x14ac:dyDescent="0.25">
      <c r="A22" s="597" t="s">
        <v>828</v>
      </c>
    </row>
    <row r="23" spans="1:1" ht="15.75" x14ac:dyDescent="0.25">
      <c r="A23" s="597" t="s">
        <v>829</v>
      </c>
    </row>
    <row r="24" spans="1:1" ht="15.75" x14ac:dyDescent="0.25">
      <c r="A24" s="597" t="s">
        <v>830</v>
      </c>
    </row>
    <row r="25" spans="1:1" ht="15.75" x14ac:dyDescent="0.25">
      <c r="A25" s="597" t="s">
        <v>831</v>
      </c>
    </row>
    <row r="26" spans="1:1" x14ac:dyDescent="0.25">
      <c r="A26" s="35" t="s">
        <v>832</v>
      </c>
    </row>
    <row r="27" spans="1:1" x14ac:dyDescent="0.25">
      <c r="A27" s="35" t="s">
        <v>833</v>
      </c>
    </row>
    <row r="28" spans="1:1" ht="15.75" x14ac:dyDescent="0.25">
      <c r="A28" s="597"/>
    </row>
    <row r="29" spans="1:1" ht="15.75" x14ac:dyDescent="0.25">
      <c r="A29" s="597" t="s">
        <v>834</v>
      </c>
    </row>
    <row r="30" spans="1:1" ht="15.75" x14ac:dyDescent="0.25">
      <c r="A30" s="597" t="s">
        <v>835</v>
      </c>
    </row>
    <row r="31" spans="1:1" ht="15.75" x14ac:dyDescent="0.25">
      <c r="A31" s="597" t="s">
        <v>836</v>
      </c>
    </row>
    <row r="32" spans="1:1" ht="18.75" x14ac:dyDescent="0.25">
      <c r="A32" s="590" t="s">
        <v>837</v>
      </c>
    </row>
    <row r="33" spans="1:9" x14ac:dyDescent="0.25">
      <c r="A33" s="596" t="s">
        <v>838</v>
      </c>
    </row>
    <row r="34" spans="1:9" x14ac:dyDescent="0.25">
      <c r="A34" s="596" t="s">
        <v>839</v>
      </c>
    </row>
    <row r="35" spans="1:9" x14ac:dyDescent="0.25">
      <c r="A35" s="596" t="s">
        <v>840</v>
      </c>
    </row>
    <row r="36" spans="1:9" x14ac:dyDescent="0.25">
      <c r="A36" s="596" t="s">
        <v>841</v>
      </c>
    </row>
    <row r="37" spans="1:9" x14ac:dyDescent="0.25">
      <c r="A37" s="596" t="s">
        <v>842</v>
      </c>
    </row>
    <row r="38" spans="1:9" x14ac:dyDescent="0.25">
      <c r="A38" s="596" t="s">
        <v>843</v>
      </c>
    </row>
    <row r="39" spans="1:9" x14ac:dyDescent="0.25">
      <c r="A39" s="596" t="s">
        <v>844</v>
      </c>
    </row>
    <row r="40" spans="1:9" x14ac:dyDescent="0.25">
      <c r="A40" s="596" t="s">
        <v>845</v>
      </c>
    </row>
    <row r="41" spans="1:9" x14ac:dyDescent="0.25">
      <c r="A41" s="596" t="s">
        <v>846</v>
      </c>
    </row>
    <row r="42" spans="1:9" x14ac:dyDescent="0.25">
      <c r="A42" s="596" t="s">
        <v>847</v>
      </c>
    </row>
    <row r="43" spans="1:9" x14ac:dyDescent="0.25">
      <c r="A43" s="596" t="s">
        <v>848</v>
      </c>
    </row>
    <row r="46" spans="1:9" ht="21" x14ac:dyDescent="0.35">
      <c r="A46" s="591" t="s">
        <v>856</v>
      </c>
      <c r="B46" s="589"/>
      <c r="C46" s="589"/>
      <c r="D46" s="589"/>
      <c r="E46" s="589"/>
      <c r="F46" s="589"/>
      <c r="G46" s="589"/>
      <c r="H46" s="589"/>
      <c r="I46" s="589"/>
    </row>
    <row r="49" spans="1:1" x14ac:dyDescent="0.25">
      <c r="A49" s="596" t="s">
        <v>857</v>
      </c>
    </row>
    <row r="50" spans="1:1" x14ac:dyDescent="0.25">
      <c r="A50" s="596"/>
    </row>
    <row r="51" spans="1:1" x14ac:dyDescent="0.25">
      <c r="A51" s="596" t="s">
        <v>858</v>
      </c>
    </row>
    <row r="52" spans="1:1" x14ac:dyDescent="0.25">
      <c r="A52" s="596"/>
    </row>
    <row r="53" spans="1:1" ht="18.75" x14ac:dyDescent="0.25">
      <c r="A53" s="590" t="s">
        <v>859</v>
      </c>
    </row>
    <row r="54" spans="1:1" x14ac:dyDescent="0.25">
      <c r="A54" s="596" t="s">
        <v>860</v>
      </c>
    </row>
    <row r="55" spans="1:1" x14ac:dyDescent="0.25">
      <c r="A55" s="596" t="s">
        <v>861</v>
      </c>
    </row>
    <row r="56" spans="1:1" x14ac:dyDescent="0.25">
      <c r="A56" s="596" t="s">
        <v>862</v>
      </c>
    </row>
    <row r="57" spans="1:1" x14ac:dyDescent="0.25">
      <c r="A57" s="596"/>
    </row>
    <row r="58" spans="1:1" x14ac:dyDescent="0.25">
      <c r="A58" s="596" t="s">
        <v>863</v>
      </c>
    </row>
    <row r="59" spans="1:1" x14ac:dyDescent="0.25">
      <c r="A59" s="596"/>
    </row>
    <row r="60" spans="1:1" x14ac:dyDescent="0.25">
      <c r="A60" s="596" t="s">
        <v>864</v>
      </c>
    </row>
    <row r="61" spans="1:1" x14ac:dyDescent="0.25">
      <c r="A61" s="596" t="s">
        <v>865</v>
      </c>
    </row>
    <row r="62" spans="1:1" x14ac:dyDescent="0.25">
      <c r="A62" s="596" t="s">
        <v>866</v>
      </c>
    </row>
  </sheetData>
  <sheetProtection algorithmName="SHA-512" hashValue="RMeTEOOyUKL72oNIIv3ufKS+KcjdmcXoCmsuTETGm7E7rC2Yv3ezwun6294Kiim7zre52pJ5TIJuoS3ih1Amng==" saltValue="ofc2WaZPCaTuErYolOpY5w==" spinCount="100000" sheet="1" objects="1" scenarios="1"/>
  <hyperlinks>
    <hyperlink ref="A26" r:id="rId1" display="\\dst-flsp4A\Share\lgc\publish\AFIRTest\CCH_UploadTest" xr:uid="{673FCB50-9F53-4F95-9EE4-4166166B8C94}"/>
    <hyperlink ref="A27" r:id="rId2" display="\\dst-flsp4A\Share\LGC\publish\AFIRProduction\CCH_Upload" xr:uid="{B84D7E42-6232-49EE-A9A8-E0543CEEAAE0}"/>
  </hyperlinks>
  <pageMargins left="0.7" right="0.7" top="0.75" bottom="0.75" header="0.3" footer="0.3"/>
  <pageSetup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dimension ref="A1:I67"/>
  <sheetViews>
    <sheetView workbookViewId="0">
      <selection sqref="A1:A67"/>
    </sheetView>
  </sheetViews>
  <sheetFormatPr defaultRowHeight="15" x14ac:dyDescent="0.25"/>
  <cols>
    <col min="1" max="1" width="28.5703125" style="1" customWidth="1"/>
    <col min="2" max="16384" width="9.140625" style="1"/>
  </cols>
  <sheetData>
    <row r="1" spans="1:9" x14ac:dyDescent="0.25">
      <c r="A1" s="681" t="s">
        <v>913</v>
      </c>
      <c r="B1" s="678">
        <v>591706</v>
      </c>
      <c r="C1" s="235"/>
      <c r="D1" s="237"/>
      <c r="E1" s="237"/>
      <c r="G1" s="1">
        <v>100</v>
      </c>
      <c r="I1" s="1" t="s">
        <v>606</v>
      </c>
    </row>
    <row r="2" spans="1:9" ht="15" customHeight="1" x14ac:dyDescent="0.25">
      <c r="A2" s="681" t="s">
        <v>914</v>
      </c>
      <c r="B2" s="675">
        <v>591600</v>
      </c>
      <c r="C2" s="235"/>
      <c r="D2" s="236"/>
      <c r="E2" s="237"/>
      <c r="G2" s="1">
        <v>200</v>
      </c>
      <c r="I2" s="1" t="s">
        <v>607</v>
      </c>
    </row>
    <row r="3" spans="1:9" ht="15" customHeight="1" x14ac:dyDescent="0.25">
      <c r="A3" s="681" t="s">
        <v>915</v>
      </c>
      <c r="B3" s="675">
        <v>592152</v>
      </c>
      <c r="C3" s="235"/>
      <c r="D3" s="236"/>
      <c r="E3" s="237"/>
      <c r="G3" s="1">
        <v>300</v>
      </c>
      <c r="I3" s="1" t="s">
        <v>608</v>
      </c>
    </row>
    <row r="4" spans="1:9" x14ac:dyDescent="0.25">
      <c r="A4" s="681" t="s">
        <v>916</v>
      </c>
      <c r="B4" s="675">
        <v>591612</v>
      </c>
      <c r="C4" s="235"/>
      <c r="D4" s="236"/>
      <c r="E4" s="237"/>
      <c r="G4" s="219">
        <v>400</v>
      </c>
    </row>
    <row r="5" spans="1:9" x14ac:dyDescent="0.25">
      <c r="A5" s="681" t="s">
        <v>917</v>
      </c>
      <c r="B5" s="675">
        <v>591752</v>
      </c>
      <c r="C5" s="235"/>
      <c r="D5" s="236"/>
      <c r="E5" s="237"/>
      <c r="G5" s="219">
        <v>500</v>
      </c>
    </row>
    <row r="6" spans="1:9" x14ac:dyDescent="0.25">
      <c r="A6" s="681" t="s">
        <v>918</v>
      </c>
      <c r="B6" s="675">
        <v>591715</v>
      </c>
      <c r="C6" s="235"/>
      <c r="D6" s="236"/>
      <c r="E6" s="237"/>
    </row>
    <row r="7" spans="1:9" x14ac:dyDescent="0.25">
      <c r="A7" s="681" t="s">
        <v>919</v>
      </c>
      <c r="B7" s="678">
        <v>592388</v>
      </c>
      <c r="C7" s="235"/>
      <c r="D7" s="236"/>
      <c r="E7" s="237"/>
    </row>
    <row r="8" spans="1:9" x14ac:dyDescent="0.25">
      <c r="A8" s="681" t="s">
        <v>920</v>
      </c>
      <c r="B8" s="680">
        <v>591603</v>
      </c>
      <c r="C8" s="235"/>
      <c r="D8" s="236"/>
      <c r="E8" s="237"/>
    </row>
    <row r="9" spans="1:9" x14ac:dyDescent="0.25">
      <c r="A9" s="681" t="s">
        <v>986</v>
      </c>
      <c r="B9" s="679">
        <v>591604</v>
      </c>
      <c r="C9" s="235"/>
      <c r="D9" s="236"/>
      <c r="E9" s="237"/>
    </row>
    <row r="10" spans="1:9" x14ac:dyDescent="0.25">
      <c r="A10" s="681" t="s">
        <v>921</v>
      </c>
      <c r="B10" s="676">
        <v>591721</v>
      </c>
      <c r="C10" s="235"/>
      <c r="D10" s="236"/>
      <c r="E10" s="237"/>
    </row>
    <row r="11" spans="1:9" x14ac:dyDescent="0.25">
      <c r="A11" s="681" t="s">
        <v>922</v>
      </c>
      <c r="B11" s="679">
        <v>591605</v>
      </c>
      <c r="C11" s="235"/>
      <c r="D11" s="236"/>
      <c r="E11" s="237"/>
    </row>
    <row r="12" spans="1:9" x14ac:dyDescent="0.25">
      <c r="A12" s="681" t="s">
        <v>988</v>
      </c>
      <c r="B12" s="679">
        <v>592422</v>
      </c>
      <c r="C12" s="235"/>
      <c r="D12" s="236"/>
      <c r="E12" s="237"/>
    </row>
    <row r="13" spans="1:9" x14ac:dyDescent="0.25">
      <c r="A13" s="681" t="s">
        <v>923</v>
      </c>
      <c r="B13" s="679">
        <v>591632</v>
      </c>
      <c r="C13" s="235"/>
      <c r="D13" s="236"/>
      <c r="E13" s="237"/>
    </row>
    <row r="14" spans="1:9" x14ac:dyDescent="0.25">
      <c r="A14" s="681" t="s">
        <v>925</v>
      </c>
      <c r="B14" s="679">
        <v>591606</v>
      </c>
      <c r="C14" s="235"/>
      <c r="D14" s="236"/>
      <c r="E14" s="237"/>
    </row>
    <row r="15" spans="1:9" x14ac:dyDescent="0.25">
      <c r="A15" s="681" t="s">
        <v>926</v>
      </c>
      <c r="B15" s="679">
        <v>592181</v>
      </c>
      <c r="C15" s="235"/>
      <c r="D15" s="236"/>
      <c r="E15" s="237"/>
    </row>
    <row r="16" spans="1:9" x14ac:dyDescent="0.25">
      <c r="A16" s="681" t="s">
        <v>927</v>
      </c>
      <c r="B16" s="679">
        <v>591607</v>
      </c>
      <c r="C16" s="235"/>
      <c r="D16" s="236"/>
      <c r="E16" s="237"/>
    </row>
    <row r="17" spans="1:5" x14ac:dyDescent="0.25">
      <c r="A17" s="681" t="s">
        <v>928</v>
      </c>
      <c r="B17" s="679">
        <v>591608</v>
      </c>
      <c r="C17" s="235"/>
      <c r="D17" s="236"/>
      <c r="E17" s="237"/>
    </row>
    <row r="18" spans="1:5" x14ac:dyDescent="0.25">
      <c r="A18" s="681" t="s">
        <v>929</v>
      </c>
      <c r="B18" s="679">
        <v>591737</v>
      </c>
      <c r="C18" s="235"/>
      <c r="D18" s="236"/>
      <c r="E18" s="237"/>
    </row>
    <row r="19" spans="1:5" x14ac:dyDescent="0.25">
      <c r="A19" s="681" t="s">
        <v>930</v>
      </c>
      <c r="B19" s="679">
        <v>591609</v>
      </c>
      <c r="C19" s="235"/>
      <c r="D19" s="236"/>
      <c r="E19" s="237"/>
    </row>
    <row r="20" spans="1:5" x14ac:dyDescent="0.25">
      <c r="A20" s="681" t="s">
        <v>931</v>
      </c>
      <c r="B20" s="679">
        <v>591610</v>
      </c>
      <c r="C20" s="235"/>
      <c r="D20" s="236"/>
      <c r="E20" s="237"/>
    </row>
    <row r="21" spans="1:5" x14ac:dyDescent="0.25">
      <c r="A21" s="681" t="s">
        <v>932</v>
      </c>
      <c r="B21" s="679">
        <v>591611</v>
      </c>
      <c r="C21" s="235"/>
      <c r="D21" s="236"/>
      <c r="E21" s="237"/>
    </row>
    <row r="22" spans="1:5" x14ac:dyDescent="0.25">
      <c r="A22" s="681" t="s">
        <v>933</v>
      </c>
      <c r="B22" s="679">
        <v>591749</v>
      </c>
      <c r="C22" s="235"/>
      <c r="D22" s="236"/>
      <c r="E22" s="237"/>
    </row>
    <row r="23" spans="1:5" x14ac:dyDescent="0.25">
      <c r="A23" s="681" t="s">
        <v>934</v>
      </c>
      <c r="B23" s="679">
        <v>591613</v>
      </c>
      <c r="C23" s="235"/>
      <c r="D23" s="236"/>
      <c r="E23" s="237"/>
    </row>
    <row r="24" spans="1:5" x14ac:dyDescent="0.25">
      <c r="A24" s="681" t="s">
        <v>935</v>
      </c>
      <c r="B24" s="677">
        <v>592396</v>
      </c>
      <c r="C24" s="235"/>
      <c r="D24" s="236"/>
      <c r="E24" s="237"/>
    </row>
    <row r="25" spans="1:5" x14ac:dyDescent="0.25">
      <c r="A25" s="681" t="s">
        <v>936</v>
      </c>
      <c r="B25" s="677">
        <v>591614</v>
      </c>
      <c r="C25" s="235"/>
      <c r="D25" s="236"/>
      <c r="E25" s="237"/>
    </row>
    <row r="26" spans="1:5" x14ac:dyDescent="0.25">
      <c r="A26" s="681" t="s">
        <v>937</v>
      </c>
      <c r="B26" s="677">
        <v>592180</v>
      </c>
      <c r="C26" s="235"/>
      <c r="D26" s="236"/>
      <c r="E26" s="237"/>
    </row>
    <row r="27" spans="1:5" x14ac:dyDescent="0.25">
      <c r="A27" s="681" t="s">
        <v>938</v>
      </c>
      <c r="B27" s="677">
        <v>591615</v>
      </c>
      <c r="C27" s="235"/>
      <c r="D27" s="236"/>
      <c r="E27" s="237"/>
    </row>
    <row r="28" spans="1:5" x14ac:dyDescent="0.25">
      <c r="A28" s="681" t="s">
        <v>939</v>
      </c>
      <c r="B28" s="677">
        <v>591616</v>
      </c>
      <c r="C28" s="235"/>
      <c r="D28" s="236"/>
      <c r="E28" s="237"/>
    </row>
    <row r="29" spans="1:5" x14ac:dyDescent="0.25">
      <c r="A29" s="681" t="s">
        <v>940</v>
      </c>
      <c r="B29" s="677">
        <v>592158</v>
      </c>
      <c r="C29" s="235"/>
      <c r="D29" s="236"/>
      <c r="E29" s="237"/>
    </row>
    <row r="30" spans="1:5" x14ac:dyDescent="0.25">
      <c r="A30" s="681" t="s">
        <v>941</v>
      </c>
      <c r="B30" s="677">
        <v>591759</v>
      </c>
      <c r="C30" s="235"/>
      <c r="D30" s="236"/>
      <c r="E30" s="237"/>
    </row>
    <row r="31" spans="1:5" x14ac:dyDescent="0.25">
      <c r="A31" s="681" t="s">
        <v>942</v>
      </c>
      <c r="B31" s="677">
        <v>591762</v>
      </c>
      <c r="C31" s="235"/>
      <c r="D31" s="236"/>
      <c r="E31" s="237"/>
    </row>
    <row r="32" spans="1:5" x14ac:dyDescent="0.25">
      <c r="A32" s="681" t="s">
        <v>924</v>
      </c>
      <c r="B32" s="677">
        <v>594150</v>
      </c>
      <c r="C32" s="235"/>
      <c r="D32" s="236"/>
      <c r="E32" s="237"/>
    </row>
    <row r="33" spans="1:5" x14ac:dyDescent="0.25">
      <c r="A33" s="681" t="s">
        <v>943</v>
      </c>
      <c r="B33" s="677">
        <v>591618</v>
      </c>
      <c r="C33" s="235"/>
      <c r="D33" s="236"/>
      <c r="E33" s="237"/>
    </row>
    <row r="34" spans="1:5" x14ac:dyDescent="0.25">
      <c r="A34" s="681" t="s">
        <v>944</v>
      </c>
      <c r="B34" s="677">
        <v>591619</v>
      </c>
      <c r="C34" s="235"/>
      <c r="D34" s="236"/>
      <c r="E34" s="237"/>
    </row>
    <row r="35" spans="1:5" x14ac:dyDescent="0.25">
      <c r="A35" s="681" t="s">
        <v>945</v>
      </c>
      <c r="B35" s="677">
        <v>591770</v>
      </c>
      <c r="C35" s="235"/>
      <c r="D35" s="236"/>
      <c r="E35" s="237"/>
    </row>
    <row r="36" spans="1:5" x14ac:dyDescent="0.25">
      <c r="A36" s="681" t="s">
        <v>946</v>
      </c>
      <c r="B36" s="677">
        <v>591620</v>
      </c>
      <c r="C36" s="235"/>
      <c r="D36" s="236"/>
      <c r="E36" s="237"/>
    </row>
    <row r="37" spans="1:5" x14ac:dyDescent="0.25">
      <c r="A37" s="681" t="s">
        <v>947</v>
      </c>
      <c r="B37" s="677">
        <v>592357</v>
      </c>
      <c r="C37" s="235"/>
      <c r="D37" s="236"/>
      <c r="E37" s="237"/>
    </row>
    <row r="38" spans="1:5" x14ac:dyDescent="0.25">
      <c r="A38" s="681" t="s">
        <v>948</v>
      </c>
      <c r="B38" s="677">
        <v>59713</v>
      </c>
      <c r="C38" s="235"/>
      <c r="D38" s="236"/>
      <c r="E38" s="237"/>
    </row>
    <row r="39" spans="1:5" x14ac:dyDescent="0.25">
      <c r="A39" s="681" t="s">
        <v>949</v>
      </c>
      <c r="B39" s="677">
        <v>591622</v>
      </c>
      <c r="C39" s="235"/>
      <c r="D39" s="236"/>
      <c r="E39" s="237"/>
    </row>
    <row r="40" spans="1:5" x14ac:dyDescent="0.25">
      <c r="A40" s="681" t="s">
        <v>950</v>
      </c>
      <c r="B40" s="677">
        <v>591623</v>
      </c>
      <c r="C40" s="235"/>
      <c r="D40" s="236"/>
      <c r="E40" s="237"/>
    </row>
    <row r="41" spans="1:5" x14ac:dyDescent="0.25">
      <c r="A41" s="681" t="s">
        <v>951</v>
      </c>
      <c r="B41" s="677">
        <v>591624</v>
      </c>
      <c r="C41" s="235"/>
      <c r="D41" s="236"/>
      <c r="E41" s="237"/>
    </row>
    <row r="42" spans="1:5" x14ac:dyDescent="0.25">
      <c r="A42" s="681" t="s">
        <v>952</v>
      </c>
      <c r="B42" s="677">
        <v>592368</v>
      </c>
      <c r="C42" s="235"/>
      <c r="D42" s="236"/>
      <c r="E42" s="237"/>
    </row>
    <row r="43" spans="1:5" x14ac:dyDescent="0.25">
      <c r="A43" s="681" t="s">
        <v>953</v>
      </c>
      <c r="B43" s="677">
        <v>592155</v>
      </c>
      <c r="C43" s="235"/>
      <c r="D43" s="236"/>
      <c r="E43" s="237"/>
    </row>
    <row r="44" spans="1:5" x14ac:dyDescent="0.25">
      <c r="A44" s="681" t="s">
        <v>954</v>
      </c>
      <c r="B44" s="677">
        <v>591633</v>
      </c>
      <c r="C44" s="235"/>
      <c r="D44" s="236"/>
      <c r="E44" s="237"/>
    </row>
    <row r="45" spans="1:5" x14ac:dyDescent="0.25">
      <c r="A45" s="681" t="s">
        <v>955</v>
      </c>
      <c r="B45" s="677">
        <v>591768</v>
      </c>
      <c r="C45" s="235"/>
      <c r="D45" s="236"/>
      <c r="E45" s="237"/>
    </row>
    <row r="46" spans="1:5" x14ac:dyDescent="0.25">
      <c r="A46" s="681" t="s">
        <v>956</v>
      </c>
      <c r="B46" s="677">
        <v>591634</v>
      </c>
      <c r="C46" s="235"/>
      <c r="D46" s="236"/>
      <c r="E46" s="237"/>
    </row>
    <row r="47" spans="1:5" x14ac:dyDescent="0.25">
      <c r="A47" s="681" t="s">
        <v>957</v>
      </c>
      <c r="B47" s="677">
        <v>591627</v>
      </c>
      <c r="C47" s="235"/>
      <c r="D47" s="236"/>
      <c r="E47" s="237"/>
    </row>
    <row r="48" spans="1:5" x14ac:dyDescent="0.25">
      <c r="A48" s="681" t="s">
        <v>958</v>
      </c>
      <c r="B48" s="677">
        <v>591628</v>
      </c>
      <c r="C48" s="235"/>
      <c r="D48" s="236"/>
      <c r="E48" s="237"/>
    </row>
    <row r="49" spans="1:5" x14ac:dyDescent="0.25">
      <c r="A49" s="681" t="s">
        <v>959</v>
      </c>
      <c r="B49" s="677">
        <v>591629</v>
      </c>
      <c r="C49" s="235"/>
      <c r="D49" s="236"/>
      <c r="E49" s="237"/>
    </row>
    <row r="50" spans="1:5" x14ac:dyDescent="0.25">
      <c r="A50" s="681" t="s">
        <v>960</v>
      </c>
      <c r="B50" s="677">
        <v>591636</v>
      </c>
      <c r="C50" s="235"/>
      <c r="D50" s="236"/>
      <c r="E50" s="237"/>
    </row>
    <row r="51" spans="1:5" x14ac:dyDescent="0.25">
      <c r="A51" s="291" t="s">
        <v>55</v>
      </c>
      <c r="B51" s="290">
        <v>50042</v>
      </c>
      <c r="C51" s="235"/>
      <c r="D51" s="236"/>
      <c r="E51" s="237"/>
    </row>
    <row r="52" spans="1:5" x14ac:dyDescent="0.25">
      <c r="A52" s="291" t="s">
        <v>56</v>
      </c>
      <c r="B52" s="290">
        <v>50044</v>
      </c>
      <c r="C52" s="235"/>
      <c r="D52" s="236"/>
      <c r="E52" s="237"/>
    </row>
    <row r="53" spans="1:5" x14ac:dyDescent="0.25">
      <c r="A53" s="291" t="s">
        <v>57</v>
      </c>
      <c r="B53" s="290">
        <v>50045</v>
      </c>
      <c r="C53" s="235"/>
      <c r="D53" s="236"/>
      <c r="E53" s="237"/>
    </row>
    <row r="54" spans="1:5" x14ac:dyDescent="0.25">
      <c r="A54" s="291" t="s">
        <v>58</v>
      </c>
      <c r="B54" s="290">
        <v>50046</v>
      </c>
      <c r="C54" s="235"/>
      <c r="D54" s="236"/>
      <c r="E54" s="237"/>
    </row>
    <row r="55" spans="1:5" x14ac:dyDescent="0.25">
      <c r="A55" s="291" t="s">
        <v>59</v>
      </c>
      <c r="B55" s="290">
        <v>50047</v>
      </c>
      <c r="C55" s="235"/>
      <c r="D55" s="236"/>
      <c r="E55" s="237"/>
    </row>
    <row r="56" spans="1:5" x14ac:dyDescent="0.25">
      <c r="A56" s="291" t="s">
        <v>60</v>
      </c>
      <c r="B56" s="290">
        <v>50048</v>
      </c>
      <c r="C56" s="235"/>
      <c r="D56" s="236"/>
      <c r="E56" s="237"/>
    </row>
    <row r="57" spans="1:5" x14ac:dyDescent="0.25">
      <c r="A57" s="291" t="s">
        <v>61</v>
      </c>
      <c r="B57" s="290">
        <v>50049</v>
      </c>
      <c r="C57" s="235"/>
      <c r="D57" s="236"/>
      <c r="E57" s="237"/>
    </row>
    <row r="58" spans="1:5" x14ac:dyDescent="0.25">
      <c r="A58" s="291" t="s">
        <v>62</v>
      </c>
      <c r="B58" s="290">
        <v>50050</v>
      </c>
      <c r="C58" s="235"/>
      <c r="D58" s="236"/>
      <c r="E58" s="237"/>
    </row>
    <row r="59" spans="1:5" x14ac:dyDescent="0.25">
      <c r="A59" s="291" t="s">
        <v>63</v>
      </c>
      <c r="B59" s="290">
        <v>50051</v>
      </c>
      <c r="C59" s="235"/>
      <c r="D59" s="236"/>
      <c r="E59" s="237"/>
    </row>
    <row r="60" spans="1:5" x14ac:dyDescent="0.25">
      <c r="A60" s="291" t="s">
        <v>64</v>
      </c>
      <c r="B60" s="290">
        <v>50052</v>
      </c>
      <c r="C60" s="235"/>
      <c r="D60" s="236"/>
      <c r="E60" s="237"/>
    </row>
    <row r="61" spans="1:5" x14ac:dyDescent="0.25">
      <c r="A61" s="291" t="s">
        <v>65</v>
      </c>
      <c r="B61" s="290">
        <v>50053</v>
      </c>
      <c r="C61" s="235"/>
      <c r="D61" s="236"/>
      <c r="E61" s="237"/>
    </row>
    <row r="62" spans="1:5" x14ac:dyDescent="0.25">
      <c r="A62" s="291" t="s">
        <v>66</v>
      </c>
      <c r="B62" s="290">
        <v>50054</v>
      </c>
      <c r="C62" s="235"/>
      <c r="D62" s="236"/>
      <c r="E62" s="237"/>
    </row>
    <row r="63" spans="1:5" x14ac:dyDescent="0.25">
      <c r="A63" s="291" t="s">
        <v>67</v>
      </c>
      <c r="B63" s="290">
        <v>50055</v>
      </c>
      <c r="C63" s="235"/>
      <c r="D63" s="236"/>
      <c r="E63" s="237"/>
    </row>
    <row r="64" spans="1:5" x14ac:dyDescent="0.25">
      <c r="A64" s="291" t="s">
        <v>68</v>
      </c>
      <c r="B64" s="290">
        <v>50057</v>
      </c>
      <c r="C64" s="235"/>
      <c r="D64" s="236"/>
      <c r="E64" s="237"/>
    </row>
    <row r="65" spans="1:5" x14ac:dyDescent="0.25">
      <c r="A65" s="291" t="s">
        <v>69</v>
      </c>
      <c r="B65" s="290">
        <v>50058</v>
      </c>
      <c r="C65" s="235"/>
      <c r="D65" s="236"/>
      <c r="E65" s="237"/>
    </row>
    <row r="66" spans="1:5" x14ac:dyDescent="0.25">
      <c r="A66" s="291" t="s">
        <v>70</v>
      </c>
      <c r="B66" s="290">
        <v>50059</v>
      </c>
      <c r="C66" s="235"/>
      <c r="D66" s="236"/>
      <c r="E66" s="237"/>
    </row>
    <row r="67" spans="1:5" x14ac:dyDescent="0.25">
      <c r="A67" s="291" t="s">
        <v>71</v>
      </c>
      <c r="B67" s="290">
        <v>50567</v>
      </c>
      <c r="C67" s="235"/>
      <c r="D67" s="236"/>
      <c r="E67" s="237"/>
    </row>
  </sheetData>
  <sheetProtection algorithmName="SHA-512" hashValue="FER2+r7n3GG0drKe7mZFSsvyM0/xQLGlM7MkSNb9xZDUCafMcDhSm1S4sr2ONjByklf92CmqTPpQjYnQ1j70ew==" saltValue="vu5cu3JrZXIm9AN1CUGsF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82B8E91699FD4C849FABD4A7E509C3" ma:contentTypeVersion="0" ma:contentTypeDescription="Create a new document." ma:contentTypeScope="" ma:versionID="2cd2447c22f5f264a8d694dbba97a5f5">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AF89FC5-4BED-4434-9FE9-D8A2A34C17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748ED7BE-98F7-46AD-806A-4A5AD2D2AFDC}">
  <ds:schemaRefs>
    <ds:schemaRef ds:uri="http://schemas.microsoft.com/sharepoint/v3/contenttype/forms"/>
  </ds:schemaRefs>
</ds:datastoreItem>
</file>

<file path=customXml/itemProps3.xml><?xml version="1.0" encoding="utf-8"?>
<ds:datastoreItem xmlns:ds="http://schemas.openxmlformats.org/officeDocument/2006/customXml" ds:itemID="{1843076E-D01F-4418-A018-8509E507A11D}">
  <ds:schemaRefs>
    <ds:schemaRef ds:uri="http://purl.org/dc/terms/"/>
    <ds:schemaRef ds:uri="http://purl.org/dc/elements/1.1/"/>
    <ds:schemaRef ds:uri="http://schemas.microsoft.com/office/2006/documentManagement/types"/>
    <ds:schemaRef ds:uri="http://www.w3.org/XML/1998/namespace"/>
    <ds:schemaRef ds:uri="http://purl.org/dc/dcmitype/"/>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vt:i4>
      </vt:variant>
    </vt:vector>
  </HeadingPairs>
  <TitlesOfParts>
    <vt:vector size="15" baseType="lpstr">
      <vt:lpstr>Instructions</vt:lpstr>
      <vt:lpstr>Unit Data from Audit Worksheet</vt:lpstr>
      <vt:lpstr>IMPORT</vt:lpstr>
      <vt:lpstr>RSS</vt:lpstr>
      <vt:lpstr>3-Year Analysis</vt:lpstr>
      <vt:lpstr>2020Acct Changes</vt:lpstr>
      <vt:lpstr>Debt Service Funds (H)</vt:lpstr>
      <vt:lpstr>sequel interface rules (H)</vt:lpstr>
      <vt:lpstr>Unit Names(H)</vt:lpstr>
      <vt:lpstr>2019 Data(H)</vt:lpstr>
      <vt:lpstr>Sheet2</vt:lpstr>
      <vt:lpstr>2018 Data(H)</vt:lpstr>
      <vt:lpstr>Instructions!Print_Area</vt:lpstr>
      <vt:lpstr>'Unit Data from Audit Worksheet'!Print_Area</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2019-07-31T15:12:49Z</cp:lastPrinted>
  <dcterms:created xsi:type="dcterms:W3CDTF">2011-03-11T21:05:05Z</dcterms:created>
  <dcterms:modified xsi:type="dcterms:W3CDTF">2020-08-25T21:08:17Z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ies>
</file>